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ietromanfredi/Desktop/My stuff/Excel/LBOs/with Mgmt. options/"/>
    </mc:Choice>
  </mc:AlternateContent>
  <xr:revisionPtr revIDLastSave="0" documentId="13_ncr:1_{04D405F5-988F-7F4F-A95B-AA65D90838FA}" xr6:coauthVersionLast="47" xr6:coauthVersionMax="47" xr10:uidLastSave="{00000000-0000-0000-0000-000000000000}"/>
  <bookViews>
    <workbookView xWindow="0" yWindow="720" windowWidth="29400" windowHeight="18400" xr2:uid="{2981B576-108C-714A-B54B-A8B20FE28292}"/>
  </bookViews>
  <sheets>
    <sheet name="LBO model" sheetId="4" r:id="rId1"/>
    <sheet name="Prompt" sheetId="1" r:id="rId2"/>
  </sheets>
  <definedNames>
    <definedName name="CIRC">'LBO model'!$M$2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6" i="4" l="1"/>
  <c r="F127" i="4"/>
  <c r="F85" i="4"/>
  <c r="F84" i="4"/>
  <c r="F83" i="4"/>
  <c r="F82" i="4"/>
  <c r="F73" i="4"/>
  <c r="E72" i="4"/>
  <c r="F70" i="4"/>
  <c r="E70" i="4"/>
  <c r="E69" i="4"/>
  <c r="I62" i="4"/>
  <c r="I61" i="4"/>
  <c r="I60" i="4"/>
  <c r="I59" i="4"/>
  <c r="C60" i="4"/>
  <c r="C59" i="4"/>
  <c r="C58" i="4"/>
  <c r="D52" i="4"/>
  <c r="D51" i="4"/>
  <c r="D48" i="4"/>
  <c r="F44" i="4"/>
  <c r="D39" i="4"/>
  <c r="D38" i="4"/>
  <c r="I33" i="4"/>
  <c r="I32" i="4"/>
  <c r="F34" i="4"/>
  <c r="F33" i="4"/>
  <c r="F32" i="4"/>
  <c r="C182" i="4"/>
  <c r="C183" i="4" s="1"/>
  <c r="C184" i="4" s="1"/>
  <c r="C185" i="4" s="1"/>
  <c r="C186" i="4" s="1"/>
  <c r="C187" i="4" s="1"/>
  <c r="C169" i="4"/>
  <c r="C170" i="4" s="1"/>
  <c r="C171" i="4" s="1"/>
  <c r="C172" i="4" s="1"/>
  <c r="C173" i="4" s="1"/>
  <c r="C174" i="4" s="1"/>
  <c r="G146" i="4"/>
  <c r="H146" i="4" s="1"/>
  <c r="I146" i="4" s="1"/>
  <c r="J146" i="4" s="1"/>
  <c r="F148" i="4"/>
  <c r="G148" i="4" s="1"/>
  <c r="H148" i="4" s="1"/>
  <c r="I148" i="4" s="1"/>
  <c r="J148" i="4" s="1"/>
  <c r="G43" i="4"/>
  <c r="H43" i="4"/>
  <c r="I43" i="4"/>
  <c r="J43" i="4"/>
  <c r="F43" i="4"/>
  <c r="G42" i="4"/>
  <c r="H42" i="4"/>
  <c r="I42" i="4"/>
  <c r="J42" i="4"/>
  <c r="F42" i="4"/>
  <c r="G118" i="4"/>
  <c r="H118" i="4"/>
  <c r="I118" i="4"/>
  <c r="J118" i="4"/>
  <c r="F118" i="4"/>
  <c r="F119" i="4" s="1"/>
  <c r="G102" i="4"/>
  <c r="H102" i="4"/>
  <c r="I102" i="4"/>
  <c r="J102" i="4"/>
  <c r="F102" i="4"/>
  <c r="F100" i="4"/>
  <c r="E93" i="4"/>
  <c r="F93" i="4"/>
  <c r="G93" i="4" s="1"/>
  <c r="H93" i="4" s="1"/>
  <c r="I93" i="4" s="1"/>
  <c r="J93" i="4" s="1"/>
  <c r="F89" i="4"/>
  <c r="D58" i="4"/>
  <c r="D49" i="4"/>
  <c r="D50" i="4" s="1"/>
  <c r="D53" i="4" s="1"/>
  <c r="I58" i="4" s="1"/>
  <c r="I64" i="4" s="1"/>
  <c r="E68" i="4"/>
  <c r="E75" i="4" s="1"/>
  <c r="E33" i="4"/>
  <c r="E32" i="4"/>
  <c r="F1" i="4"/>
  <c r="G1" i="4" s="1"/>
  <c r="H1" i="4" s="1"/>
  <c r="I1" i="4" s="1"/>
  <c r="J1" i="4" s="1"/>
  <c r="F104" i="4" l="1"/>
  <c r="F122" i="4"/>
  <c r="J44" i="4"/>
  <c r="J131" i="4" s="1"/>
  <c r="I44" i="4"/>
  <c r="I131" i="4" s="1"/>
  <c r="F140" i="4"/>
  <c r="H44" i="4"/>
  <c r="H131" i="4" s="1"/>
  <c r="F131" i="4"/>
  <c r="G44" i="4"/>
  <c r="G140" i="4" s="1"/>
  <c r="E94" i="4"/>
  <c r="G89" i="4"/>
  <c r="F68" i="4"/>
  <c r="G68" i="4" s="1"/>
  <c r="G94" i="4" s="1"/>
  <c r="E71" i="4"/>
  <c r="E76" i="4"/>
  <c r="E77" i="4" s="1"/>
  <c r="D41" i="1"/>
  <c r="E41" i="1" s="1"/>
  <c r="F41" i="1" s="1"/>
  <c r="G41" i="1" s="1"/>
  <c r="E42" i="1"/>
  <c r="F42" i="1" s="1"/>
  <c r="G42" i="1" s="1"/>
  <c r="H122" i="4" l="1"/>
  <c r="H140" i="4"/>
  <c r="I122" i="4"/>
  <c r="I140" i="4"/>
  <c r="J122" i="4"/>
  <c r="J140" i="4"/>
  <c r="G122" i="4"/>
  <c r="G131" i="4"/>
  <c r="F94" i="4"/>
  <c r="F95" i="4" s="1"/>
  <c r="G90" i="4"/>
  <c r="G84" i="4" s="1"/>
  <c r="H89" i="4"/>
  <c r="F90" i="4"/>
  <c r="F72" i="4"/>
  <c r="F147" i="4"/>
  <c r="F149" i="4" s="1"/>
  <c r="H68" i="4"/>
  <c r="H94" i="4" s="1"/>
  <c r="H95" i="4" s="1"/>
  <c r="H85" i="4" s="1"/>
  <c r="G72" i="4"/>
  <c r="G70" i="4"/>
  <c r="G147" i="4" s="1"/>
  <c r="G149" i="4" s="1"/>
  <c r="G95" i="4" l="1"/>
  <c r="G85" i="4" s="1"/>
  <c r="I89" i="4"/>
  <c r="H90" i="4"/>
  <c r="H84" i="4" s="1"/>
  <c r="G71" i="4"/>
  <c r="G82" i="4" s="1"/>
  <c r="F71" i="4"/>
  <c r="F69" i="4"/>
  <c r="G69" i="4"/>
  <c r="H72" i="4"/>
  <c r="H70" i="4"/>
  <c r="I68" i="4"/>
  <c r="I94" i="4" s="1"/>
  <c r="I95" i="4" s="1"/>
  <c r="I85" i="4" s="1"/>
  <c r="H59" i="4"/>
  <c r="H60" i="4"/>
  <c r="H62" i="4"/>
  <c r="F135" i="4"/>
  <c r="H69" i="4" l="1"/>
  <c r="H147" i="4"/>
  <c r="H149" i="4" s="1"/>
  <c r="D59" i="4"/>
  <c r="F126" i="4"/>
  <c r="J89" i="4"/>
  <c r="I90" i="4"/>
  <c r="I84" i="4" s="1"/>
  <c r="I70" i="4"/>
  <c r="I72" i="4"/>
  <c r="J68" i="4"/>
  <c r="J94" i="4" s="1"/>
  <c r="J95" i="4" s="1"/>
  <c r="J85" i="4" s="1"/>
  <c r="H71" i="4"/>
  <c r="H82" i="4" s="1"/>
  <c r="D60" i="4"/>
  <c r="H58" i="4"/>
  <c r="I69" i="4" l="1"/>
  <c r="I147" i="4"/>
  <c r="I149" i="4" s="1"/>
  <c r="J90" i="4"/>
  <c r="J84" i="4" s="1"/>
  <c r="I34" i="4"/>
  <c r="J72" i="4"/>
  <c r="J70" i="4"/>
  <c r="J147" i="4" s="1"/>
  <c r="J149" i="4" s="1"/>
  <c r="I71" i="4"/>
  <c r="I82" i="4" s="1"/>
  <c r="J71" i="4" l="1"/>
  <c r="J82" i="4" s="1"/>
  <c r="H73" i="4"/>
  <c r="J73" i="4"/>
  <c r="J83" i="4" s="1"/>
  <c r="I73" i="4"/>
  <c r="G73" i="4"/>
  <c r="J69" i="4"/>
  <c r="H61" i="4"/>
  <c r="G83" i="4" l="1"/>
  <c r="I83" i="4"/>
  <c r="H83" i="4"/>
  <c r="J62" i="4"/>
  <c r="D64" i="4"/>
  <c r="D62" i="4" s="1"/>
  <c r="E58" i="4"/>
  <c r="J59" i="4"/>
  <c r="J60" i="4"/>
  <c r="E59" i="4"/>
  <c r="J58" i="4"/>
  <c r="E60" i="4"/>
  <c r="J61" i="4"/>
  <c r="E62" i="4" l="1"/>
  <c r="E153" i="4" l="1"/>
  <c r="C62" i="4"/>
  <c r="F74" i="4"/>
  <c r="G74" i="4"/>
  <c r="H74" i="4"/>
  <c r="I74" i="4"/>
  <c r="J74" i="4"/>
  <c r="F75" i="4"/>
  <c r="G75" i="4"/>
  <c r="H75" i="4"/>
  <c r="I75" i="4"/>
  <c r="J75" i="4"/>
  <c r="F76" i="4"/>
  <c r="G76" i="4"/>
  <c r="H76" i="4"/>
  <c r="I76" i="4"/>
  <c r="J76" i="4"/>
  <c r="F77" i="4"/>
  <c r="G77" i="4"/>
  <c r="H77" i="4"/>
  <c r="I77" i="4"/>
  <c r="J77" i="4"/>
  <c r="F81" i="4"/>
  <c r="G81" i="4"/>
  <c r="H81" i="4"/>
  <c r="I81" i="4"/>
  <c r="J81" i="4"/>
  <c r="F86" i="4"/>
  <c r="G86" i="4"/>
  <c r="H86" i="4"/>
  <c r="I86" i="4"/>
  <c r="J86" i="4"/>
  <c r="G100" i="4"/>
  <c r="H100" i="4"/>
  <c r="I100" i="4"/>
  <c r="J100" i="4"/>
  <c r="F101" i="4"/>
  <c r="G101" i="4"/>
  <c r="H101" i="4"/>
  <c r="I101" i="4"/>
  <c r="J101" i="4"/>
  <c r="F103" i="4"/>
  <c r="G103" i="4"/>
  <c r="H103" i="4"/>
  <c r="I103" i="4"/>
  <c r="J103" i="4"/>
  <c r="G104" i="4"/>
  <c r="H104" i="4"/>
  <c r="I104" i="4"/>
  <c r="J104" i="4"/>
  <c r="F105" i="4"/>
  <c r="G105" i="4"/>
  <c r="H105" i="4"/>
  <c r="I105" i="4"/>
  <c r="J105" i="4"/>
  <c r="F106" i="4"/>
  <c r="G106" i="4"/>
  <c r="H106" i="4"/>
  <c r="I106" i="4"/>
  <c r="J106" i="4"/>
  <c r="F107" i="4"/>
  <c r="G107" i="4"/>
  <c r="H107" i="4"/>
  <c r="I107" i="4"/>
  <c r="J107" i="4"/>
  <c r="F108" i="4"/>
  <c r="G108" i="4"/>
  <c r="H108" i="4"/>
  <c r="I108" i="4"/>
  <c r="J108" i="4"/>
  <c r="F109" i="4"/>
  <c r="G109" i="4"/>
  <c r="H109" i="4"/>
  <c r="I109" i="4"/>
  <c r="J109" i="4"/>
  <c r="F111" i="4"/>
  <c r="G111" i="4"/>
  <c r="H111" i="4"/>
  <c r="I111" i="4"/>
  <c r="J111" i="4"/>
  <c r="G114" i="4"/>
  <c r="H114" i="4"/>
  <c r="I114" i="4"/>
  <c r="J114" i="4"/>
  <c r="F115" i="4"/>
  <c r="G115" i="4"/>
  <c r="H115" i="4"/>
  <c r="I115" i="4"/>
  <c r="J115" i="4"/>
  <c r="F116" i="4"/>
  <c r="G116" i="4"/>
  <c r="H116" i="4"/>
  <c r="I116" i="4"/>
  <c r="J116" i="4"/>
  <c r="G119" i="4"/>
  <c r="H119" i="4"/>
  <c r="I119" i="4"/>
  <c r="J119" i="4"/>
  <c r="F120" i="4"/>
  <c r="G120" i="4"/>
  <c r="H120" i="4"/>
  <c r="I120" i="4"/>
  <c r="J120" i="4"/>
  <c r="F123" i="4"/>
  <c r="G123" i="4"/>
  <c r="H123" i="4"/>
  <c r="I123" i="4"/>
  <c r="J123" i="4"/>
  <c r="G126" i="4"/>
  <c r="H126" i="4"/>
  <c r="I126" i="4"/>
  <c r="J126" i="4"/>
  <c r="G127" i="4"/>
  <c r="H127" i="4"/>
  <c r="I127" i="4"/>
  <c r="J127" i="4"/>
  <c r="F128" i="4"/>
  <c r="G128" i="4"/>
  <c r="H128" i="4"/>
  <c r="I128" i="4"/>
  <c r="J128" i="4"/>
  <c r="F129" i="4"/>
  <c r="G129" i="4"/>
  <c r="H129" i="4"/>
  <c r="I129" i="4"/>
  <c r="J129" i="4"/>
  <c r="F132" i="4"/>
  <c r="G132" i="4"/>
  <c r="H132" i="4"/>
  <c r="I132" i="4"/>
  <c r="J132" i="4"/>
  <c r="G135" i="4"/>
  <c r="H135" i="4"/>
  <c r="I135" i="4"/>
  <c r="J135" i="4"/>
  <c r="G136" i="4"/>
  <c r="H136" i="4"/>
  <c r="I136" i="4"/>
  <c r="J136" i="4"/>
  <c r="F137" i="4"/>
  <c r="G137" i="4"/>
  <c r="H137" i="4"/>
  <c r="I137" i="4"/>
  <c r="J137" i="4"/>
  <c r="F138" i="4"/>
  <c r="G138" i="4"/>
  <c r="H138" i="4"/>
  <c r="I138" i="4"/>
  <c r="J138" i="4"/>
  <c r="F141" i="4"/>
  <c r="G141" i="4"/>
  <c r="H141" i="4"/>
  <c r="I141" i="4"/>
  <c r="J141" i="4"/>
  <c r="F143" i="4"/>
  <c r="G143" i="4"/>
  <c r="H143" i="4"/>
  <c r="I143" i="4"/>
  <c r="J143" i="4"/>
  <c r="F150" i="4"/>
  <c r="G150" i="4"/>
  <c r="H150" i="4"/>
  <c r="I150" i="4"/>
  <c r="J150" i="4"/>
  <c r="F151" i="4"/>
  <c r="G151" i="4"/>
  <c r="H151" i="4"/>
  <c r="I151" i="4"/>
  <c r="J151" i="4"/>
  <c r="F152" i="4"/>
  <c r="G152" i="4"/>
  <c r="H152" i="4"/>
  <c r="I152" i="4"/>
  <c r="J152" i="4"/>
  <c r="F155" i="4"/>
  <c r="G155" i="4"/>
  <c r="H155" i="4"/>
  <c r="I155" i="4"/>
  <c r="J155" i="4"/>
  <c r="F156" i="4"/>
  <c r="G156" i="4"/>
  <c r="H156" i="4"/>
  <c r="I156" i="4"/>
  <c r="J156" i="4"/>
  <c r="F157" i="4"/>
  <c r="G157" i="4"/>
  <c r="H157" i="4"/>
  <c r="I157" i="4"/>
  <c r="J157" i="4"/>
  <c r="F159" i="4"/>
  <c r="G159" i="4"/>
  <c r="H159" i="4"/>
  <c r="I159" i="4"/>
  <c r="J159" i="4"/>
  <c r="F160" i="4"/>
  <c r="G160" i="4"/>
  <c r="H160" i="4"/>
  <c r="I160" i="4"/>
  <c r="J160" i="4"/>
  <c r="C167" i="4"/>
  <c r="C180" i="4"/>
</calcChain>
</file>

<file path=xl/sharedStrings.xml><?xml version="1.0" encoding="utf-8"?>
<sst xmlns="http://schemas.openxmlformats.org/spreadsheetml/2006/main" count="202" uniqueCount="142">
  <si>
    <t>1 hour LBO model test</t>
  </si>
  <si>
    <t>Transaction</t>
  </si>
  <si>
    <t>Company</t>
  </si>
  <si>
    <t>Unexciting Corp.</t>
  </si>
  <si>
    <t>Tax Rate</t>
  </si>
  <si>
    <t>Date</t>
  </si>
  <si>
    <t>Minimum Cash</t>
  </si>
  <si>
    <t>Exit Multiple</t>
  </si>
  <si>
    <t>Entry Multiple</t>
  </si>
  <si>
    <t>Transaction fees</t>
  </si>
  <si>
    <t>Mgmt. options</t>
  </si>
  <si>
    <t>Financing</t>
  </si>
  <si>
    <t>Senior Leverage</t>
  </si>
  <si>
    <t>Total Leverage</t>
  </si>
  <si>
    <t>Revolver Max cap</t>
  </si>
  <si>
    <t>Revolver Cost %</t>
  </si>
  <si>
    <t>TLA cost</t>
  </si>
  <si>
    <t>TLA Amortization %</t>
  </si>
  <si>
    <t xml:space="preserve">TLA Cash sweep </t>
  </si>
  <si>
    <t>Second lien Debt cost</t>
  </si>
  <si>
    <t>Second lien Debt Amortization %</t>
  </si>
  <si>
    <t>Second lien Cash sweep %</t>
  </si>
  <si>
    <t>Financing fees % debt raised</t>
  </si>
  <si>
    <t>Financing fees Term (Yrs)</t>
  </si>
  <si>
    <t>Financials</t>
  </si>
  <si>
    <t>LTM Revenue</t>
  </si>
  <si>
    <t>Existing Cash on B/S</t>
  </si>
  <si>
    <t>Existing Debt to be Refinanced</t>
  </si>
  <si>
    <t>Operating assumptions</t>
  </si>
  <si>
    <t>Rev growth</t>
  </si>
  <si>
    <t>Operating income margin</t>
  </si>
  <si>
    <t>Capex % sales</t>
  </si>
  <si>
    <t>NWC % sales</t>
  </si>
  <si>
    <t>SOFR rate</t>
  </si>
  <si>
    <t>SOFR floor</t>
  </si>
  <si>
    <t>SOFR curve</t>
  </si>
  <si>
    <t>X</t>
  </si>
  <si>
    <t>Assumptions</t>
  </si>
  <si>
    <t>Purchase price calculation</t>
  </si>
  <si>
    <t>Sources and Uses</t>
  </si>
  <si>
    <t>Income statement</t>
  </si>
  <si>
    <t>Returns calculation</t>
  </si>
  <si>
    <t>xEBITDA at Entry</t>
  </si>
  <si>
    <t>xEBITDA at Exit</t>
  </si>
  <si>
    <t>TLA</t>
  </si>
  <si>
    <t>xEBITDA</t>
  </si>
  <si>
    <t>Amount</t>
  </si>
  <si>
    <t>Cost %</t>
  </si>
  <si>
    <t>Am. Fee %</t>
  </si>
  <si>
    <t>Am. Fee</t>
  </si>
  <si>
    <t>Revolver</t>
  </si>
  <si>
    <t>LTM EBITDA</t>
  </si>
  <si>
    <t>TEV</t>
  </si>
  <si>
    <t>Plus: Cash</t>
  </si>
  <si>
    <t>Less: Debt</t>
  </si>
  <si>
    <t>Equity value</t>
  </si>
  <si>
    <t>Max Cap</t>
  </si>
  <si>
    <t>Tot debt</t>
  </si>
  <si>
    <t>Fin fees</t>
  </si>
  <si>
    <t>EBITDA margin</t>
  </si>
  <si>
    <t>Unexciting Corp LBO</t>
  </si>
  <si>
    <t>Cash flow projections</t>
  </si>
  <si>
    <t>Cash &amp; Debt schedule</t>
  </si>
  <si>
    <t xml:space="preserve">Financing </t>
  </si>
  <si>
    <t>Second lien debt</t>
  </si>
  <si>
    <t>Tranches</t>
  </si>
  <si>
    <t>Sweep</t>
  </si>
  <si>
    <t>Fin fees % debt raised</t>
  </si>
  <si>
    <t>Fin fees (Yrs)</t>
  </si>
  <si>
    <t xml:space="preserve">Revenue </t>
  </si>
  <si>
    <t>Less: Expenses</t>
  </si>
  <si>
    <t>EBITDA</t>
  </si>
  <si>
    <t>Less: D&amp;A</t>
  </si>
  <si>
    <t>EBIT</t>
  </si>
  <si>
    <t>Less: Interests</t>
  </si>
  <si>
    <t>EBT</t>
  </si>
  <si>
    <t>Less: Taxes</t>
  </si>
  <si>
    <t>Net income</t>
  </si>
  <si>
    <t>Fin fee amount</t>
  </si>
  <si>
    <t>Fin fees / year</t>
  </si>
  <si>
    <t>Sources</t>
  </si>
  <si>
    <t>% Cap</t>
  </si>
  <si>
    <t>Uses</t>
  </si>
  <si>
    <t>Tot sources</t>
  </si>
  <si>
    <t>Tot uses</t>
  </si>
  <si>
    <t>Second lien</t>
  </si>
  <si>
    <t>Sponsor equity</t>
  </si>
  <si>
    <t>Purchase price</t>
  </si>
  <si>
    <t>Net debt refinanc</t>
  </si>
  <si>
    <t>Min cash to BS</t>
  </si>
  <si>
    <t>Plus: D&amp;A</t>
  </si>
  <si>
    <t>Plus: Amortization of fin fees</t>
  </si>
  <si>
    <t>Less: Amortization of fin fees</t>
  </si>
  <si>
    <t>Less: Capex</t>
  </si>
  <si>
    <t>Less: Change in WC</t>
  </si>
  <si>
    <t>Levered FCF</t>
  </si>
  <si>
    <t>Capex calc</t>
  </si>
  <si>
    <t>% of sales</t>
  </si>
  <si>
    <t>Capex</t>
  </si>
  <si>
    <t>Change in WC calc</t>
  </si>
  <si>
    <t>WC</t>
  </si>
  <si>
    <t>Change</t>
  </si>
  <si>
    <t>% sales</t>
  </si>
  <si>
    <t>Cash schedule</t>
  </si>
  <si>
    <t>Less: Min cash</t>
  </si>
  <si>
    <t>Beg cash</t>
  </si>
  <si>
    <t>Plus: Levered FCF</t>
  </si>
  <si>
    <t>Cash available for debt service</t>
  </si>
  <si>
    <t>Less: Mandatory payments</t>
  </si>
  <si>
    <t>Cash pre-revolver</t>
  </si>
  <si>
    <t>Less: Paydown / drawdown</t>
  </si>
  <si>
    <t>Cash available for optional payments</t>
  </si>
  <si>
    <t>Less: Cash sweep</t>
  </si>
  <si>
    <t>Net change in cash</t>
  </si>
  <si>
    <t>End cash balance</t>
  </si>
  <si>
    <t>Beg balance</t>
  </si>
  <si>
    <t>Paydown / drawdown</t>
  </si>
  <si>
    <t>End balance</t>
  </si>
  <si>
    <t>Max capacity</t>
  </si>
  <si>
    <t>Beg capacity</t>
  </si>
  <si>
    <t>End capacity</t>
  </si>
  <si>
    <t>Less: Mandatory paym</t>
  </si>
  <si>
    <t>Second lient debt</t>
  </si>
  <si>
    <t>Interest %</t>
  </si>
  <si>
    <t>Interest expense</t>
  </si>
  <si>
    <t>CIRC</t>
  </si>
  <si>
    <t>OFF</t>
  </si>
  <si>
    <t>Rate</t>
  </si>
  <si>
    <t>Floor</t>
  </si>
  <si>
    <t>Final rate</t>
  </si>
  <si>
    <t>Total interests</t>
  </si>
  <si>
    <t>Equity value at Exit</t>
  </si>
  <si>
    <t>Excess value</t>
  </si>
  <si>
    <t>Initial equity injection</t>
  </si>
  <si>
    <t>Net proceeds to sponsor</t>
  </si>
  <si>
    <t>MOIC</t>
  </si>
  <si>
    <t>IRR</t>
  </si>
  <si>
    <t>Sensitivity analysis</t>
  </si>
  <si>
    <t>Exit multiple &gt;&gt;</t>
  </si>
  <si>
    <t>Entry multiple &gt;&gt;</t>
  </si>
  <si>
    <t>Sensitivity on MOIC</t>
  </si>
  <si>
    <t>Sensitivity on 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</si>
</sst>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0.0%_);\(0.0%\);0.0%_);@_)"/>
    <numFmt numFmtId="165" formatCode="&quot;$&quot;#,##0_);\(&quot;$&quot;#,##0\);&quot;$&quot;\ \-_);@_)"/>
    <numFmt numFmtId="166" formatCode="0.0\x_);\(0.0\x\);0.0\x_);@_)"/>
    <numFmt numFmtId="167" formatCode="&quot;SOFR + &quot;0.00%"/>
    <numFmt numFmtId="168" formatCode="0\ &quot;yrs&quot;"/>
    <numFmt numFmtId="169" formatCode="_(#,##0.0%_);\(#,##0.0%\);_(&quot;–&quot;_)_%;_(@_)_%"/>
    <numFmt numFmtId="170" formatCode="General&quot;F&quot;"/>
    <numFmt numFmtId="171" formatCode="General&quot;A&quot;"/>
    <numFmt numFmtId="172" formatCode="#,##0;\(#,##0\);&quot;--&quot;"/>
    <numFmt numFmtId="173" formatCode="0.00&quot;x&quot;"/>
    <numFmt numFmtId="175" formatCode="0.0%"/>
    <numFmt numFmtId="176" formatCode="#,##0.0;\(#,##0.0\);&quot;--&quot;"/>
    <numFmt numFmtId="177" formatCode="0.0&quot;x&quot;"/>
  </numFmts>
  <fonts count="21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0"/>
      <color rgb="FF0000FF"/>
      <name val="Arial"/>
      <family val="2"/>
    </font>
    <font>
      <b/>
      <u/>
      <sz val="10"/>
      <color theme="1"/>
      <name val="Arial"/>
      <family val="2"/>
    </font>
    <font>
      <sz val="10"/>
      <color rgb="FF0E2741"/>
      <name val="Arial"/>
      <family val="2"/>
    </font>
    <font>
      <b/>
      <sz val="16"/>
      <color theme="1"/>
      <name val="Arial"/>
      <family val="2"/>
    </font>
    <font>
      <sz val="10"/>
      <color rgb="FF0432FF"/>
      <name val="Arial"/>
      <family val="2"/>
    </font>
    <font>
      <b/>
      <u/>
      <sz val="10"/>
      <color rgb="FF0432FF"/>
      <name val="Arial"/>
      <family val="2"/>
    </font>
    <font>
      <sz val="11"/>
      <color rgb="FF0432FF"/>
      <name val="Arial"/>
      <family val="2"/>
    </font>
    <font>
      <sz val="12"/>
      <color rgb="FF0432FF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u/>
      <sz val="12"/>
      <color theme="1"/>
      <name val="Arial"/>
      <family val="2"/>
    </font>
    <font>
      <b/>
      <sz val="18"/>
      <color theme="1"/>
      <name val="Arial"/>
      <family val="2"/>
    </font>
    <font>
      <b/>
      <sz val="12"/>
      <color rgb="FFFFFFFF"/>
      <name val="Arial"/>
      <family val="2"/>
    </font>
    <font>
      <sz val="14"/>
      <color theme="1"/>
      <name val="Arial"/>
      <family val="2"/>
    </font>
    <font>
      <i/>
      <sz val="12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E2741"/>
        <bgColor indexed="64"/>
      </patternFill>
    </fill>
    <fill>
      <patternFill patternType="solid">
        <fgColor rgb="FF0E9ED5"/>
        <bgColor indexed="64"/>
      </patternFill>
    </fill>
    <fill>
      <patternFill patternType="solid">
        <fgColor rgb="FF747474"/>
        <bgColor indexed="64"/>
      </patternFill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/>
    <xf numFmtId="0" fontId="1" fillId="0" borderId="1" xfId="0" applyFont="1" applyBorder="1"/>
    <xf numFmtId="0" fontId="3" fillId="2" borderId="0" xfId="0" applyFont="1" applyFill="1"/>
    <xf numFmtId="0" fontId="4" fillId="2" borderId="0" xfId="0" applyFont="1" applyFill="1"/>
    <xf numFmtId="0" fontId="1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right"/>
    </xf>
    <xf numFmtId="166" fontId="5" fillId="0" borderId="0" xfId="0" applyNumberFormat="1" applyFont="1" applyAlignment="1">
      <alignment vertical="center"/>
    </xf>
    <xf numFmtId="169" fontId="1" fillId="0" borderId="0" xfId="0" applyNumberFormat="1" applyFont="1"/>
    <xf numFmtId="0" fontId="6" fillId="0" borderId="0" xfId="0" applyFont="1"/>
    <xf numFmtId="0" fontId="7" fillId="2" borderId="0" xfId="0" applyFont="1" applyFill="1"/>
    <xf numFmtId="0" fontId="8" fillId="0" borderId="1" xfId="0" applyFont="1" applyBorder="1"/>
    <xf numFmtId="164" fontId="9" fillId="0" borderId="0" xfId="0" applyNumberFormat="1" applyFont="1" applyAlignment="1">
      <alignment horizontal="right"/>
    </xf>
    <xf numFmtId="14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vertical="center"/>
    </xf>
    <xf numFmtId="167" fontId="9" fillId="0" borderId="0" xfId="0" applyNumberFormat="1" applyFont="1" applyAlignment="1">
      <alignment horizontal="right"/>
    </xf>
    <xf numFmtId="168" fontId="9" fillId="0" borderId="0" xfId="0" applyNumberFormat="1" applyFont="1" applyAlignment="1">
      <alignment horizontal="right"/>
    </xf>
    <xf numFmtId="9" fontId="9" fillId="0" borderId="0" xfId="0" applyNumberFormat="1" applyFont="1"/>
    <xf numFmtId="0" fontId="10" fillId="0" borderId="0" xfId="0" applyFont="1"/>
    <xf numFmtId="169" fontId="9" fillId="0" borderId="0" xfId="0" applyNumberFormat="1" applyFont="1"/>
    <xf numFmtId="10" fontId="9" fillId="0" borderId="0" xfId="0" applyNumberFormat="1" applyFont="1"/>
    <xf numFmtId="166" fontId="12" fillId="0" borderId="0" xfId="0" applyNumberFormat="1" applyFont="1" applyAlignment="1">
      <alignment horizontal="right"/>
    </xf>
    <xf numFmtId="165" fontId="12" fillId="0" borderId="0" xfId="0" applyNumberFormat="1" applyFont="1" applyAlignment="1">
      <alignment horizontal="right"/>
    </xf>
    <xf numFmtId="164" fontId="12" fillId="0" borderId="0" xfId="0" applyNumberFormat="1" applyFont="1" applyAlignment="1">
      <alignment horizontal="right"/>
    </xf>
    <xf numFmtId="167" fontId="11" fillId="0" borderId="0" xfId="0" applyNumberFormat="1" applyFont="1" applyAlignment="1">
      <alignment horizontal="right"/>
    </xf>
    <xf numFmtId="9" fontId="12" fillId="0" borderId="0" xfId="0" applyNumberFormat="1" applyFont="1"/>
    <xf numFmtId="0" fontId="13" fillId="0" borderId="0" xfId="0" applyFont="1"/>
    <xf numFmtId="0" fontId="14" fillId="0" borderId="0" xfId="0" applyFont="1"/>
    <xf numFmtId="14" fontId="12" fillId="0" borderId="0" xfId="0" applyNumberFormat="1" applyFont="1" applyAlignment="1">
      <alignment horizontal="right"/>
    </xf>
    <xf numFmtId="0" fontId="15" fillId="0" borderId="0" xfId="0" applyFont="1"/>
    <xf numFmtId="166" fontId="12" fillId="0" borderId="0" xfId="0" applyNumberFormat="1" applyFont="1" applyAlignment="1">
      <alignment vertical="center"/>
    </xf>
    <xf numFmtId="168" fontId="12" fillId="0" borderId="0" xfId="0" applyNumberFormat="1" applyFont="1" applyAlignment="1">
      <alignment horizontal="right"/>
    </xf>
    <xf numFmtId="0" fontId="2" fillId="0" borderId="0" xfId="0" applyFont="1"/>
    <xf numFmtId="0" fontId="16" fillId="0" borderId="0" xfId="0" applyFont="1"/>
    <xf numFmtId="0" fontId="16" fillId="0" borderId="0" xfId="0" applyFont="1" applyAlignment="1">
      <alignment horizontal="right"/>
    </xf>
    <xf numFmtId="166" fontId="14" fillId="0" borderId="0" xfId="0" applyNumberFormat="1" applyFont="1"/>
    <xf numFmtId="172" fontId="14" fillId="0" borderId="0" xfId="0" applyNumberFormat="1" applyFont="1"/>
    <xf numFmtId="172" fontId="2" fillId="0" borderId="0" xfId="0" applyNumberFormat="1" applyFont="1"/>
    <xf numFmtId="0" fontId="14" fillId="0" borderId="1" xfId="0" applyFont="1" applyBorder="1"/>
    <xf numFmtId="164" fontId="12" fillId="0" borderId="1" xfId="0" applyNumberFormat="1" applyFont="1" applyBorder="1" applyAlignment="1">
      <alignment horizontal="right"/>
    </xf>
    <xf numFmtId="166" fontId="14" fillId="0" borderId="1" xfId="0" applyNumberFormat="1" applyFont="1" applyBorder="1"/>
    <xf numFmtId="167" fontId="11" fillId="0" borderId="1" xfId="0" applyNumberFormat="1" applyFont="1" applyBorder="1" applyAlignment="1">
      <alignment horizontal="right"/>
    </xf>
    <xf numFmtId="2" fontId="14" fillId="0" borderId="0" xfId="0" applyNumberFormat="1" applyFont="1"/>
    <xf numFmtId="0" fontId="14" fillId="0" borderId="0" xfId="0" applyFont="1" applyAlignment="1">
      <alignment horizontal="center"/>
    </xf>
    <xf numFmtId="0" fontId="17" fillId="0" borderId="1" xfId="0" applyFont="1" applyBorder="1"/>
    <xf numFmtId="0" fontId="18" fillId="2" borderId="0" xfId="0" applyFont="1" applyFill="1"/>
    <xf numFmtId="0" fontId="14" fillId="2" borderId="0" xfId="0" applyFont="1" applyFill="1"/>
    <xf numFmtId="0" fontId="18" fillId="4" borderId="0" xfId="0" applyFont="1" applyFill="1"/>
    <xf numFmtId="0" fontId="14" fillId="4" borderId="0" xfId="0" applyFont="1" applyFill="1"/>
    <xf numFmtId="0" fontId="19" fillId="0" borderId="0" xfId="0" applyFont="1" applyAlignment="1">
      <alignment horizontal="center"/>
    </xf>
    <xf numFmtId="0" fontId="19" fillId="0" borderId="0" xfId="0" applyFont="1"/>
    <xf numFmtId="172" fontId="19" fillId="0" borderId="0" xfId="0" applyNumberFormat="1" applyFont="1"/>
    <xf numFmtId="172" fontId="14" fillId="0" borderId="0" xfId="0" applyNumberFormat="1" applyFont="1" applyAlignment="1">
      <alignment horizontal="center"/>
    </xf>
    <xf numFmtId="172" fontId="14" fillId="0" borderId="1" xfId="0" applyNumberFormat="1" applyFont="1" applyBorder="1"/>
    <xf numFmtId="172" fontId="19" fillId="0" borderId="0" xfId="0" applyNumberFormat="1" applyFont="1" applyAlignment="1">
      <alignment horizontal="center"/>
    </xf>
    <xf numFmtId="172" fontId="18" fillId="2" borderId="0" xfId="0" applyNumberFormat="1" applyFont="1" applyFill="1"/>
    <xf numFmtId="172" fontId="14" fillId="2" borderId="0" xfId="0" applyNumberFormat="1" applyFont="1" applyFill="1"/>
    <xf numFmtId="172" fontId="2" fillId="0" borderId="3" xfId="0" applyNumberFormat="1" applyFont="1" applyBorder="1"/>
    <xf numFmtId="172" fontId="14" fillId="0" borderId="0" xfId="0" applyNumberFormat="1" applyFont="1" applyBorder="1"/>
    <xf numFmtId="172" fontId="2" fillId="0" borderId="0" xfId="0" applyNumberFormat="1" applyFont="1" applyBorder="1"/>
    <xf numFmtId="172" fontId="16" fillId="0" borderId="0" xfId="0" applyNumberFormat="1" applyFont="1" applyBorder="1"/>
    <xf numFmtId="172" fontId="16" fillId="0" borderId="0" xfId="0" applyNumberFormat="1" applyFont="1" applyBorder="1" applyAlignment="1">
      <alignment horizontal="right"/>
    </xf>
    <xf numFmtId="9" fontId="14" fillId="0" borderId="0" xfId="0" applyNumberFormat="1" applyFont="1"/>
    <xf numFmtId="175" fontId="14" fillId="0" borderId="0" xfId="0" applyNumberFormat="1" applyFont="1"/>
    <xf numFmtId="173" fontId="14" fillId="0" borderId="0" xfId="0" applyNumberFormat="1" applyFont="1"/>
    <xf numFmtId="172" fontId="14" fillId="5" borderId="1" xfId="0" applyNumberFormat="1" applyFont="1" applyFill="1" applyBorder="1"/>
    <xf numFmtId="176" fontId="14" fillId="0" borderId="0" xfId="0" applyNumberFormat="1" applyFont="1"/>
    <xf numFmtId="172" fontId="14" fillId="0" borderId="0" xfId="0" applyNumberFormat="1" applyFont="1" applyAlignment="1">
      <alignment horizontal="left" indent="1"/>
    </xf>
    <xf numFmtId="172" fontId="14" fillId="0" borderId="1" xfId="0" applyNumberFormat="1" applyFont="1" applyBorder="1" applyAlignment="1">
      <alignment horizontal="left" indent="1"/>
    </xf>
    <xf numFmtId="172" fontId="2" fillId="0" borderId="0" xfId="0" applyNumberFormat="1" applyFont="1" applyAlignment="1">
      <alignment horizontal="left" indent="1"/>
    </xf>
    <xf numFmtId="171" fontId="18" fillId="3" borderId="0" xfId="0" applyNumberFormat="1" applyFont="1" applyFill="1"/>
    <xf numFmtId="170" fontId="18" fillId="2" borderId="0" xfId="0" applyNumberFormat="1" applyFont="1" applyFill="1"/>
    <xf numFmtId="172" fontId="16" fillId="0" borderId="5" xfId="0" applyNumberFormat="1" applyFont="1" applyBorder="1" applyAlignment="1"/>
    <xf numFmtId="172" fontId="2" fillId="0" borderId="2" xfId="0" applyNumberFormat="1" applyFont="1" applyBorder="1"/>
    <xf numFmtId="172" fontId="14" fillId="0" borderId="2" xfId="0" applyNumberFormat="1" applyFont="1" applyBorder="1"/>
    <xf numFmtId="172" fontId="14" fillId="0" borderId="6" xfId="0" applyNumberFormat="1" applyFont="1" applyBorder="1"/>
    <xf numFmtId="172" fontId="14" fillId="0" borderId="7" xfId="0" applyNumberFormat="1" applyFont="1" applyBorder="1" applyAlignment="1">
      <alignment horizontal="left" indent="1"/>
    </xf>
    <xf numFmtId="9" fontId="14" fillId="0" borderId="0" xfId="0" applyNumberFormat="1" applyFont="1" applyBorder="1"/>
    <xf numFmtId="9" fontId="14" fillId="0" borderId="8" xfId="0" applyNumberFormat="1" applyFont="1" applyBorder="1"/>
    <xf numFmtId="172" fontId="14" fillId="0" borderId="8" xfId="0" applyNumberFormat="1" applyFont="1" applyBorder="1"/>
    <xf numFmtId="172" fontId="14" fillId="0" borderId="9" xfId="0" applyNumberFormat="1" applyFont="1" applyBorder="1" applyAlignment="1">
      <alignment horizontal="left" indent="1"/>
    </xf>
    <xf numFmtId="172" fontId="2" fillId="0" borderId="1" xfId="0" applyNumberFormat="1" applyFont="1" applyBorder="1"/>
    <xf numFmtId="172" fontId="14" fillId="0" borderId="10" xfId="0" applyNumberFormat="1" applyFont="1" applyBorder="1"/>
    <xf numFmtId="172" fontId="2" fillId="0" borderId="6" xfId="0" applyNumberFormat="1" applyFont="1" applyBorder="1"/>
    <xf numFmtId="172" fontId="16" fillId="0" borderId="0" xfId="0" applyNumberFormat="1" applyFont="1"/>
    <xf numFmtId="172" fontId="2" fillId="0" borderId="11" xfId="0" applyNumberFormat="1" applyFont="1" applyBorder="1"/>
    <xf numFmtId="172" fontId="14" fillId="0" borderId="12" xfId="0" applyNumberFormat="1" applyFont="1" applyBorder="1"/>
    <xf numFmtId="172" fontId="2" fillId="0" borderId="12" xfId="0" applyNumberFormat="1" applyFont="1" applyBorder="1"/>
    <xf numFmtId="172" fontId="2" fillId="0" borderId="13" xfId="0" applyNumberFormat="1" applyFont="1" applyBorder="1"/>
    <xf numFmtId="172" fontId="14" fillId="0" borderId="4" xfId="0" applyNumberFormat="1" applyFont="1" applyBorder="1"/>
    <xf numFmtId="0" fontId="14" fillId="5" borderId="4" xfId="0" applyFont="1" applyFill="1" applyBorder="1"/>
    <xf numFmtId="0" fontId="14" fillId="0" borderId="1" xfId="0" applyFont="1" applyBorder="1" applyAlignment="1">
      <alignment horizontal="center"/>
    </xf>
    <xf numFmtId="0" fontId="14" fillId="0" borderId="0" xfId="0" applyFont="1" applyAlignment="1">
      <alignment horizontal="left" indent="1"/>
    </xf>
    <xf numFmtId="0" fontId="14" fillId="0" borderId="1" xfId="0" applyFont="1" applyBorder="1" applyAlignment="1">
      <alignment horizontal="left" indent="1"/>
    </xf>
    <xf numFmtId="0" fontId="16" fillId="0" borderId="0" xfId="0" applyFont="1" applyAlignment="1"/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center"/>
    </xf>
    <xf numFmtId="175" fontId="14" fillId="0" borderId="0" xfId="0" applyNumberFormat="1" applyFont="1" applyAlignment="1">
      <alignment horizontal="right"/>
    </xf>
    <xf numFmtId="10" fontId="14" fillId="0" borderId="1" xfId="0" applyNumberFormat="1" applyFont="1" applyBorder="1" applyAlignment="1">
      <alignment horizontal="right"/>
    </xf>
    <xf numFmtId="175" fontId="2" fillId="0" borderId="0" xfId="0" applyNumberFormat="1" applyFont="1" applyAlignment="1">
      <alignment horizontal="right"/>
    </xf>
    <xf numFmtId="172" fontId="14" fillId="0" borderId="5" xfId="0" applyNumberFormat="1" applyFont="1" applyBorder="1"/>
    <xf numFmtId="10" fontId="14" fillId="0" borderId="2" xfId="0" applyNumberFormat="1" applyFont="1" applyBorder="1"/>
    <xf numFmtId="10" fontId="14" fillId="0" borderId="6" xfId="0" applyNumberFormat="1" applyFont="1" applyBorder="1"/>
    <xf numFmtId="172" fontId="14" fillId="0" borderId="9" xfId="0" applyNumberFormat="1" applyFont="1" applyBorder="1"/>
    <xf numFmtId="176" fontId="14" fillId="0" borderId="1" xfId="0" applyNumberFormat="1" applyFont="1" applyBorder="1"/>
    <xf numFmtId="172" fontId="14" fillId="0" borderId="7" xfId="0" applyNumberFormat="1" applyFont="1" applyBorder="1"/>
    <xf numFmtId="172" fontId="19" fillId="0" borderId="1" xfId="0" applyNumberFormat="1" applyFont="1" applyBorder="1"/>
    <xf numFmtId="173" fontId="14" fillId="0" borderId="1" xfId="0" applyNumberFormat="1" applyFont="1" applyBorder="1"/>
    <xf numFmtId="172" fontId="20" fillId="0" borderId="0" xfId="0" applyNumberFormat="1" applyFont="1"/>
    <xf numFmtId="172" fontId="2" fillId="5" borderId="5" xfId="0" applyNumberFormat="1" applyFont="1" applyFill="1" applyBorder="1"/>
    <xf numFmtId="172" fontId="2" fillId="5" borderId="2" xfId="0" applyNumberFormat="1" applyFont="1" applyFill="1" applyBorder="1"/>
    <xf numFmtId="173" fontId="2" fillId="5" borderId="2" xfId="0" applyNumberFormat="1" applyFont="1" applyFill="1" applyBorder="1"/>
    <xf numFmtId="173" fontId="2" fillId="5" borderId="6" xfId="0" applyNumberFormat="1" applyFont="1" applyFill="1" applyBorder="1"/>
    <xf numFmtId="172" fontId="2" fillId="5" borderId="9" xfId="0" applyNumberFormat="1" applyFont="1" applyFill="1" applyBorder="1"/>
    <xf numFmtId="172" fontId="2" fillId="5" borderId="1" xfId="0" applyNumberFormat="1" applyFont="1" applyFill="1" applyBorder="1"/>
    <xf numFmtId="9" fontId="2" fillId="5" borderId="1" xfId="0" applyNumberFormat="1" applyFont="1" applyFill="1" applyBorder="1"/>
    <xf numFmtId="9" fontId="2" fillId="5" borderId="10" xfId="0" applyNumberFormat="1" applyFont="1" applyFill="1" applyBorder="1"/>
    <xf numFmtId="173" fontId="2" fillId="5" borderId="4" xfId="0" applyNumberFormat="1" applyFont="1" applyFill="1" applyBorder="1"/>
    <xf numFmtId="173" fontId="14" fillId="0" borderId="8" xfId="0" applyNumberFormat="1" applyFont="1" applyBorder="1"/>
    <xf numFmtId="172" fontId="14" fillId="0" borderId="13" xfId="0" applyNumberFormat="1" applyFont="1" applyBorder="1"/>
    <xf numFmtId="10" fontId="2" fillId="5" borderId="4" xfId="0" applyNumberFormat="1" applyFont="1" applyFill="1" applyBorder="1"/>
    <xf numFmtId="177" fontId="14" fillId="0" borderId="0" xfId="0" applyNumberFormat="1" applyFon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CC"/>
      <color rgb="FFFFFFFF"/>
      <color rgb="FF747474"/>
      <color rgb="FF0E9ED5"/>
      <color rgb="FF0E2741"/>
      <color rgb="FF000000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1C677-0DFE-2C45-ACEB-34F2BE112F71}">
  <dimension ref="A1:M187"/>
  <sheetViews>
    <sheetView showGridLines="0" tabSelected="1" zoomScale="106" workbookViewId="0">
      <pane xSplit="3" ySplit="1" topLeftCell="D129" activePane="bottomRight" state="frozen"/>
      <selection pane="topRight" activeCell="D1" sqref="D1"/>
      <selection pane="bottomLeft" activeCell="A2" sqref="A2"/>
      <selection pane="bottomRight" activeCell="F138" sqref="F138"/>
    </sheetView>
  </sheetViews>
  <sheetFormatPr baseColWidth="10" defaultRowHeight="16" x14ac:dyDescent="0.2"/>
  <cols>
    <col min="1" max="1" width="2.83203125" style="55" customWidth="1"/>
    <col min="2" max="2" width="25.83203125" style="39" customWidth="1"/>
    <col min="3" max="3" width="10.83203125" style="39"/>
    <col min="4" max="4" width="14.6640625" style="39" bestFit="1" customWidth="1"/>
    <col min="5" max="6" width="10.83203125" style="39"/>
    <col min="7" max="7" width="13.5" style="39" bestFit="1" customWidth="1"/>
    <col min="8" max="16384" width="10.83203125" style="39"/>
  </cols>
  <sheetData>
    <row r="1" spans="1:13" s="30" customFormat="1" x14ac:dyDescent="0.2">
      <c r="A1" s="46"/>
      <c r="E1" s="73">
        <v>2024</v>
      </c>
      <c r="F1" s="74">
        <f>+E1+1</f>
        <v>2025</v>
      </c>
      <c r="G1" s="74">
        <f t="shared" ref="G1:J1" si="0">+F1+1</f>
        <v>2026</v>
      </c>
      <c r="H1" s="74">
        <f t="shared" si="0"/>
        <v>2027</v>
      </c>
      <c r="I1" s="74">
        <f t="shared" si="0"/>
        <v>2028</v>
      </c>
      <c r="J1" s="74">
        <f t="shared" si="0"/>
        <v>2029</v>
      </c>
    </row>
    <row r="2" spans="1:13" s="41" customFormat="1" ht="23" x14ac:dyDescent="0.25">
      <c r="A2" s="46"/>
      <c r="B2" s="47" t="s">
        <v>60</v>
      </c>
      <c r="L2" s="41" t="s">
        <v>125</v>
      </c>
      <c r="M2" s="93" t="s">
        <v>126</v>
      </c>
    </row>
    <row r="3" spans="1:13" s="30" customFormat="1" x14ac:dyDescent="0.2">
      <c r="A3" s="46"/>
    </row>
    <row r="4" spans="1:13" s="30" customFormat="1" x14ac:dyDescent="0.2">
      <c r="A4" s="46" t="s">
        <v>36</v>
      </c>
      <c r="B4" s="48" t="s">
        <v>37</v>
      </c>
      <c r="C4" s="49"/>
      <c r="D4" s="49"/>
      <c r="E4" s="49"/>
      <c r="F4" s="49"/>
      <c r="G4" s="49"/>
      <c r="H4" s="49"/>
      <c r="I4" s="49"/>
      <c r="J4" s="49"/>
    </row>
    <row r="5" spans="1:13" s="30" customFormat="1" x14ac:dyDescent="0.2">
      <c r="A5" s="46"/>
    </row>
    <row r="6" spans="1:13" s="30" customFormat="1" x14ac:dyDescent="0.2">
      <c r="A6" s="46" t="s">
        <v>36</v>
      </c>
      <c r="B6" s="50" t="s">
        <v>1</v>
      </c>
      <c r="C6" s="51"/>
      <c r="D6" s="51"/>
      <c r="E6" s="51"/>
      <c r="F6" s="51"/>
      <c r="G6" s="51"/>
      <c r="H6" s="51"/>
      <c r="I6" s="51"/>
      <c r="J6" s="51"/>
    </row>
    <row r="7" spans="1:13" s="30" customFormat="1" x14ac:dyDescent="0.2">
      <c r="B7" s="30" t="s">
        <v>5</v>
      </c>
      <c r="D7" s="31">
        <v>45657</v>
      </c>
    </row>
    <row r="8" spans="1:13" s="30" customFormat="1" x14ac:dyDescent="0.2">
      <c r="B8" s="30" t="s">
        <v>6</v>
      </c>
      <c r="C8" s="32"/>
      <c r="D8" s="25">
        <v>5</v>
      </c>
    </row>
    <row r="9" spans="1:13" s="30" customFormat="1" x14ac:dyDescent="0.2">
      <c r="B9" s="30" t="s">
        <v>7</v>
      </c>
      <c r="D9" s="24">
        <v>9</v>
      </c>
    </row>
    <row r="10" spans="1:13" s="30" customFormat="1" x14ac:dyDescent="0.2">
      <c r="B10" s="30" t="s">
        <v>8</v>
      </c>
      <c r="D10" s="24">
        <v>10</v>
      </c>
    </row>
    <row r="11" spans="1:13" s="30" customFormat="1" x14ac:dyDescent="0.2">
      <c r="B11" s="30" t="s">
        <v>9</v>
      </c>
      <c r="D11" s="25">
        <v>10</v>
      </c>
    </row>
    <row r="12" spans="1:13" s="30" customFormat="1" x14ac:dyDescent="0.2">
      <c r="B12" s="30" t="s">
        <v>10</v>
      </c>
      <c r="D12" s="26">
        <v>0.15</v>
      </c>
    </row>
    <row r="13" spans="1:13" s="53" customFormat="1" ht="18" x14ac:dyDescent="0.2">
      <c r="A13" s="52"/>
    </row>
    <row r="14" spans="1:13" s="30" customFormat="1" x14ac:dyDescent="0.2">
      <c r="A14" s="46" t="s">
        <v>36</v>
      </c>
      <c r="B14" s="50" t="s">
        <v>24</v>
      </c>
      <c r="C14" s="51"/>
      <c r="D14" s="51"/>
      <c r="E14" s="51"/>
      <c r="F14" s="51"/>
      <c r="G14" s="51"/>
      <c r="H14" s="51"/>
      <c r="I14" s="51"/>
      <c r="J14" s="51"/>
    </row>
    <row r="15" spans="1:13" s="30" customFormat="1" x14ac:dyDescent="0.2">
      <c r="B15" s="30" t="s">
        <v>25</v>
      </c>
      <c r="D15" s="25">
        <v>150</v>
      </c>
    </row>
    <row r="16" spans="1:13" s="30" customFormat="1" x14ac:dyDescent="0.2">
      <c r="B16" s="30" t="s">
        <v>26</v>
      </c>
      <c r="D16" s="25">
        <v>10</v>
      </c>
    </row>
    <row r="17" spans="1:10" s="30" customFormat="1" x14ac:dyDescent="0.2">
      <c r="B17" s="30" t="s">
        <v>27</v>
      </c>
      <c r="D17" s="25">
        <v>100</v>
      </c>
    </row>
    <row r="18" spans="1:10" s="53" customFormat="1" ht="18" x14ac:dyDescent="0.2">
      <c r="A18" s="52"/>
    </row>
    <row r="19" spans="1:10" s="30" customFormat="1" x14ac:dyDescent="0.2">
      <c r="A19" s="46" t="s">
        <v>36</v>
      </c>
      <c r="B19" s="50" t="s">
        <v>28</v>
      </c>
      <c r="C19" s="51"/>
      <c r="D19" s="51"/>
      <c r="E19" s="51"/>
      <c r="F19" s="51"/>
      <c r="G19" s="51"/>
      <c r="H19" s="51"/>
      <c r="I19" s="51"/>
      <c r="J19" s="51"/>
    </row>
    <row r="20" spans="1:10" s="30" customFormat="1" x14ac:dyDescent="0.2">
      <c r="B20" s="30" t="s">
        <v>29</v>
      </c>
      <c r="D20" s="28">
        <v>0.15</v>
      </c>
    </row>
    <row r="21" spans="1:10" s="30" customFormat="1" x14ac:dyDescent="0.2">
      <c r="B21" s="30" t="s">
        <v>59</v>
      </c>
      <c r="D21" s="28">
        <v>0.3</v>
      </c>
    </row>
    <row r="22" spans="1:10" s="30" customFormat="1" x14ac:dyDescent="0.2">
      <c r="B22" s="30" t="s">
        <v>30</v>
      </c>
      <c r="D22" s="28">
        <v>0.2</v>
      </c>
    </row>
    <row r="23" spans="1:10" s="30" customFormat="1" x14ac:dyDescent="0.2">
      <c r="B23" s="30" t="s">
        <v>31</v>
      </c>
      <c r="D23" s="28">
        <v>0.06</v>
      </c>
    </row>
    <row r="24" spans="1:10" s="30" customFormat="1" x14ac:dyDescent="0.2">
      <c r="B24" s="30" t="s">
        <v>32</v>
      </c>
      <c r="D24" s="28">
        <v>0.1</v>
      </c>
    </row>
    <row r="25" spans="1:10" s="53" customFormat="1" ht="18" x14ac:dyDescent="0.2">
      <c r="A25" s="52"/>
    </row>
    <row r="26" spans="1:10" s="30" customFormat="1" x14ac:dyDescent="0.2">
      <c r="A26" s="46" t="s">
        <v>36</v>
      </c>
      <c r="B26" s="50" t="s">
        <v>63</v>
      </c>
      <c r="C26" s="51"/>
      <c r="D26" s="51"/>
      <c r="E26" s="51"/>
      <c r="F26" s="51"/>
      <c r="G26" s="51"/>
      <c r="H26" s="51"/>
      <c r="I26" s="51"/>
      <c r="J26" s="51"/>
    </row>
    <row r="27" spans="1:10" s="30" customFormat="1" x14ac:dyDescent="0.2">
      <c r="B27" s="30" t="s">
        <v>12</v>
      </c>
      <c r="D27" s="33">
        <v>3</v>
      </c>
    </row>
    <row r="28" spans="1:10" s="30" customFormat="1" x14ac:dyDescent="0.2">
      <c r="B28" s="30" t="s">
        <v>13</v>
      </c>
      <c r="D28" s="33">
        <v>5</v>
      </c>
    </row>
    <row r="29" spans="1:10" s="30" customFormat="1" x14ac:dyDescent="0.2">
      <c r="D29" s="33"/>
    </row>
    <row r="30" spans="1:10" s="30" customFormat="1" x14ac:dyDescent="0.2">
      <c r="B30" s="36" t="s">
        <v>65</v>
      </c>
      <c r="D30" s="37" t="s">
        <v>66</v>
      </c>
      <c r="E30" s="37" t="s">
        <v>45</v>
      </c>
      <c r="F30" s="37" t="s">
        <v>46</v>
      </c>
      <c r="G30" s="37" t="s">
        <v>47</v>
      </c>
      <c r="H30" s="37" t="s">
        <v>48</v>
      </c>
      <c r="I30" s="37" t="s">
        <v>49</v>
      </c>
      <c r="J30" s="37" t="s">
        <v>56</v>
      </c>
    </row>
    <row r="31" spans="1:10" s="30" customFormat="1" ht="18" x14ac:dyDescent="0.2">
      <c r="B31" s="30" t="s">
        <v>50</v>
      </c>
      <c r="D31" s="33"/>
      <c r="E31" s="54">
        <v>0</v>
      </c>
      <c r="F31" s="54">
        <v>0</v>
      </c>
      <c r="G31" s="27">
        <v>0.02</v>
      </c>
      <c r="J31" s="25">
        <v>40</v>
      </c>
    </row>
    <row r="32" spans="1:10" s="30" customFormat="1" x14ac:dyDescent="0.2">
      <c r="B32" s="30" t="s">
        <v>44</v>
      </c>
      <c r="D32" s="26">
        <v>1</v>
      </c>
      <c r="E32" s="38">
        <f>D27</f>
        <v>3</v>
      </c>
      <c r="F32" s="30">
        <f>E32*$D$48</f>
        <v>135</v>
      </c>
      <c r="G32" s="27">
        <v>0.02</v>
      </c>
      <c r="H32" s="26">
        <v>0.05</v>
      </c>
      <c r="I32" s="30">
        <f>H32*F32</f>
        <v>6.75</v>
      </c>
    </row>
    <row r="33" spans="1:10" s="30" customFormat="1" x14ac:dyDescent="0.2">
      <c r="B33" s="41" t="s">
        <v>64</v>
      </c>
      <c r="C33" s="41"/>
      <c r="D33" s="42">
        <v>1</v>
      </c>
      <c r="E33" s="43">
        <f>D28-D27</f>
        <v>2</v>
      </c>
      <c r="F33" s="41">
        <f>E33*$D$48</f>
        <v>90</v>
      </c>
      <c r="G33" s="44">
        <v>0.03</v>
      </c>
      <c r="H33" s="42">
        <v>0.01</v>
      </c>
      <c r="I33" s="41">
        <f>H33*F33</f>
        <v>0.9</v>
      </c>
      <c r="J33" s="41"/>
    </row>
    <row r="34" spans="1:10" s="30" customFormat="1" x14ac:dyDescent="0.2">
      <c r="B34" s="35" t="s">
        <v>57</v>
      </c>
      <c r="D34" s="26"/>
      <c r="E34" s="38"/>
      <c r="F34" s="40">
        <f>SUM(F31:F33)</f>
        <v>225</v>
      </c>
      <c r="G34" s="27"/>
      <c r="H34" s="26"/>
      <c r="I34" s="35">
        <f>SUM(I32:I33)</f>
        <v>7.65</v>
      </c>
    </row>
    <row r="35" spans="1:10" s="30" customFormat="1" x14ac:dyDescent="0.2">
      <c r="D35" s="33"/>
    </row>
    <row r="36" spans="1:10" s="30" customFormat="1" x14ac:dyDescent="0.2">
      <c r="B36" s="30" t="s">
        <v>67</v>
      </c>
      <c r="D36" s="26">
        <v>0.02</v>
      </c>
    </row>
    <row r="37" spans="1:10" s="30" customFormat="1" x14ac:dyDescent="0.2">
      <c r="B37" s="30" t="s">
        <v>68</v>
      </c>
      <c r="D37" s="34">
        <v>8</v>
      </c>
    </row>
    <row r="38" spans="1:10" s="30" customFormat="1" x14ac:dyDescent="0.2">
      <c r="B38" s="30" t="s">
        <v>78</v>
      </c>
      <c r="D38" s="45">
        <f>D36*F34</f>
        <v>4.5</v>
      </c>
    </row>
    <row r="39" spans="1:10" s="30" customFormat="1" x14ac:dyDescent="0.2">
      <c r="B39" s="30" t="s">
        <v>79</v>
      </c>
      <c r="D39" s="45">
        <f>D38/D37</f>
        <v>0.5625</v>
      </c>
    </row>
    <row r="40" spans="1:10" s="46" customFormat="1" x14ac:dyDescent="0.2"/>
    <row r="41" spans="1:10" s="46" customFormat="1" x14ac:dyDescent="0.2">
      <c r="B41" s="97" t="s">
        <v>35</v>
      </c>
    </row>
    <row r="42" spans="1:10" s="46" customFormat="1" x14ac:dyDescent="0.2">
      <c r="B42" s="95" t="s">
        <v>127</v>
      </c>
      <c r="F42" s="100">
        <f>Prompt!C42</f>
        <v>0.01</v>
      </c>
      <c r="G42" s="100">
        <f>Prompt!D42</f>
        <v>1.4999999999999999E-2</v>
      </c>
      <c r="H42" s="100">
        <f>Prompt!E42</f>
        <v>1.7499999999999998E-2</v>
      </c>
      <c r="I42" s="100">
        <f>Prompt!F42</f>
        <v>1.9999999999999997E-2</v>
      </c>
      <c r="J42" s="100">
        <f>Prompt!G42</f>
        <v>2.2499999999999996E-2</v>
      </c>
    </row>
    <row r="43" spans="1:10" s="46" customFormat="1" x14ac:dyDescent="0.2">
      <c r="B43" s="96" t="s">
        <v>128</v>
      </c>
      <c r="C43" s="94"/>
      <c r="D43" s="94"/>
      <c r="E43" s="94"/>
      <c r="F43" s="101">
        <f>Prompt!C43</f>
        <v>1.4999999999999999E-2</v>
      </c>
      <c r="G43" s="101">
        <f>Prompt!D43</f>
        <v>1.4999999999999999E-2</v>
      </c>
      <c r="H43" s="101">
        <f>Prompt!E43</f>
        <v>1.4999999999999999E-2</v>
      </c>
      <c r="I43" s="101">
        <f>Prompt!F43</f>
        <v>1.4999999999999999E-2</v>
      </c>
      <c r="J43" s="101">
        <f>Prompt!G43</f>
        <v>1.4999999999999999E-2</v>
      </c>
    </row>
    <row r="44" spans="1:10" s="46" customFormat="1" x14ac:dyDescent="0.2">
      <c r="B44" s="98" t="s">
        <v>129</v>
      </c>
      <c r="C44" s="99"/>
      <c r="D44" s="99"/>
      <c r="E44" s="99"/>
      <c r="F44" s="102">
        <f>MAX(F42:F43)</f>
        <v>1.4999999999999999E-2</v>
      </c>
      <c r="G44" s="102">
        <f t="shared" ref="G44:J44" si="1">MAX(G42:G43)</f>
        <v>1.4999999999999999E-2</v>
      </c>
      <c r="H44" s="102">
        <f t="shared" si="1"/>
        <v>1.7499999999999998E-2</v>
      </c>
      <c r="I44" s="102">
        <f t="shared" si="1"/>
        <v>1.9999999999999997E-2</v>
      </c>
      <c r="J44" s="102">
        <f t="shared" si="1"/>
        <v>2.2499999999999996E-2</v>
      </c>
    </row>
    <row r="45" spans="1:10" s="46" customFormat="1" x14ac:dyDescent="0.2"/>
    <row r="46" spans="1:10" s="30" customFormat="1" x14ac:dyDescent="0.2">
      <c r="A46" s="46" t="s">
        <v>36</v>
      </c>
      <c r="B46" s="48" t="s">
        <v>38</v>
      </c>
      <c r="C46" s="49"/>
      <c r="D46" s="49"/>
      <c r="E46" s="49"/>
      <c r="F46" s="49"/>
      <c r="G46" s="49"/>
      <c r="H46" s="49"/>
      <c r="I46" s="49"/>
      <c r="J46" s="49"/>
    </row>
    <row r="47" spans="1:10" s="30" customFormat="1" x14ac:dyDescent="0.2">
      <c r="A47" s="46"/>
    </row>
    <row r="48" spans="1:10" x14ac:dyDescent="0.2">
      <c r="B48" s="39" t="s">
        <v>51</v>
      </c>
      <c r="D48" s="39">
        <f>E70</f>
        <v>45</v>
      </c>
    </row>
    <row r="49" spans="1:10" x14ac:dyDescent="0.2">
      <c r="B49" s="56" t="s">
        <v>42</v>
      </c>
      <c r="C49" s="56"/>
      <c r="D49" s="56">
        <f>D10</f>
        <v>10</v>
      </c>
    </row>
    <row r="50" spans="1:10" x14ac:dyDescent="0.2">
      <c r="B50" s="40" t="s">
        <v>52</v>
      </c>
      <c r="D50" s="40">
        <f>PRODUCT(D48:D49)</f>
        <v>450</v>
      </c>
    </row>
    <row r="51" spans="1:10" x14ac:dyDescent="0.2">
      <c r="B51" s="39" t="s">
        <v>53</v>
      </c>
      <c r="D51" s="39">
        <f>D16</f>
        <v>10</v>
      </c>
    </row>
    <row r="52" spans="1:10" x14ac:dyDescent="0.2">
      <c r="B52" s="56" t="s">
        <v>54</v>
      </c>
      <c r="C52" s="56"/>
      <c r="D52" s="56">
        <f>-D17</f>
        <v>-100</v>
      </c>
    </row>
    <row r="53" spans="1:10" x14ac:dyDescent="0.2">
      <c r="B53" s="40" t="s">
        <v>55</v>
      </c>
      <c r="D53" s="40">
        <f>SUM(D50:D52)</f>
        <v>360</v>
      </c>
    </row>
    <row r="55" spans="1:10" x14ac:dyDescent="0.2">
      <c r="A55" s="55" t="s">
        <v>36</v>
      </c>
      <c r="B55" s="58" t="s">
        <v>39</v>
      </c>
      <c r="C55" s="59"/>
      <c r="D55" s="59"/>
      <c r="E55" s="59"/>
      <c r="F55" s="59"/>
      <c r="G55" s="59"/>
      <c r="H55" s="59"/>
      <c r="I55" s="59"/>
      <c r="J55" s="59"/>
    </row>
    <row r="57" spans="1:10" x14ac:dyDescent="0.2">
      <c r="B57" s="63" t="s">
        <v>80</v>
      </c>
      <c r="C57" s="64" t="s">
        <v>45</v>
      </c>
      <c r="D57" s="64" t="s">
        <v>46</v>
      </c>
      <c r="E57" s="64" t="s">
        <v>81</v>
      </c>
      <c r="G57" s="63" t="s">
        <v>82</v>
      </c>
      <c r="H57" s="64" t="s">
        <v>45</v>
      </c>
      <c r="I57" s="64" t="s">
        <v>46</v>
      </c>
      <c r="J57" s="64" t="s">
        <v>81</v>
      </c>
    </row>
    <row r="58" spans="1:10" x14ac:dyDescent="0.2">
      <c r="B58" s="39" t="s">
        <v>50</v>
      </c>
      <c r="C58" s="67">
        <f>D58/$D$48</f>
        <v>0</v>
      </c>
      <c r="D58" s="39">
        <f>F31</f>
        <v>0</v>
      </c>
      <c r="E58" s="66">
        <f>D58/$I$64</f>
        <v>0</v>
      </c>
      <c r="G58" s="39" t="s">
        <v>87</v>
      </c>
      <c r="H58" s="67">
        <f>I58/$D$48</f>
        <v>8</v>
      </c>
      <c r="I58" s="39">
        <f>D53</f>
        <v>360</v>
      </c>
      <c r="J58" s="66">
        <f>I58/$I$64</f>
        <v>0.76677316293929709</v>
      </c>
    </row>
    <row r="59" spans="1:10" x14ac:dyDescent="0.2">
      <c r="B59" s="39" t="s">
        <v>44</v>
      </c>
      <c r="C59" s="67">
        <f>D59/$D$48</f>
        <v>3</v>
      </c>
      <c r="D59" s="39">
        <f>F32</f>
        <v>135</v>
      </c>
      <c r="E59" s="66">
        <f t="shared" ref="E59:E62" si="2">D59/$I$64</f>
        <v>0.28753993610223644</v>
      </c>
      <c r="G59" s="39" t="s">
        <v>88</v>
      </c>
      <c r="H59" s="67">
        <f t="shared" ref="H59:H62" si="3">I59/$D$48</f>
        <v>2</v>
      </c>
      <c r="I59" s="39">
        <f>D17-D16</f>
        <v>90</v>
      </c>
      <c r="J59" s="66">
        <f t="shared" ref="J59:J62" si="4">I59/$I$64</f>
        <v>0.19169329073482427</v>
      </c>
    </row>
    <row r="60" spans="1:10" x14ac:dyDescent="0.2">
      <c r="B60" s="39" t="s">
        <v>85</v>
      </c>
      <c r="C60" s="67">
        <f>D60/$D$48</f>
        <v>2</v>
      </c>
      <c r="D60" s="39">
        <f>F33</f>
        <v>90</v>
      </c>
      <c r="E60" s="66">
        <f t="shared" si="2"/>
        <v>0.19169329073482427</v>
      </c>
      <c r="G60" s="39" t="s">
        <v>9</v>
      </c>
      <c r="H60" s="67">
        <f t="shared" si="3"/>
        <v>0.22222222222222221</v>
      </c>
      <c r="I60" s="39">
        <f>D11</f>
        <v>10</v>
      </c>
      <c r="J60" s="66">
        <f t="shared" si="4"/>
        <v>2.1299254526091587E-2</v>
      </c>
    </row>
    <row r="61" spans="1:10" x14ac:dyDescent="0.2">
      <c r="C61" s="67"/>
      <c r="E61" s="66"/>
      <c r="G61" s="39" t="s">
        <v>58</v>
      </c>
      <c r="H61" s="67">
        <f t="shared" si="3"/>
        <v>0.1</v>
      </c>
      <c r="I61" s="39">
        <f>D38</f>
        <v>4.5</v>
      </c>
      <c r="J61" s="66">
        <f t="shared" si="4"/>
        <v>9.5846645367412137E-3</v>
      </c>
    </row>
    <row r="62" spans="1:10" x14ac:dyDescent="0.2">
      <c r="B62" s="39" t="s">
        <v>86</v>
      </c>
      <c r="C62" s="67">
        <f>D62/$D$48</f>
        <v>5.4333333333333336</v>
      </c>
      <c r="D62" s="39">
        <f>D64-SUM(D58:D60)</f>
        <v>244.5</v>
      </c>
      <c r="E62" s="66">
        <f t="shared" si="2"/>
        <v>0.52076677316293929</v>
      </c>
      <c r="G62" s="39" t="s">
        <v>89</v>
      </c>
      <c r="H62" s="67">
        <f t="shared" si="3"/>
        <v>0.1111111111111111</v>
      </c>
      <c r="I62" s="39">
        <f>D8</f>
        <v>5</v>
      </c>
      <c r="J62" s="66">
        <f t="shared" si="4"/>
        <v>1.0649627263045794E-2</v>
      </c>
    </row>
    <row r="64" spans="1:10" ht="17" thickBot="1" x14ac:dyDescent="0.25">
      <c r="B64" s="60" t="s">
        <v>83</v>
      </c>
      <c r="C64" s="60"/>
      <c r="D64" s="60">
        <f>I64</f>
        <v>469.5</v>
      </c>
      <c r="E64" s="60"/>
      <c r="G64" s="60" t="s">
        <v>84</v>
      </c>
      <c r="H64" s="60"/>
      <c r="I64" s="60">
        <f>SUM(I58:I62)</f>
        <v>469.5</v>
      </c>
      <c r="J64" s="60"/>
    </row>
    <row r="65" spans="1:10" ht="17" thickTop="1" x14ac:dyDescent="0.2"/>
    <row r="66" spans="1:10" x14ac:dyDescent="0.2">
      <c r="A66" s="55" t="s">
        <v>36</v>
      </c>
      <c r="B66" s="58" t="s">
        <v>40</v>
      </c>
      <c r="C66" s="59"/>
      <c r="D66" s="59"/>
      <c r="E66" s="59"/>
      <c r="F66" s="59"/>
      <c r="G66" s="59"/>
      <c r="H66" s="59"/>
      <c r="I66" s="59"/>
      <c r="J66" s="59"/>
    </row>
    <row r="68" spans="1:10" x14ac:dyDescent="0.2">
      <c r="B68" s="39" t="s">
        <v>69</v>
      </c>
      <c r="E68" s="39">
        <f>D15</f>
        <v>150</v>
      </c>
      <c r="F68" s="39">
        <f>E68*(1+$D$20)</f>
        <v>172.5</v>
      </c>
      <c r="G68" s="39">
        <f t="shared" ref="G68:J68" si="5">F68*(1+$D$20)</f>
        <v>198.37499999999997</v>
      </c>
      <c r="H68" s="39">
        <f t="shared" si="5"/>
        <v>228.13124999999994</v>
      </c>
      <c r="I68" s="39">
        <f t="shared" si="5"/>
        <v>262.35093749999993</v>
      </c>
      <c r="J68" s="39">
        <f t="shared" si="5"/>
        <v>301.70357812499992</v>
      </c>
    </row>
    <row r="69" spans="1:10" x14ac:dyDescent="0.2">
      <c r="B69" s="56" t="s">
        <v>70</v>
      </c>
      <c r="C69" s="56"/>
      <c r="D69" s="56"/>
      <c r="E69" s="56">
        <f>-(E68-E70)</f>
        <v>-105</v>
      </c>
      <c r="F69" s="56">
        <f t="shared" ref="F69:J69" si="6">-(F68-F70)</f>
        <v>-120.75</v>
      </c>
      <c r="G69" s="56">
        <f t="shared" si="6"/>
        <v>-138.86249999999998</v>
      </c>
      <c r="H69" s="56">
        <f t="shared" si="6"/>
        <v>-159.69187499999995</v>
      </c>
      <c r="I69" s="56">
        <f t="shared" si="6"/>
        <v>-183.64565624999994</v>
      </c>
      <c r="J69" s="56">
        <f t="shared" si="6"/>
        <v>-211.19250468749993</v>
      </c>
    </row>
    <row r="70" spans="1:10" x14ac:dyDescent="0.2">
      <c r="B70" s="40" t="s">
        <v>71</v>
      </c>
      <c r="E70" s="40">
        <f>E68*$D$21</f>
        <v>45</v>
      </c>
      <c r="F70" s="40">
        <f>F68*$D$21</f>
        <v>51.75</v>
      </c>
      <c r="G70" s="40">
        <f t="shared" ref="F70:J70" si="7">G68*$D$21</f>
        <v>59.512499999999989</v>
      </c>
      <c r="H70" s="40">
        <f t="shared" si="7"/>
        <v>68.439374999999984</v>
      </c>
      <c r="I70" s="40">
        <f t="shared" si="7"/>
        <v>78.70528124999997</v>
      </c>
      <c r="J70" s="40">
        <f t="shared" si="7"/>
        <v>90.511073437499974</v>
      </c>
    </row>
    <row r="71" spans="1:10" x14ac:dyDescent="0.2">
      <c r="B71" s="56" t="s">
        <v>72</v>
      </c>
      <c r="C71" s="56"/>
      <c r="D71" s="56"/>
      <c r="E71" s="56">
        <f>-(E70-E72)</f>
        <v>-15</v>
      </c>
      <c r="F71" s="56">
        <f t="shared" ref="F71:J71" si="8">-(F70-F72)</f>
        <v>-17.25</v>
      </c>
      <c r="G71" s="56">
        <f t="shared" si="8"/>
        <v>-19.837499999999991</v>
      </c>
      <c r="H71" s="56">
        <f t="shared" si="8"/>
        <v>-22.813124999999992</v>
      </c>
      <c r="I71" s="56">
        <f t="shared" si="8"/>
        <v>-26.235093749999983</v>
      </c>
      <c r="J71" s="56">
        <f t="shared" si="8"/>
        <v>-30.170357812499986</v>
      </c>
    </row>
    <row r="72" spans="1:10" x14ac:dyDescent="0.2">
      <c r="B72" s="40" t="s">
        <v>73</v>
      </c>
      <c r="E72" s="40">
        <f>E68*$D$22</f>
        <v>30</v>
      </c>
      <c r="F72" s="40">
        <f t="shared" ref="F72:J72" si="9">F68*$D$22</f>
        <v>34.5</v>
      </c>
      <c r="G72" s="40">
        <f t="shared" si="9"/>
        <v>39.674999999999997</v>
      </c>
      <c r="H72" s="40">
        <f t="shared" si="9"/>
        <v>45.626249999999992</v>
      </c>
      <c r="I72" s="40">
        <f t="shared" si="9"/>
        <v>52.470187499999987</v>
      </c>
      <c r="J72" s="40">
        <f t="shared" si="9"/>
        <v>60.340715624999987</v>
      </c>
    </row>
    <row r="73" spans="1:10" x14ac:dyDescent="0.2">
      <c r="B73" s="39" t="s">
        <v>92</v>
      </c>
      <c r="E73" s="69">
        <v>0</v>
      </c>
      <c r="F73" s="69">
        <f>-$D$39</f>
        <v>-0.5625</v>
      </c>
      <c r="G73" s="69">
        <f t="shared" ref="G73:J73" si="10">-$D$39</f>
        <v>-0.5625</v>
      </c>
      <c r="H73" s="69">
        <f t="shared" si="10"/>
        <v>-0.5625</v>
      </c>
      <c r="I73" s="69">
        <f t="shared" si="10"/>
        <v>-0.5625</v>
      </c>
      <c r="J73" s="69">
        <f t="shared" si="10"/>
        <v>-0.5625</v>
      </c>
    </row>
    <row r="74" spans="1:10" x14ac:dyDescent="0.2">
      <c r="B74" s="56" t="s">
        <v>74</v>
      </c>
      <c r="C74" s="56"/>
      <c r="D74" s="56"/>
      <c r="E74" s="56">
        <v>0</v>
      </c>
      <c r="F74" s="68">
        <f ca="1">-F143</f>
        <v>-17.947091009475304</v>
      </c>
      <c r="G74" s="68">
        <f t="shared" ref="G74:J74" ca="1" si="11">-G143</f>
        <v>-15.164157649426656</v>
      </c>
      <c r="H74" s="68">
        <f t="shared" ca="1" si="11"/>
        <v>-13.06963054390817</v>
      </c>
      <c r="I74" s="68">
        <f t="shared" ca="1" si="11"/>
        <v>-8.8731136650355182</v>
      </c>
      <c r="J74" s="68">
        <f t="shared" ca="1" si="11"/>
        <v>-2.8581259396869556</v>
      </c>
    </row>
    <row r="75" spans="1:10" x14ac:dyDescent="0.2">
      <c r="B75" s="40" t="s">
        <v>75</v>
      </c>
      <c r="E75" s="40">
        <f>SUM(E72:E74)</f>
        <v>30</v>
      </c>
      <c r="F75" s="40">
        <f ca="1">SUM(F72:F74)</f>
        <v>15.990408990524696</v>
      </c>
      <c r="G75" s="40">
        <f ca="1">SUM(G72:G74)</f>
        <v>23.948342350573341</v>
      </c>
      <c r="H75" s="40">
        <f ca="1">SUM(H72:H74)</f>
        <v>31.994119456091823</v>
      </c>
      <c r="I75" s="40">
        <f ca="1">SUM(I72:I74)</f>
        <v>43.034573834964469</v>
      </c>
      <c r="J75" s="40">
        <f ca="1">SUM(J72:J74)</f>
        <v>56.92008968531303</v>
      </c>
    </row>
    <row r="76" spans="1:10" x14ac:dyDescent="0.2">
      <c r="B76" s="56" t="s">
        <v>76</v>
      </c>
      <c r="C76" s="56"/>
      <c r="D76" s="56"/>
      <c r="E76" s="56">
        <f>-E75*Prompt!$D$6</f>
        <v>-9</v>
      </c>
      <c r="F76" s="56">
        <f ca="1">-F75*Prompt!$D$6</f>
        <v>-4.7971226971574081</v>
      </c>
      <c r="G76" s="56">
        <f ca="1">-G75*Prompt!$D$6</f>
        <v>-7.1845027051720018</v>
      </c>
      <c r="H76" s="56">
        <f ca="1">-H75*Prompt!$D$6</f>
        <v>-9.5982358368275467</v>
      </c>
      <c r="I76" s="56">
        <f ca="1">-I75*Prompt!$D$6</f>
        <v>-12.910372150489341</v>
      </c>
      <c r="J76" s="56">
        <f ca="1">-J75*Prompt!$D$6</f>
        <v>-17.07602690559391</v>
      </c>
    </row>
    <row r="77" spans="1:10" x14ac:dyDescent="0.2">
      <c r="B77" s="40" t="s">
        <v>77</v>
      </c>
      <c r="E77" s="40">
        <f>SUM(E75:E76)</f>
        <v>21</v>
      </c>
      <c r="F77" s="40">
        <f ca="1">SUM(F75:F76)</f>
        <v>11.193286293367287</v>
      </c>
      <c r="G77" s="40">
        <f t="shared" ref="F77:J77" ca="1" si="12">SUM(G75:G76)</f>
        <v>16.76383964540134</v>
      </c>
      <c r="H77" s="40">
        <f t="shared" ca="1" si="12"/>
        <v>22.395883619264275</v>
      </c>
      <c r="I77" s="40">
        <f ca="1">SUM(I75:I76)</f>
        <v>30.124201684475128</v>
      </c>
      <c r="J77" s="40">
        <f t="shared" ca="1" si="12"/>
        <v>39.844062779719124</v>
      </c>
    </row>
    <row r="79" spans="1:10" x14ac:dyDescent="0.2">
      <c r="A79" s="55" t="s">
        <v>36</v>
      </c>
      <c r="B79" s="58" t="s">
        <v>61</v>
      </c>
      <c r="C79" s="59"/>
      <c r="D79" s="59"/>
      <c r="E79" s="59"/>
      <c r="F79" s="59"/>
      <c r="G79" s="59"/>
      <c r="H79" s="59"/>
      <c r="I79" s="59"/>
      <c r="J79" s="59"/>
    </row>
    <row r="81" spans="2:10" x14ac:dyDescent="0.2">
      <c r="B81" s="39" t="s">
        <v>77</v>
      </c>
      <c r="F81" s="39">
        <f ca="1">F77</f>
        <v>11.193286293367287</v>
      </c>
      <c r="G81" s="39">
        <f t="shared" ref="G81:J81" ca="1" si="13">G77</f>
        <v>16.76383964540134</v>
      </c>
      <c r="H81" s="39">
        <f t="shared" ca="1" si="13"/>
        <v>22.395883619264275</v>
      </c>
      <c r="I81" s="39">
        <f t="shared" ca="1" si="13"/>
        <v>30.124201684475128</v>
      </c>
      <c r="J81" s="39">
        <f t="shared" ca="1" si="13"/>
        <v>39.844062779719124</v>
      </c>
    </row>
    <row r="82" spans="2:10" x14ac:dyDescent="0.2">
      <c r="B82" s="70" t="s">
        <v>90</v>
      </c>
      <c r="F82" s="39">
        <f>-F71</f>
        <v>17.25</v>
      </c>
      <c r="G82" s="39">
        <f t="shared" ref="G82:J82" si="14">-G71</f>
        <v>19.837499999999991</v>
      </c>
      <c r="H82" s="39">
        <f t="shared" si="14"/>
        <v>22.813124999999992</v>
      </c>
      <c r="I82" s="39">
        <f t="shared" si="14"/>
        <v>26.235093749999983</v>
      </c>
      <c r="J82" s="39">
        <f t="shared" si="14"/>
        <v>30.170357812499986</v>
      </c>
    </row>
    <row r="83" spans="2:10" x14ac:dyDescent="0.2">
      <c r="B83" s="70" t="s">
        <v>91</v>
      </c>
      <c r="F83" s="69">
        <f>-F73</f>
        <v>0.5625</v>
      </c>
      <c r="G83" s="69">
        <f t="shared" ref="G83:J83" si="15">-G73</f>
        <v>0.5625</v>
      </c>
      <c r="H83" s="69">
        <f t="shared" si="15"/>
        <v>0.5625</v>
      </c>
      <c r="I83" s="69">
        <f t="shared" si="15"/>
        <v>0.5625</v>
      </c>
      <c r="J83" s="69">
        <f t="shared" si="15"/>
        <v>0.5625</v>
      </c>
    </row>
    <row r="84" spans="2:10" x14ac:dyDescent="0.2">
      <c r="B84" s="70" t="s">
        <v>93</v>
      </c>
      <c r="F84" s="39">
        <f>-F90</f>
        <v>-10.35</v>
      </c>
      <c r="G84" s="39">
        <f t="shared" ref="G84:J84" si="16">-G90</f>
        <v>-11.902499999999998</v>
      </c>
      <c r="H84" s="39">
        <f t="shared" si="16"/>
        <v>-13.687874999999996</v>
      </c>
      <c r="I84" s="39">
        <f t="shared" si="16"/>
        <v>-15.741056249999994</v>
      </c>
      <c r="J84" s="39">
        <f t="shared" si="16"/>
        <v>-18.102214687499995</v>
      </c>
    </row>
    <row r="85" spans="2:10" x14ac:dyDescent="0.2">
      <c r="B85" s="71" t="s">
        <v>94</v>
      </c>
      <c r="C85" s="56"/>
      <c r="D85" s="56"/>
      <c r="E85" s="56"/>
      <c r="F85" s="56">
        <f>-F95</f>
        <v>-2.25</v>
      </c>
      <c r="G85" s="56">
        <f t="shared" ref="G85:J85" si="17">-G95</f>
        <v>-2.5874999999999986</v>
      </c>
      <c r="H85" s="56">
        <f t="shared" si="17"/>
        <v>-2.9756249999999973</v>
      </c>
      <c r="I85" s="56">
        <f t="shared" si="17"/>
        <v>-3.4219687499999978</v>
      </c>
      <c r="J85" s="56">
        <f t="shared" si="17"/>
        <v>-3.9352640624999999</v>
      </c>
    </row>
    <row r="86" spans="2:10" x14ac:dyDescent="0.2">
      <c r="B86" s="72" t="s">
        <v>95</v>
      </c>
      <c r="C86" s="40"/>
      <c r="D86" s="40"/>
      <c r="E86" s="40"/>
      <c r="F86" s="40">
        <f ca="1">SUM(F81:F85)</f>
        <v>16.405786293367285</v>
      </c>
      <c r="G86" s="40">
        <f t="shared" ref="G86:J86" ca="1" si="18">SUM(G81:G85)</f>
        <v>22.673839645401337</v>
      </c>
      <c r="H86" s="40">
        <f t="shared" ca="1" si="18"/>
        <v>29.108008619264272</v>
      </c>
      <c r="I86" s="40">
        <f t="shared" ca="1" si="18"/>
        <v>37.758770434475124</v>
      </c>
      <c r="J86" s="40">
        <f ca="1">SUM(J81:J85)</f>
        <v>48.539441842219119</v>
      </c>
    </row>
    <row r="87" spans="2:10" x14ac:dyDescent="0.2">
      <c r="B87" s="72"/>
      <c r="C87" s="40"/>
      <c r="D87" s="40"/>
      <c r="E87" s="40"/>
      <c r="F87" s="40"/>
      <c r="G87" s="40"/>
      <c r="H87" s="40"/>
      <c r="I87" s="40"/>
      <c r="J87" s="40"/>
    </row>
    <row r="88" spans="2:10" x14ac:dyDescent="0.2">
      <c r="B88" s="75" t="s">
        <v>96</v>
      </c>
      <c r="C88" s="76"/>
      <c r="D88" s="76"/>
      <c r="E88" s="76"/>
      <c r="F88" s="76"/>
      <c r="G88" s="76"/>
      <c r="H88" s="76"/>
      <c r="I88" s="76"/>
      <c r="J88" s="86"/>
    </row>
    <row r="89" spans="2:10" x14ac:dyDescent="0.2">
      <c r="B89" s="79" t="s">
        <v>97</v>
      </c>
      <c r="C89" s="62"/>
      <c r="D89" s="62"/>
      <c r="E89" s="62"/>
      <c r="F89" s="80">
        <f>D23</f>
        <v>0.06</v>
      </c>
      <c r="G89" s="80">
        <f>F89</f>
        <v>0.06</v>
      </c>
      <c r="H89" s="80">
        <f t="shared" ref="H89:J89" si="19">G89</f>
        <v>0.06</v>
      </c>
      <c r="I89" s="80">
        <f t="shared" si="19"/>
        <v>0.06</v>
      </c>
      <c r="J89" s="81">
        <f t="shared" si="19"/>
        <v>0.06</v>
      </c>
    </row>
    <row r="90" spans="2:10" x14ac:dyDescent="0.2">
      <c r="B90" s="83" t="s">
        <v>98</v>
      </c>
      <c r="C90" s="84"/>
      <c r="D90" s="84"/>
      <c r="E90" s="84"/>
      <c r="F90" s="56">
        <f>F89*F68</f>
        <v>10.35</v>
      </c>
      <c r="G90" s="56">
        <f t="shared" ref="G90:J90" si="20">G89*G68</f>
        <v>11.902499999999998</v>
      </c>
      <c r="H90" s="56">
        <f t="shared" si="20"/>
        <v>13.687874999999996</v>
      </c>
      <c r="I90" s="56">
        <f t="shared" si="20"/>
        <v>15.741056249999994</v>
      </c>
      <c r="J90" s="85">
        <f t="shared" si="20"/>
        <v>18.102214687499995</v>
      </c>
    </row>
    <row r="91" spans="2:10" x14ac:dyDescent="0.2">
      <c r="B91" s="70"/>
      <c r="C91" s="40"/>
      <c r="D91" s="40"/>
      <c r="E91" s="40"/>
    </row>
    <row r="92" spans="2:10" x14ac:dyDescent="0.2">
      <c r="B92" s="75" t="s">
        <v>99</v>
      </c>
      <c r="C92" s="76"/>
      <c r="D92" s="76"/>
      <c r="E92" s="76"/>
      <c r="F92" s="77"/>
      <c r="G92" s="77"/>
      <c r="H92" s="77"/>
      <c r="I92" s="77"/>
      <c r="J92" s="78"/>
    </row>
    <row r="93" spans="2:10" x14ac:dyDescent="0.2">
      <c r="B93" s="79" t="s">
        <v>102</v>
      </c>
      <c r="C93" s="62"/>
      <c r="D93" s="62"/>
      <c r="E93" s="80">
        <f>D24</f>
        <v>0.1</v>
      </c>
      <c r="F93" s="80">
        <f>D24</f>
        <v>0.1</v>
      </c>
      <c r="G93" s="80">
        <f>F93</f>
        <v>0.1</v>
      </c>
      <c r="H93" s="80">
        <f t="shared" ref="H93:J93" si="21">G93</f>
        <v>0.1</v>
      </c>
      <c r="I93" s="80">
        <f t="shared" si="21"/>
        <v>0.1</v>
      </c>
      <c r="J93" s="81">
        <f t="shared" si="21"/>
        <v>0.1</v>
      </c>
    </row>
    <row r="94" spans="2:10" x14ac:dyDescent="0.2">
      <c r="B94" s="79" t="s">
        <v>100</v>
      </c>
      <c r="C94" s="62"/>
      <c r="D94" s="62"/>
      <c r="E94" s="61">
        <f>E93*E68</f>
        <v>15</v>
      </c>
      <c r="F94" s="61">
        <f>F93*F68</f>
        <v>17.25</v>
      </c>
      <c r="G94" s="61">
        <f t="shared" ref="G94:J94" si="22">G93*G68</f>
        <v>19.837499999999999</v>
      </c>
      <c r="H94" s="61">
        <f t="shared" si="22"/>
        <v>22.813124999999996</v>
      </c>
      <c r="I94" s="61">
        <f t="shared" si="22"/>
        <v>26.235093749999994</v>
      </c>
      <c r="J94" s="82">
        <f t="shared" si="22"/>
        <v>30.170357812499994</v>
      </c>
    </row>
    <row r="95" spans="2:10" x14ac:dyDescent="0.2">
      <c r="B95" s="83" t="s">
        <v>101</v>
      </c>
      <c r="C95" s="84"/>
      <c r="D95" s="84"/>
      <c r="E95" s="84"/>
      <c r="F95" s="56">
        <f>F94-E94</f>
        <v>2.25</v>
      </c>
      <c r="G95" s="56">
        <f t="shared" ref="G95:J95" si="23">G94-F94</f>
        <v>2.5874999999999986</v>
      </c>
      <c r="H95" s="56">
        <f t="shared" si="23"/>
        <v>2.9756249999999973</v>
      </c>
      <c r="I95" s="56">
        <f t="shared" si="23"/>
        <v>3.4219687499999978</v>
      </c>
      <c r="J95" s="85">
        <f t="shared" si="23"/>
        <v>3.9352640624999999</v>
      </c>
    </row>
    <row r="97" spans="1:10" x14ac:dyDescent="0.2">
      <c r="A97" s="55" t="s">
        <v>36</v>
      </c>
      <c r="B97" s="58" t="s">
        <v>62</v>
      </c>
      <c r="C97" s="59"/>
      <c r="D97" s="59"/>
      <c r="E97" s="59"/>
      <c r="F97" s="59"/>
      <c r="G97" s="59"/>
      <c r="H97" s="59"/>
      <c r="I97" s="59"/>
      <c r="J97" s="59"/>
    </row>
    <row r="99" spans="1:10" x14ac:dyDescent="0.2">
      <c r="B99" s="87" t="s">
        <v>103</v>
      </c>
    </row>
    <row r="100" spans="1:10" x14ac:dyDescent="0.2">
      <c r="B100" s="39" t="s">
        <v>105</v>
      </c>
      <c r="F100" s="39">
        <f>D8</f>
        <v>5</v>
      </c>
      <c r="G100" s="39">
        <f ca="1">F111</f>
        <v>5</v>
      </c>
      <c r="H100" s="39">
        <f t="shared" ref="H100:J100" ca="1" si="24">G111</f>
        <v>5</v>
      </c>
      <c r="I100" s="39">
        <f t="shared" ca="1" si="24"/>
        <v>5</v>
      </c>
      <c r="J100" s="39">
        <f t="shared" ca="1" si="24"/>
        <v>5</v>
      </c>
    </row>
    <row r="101" spans="1:10" x14ac:dyDescent="0.2">
      <c r="B101" s="70" t="s">
        <v>106</v>
      </c>
      <c r="F101" s="39">
        <f ca="1">F86</f>
        <v>16.405786293367285</v>
      </c>
      <c r="G101" s="39">
        <f ca="1">G86</f>
        <v>22.673839645401337</v>
      </c>
      <c r="H101" s="39">
        <f ca="1">H86</f>
        <v>29.108008619264272</v>
      </c>
      <c r="I101" s="39">
        <f ca="1">I86</f>
        <v>37.758770434475124</v>
      </c>
      <c r="J101" s="39">
        <f ca="1">J86</f>
        <v>48.539441842219119</v>
      </c>
    </row>
    <row r="102" spans="1:10" x14ac:dyDescent="0.2">
      <c r="B102" s="71" t="s">
        <v>104</v>
      </c>
      <c r="C102" s="56"/>
      <c r="D102" s="56"/>
      <c r="E102" s="56"/>
      <c r="F102" s="56">
        <f>-$D$8</f>
        <v>-5</v>
      </c>
      <c r="G102" s="56">
        <f t="shared" ref="G102:J102" si="25">-$D$8</f>
        <v>-5</v>
      </c>
      <c r="H102" s="56">
        <f t="shared" si="25"/>
        <v>-5</v>
      </c>
      <c r="I102" s="56">
        <f t="shared" si="25"/>
        <v>-5</v>
      </c>
      <c r="J102" s="56">
        <f t="shared" si="25"/>
        <v>-5</v>
      </c>
    </row>
    <row r="103" spans="1:10" x14ac:dyDescent="0.2">
      <c r="B103" s="72" t="s">
        <v>107</v>
      </c>
      <c r="F103" s="40">
        <f ca="1">SUM(F100:F102)</f>
        <v>16.405786293367285</v>
      </c>
      <c r="G103" s="40">
        <f t="shared" ref="G103:J103" ca="1" si="26">SUM(G100:G102)</f>
        <v>22.673839645401337</v>
      </c>
      <c r="H103" s="40">
        <f t="shared" ca="1" si="26"/>
        <v>29.108008619264268</v>
      </c>
      <c r="I103" s="40">
        <f t="shared" ca="1" si="26"/>
        <v>37.758770434475124</v>
      </c>
      <c r="J103" s="40">
        <f t="shared" ca="1" si="26"/>
        <v>48.539441842219119</v>
      </c>
    </row>
    <row r="104" spans="1:10" x14ac:dyDescent="0.2">
      <c r="B104" s="71" t="s">
        <v>108</v>
      </c>
      <c r="C104" s="56"/>
      <c r="D104" s="56"/>
      <c r="E104" s="56"/>
      <c r="F104" s="56">
        <f>F127+F136</f>
        <v>-7.65</v>
      </c>
      <c r="G104" s="56">
        <f t="shared" ref="G104:J104" ca="1" si="27">G127+G136</f>
        <v>-7.65</v>
      </c>
      <c r="H104" s="56">
        <f t="shared" ca="1" si="27"/>
        <v>-7.65</v>
      </c>
      <c r="I104" s="56">
        <f t="shared" ca="1" si="27"/>
        <v>-7.65</v>
      </c>
      <c r="J104" s="56">
        <f t="shared" ca="1" si="27"/>
        <v>-7.65</v>
      </c>
    </row>
    <row r="105" spans="1:10" x14ac:dyDescent="0.2">
      <c r="B105" s="72" t="s">
        <v>109</v>
      </c>
      <c r="F105" s="40">
        <f ca="1">SUM(F103:F104)</f>
        <v>8.7557862933672848</v>
      </c>
      <c r="G105" s="40">
        <f t="shared" ref="F105:J105" ca="1" si="28">SUM(G103:G104)</f>
        <v>15.023839645401337</v>
      </c>
      <c r="H105" s="40">
        <f t="shared" ca="1" si="28"/>
        <v>21.45800861926427</v>
      </c>
      <c r="I105" s="40">
        <f t="shared" ca="1" si="28"/>
        <v>30.108770434475126</v>
      </c>
      <c r="J105" s="40">
        <f t="shared" ca="1" si="28"/>
        <v>40.889441842219121</v>
      </c>
    </row>
    <row r="106" spans="1:10" x14ac:dyDescent="0.2">
      <c r="B106" s="71" t="s">
        <v>110</v>
      </c>
      <c r="C106" s="56"/>
      <c r="D106" s="56"/>
      <c r="E106" s="56"/>
      <c r="F106" s="56">
        <f ca="1">F115</f>
        <v>0</v>
      </c>
      <c r="G106" s="56">
        <f t="shared" ref="G106:J106" ca="1" si="29">G115</f>
        <v>0</v>
      </c>
      <c r="H106" s="56">
        <f t="shared" ca="1" si="29"/>
        <v>0</v>
      </c>
      <c r="I106" s="56">
        <f t="shared" ca="1" si="29"/>
        <v>0</v>
      </c>
      <c r="J106" s="56">
        <f t="shared" ca="1" si="29"/>
        <v>0</v>
      </c>
    </row>
    <row r="107" spans="1:10" x14ac:dyDescent="0.2">
      <c r="B107" s="72" t="s">
        <v>111</v>
      </c>
      <c r="F107" s="40">
        <f ca="1">SUM(F105:F106)</f>
        <v>8.7557862933672848</v>
      </c>
      <c r="G107" s="40">
        <f t="shared" ref="G107:J107" ca="1" si="30">SUM(G105:G106)</f>
        <v>15.023839645401337</v>
      </c>
      <c r="H107" s="40">
        <f t="shared" ca="1" si="30"/>
        <v>21.45800861926427</v>
      </c>
      <c r="I107" s="40">
        <f t="shared" ca="1" si="30"/>
        <v>30.108770434475126</v>
      </c>
      <c r="J107" s="40">
        <f t="shared" ca="1" si="30"/>
        <v>40.889441842219121</v>
      </c>
    </row>
    <row r="108" spans="1:10" x14ac:dyDescent="0.2">
      <c r="B108" s="71" t="s">
        <v>112</v>
      </c>
      <c r="C108" s="56"/>
      <c r="D108" s="56"/>
      <c r="E108" s="56"/>
      <c r="F108" s="56">
        <f ca="1">F128+F137</f>
        <v>-8.7557862933672848</v>
      </c>
      <c r="G108" s="56">
        <f t="shared" ref="G108:I108" ca="1" si="31">G128+G137</f>
        <v>-15.023839645401337</v>
      </c>
      <c r="H108" s="56">
        <f t="shared" ca="1" si="31"/>
        <v>-21.45800861926427</v>
      </c>
      <c r="I108" s="56">
        <f t="shared" ca="1" si="31"/>
        <v>-30.108770434475126</v>
      </c>
      <c r="J108" s="56">
        <f ca="1">J128+J137</f>
        <v>-40.889441842219121</v>
      </c>
    </row>
    <row r="109" spans="1:10" x14ac:dyDescent="0.2">
      <c r="B109" s="72" t="s">
        <v>113</v>
      </c>
      <c r="F109" s="40">
        <f ca="1">SUM(F107:F108)</f>
        <v>0</v>
      </c>
      <c r="G109" s="40">
        <f t="shared" ref="G109" ca="1" si="32">SUM(G107:G108)</f>
        <v>0</v>
      </c>
      <c r="H109" s="40">
        <f t="shared" ref="H109" ca="1" si="33">SUM(H107:H108)</f>
        <v>0</v>
      </c>
      <c r="I109" s="40">
        <f t="shared" ref="I109" ca="1" si="34">SUM(I107:I108)</f>
        <v>0</v>
      </c>
      <c r="J109" s="40">
        <f ca="1">SUM(J107:J108)</f>
        <v>0</v>
      </c>
    </row>
    <row r="110" spans="1:10" x14ac:dyDescent="0.2">
      <c r="B110" s="40"/>
    </row>
    <row r="111" spans="1:10" x14ac:dyDescent="0.2">
      <c r="B111" s="88" t="s">
        <v>114</v>
      </c>
      <c r="C111" s="89"/>
      <c r="D111" s="89"/>
      <c r="E111" s="89"/>
      <c r="F111" s="90">
        <f ca="1">F109-F102</f>
        <v>5</v>
      </c>
      <c r="G111" s="90">
        <f ca="1">G109-G102</f>
        <v>5</v>
      </c>
      <c r="H111" s="90">
        <f ca="1">H109-H102</f>
        <v>5</v>
      </c>
      <c r="I111" s="90">
        <f ca="1">I109-I102</f>
        <v>5</v>
      </c>
      <c r="J111" s="91">
        <f ca="1">J109-J102</f>
        <v>5</v>
      </c>
    </row>
    <row r="112" spans="1:10" x14ac:dyDescent="0.2">
      <c r="B112" s="40"/>
    </row>
    <row r="113" spans="2:11" x14ac:dyDescent="0.2">
      <c r="B113" s="40" t="s">
        <v>50</v>
      </c>
    </row>
    <row r="114" spans="2:11" x14ac:dyDescent="0.2">
      <c r="B114" s="39" t="s">
        <v>115</v>
      </c>
      <c r="F114" s="39">
        <v>0</v>
      </c>
      <c r="G114" s="39">
        <f ca="1">F116</f>
        <v>0</v>
      </c>
      <c r="H114" s="39">
        <f t="shared" ref="H114:J114" ca="1" si="35">G116</f>
        <v>0</v>
      </c>
      <c r="I114" s="39">
        <f t="shared" ca="1" si="35"/>
        <v>0</v>
      </c>
      <c r="J114" s="39">
        <f t="shared" ca="1" si="35"/>
        <v>0</v>
      </c>
    </row>
    <row r="115" spans="2:11" x14ac:dyDescent="0.2">
      <c r="B115" s="71" t="s">
        <v>116</v>
      </c>
      <c r="C115" s="56"/>
      <c r="D115" s="56"/>
      <c r="E115" s="56"/>
      <c r="F115" s="56">
        <f ca="1">MIN(F119,-MIN(F114,F105))</f>
        <v>0</v>
      </c>
      <c r="G115" s="56">
        <f t="shared" ref="G115:J115" ca="1" si="36">MIN(G119,-MIN(G114,G105))</f>
        <v>0</v>
      </c>
      <c r="H115" s="56">
        <f t="shared" ca="1" si="36"/>
        <v>0</v>
      </c>
      <c r="I115" s="56">
        <f t="shared" ca="1" si="36"/>
        <v>0</v>
      </c>
      <c r="J115" s="56">
        <f t="shared" ca="1" si="36"/>
        <v>0</v>
      </c>
    </row>
    <row r="116" spans="2:11" x14ac:dyDescent="0.2">
      <c r="B116" s="72" t="s">
        <v>117</v>
      </c>
      <c r="F116" s="40">
        <f ca="1">SUM(F114:F115)</f>
        <v>0</v>
      </c>
      <c r="G116" s="40">
        <f t="shared" ref="G116:J116" ca="1" si="37">SUM(G114:G115)</f>
        <v>0</v>
      </c>
      <c r="H116" s="40">
        <f t="shared" ca="1" si="37"/>
        <v>0</v>
      </c>
      <c r="I116" s="40">
        <f t="shared" ca="1" si="37"/>
        <v>0</v>
      </c>
      <c r="J116" s="40">
        <f t="shared" ca="1" si="37"/>
        <v>0</v>
      </c>
    </row>
    <row r="117" spans="2:11" x14ac:dyDescent="0.2">
      <c r="B117" s="40"/>
    </row>
    <row r="118" spans="2:11" x14ac:dyDescent="0.2">
      <c r="B118" s="39" t="s">
        <v>118</v>
      </c>
      <c r="F118" s="39">
        <f>$J$31</f>
        <v>40</v>
      </c>
      <c r="G118" s="39">
        <f t="shared" ref="G118:J118" si="38">$J$31</f>
        <v>40</v>
      </c>
      <c r="H118" s="39">
        <f t="shared" si="38"/>
        <v>40</v>
      </c>
      <c r="I118" s="39">
        <f t="shared" si="38"/>
        <v>40</v>
      </c>
      <c r="J118" s="39">
        <f t="shared" si="38"/>
        <v>40</v>
      </c>
    </row>
    <row r="119" spans="2:11" x14ac:dyDescent="0.2">
      <c r="B119" s="39" t="s">
        <v>119</v>
      </c>
      <c r="F119" s="39">
        <f>F118-F114</f>
        <v>40</v>
      </c>
      <c r="G119" s="39">
        <f t="shared" ref="G119:J119" ca="1" si="39">G118-G114</f>
        <v>40</v>
      </c>
      <c r="H119" s="39">
        <f t="shared" ca="1" si="39"/>
        <v>40</v>
      </c>
      <c r="I119" s="39">
        <f t="shared" ca="1" si="39"/>
        <v>40</v>
      </c>
      <c r="J119" s="39">
        <f t="shared" ca="1" si="39"/>
        <v>40</v>
      </c>
    </row>
    <row r="120" spans="2:11" x14ac:dyDescent="0.2">
      <c r="B120" s="39" t="s">
        <v>120</v>
      </c>
      <c r="F120" s="39">
        <f ca="1">F119-F116</f>
        <v>40</v>
      </c>
      <c r="G120" s="39">
        <f t="shared" ref="G120:J120" ca="1" si="40">G119-G116</f>
        <v>40</v>
      </c>
      <c r="H120" s="39">
        <f t="shared" ca="1" si="40"/>
        <v>40</v>
      </c>
      <c r="I120" s="39">
        <f t="shared" ca="1" si="40"/>
        <v>40</v>
      </c>
      <c r="J120" s="39">
        <f t="shared" ca="1" si="40"/>
        <v>40</v>
      </c>
    </row>
    <row r="122" spans="2:11" x14ac:dyDescent="0.2">
      <c r="B122" s="103" t="s">
        <v>123</v>
      </c>
      <c r="C122" s="77"/>
      <c r="D122" s="77"/>
      <c r="E122" s="77"/>
      <c r="F122" s="104">
        <f>$G$31+F44</f>
        <v>3.5000000000000003E-2</v>
      </c>
      <c r="G122" s="104">
        <f t="shared" ref="G122:J122" si="41">$G$31+G44</f>
        <v>3.5000000000000003E-2</v>
      </c>
      <c r="H122" s="104">
        <f t="shared" si="41"/>
        <v>3.7499999999999999E-2</v>
      </c>
      <c r="I122" s="104">
        <f t="shared" si="41"/>
        <v>3.9999999999999994E-2</v>
      </c>
      <c r="J122" s="105">
        <f t="shared" si="41"/>
        <v>4.2499999999999996E-2</v>
      </c>
    </row>
    <row r="123" spans="2:11" x14ac:dyDescent="0.2">
      <c r="B123" s="106" t="s">
        <v>124</v>
      </c>
      <c r="C123" s="56"/>
      <c r="D123" s="56"/>
      <c r="E123" s="56"/>
      <c r="F123" s="56">
        <f ca="1">IF(CIRC="OFF",F122*AVERAGE(F114,F116),0)</f>
        <v>0</v>
      </c>
      <c r="G123" s="56">
        <f ca="1">IF(CIRC="OFF",G122*AVERAGE(G114,G116),0)</f>
        <v>0</v>
      </c>
      <c r="H123" s="56">
        <f ca="1">IF(CIRC="OFF",H122*AVERAGE(H114,H116),0)</f>
        <v>0</v>
      </c>
      <c r="I123" s="56">
        <f ca="1">IF(CIRC="OFF",I122*AVERAGE(I114,I116),0)</f>
        <v>0</v>
      </c>
      <c r="J123" s="56">
        <f ca="1">IF(CIRC="OFF",J122*AVERAGE(J114,J116),0)</f>
        <v>0</v>
      </c>
      <c r="K123" s="108"/>
    </row>
    <row r="125" spans="2:11" x14ac:dyDescent="0.2">
      <c r="B125" s="87" t="s">
        <v>44</v>
      </c>
    </row>
    <row r="126" spans="2:11" x14ac:dyDescent="0.2">
      <c r="B126" s="39" t="s">
        <v>115</v>
      </c>
      <c r="F126" s="92">
        <f>F32</f>
        <v>135</v>
      </c>
      <c r="G126" s="39">
        <f ca="1">F129</f>
        <v>119.49421370663272</v>
      </c>
      <c r="H126" s="39">
        <f t="shared" ref="H126:J126" ca="1" si="42">G129</f>
        <v>97.720374061231382</v>
      </c>
      <c r="I126" s="39">
        <f t="shared" ca="1" si="42"/>
        <v>69.51236544196712</v>
      </c>
      <c r="J126" s="39">
        <f t="shared" ca="1" si="42"/>
        <v>32.653595007491994</v>
      </c>
    </row>
    <row r="127" spans="2:11" x14ac:dyDescent="0.2">
      <c r="B127" s="70" t="s">
        <v>121</v>
      </c>
      <c r="F127" s="39">
        <f>-MIN($I$32,F126)</f>
        <v>-6.75</v>
      </c>
      <c r="G127" s="39">
        <f t="shared" ref="G127:J127" ca="1" si="43">-MIN($I$32,G126)</f>
        <v>-6.75</v>
      </c>
      <c r="H127" s="39">
        <f t="shared" ca="1" si="43"/>
        <v>-6.75</v>
      </c>
      <c r="I127" s="39">
        <f t="shared" ca="1" si="43"/>
        <v>-6.75</v>
      </c>
      <c r="J127" s="39">
        <f t="shared" ca="1" si="43"/>
        <v>-6.75</v>
      </c>
    </row>
    <row r="128" spans="2:11" x14ac:dyDescent="0.2">
      <c r="B128" s="71" t="s">
        <v>112</v>
      </c>
      <c r="C128" s="56"/>
      <c r="D128" s="56"/>
      <c r="E128" s="56"/>
      <c r="F128" s="56">
        <f ca="1">-MIN(SUM(F126:F127),F107)</f>
        <v>-8.7557862933672848</v>
      </c>
      <c r="G128" s="56">
        <f t="shared" ref="G128:J128" ca="1" si="44">-MIN(SUM(G126:G127),G107)</f>
        <v>-15.023839645401337</v>
      </c>
      <c r="H128" s="56">
        <f t="shared" ca="1" si="44"/>
        <v>-21.45800861926427</v>
      </c>
      <c r="I128" s="56">
        <f t="shared" ca="1" si="44"/>
        <v>-30.108770434475126</v>
      </c>
      <c r="J128" s="56">
        <f t="shared" ca="1" si="44"/>
        <v>-25.903595007491994</v>
      </c>
    </row>
    <row r="129" spans="2:11" x14ac:dyDescent="0.2">
      <c r="B129" s="70" t="s">
        <v>117</v>
      </c>
      <c r="F129" s="40">
        <f ca="1">SUM(F126:F128)</f>
        <v>119.49421370663272</v>
      </c>
      <c r="G129" s="40">
        <f t="shared" ref="G129:J129" ca="1" si="45">SUM(G126:G128)</f>
        <v>97.720374061231382</v>
      </c>
      <c r="H129" s="40">
        <f t="shared" ca="1" si="45"/>
        <v>69.51236544196712</v>
      </c>
      <c r="I129" s="40">
        <f t="shared" ca="1" si="45"/>
        <v>32.653595007491994</v>
      </c>
      <c r="J129" s="40">
        <f t="shared" ca="1" si="45"/>
        <v>0</v>
      </c>
    </row>
    <row r="130" spans="2:11" x14ac:dyDescent="0.2">
      <c r="B130" s="70"/>
      <c r="F130" s="40"/>
      <c r="G130" s="40"/>
      <c r="H130" s="40"/>
      <c r="I130" s="40"/>
      <c r="J130" s="40"/>
    </row>
    <row r="131" spans="2:11" x14ac:dyDescent="0.2">
      <c r="B131" s="103" t="s">
        <v>123</v>
      </c>
      <c r="C131" s="77"/>
      <c r="D131" s="77"/>
      <c r="E131" s="77"/>
      <c r="F131" s="104">
        <f>$G$32+F44</f>
        <v>3.5000000000000003E-2</v>
      </c>
      <c r="G131" s="104">
        <f t="shared" ref="G131:J131" si="46">$G$32+G44</f>
        <v>3.5000000000000003E-2</v>
      </c>
      <c r="H131" s="104">
        <f t="shared" si="46"/>
        <v>3.7499999999999999E-2</v>
      </c>
      <c r="I131" s="104">
        <f t="shared" si="46"/>
        <v>3.9999999999999994E-2</v>
      </c>
      <c r="J131" s="104">
        <f t="shared" si="46"/>
        <v>4.2499999999999996E-2</v>
      </c>
      <c r="K131" s="108"/>
    </row>
    <row r="132" spans="2:11" x14ac:dyDescent="0.2">
      <c r="B132" s="106" t="s">
        <v>124</v>
      </c>
      <c r="C132" s="56"/>
      <c r="D132" s="56"/>
      <c r="E132" s="56"/>
      <c r="F132" s="107">
        <f ca="1">IF(CIRC="OFF",F131*AVERAGE(F126,F129),0)</f>
        <v>4.4536487398660727</v>
      </c>
      <c r="G132" s="107">
        <f ca="1">IF(CIRC="OFF",G131*AVERAGE(G126,G129),0)</f>
        <v>3.8012552859376219</v>
      </c>
      <c r="H132" s="107">
        <f ca="1">IF(CIRC="OFF",H131*AVERAGE(H126,H129),0)</f>
        <v>3.1356138656849719</v>
      </c>
      <c r="I132" s="107">
        <f ca="1">IF(CIRC="OFF",I131*AVERAGE(I126,I129),0)</f>
        <v>2.0433192089891818</v>
      </c>
      <c r="J132" s="107">
        <f ca="1">IF(CIRC="OFF",J131*AVERAGE(J126,J129),0)</f>
        <v>0.69388889390920483</v>
      </c>
      <c r="K132" s="108"/>
    </row>
    <row r="133" spans="2:11" x14ac:dyDescent="0.2">
      <c r="B133" s="70"/>
      <c r="F133" s="40"/>
      <c r="G133" s="40"/>
      <c r="H133" s="40"/>
      <c r="I133" s="40"/>
      <c r="J133" s="40"/>
    </row>
    <row r="134" spans="2:11" x14ac:dyDescent="0.2">
      <c r="B134" s="87" t="s">
        <v>122</v>
      </c>
      <c r="F134" s="40"/>
      <c r="G134" s="40"/>
      <c r="H134" s="40"/>
      <c r="I134" s="40"/>
      <c r="J134" s="40"/>
    </row>
    <row r="135" spans="2:11" x14ac:dyDescent="0.2">
      <c r="B135" s="39" t="s">
        <v>115</v>
      </c>
      <c r="F135" s="92">
        <f>F33</f>
        <v>90</v>
      </c>
      <c r="G135" s="40">
        <f ca="1">F138</f>
        <v>89.1</v>
      </c>
      <c r="H135" s="40">
        <f t="shared" ref="H135:J135" ca="1" si="47">G138</f>
        <v>88.199999999999989</v>
      </c>
      <c r="I135" s="40">
        <f t="shared" ca="1" si="47"/>
        <v>87.299999999999983</v>
      </c>
      <c r="J135" s="40">
        <f t="shared" ca="1" si="47"/>
        <v>86.399999999999977</v>
      </c>
    </row>
    <row r="136" spans="2:11" x14ac:dyDescent="0.2">
      <c r="B136" s="70" t="s">
        <v>121</v>
      </c>
      <c r="F136" s="39">
        <f>-MIN($I$33,F135)</f>
        <v>-0.9</v>
      </c>
      <c r="G136" s="39">
        <f t="shared" ref="G136:J136" ca="1" si="48">-MIN($I$33,G135)</f>
        <v>-0.9</v>
      </c>
      <c r="H136" s="39">
        <f t="shared" ca="1" si="48"/>
        <v>-0.9</v>
      </c>
      <c r="I136" s="39">
        <f t="shared" ca="1" si="48"/>
        <v>-0.9</v>
      </c>
      <c r="J136" s="39">
        <f t="shared" ca="1" si="48"/>
        <v>-0.9</v>
      </c>
    </row>
    <row r="137" spans="2:11" x14ac:dyDescent="0.2">
      <c r="B137" s="71" t="s">
        <v>112</v>
      </c>
      <c r="C137" s="56"/>
      <c r="D137" s="56"/>
      <c r="E137" s="56"/>
      <c r="F137" s="56">
        <f ca="1">-MIN(SUM(F135:F136),F107+F128)</f>
        <v>0</v>
      </c>
      <c r="G137" s="56">
        <f t="shared" ref="G137:J137" ca="1" si="49">-MIN(SUM(G135:G136),G107+G128)</f>
        <v>0</v>
      </c>
      <c r="H137" s="56">
        <f t="shared" ca="1" si="49"/>
        <v>0</v>
      </c>
      <c r="I137" s="56">
        <f t="shared" ca="1" si="49"/>
        <v>0</v>
      </c>
      <c r="J137" s="56">
        <f t="shared" ca="1" si="49"/>
        <v>-14.985846834727127</v>
      </c>
    </row>
    <row r="138" spans="2:11" x14ac:dyDescent="0.2">
      <c r="B138" s="70" t="s">
        <v>117</v>
      </c>
      <c r="F138" s="40">
        <f ca="1">SUM(F135:F137)</f>
        <v>89.1</v>
      </c>
      <c r="G138" s="40">
        <f t="shared" ref="G138:J138" ca="1" si="50">SUM(G135:G137)</f>
        <v>88.199999999999989</v>
      </c>
      <c r="H138" s="40">
        <f t="shared" ca="1" si="50"/>
        <v>87.299999999999983</v>
      </c>
      <c r="I138" s="40">
        <f t="shared" ca="1" si="50"/>
        <v>86.399999999999977</v>
      </c>
      <c r="J138" s="40">
        <f t="shared" ca="1" si="50"/>
        <v>70.514153165272845</v>
      </c>
    </row>
    <row r="140" spans="2:11" x14ac:dyDescent="0.2">
      <c r="B140" s="103" t="s">
        <v>123</v>
      </c>
      <c r="C140" s="77"/>
      <c r="D140" s="77"/>
      <c r="E140" s="77"/>
      <c r="F140" s="104">
        <f>$G$33+F44</f>
        <v>4.4999999999999998E-2</v>
      </c>
      <c r="G140" s="104">
        <f t="shared" ref="G140:J140" si="51">$G$33+G44</f>
        <v>4.4999999999999998E-2</v>
      </c>
      <c r="H140" s="104">
        <f t="shared" si="51"/>
        <v>4.7500000000000001E-2</v>
      </c>
      <c r="I140" s="104">
        <f t="shared" si="51"/>
        <v>4.9999999999999996E-2</v>
      </c>
      <c r="J140" s="104">
        <f t="shared" si="51"/>
        <v>5.2499999999999991E-2</v>
      </c>
      <c r="K140" s="108"/>
    </row>
    <row r="141" spans="2:11" x14ac:dyDescent="0.2">
      <c r="B141" s="106" t="s">
        <v>124</v>
      </c>
      <c r="C141" s="56"/>
      <c r="D141" s="56"/>
      <c r="E141" s="56"/>
      <c r="F141" s="107">
        <f ca="1">IF(CIRC="OFF",F140*AVERAGE(F135,F138),0)</f>
        <v>4.0297499999999999</v>
      </c>
      <c r="G141" s="107">
        <f ca="1">IF(CIRC="OFF",G140*AVERAGE(G135,G138),0)</f>
        <v>3.9892499999999993</v>
      </c>
      <c r="H141" s="107">
        <f ca="1">IF(CIRC="OFF",H140*AVERAGE(H135,H138),0)</f>
        <v>4.168124999999999</v>
      </c>
      <c r="I141" s="107">
        <f ca="1">IF(CIRC="OFF",I140*AVERAGE(I135,I138),0)</f>
        <v>4.3424999999999985</v>
      </c>
      <c r="J141" s="107">
        <f ca="1">IF(CIRC="OFF",J140*AVERAGE(J135,J138),0)</f>
        <v>4.1189965205884107</v>
      </c>
      <c r="K141" s="108"/>
    </row>
    <row r="143" spans="2:11" x14ac:dyDescent="0.2">
      <c r="B143" s="88" t="s">
        <v>130</v>
      </c>
      <c r="C143" s="89"/>
      <c r="D143" s="89"/>
      <c r="E143" s="89"/>
      <c r="F143" s="90">
        <f ca="1">F141*F132+F123</f>
        <v>17.947091009475304</v>
      </c>
      <c r="G143" s="90">
        <f t="shared" ref="G143:J143" ca="1" si="52">G141*G132+G123</f>
        <v>15.164157649426656</v>
      </c>
      <c r="H143" s="90">
        <f t="shared" ca="1" si="52"/>
        <v>13.06963054390817</v>
      </c>
      <c r="I143" s="90">
        <f t="shared" ca="1" si="52"/>
        <v>8.8731136650355182</v>
      </c>
      <c r="J143" s="91">
        <f t="shared" ca="1" si="52"/>
        <v>2.8581259396869556</v>
      </c>
    </row>
    <row r="145" spans="1:10" x14ac:dyDescent="0.2">
      <c r="A145" s="55" t="s">
        <v>36</v>
      </c>
      <c r="B145" s="58" t="s">
        <v>41</v>
      </c>
      <c r="C145" s="59"/>
      <c r="D145" s="59"/>
      <c r="E145" s="59"/>
      <c r="F145" s="59"/>
      <c r="G145" s="59"/>
      <c r="H145" s="59"/>
      <c r="I145" s="59"/>
      <c r="J145" s="59"/>
    </row>
    <row r="146" spans="1:10" x14ac:dyDescent="0.2">
      <c r="F146" s="111">
        <v>1</v>
      </c>
      <c r="G146" s="111">
        <f>+F146+1</f>
        <v>2</v>
      </c>
      <c r="H146" s="111">
        <f t="shared" ref="H146:J146" si="53">+G146+1</f>
        <v>3</v>
      </c>
      <c r="I146" s="111">
        <f t="shared" si="53"/>
        <v>4</v>
      </c>
      <c r="J146" s="111">
        <f t="shared" si="53"/>
        <v>5</v>
      </c>
    </row>
    <row r="147" spans="1:10" x14ac:dyDescent="0.2">
      <c r="B147" s="39" t="s">
        <v>71</v>
      </c>
      <c r="F147" s="39">
        <f>F70</f>
        <v>51.75</v>
      </c>
      <c r="G147" s="39">
        <f t="shared" ref="G147:J147" si="54">G70</f>
        <v>59.512499999999989</v>
      </c>
      <c r="H147" s="39">
        <f t="shared" si="54"/>
        <v>68.439374999999984</v>
      </c>
      <c r="I147" s="39">
        <f t="shared" si="54"/>
        <v>78.70528124999997</v>
      </c>
      <c r="J147" s="39">
        <f t="shared" si="54"/>
        <v>90.511073437499974</v>
      </c>
    </row>
    <row r="148" spans="1:10" x14ac:dyDescent="0.2">
      <c r="B148" s="56" t="s">
        <v>43</v>
      </c>
      <c r="C148" s="56"/>
      <c r="D148" s="56"/>
      <c r="E148" s="56"/>
      <c r="F148" s="110">
        <f>$D$9</f>
        <v>9</v>
      </c>
      <c r="G148" s="110">
        <f>F148</f>
        <v>9</v>
      </c>
      <c r="H148" s="110">
        <f t="shared" ref="H148:J148" si="55">G148</f>
        <v>9</v>
      </c>
      <c r="I148" s="110">
        <f t="shared" si="55"/>
        <v>9</v>
      </c>
      <c r="J148" s="110">
        <f t="shared" si="55"/>
        <v>9</v>
      </c>
    </row>
    <row r="149" spans="1:10" x14ac:dyDescent="0.2">
      <c r="B149" s="40" t="s">
        <v>52</v>
      </c>
      <c r="C149" s="40"/>
      <c r="D149" s="40"/>
      <c r="E149" s="40"/>
      <c r="F149" s="40">
        <f>PRODUCT(F147:F148)</f>
        <v>465.75</v>
      </c>
      <c r="G149" s="40">
        <f t="shared" ref="G149:J149" si="56">PRODUCT(G147:G148)</f>
        <v>535.61249999999995</v>
      </c>
      <c r="H149" s="40">
        <f t="shared" si="56"/>
        <v>615.9543749999998</v>
      </c>
      <c r="I149" s="40">
        <f t="shared" si="56"/>
        <v>708.34753124999975</v>
      </c>
      <c r="J149" s="40">
        <f t="shared" si="56"/>
        <v>814.59966093749972</v>
      </c>
    </row>
    <row r="150" spans="1:10" x14ac:dyDescent="0.2">
      <c r="B150" s="39" t="s">
        <v>53</v>
      </c>
      <c r="F150" s="39">
        <f ca="1">F111</f>
        <v>5</v>
      </c>
      <c r="G150" s="39">
        <f t="shared" ref="G150:J150" ca="1" si="57">G111</f>
        <v>5</v>
      </c>
      <c r="H150" s="39">
        <f t="shared" ca="1" si="57"/>
        <v>5</v>
      </c>
      <c r="I150" s="39">
        <f t="shared" ca="1" si="57"/>
        <v>5</v>
      </c>
      <c r="J150" s="39">
        <f t="shared" ca="1" si="57"/>
        <v>5</v>
      </c>
    </row>
    <row r="151" spans="1:10" x14ac:dyDescent="0.2">
      <c r="B151" s="56" t="s">
        <v>54</v>
      </c>
      <c r="C151" s="56"/>
      <c r="D151" s="56"/>
      <c r="E151" s="56"/>
      <c r="F151" s="56">
        <f ca="1">-(F138+F129+F116)</f>
        <v>-208.59421370663273</v>
      </c>
      <c r="G151" s="56">
        <f t="shared" ref="G151:J151" ca="1" si="58">-(G138+G129+G116)</f>
        <v>-185.92037406123137</v>
      </c>
      <c r="H151" s="56">
        <f t="shared" ca="1" si="58"/>
        <v>-156.8123654419671</v>
      </c>
      <c r="I151" s="56">
        <f t="shared" ca="1" si="58"/>
        <v>-119.05359500749196</v>
      </c>
      <c r="J151" s="56">
        <f t="shared" ca="1" si="58"/>
        <v>-70.514153165272845</v>
      </c>
    </row>
    <row r="152" spans="1:10" x14ac:dyDescent="0.2">
      <c r="B152" s="40" t="s">
        <v>131</v>
      </c>
      <c r="F152" s="40">
        <f ca="1">SUM(F149:F151)</f>
        <v>262.15578629336727</v>
      </c>
      <c r="G152" s="40">
        <f t="shared" ref="G152:J152" ca="1" si="59">SUM(G149:G151)</f>
        <v>354.69212593876858</v>
      </c>
      <c r="H152" s="40">
        <f t="shared" ca="1" si="59"/>
        <v>464.14200955803267</v>
      </c>
      <c r="I152" s="40">
        <f t="shared" ca="1" si="59"/>
        <v>594.29393624250781</v>
      </c>
      <c r="J152" s="40">
        <f t="shared" ca="1" si="59"/>
        <v>749.08550777222683</v>
      </c>
    </row>
    <row r="153" spans="1:10" x14ac:dyDescent="0.2">
      <c r="B153" s="39" t="s">
        <v>133</v>
      </c>
      <c r="E153" s="92">
        <f>D62</f>
        <v>244.5</v>
      </c>
      <c r="F153" s="40"/>
      <c r="G153" s="40"/>
      <c r="H153" s="40"/>
      <c r="I153" s="40"/>
      <c r="J153" s="40"/>
    </row>
    <row r="155" spans="1:10" x14ac:dyDescent="0.2">
      <c r="B155" s="39" t="s">
        <v>132</v>
      </c>
      <c r="F155" s="39">
        <f ca="1">F152-E153</f>
        <v>17.655786293367271</v>
      </c>
      <c r="G155" s="39">
        <f t="shared" ref="G155:J155" ca="1" si="60">G152-F153</f>
        <v>354.69212593876858</v>
      </c>
      <c r="H155" s="39">
        <f t="shared" ca="1" si="60"/>
        <v>464.14200955803267</v>
      </c>
      <c r="I155" s="39">
        <f t="shared" ca="1" si="60"/>
        <v>594.29393624250781</v>
      </c>
      <c r="J155" s="39">
        <f t="shared" ca="1" si="60"/>
        <v>749.08550777222683</v>
      </c>
    </row>
    <row r="156" spans="1:10" s="54" customFormat="1" ht="18" x14ac:dyDescent="0.2">
      <c r="A156" s="57"/>
      <c r="B156" s="56" t="s">
        <v>10</v>
      </c>
      <c r="C156" s="109"/>
      <c r="D156" s="56"/>
      <c r="E156" s="56"/>
      <c r="F156" s="56">
        <f ca="1">-F155*$D$12</f>
        <v>-2.6483679440050905</v>
      </c>
      <c r="G156" s="56">
        <f t="shared" ref="G156:J156" ca="1" si="61">-G155*$D$12</f>
        <v>-53.203818890815285</v>
      </c>
      <c r="H156" s="56">
        <f t="shared" ca="1" si="61"/>
        <v>-69.6213014337049</v>
      </c>
      <c r="I156" s="56">
        <f t="shared" ca="1" si="61"/>
        <v>-89.144090436376175</v>
      </c>
      <c r="J156" s="56">
        <f t="shared" ca="1" si="61"/>
        <v>-112.36282616583402</v>
      </c>
    </row>
    <row r="157" spans="1:10" s="54" customFormat="1" ht="18" x14ac:dyDescent="0.2">
      <c r="A157" s="57"/>
      <c r="B157" s="40" t="s">
        <v>134</v>
      </c>
      <c r="F157" s="40">
        <f ca="1">F152+F156</f>
        <v>259.50741834936218</v>
      </c>
      <c r="G157" s="40">
        <f t="shared" ref="G157:J157" ca="1" si="62">G152+G156</f>
        <v>301.4883070479533</v>
      </c>
      <c r="H157" s="40">
        <f t="shared" ca="1" si="62"/>
        <v>394.52070812432777</v>
      </c>
      <c r="I157" s="40">
        <f t="shared" ca="1" si="62"/>
        <v>505.14984580613162</v>
      </c>
      <c r="J157" s="40">
        <f t="shared" ca="1" si="62"/>
        <v>636.72268160639283</v>
      </c>
    </row>
    <row r="159" spans="1:10" x14ac:dyDescent="0.2">
      <c r="B159" s="112" t="s">
        <v>135</v>
      </c>
      <c r="C159" s="113"/>
      <c r="D159" s="113"/>
      <c r="E159" s="113"/>
      <c r="F159" s="114">
        <f ca="1">F157/$E$153</f>
        <v>1.0613800341487205</v>
      </c>
      <c r="G159" s="114">
        <f t="shared" ref="G159:J159" ca="1" si="63">G157/$E$153</f>
        <v>1.233081010421077</v>
      </c>
      <c r="H159" s="114">
        <f t="shared" ca="1" si="63"/>
        <v>1.613581628320359</v>
      </c>
      <c r="I159" s="114">
        <f t="shared" ca="1" si="63"/>
        <v>2.0660525390843829</v>
      </c>
      <c r="J159" s="115">
        <f t="shared" ca="1" si="63"/>
        <v>2.6041827468564125</v>
      </c>
    </row>
    <row r="160" spans="1:10" x14ac:dyDescent="0.2">
      <c r="B160" s="116" t="s">
        <v>136</v>
      </c>
      <c r="C160" s="117"/>
      <c r="D160" s="117"/>
      <c r="E160" s="117"/>
      <c r="F160" s="118">
        <f ca="1">F159^(1/F146)-1</f>
        <v>6.1380034148720508E-2</v>
      </c>
      <c r="G160" s="118">
        <f t="shared" ref="G160:J160" ca="1" si="64">G159^(1/G146)-1</f>
        <v>0.11044180866044351</v>
      </c>
      <c r="H160" s="118">
        <f t="shared" ca="1" si="64"/>
        <v>0.17290718537718686</v>
      </c>
      <c r="I160" s="118">
        <f t="shared" ca="1" si="64"/>
        <v>0.19890657052626004</v>
      </c>
      <c r="J160" s="119">
        <f t="shared" ca="1" si="64"/>
        <v>0.21097252957908874</v>
      </c>
    </row>
    <row r="162" spans="1:10" x14ac:dyDescent="0.2">
      <c r="A162" s="55" t="s">
        <v>36</v>
      </c>
      <c r="B162" s="58" t="s">
        <v>137</v>
      </c>
      <c r="C162" s="59"/>
      <c r="D162" s="59"/>
      <c r="E162" s="59"/>
      <c r="F162" s="59"/>
      <c r="G162" s="59"/>
      <c r="H162" s="59"/>
      <c r="I162" s="59"/>
      <c r="J162" s="59"/>
    </row>
    <row r="164" spans="1:10" x14ac:dyDescent="0.2">
      <c r="D164" s="88" t="s">
        <v>140</v>
      </c>
      <c r="E164" s="89"/>
      <c r="F164" s="89"/>
      <c r="G164" s="89"/>
      <c r="H164" s="89"/>
      <c r="I164" s="89"/>
      <c r="J164" s="122"/>
    </row>
    <row r="165" spans="1:10" x14ac:dyDescent="0.2">
      <c r="D165" s="61"/>
      <c r="E165" s="61"/>
      <c r="F165" s="61"/>
      <c r="G165" s="61"/>
      <c r="H165" s="61"/>
      <c r="I165" s="61"/>
      <c r="J165" s="61"/>
    </row>
    <row r="166" spans="1:10" x14ac:dyDescent="0.2">
      <c r="D166" s="39" t="s">
        <v>138</v>
      </c>
    </row>
    <row r="167" spans="1:10" x14ac:dyDescent="0.2">
      <c r="C167" s="120">
        <f ca="1">J159</f>
        <v>2.6041827468564125</v>
      </c>
      <c r="D167" s="110">
        <v>7</v>
      </c>
      <c r="E167" s="110">
        <v>7.5</v>
      </c>
      <c r="F167" s="110">
        <v>8</v>
      </c>
      <c r="G167" s="110">
        <v>8.5</v>
      </c>
      <c r="H167" s="110">
        <v>9</v>
      </c>
      <c r="I167" s="110">
        <v>9.5</v>
      </c>
      <c r="J167" s="110">
        <v>10</v>
      </c>
    </row>
    <row r="168" spans="1:10" x14ac:dyDescent="0.2">
      <c r="B168" s="39" t="s">
        <v>139</v>
      </c>
      <c r="C168" s="121">
        <v>9</v>
      </c>
      <c r="D168" s="124">
        <f t="dataTable" ref="D168:J174" dt2D="1" dtr="1" r1="D9" r2="D10" ca="1"/>
        <v>2.4203200840232726</v>
      </c>
      <c r="E168" s="124">
        <v>2.6131381602685737</v>
      </c>
      <c r="F168" s="124">
        <v>2.8059562365138739</v>
      </c>
      <c r="G168" s="124">
        <v>2.9987743127591751</v>
      </c>
      <c r="H168" s="124">
        <v>3.1915923890044753</v>
      </c>
      <c r="I168" s="124">
        <v>3.3844104652497764</v>
      </c>
      <c r="J168" s="124">
        <v>3.5772285414950766</v>
      </c>
    </row>
    <row r="169" spans="1:10" x14ac:dyDescent="0.2">
      <c r="C169" s="121">
        <f>C168+0.5</f>
        <v>9.5</v>
      </c>
      <c r="D169" s="124">
        <v>2.1750173728046978</v>
      </c>
      <c r="E169" s="124">
        <v>2.3482930764575696</v>
      </c>
      <c r="F169" s="124">
        <v>2.5215687801104409</v>
      </c>
      <c r="G169" s="124">
        <v>2.6948444837633128</v>
      </c>
      <c r="H169" s="124">
        <v>2.8681201874161837</v>
      </c>
      <c r="I169" s="124">
        <v>3.0413958910690559</v>
      </c>
      <c r="J169" s="124">
        <v>3.2146715947219269</v>
      </c>
    </row>
    <row r="170" spans="1:10" x14ac:dyDescent="0.2">
      <c r="C170" s="121">
        <f t="shared" ref="C170:C174" si="65">C169+0.5</f>
        <v>10</v>
      </c>
      <c r="D170" s="124">
        <v>1.9748623998472103</v>
      </c>
      <c r="E170" s="124">
        <v>2.1321924865995108</v>
      </c>
      <c r="F170" s="124">
        <v>2.2895225733518112</v>
      </c>
      <c r="G170" s="124">
        <v>2.4468526601041121</v>
      </c>
      <c r="H170" s="124">
        <v>2.6041827468564125</v>
      </c>
      <c r="I170" s="124">
        <v>2.7615128336087134</v>
      </c>
      <c r="J170" s="124">
        <v>2.9188429203610133</v>
      </c>
    </row>
    <row r="171" spans="1:10" x14ac:dyDescent="0.2">
      <c r="C171" s="121">
        <f t="shared" si="65"/>
        <v>10.5</v>
      </c>
      <c r="D171" s="124">
        <v>1.808441411096041</v>
      </c>
      <c r="E171" s="124">
        <v>1.9525133444703386</v>
      </c>
      <c r="F171" s="124">
        <v>2.0965852778446363</v>
      </c>
      <c r="G171" s="124">
        <v>2.240657211218934</v>
      </c>
      <c r="H171" s="124">
        <v>2.3847291445932317</v>
      </c>
      <c r="I171" s="124">
        <v>2.5288010779675294</v>
      </c>
      <c r="J171" s="124">
        <v>2.6728730113418271</v>
      </c>
    </row>
    <row r="172" spans="1:10" x14ac:dyDescent="0.2">
      <c r="C172" s="121">
        <f t="shared" si="65"/>
        <v>11</v>
      </c>
      <c r="D172" s="124">
        <v>1.6678889698191466</v>
      </c>
      <c r="E172" s="124">
        <v>1.8007636026721259</v>
      </c>
      <c r="F172" s="124">
        <v>1.9336382355251047</v>
      </c>
      <c r="G172" s="124">
        <v>2.0665128683780845</v>
      </c>
      <c r="H172" s="124">
        <v>2.1993875012310631</v>
      </c>
      <c r="I172" s="124">
        <v>2.3322621340840426</v>
      </c>
      <c r="J172" s="124">
        <v>2.4651367669370217</v>
      </c>
    </row>
    <row r="173" spans="1:10" x14ac:dyDescent="0.2">
      <c r="C173" s="121">
        <f t="shared" si="65"/>
        <v>11.5</v>
      </c>
      <c r="D173" s="124">
        <v>1.5476085152648811</v>
      </c>
      <c r="E173" s="124">
        <v>1.6709008428640397</v>
      </c>
      <c r="F173" s="124">
        <v>1.7941931704631982</v>
      </c>
      <c r="G173" s="124">
        <v>1.917485498062357</v>
      </c>
      <c r="H173" s="124">
        <v>2.0407778256615154</v>
      </c>
      <c r="I173" s="124">
        <v>2.1640701532606741</v>
      </c>
      <c r="J173" s="124">
        <v>2.2873624808598327</v>
      </c>
    </row>
    <row r="174" spans="1:10" x14ac:dyDescent="0.2">
      <c r="C174" s="121">
        <f t="shared" si="65"/>
        <v>12</v>
      </c>
      <c r="D174" s="124">
        <v>1.4435092877806963</v>
      </c>
      <c r="E174" s="124">
        <v>1.5585084094875348</v>
      </c>
      <c r="F174" s="124">
        <v>1.6735075311943732</v>
      </c>
      <c r="G174" s="124">
        <v>1.7885066529012119</v>
      </c>
      <c r="H174" s="124">
        <v>1.9035057746080504</v>
      </c>
      <c r="I174" s="124">
        <v>2.0185048963148891</v>
      </c>
      <c r="J174" s="124">
        <v>2.1335040180217275</v>
      </c>
    </row>
    <row r="177" spans="2:10" x14ac:dyDescent="0.2">
      <c r="D177" s="88" t="s">
        <v>141</v>
      </c>
      <c r="E177" s="89"/>
      <c r="F177" s="89"/>
      <c r="G177" s="89"/>
      <c r="H177" s="89"/>
      <c r="I177" s="89"/>
      <c r="J177" s="122"/>
    </row>
    <row r="178" spans="2:10" x14ac:dyDescent="0.2">
      <c r="D178" s="61"/>
      <c r="E178" s="61"/>
      <c r="F178" s="61"/>
      <c r="G178" s="61"/>
      <c r="H178" s="61"/>
      <c r="I178" s="61"/>
      <c r="J178" s="61"/>
    </row>
    <row r="179" spans="2:10" x14ac:dyDescent="0.2">
      <c r="D179" s="39" t="s">
        <v>138</v>
      </c>
    </row>
    <row r="180" spans="2:10" x14ac:dyDescent="0.2">
      <c r="C180" s="123">
        <f ca="1">J160</f>
        <v>0.21097252957908874</v>
      </c>
      <c r="D180" s="110">
        <v>7</v>
      </c>
      <c r="E180" s="110">
        <v>7.5</v>
      </c>
      <c r="F180" s="110">
        <v>8</v>
      </c>
      <c r="G180" s="110">
        <v>8.5</v>
      </c>
      <c r="H180" s="110">
        <v>9</v>
      </c>
      <c r="I180" s="110">
        <v>9.5</v>
      </c>
      <c r="J180" s="110">
        <v>10</v>
      </c>
    </row>
    <row r="181" spans="2:10" x14ac:dyDescent="0.2">
      <c r="B181" s="39" t="s">
        <v>139</v>
      </c>
      <c r="C181" s="121">
        <v>9</v>
      </c>
      <c r="D181" s="65">
        <f t="dataTable" ref="D181:J187" dt2D="1" dtr="1" r1="D9" r2="D10" ca="1"/>
        <v>0.19336847485032305</v>
      </c>
      <c r="E181" s="65">
        <v>0.21180425868246378</v>
      </c>
      <c r="F181" s="65">
        <v>0.22918196255458212</v>
      </c>
      <c r="G181" s="65">
        <v>0.24562913120824281</v>
      </c>
      <c r="H181" s="65">
        <v>0.26125088547974396</v>
      </c>
      <c r="I181" s="65">
        <v>0.27613495833914947</v>
      </c>
      <c r="J181" s="65">
        <v>0.29035538158828822</v>
      </c>
    </row>
    <row r="182" spans="2:10" x14ac:dyDescent="0.2">
      <c r="C182" s="121">
        <f>C181+0.5</f>
        <v>9.5</v>
      </c>
      <c r="D182" s="65">
        <v>0.16813368057161338</v>
      </c>
      <c r="E182" s="65">
        <v>0.18617962402990873</v>
      </c>
      <c r="F182" s="65">
        <v>0.20318986153142093</v>
      </c>
      <c r="G182" s="65">
        <v>0.21928924077536505</v>
      </c>
      <c r="H182" s="65">
        <v>0.23458065972829378</v>
      </c>
      <c r="I182" s="65">
        <v>0.24914999617178779</v>
      </c>
      <c r="J182" s="65">
        <v>0.26306971644208055</v>
      </c>
    </row>
    <row r="183" spans="2:10" x14ac:dyDescent="0.2">
      <c r="C183" s="121">
        <f t="shared" ref="C183:C187" si="66">C182+0.5</f>
        <v>10</v>
      </c>
      <c r="D183" s="65">
        <v>0.1457961753261694</v>
      </c>
      <c r="E183" s="65">
        <v>0.16349703725538722</v>
      </c>
      <c r="F183" s="65">
        <v>0.18018199839877691</v>
      </c>
      <c r="G183" s="65">
        <v>0.19597351906943361</v>
      </c>
      <c r="H183" s="65">
        <v>0.21097252957908874</v>
      </c>
      <c r="I183" s="65">
        <v>0.22526326552108022</v>
      </c>
      <c r="J183" s="65">
        <v>0.23891680750225763</v>
      </c>
    </row>
    <row r="184" spans="2:10" x14ac:dyDescent="0.2">
      <c r="C184" s="121">
        <f t="shared" si="66"/>
        <v>10.5</v>
      </c>
      <c r="D184" s="65">
        <v>0.12579907802382073</v>
      </c>
      <c r="E184" s="65">
        <v>0.14319101427676517</v>
      </c>
      <c r="F184" s="65">
        <v>0.15958477983174668</v>
      </c>
      <c r="G184" s="65">
        <v>0.17510069775367421</v>
      </c>
      <c r="H184" s="65">
        <v>0.18983793686012551</v>
      </c>
      <c r="I184" s="65">
        <v>0.20387926261616252</v>
      </c>
      <c r="J184" s="65">
        <v>0.21729451508878772</v>
      </c>
    </row>
    <row r="185" spans="2:10" x14ac:dyDescent="0.2">
      <c r="C185" s="121">
        <f t="shared" si="66"/>
        <v>11</v>
      </c>
      <c r="D185" s="65">
        <v>0.10772874943292532</v>
      </c>
      <c r="E185" s="65">
        <v>0.12484152574600382</v>
      </c>
      <c r="F185" s="65">
        <v>0.14097215311211686</v>
      </c>
      <c r="G185" s="65">
        <v>0.15623902327702321</v>
      </c>
      <c r="H185" s="65">
        <v>0.1707397132883699</v>
      </c>
      <c r="I185" s="65">
        <v>0.18455566013335911</v>
      </c>
      <c r="J185" s="65">
        <v>0.19775558286816342</v>
      </c>
    </row>
    <row r="186" spans="2:10" x14ac:dyDescent="0.2">
      <c r="C186" s="121">
        <f t="shared" si="66"/>
        <v>11.5</v>
      </c>
      <c r="D186" s="65">
        <v>9.1270014845537428E-2</v>
      </c>
      <c r="E186" s="65">
        <v>0.10812852797050732</v>
      </c>
      <c r="F186" s="65">
        <v>0.12401948500696358</v>
      </c>
      <c r="G186" s="65">
        <v>0.13905951862532984</v>
      </c>
      <c r="H186" s="65">
        <v>0.15334475606459819</v>
      </c>
      <c r="I186" s="65">
        <v>0.16695542431380161</v>
      </c>
      <c r="J186" s="65">
        <v>0.17995922139512133</v>
      </c>
    </row>
    <row r="187" spans="2:10" x14ac:dyDescent="0.2">
      <c r="C187" s="121">
        <f t="shared" si="66"/>
        <v>12</v>
      </c>
      <c r="D187" s="65">
        <v>7.617752141790235E-2</v>
      </c>
      <c r="E187" s="65">
        <v>9.2802877766751779E-2</v>
      </c>
      <c r="F187" s="65">
        <v>0.10847405953093925</v>
      </c>
      <c r="G187" s="65">
        <v>0.12330608632656825</v>
      </c>
      <c r="H187" s="65">
        <v>0.13739375593273251</v>
      </c>
      <c r="I187" s="65">
        <v>0.15081618578236267</v>
      </c>
      <c r="J187" s="65">
        <v>0.16364013761977914</v>
      </c>
    </row>
  </sheetData>
  <conditionalFormatting sqref="D168:J174">
    <cfRule type="cellIs" dxfId="3" priority="3" operator="greaterThan">
      <formula>2</formula>
    </cfRule>
  </conditionalFormatting>
  <conditionalFormatting sqref="D181:J187">
    <cfRule type="cellIs" dxfId="2" priority="2" operator="greaterThan">
      <formula>2</formula>
    </cfRule>
    <cfRule type="cellIs" dxfId="1" priority="1" operator="greaterThan">
      <formula>0.15</formula>
    </cfRule>
  </conditionalFormatting>
  <dataValidations count="1">
    <dataValidation type="list" allowBlank="1" showInputMessage="1" showErrorMessage="1" sqref="M2" xr:uid="{C1BB3D19-BDDD-874D-BDEE-C5D9C963A48F}">
      <formula1>"ON, OFF"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B0884-ABFB-2243-8A28-86FB2B1BC643}">
  <dimension ref="A2:G43"/>
  <sheetViews>
    <sheetView showGridLines="0" topLeftCell="A31" zoomScale="238" workbookViewId="0">
      <selection activeCell="A17" sqref="A17"/>
    </sheetView>
  </sheetViews>
  <sheetFormatPr baseColWidth="10" defaultRowHeight="13" x14ac:dyDescent="0.15"/>
  <cols>
    <col min="1" max="1" width="2.5" style="1" customWidth="1"/>
    <col min="2" max="2" width="25.6640625" style="1" bestFit="1" customWidth="1"/>
    <col min="3" max="3" width="10.83203125" style="1"/>
    <col min="4" max="4" width="14" style="1" bestFit="1" customWidth="1"/>
    <col min="5" max="16384" width="10.83203125" style="1"/>
  </cols>
  <sheetData>
    <row r="2" spans="1:7" s="2" customFormat="1" ht="20" x14ac:dyDescent="0.2">
      <c r="A2" s="1"/>
      <c r="B2" s="12" t="s">
        <v>0</v>
      </c>
    </row>
    <row r="4" spans="1:7" x14ac:dyDescent="0.15">
      <c r="B4" s="3" t="s">
        <v>1</v>
      </c>
      <c r="C4" s="4"/>
      <c r="D4" s="4"/>
      <c r="E4" s="4"/>
      <c r="F4" s="4"/>
      <c r="G4" s="4"/>
    </row>
    <row r="5" spans="1:7" x14ac:dyDescent="0.15">
      <c r="B5" s="5" t="s">
        <v>2</v>
      </c>
      <c r="C5" s="5"/>
      <c r="D5" s="6" t="s">
        <v>3</v>
      </c>
    </row>
    <row r="6" spans="1:7" x14ac:dyDescent="0.15">
      <c r="B6" s="1" t="s">
        <v>4</v>
      </c>
      <c r="D6" s="13">
        <v>0.3</v>
      </c>
    </row>
    <row r="7" spans="1:7" x14ac:dyDescent="0.15">
      <c r="B7" s="1" t="s">
        <v>5</v>
      </c>
      <c r="D7" s="14">
        <v>45657</v>
      </c>
    </row>
    <row r="8" spans="1:7" x14ac:dyDescent="0.15">
      <c r="B8" s="1" t="s">
        <v>6</v>
      </c>
      <c r="C8" s="29"/>
      <c r="D8" s="15">
        <v>5</v>
      </c>
    </row>
    <row r="9" spans="1:7" x14ac:dyDescent="0.15">
      <c r="B9" s="1" t="s">
        <v>7</v>
      </c>
      <c r="D9" s="16">
        <v>9</v>
      </c>
    </row>
    <row r="10" spans="1:7" x14ac:dyDescent="0.15">
      <c r="B10" s="1" t="s">
        <v>8</v>
      </c>
      <c r="D10" s="16">
        <v>10</v>
      </c>
    </row>
    <row r="11" spans="1:7" x14ac:dyDescent="0.15">
      <c r="B11" s="1" t="s">
        <v>9</v>
      </c>
      <c r="D11" s="15">
        <v>10</v>
      </c>
    </row>
    <row r="12" spans="1:7" x14ac:dyDescent="0.15">
      <c r="B12" s="1" t="s">
        <v>10</v>
      </c>
      <c r="D12" s="13">
        <v>0.15</v>
      </c>
    </row>
    <row r="13" spans="1:7" x14ac:dyDescent="0.15">
      <c r="D13" s="7"/>
    </row>
    <row r="14" spans="1:7" x14ac:dyDescent="0.15">
      <c r="B14" s="3" t="s">
        <v>11</v>
      </c>
      <c r="C14" s="4"/>
      <c r="D14" s="4"/>
      <c r="E14" s="4"/>
      <c r="F14" s="4"/>
      <c r="G14" s="4"/>
    </row>
    <row r="15" spans="1:7" x14ac:dyDescent="0.15">
      <c r="B15" s="1" t="s">
        <v>12</v>
      </c>
      <c r="D15" s="17">
        <v>3</v>
      </c>
    </row>
    <row r="16" spans="1:7" x14ac:dyDescent="0.15">
      <c r="B16" s="1" t="s">
        <v>13</v>
      </c>
      <c r="D16" s="17">
        <v>5</v>
      </c>
    </row>
    <row r="17" spans="2:7" x14ac:dyDescent="0.15">
      <c r="B17" s="1" t="s">
        <v>14</v>
      </c>
      <c r="D17" s="15">
        <v>40</v>
      </c>
    </row>
    <row r="18" spans="2:7" x14ac:dyDescent="0.15">
      <c r="B18" s="1" t="s">
        <v>15</v>
      </c>
      <c r="D18" s="18">
        <v>0.04</v>
      </c>
    </row>
    <row r="19" spans="2:7" x14ac:dyDescent="0.15">
      <c r="B19" s="1" t="s">
        <v>16</v>
      </c>
      <c r="D19" s="18">
        <v>0.04</v>
      </c>
    </row>
    <row r="20" spans="2:7" x14ac:dyDescent="0.15">
      <c r="B20" s="1" t="s">
        <v>17</v>
      </c>
      <c r="D20" s="13">
        <v>0.05</v>
      </c>
    </row>
    <row r="21" spans="2:7" x14ac:dyDescent="0.15">
      <c r="B21" s="1" t="s">
        <v>18</v>
      </c>
      <c r="D21" s="13">
        <v>1</v>
      </c>
    </row>
    <row r="22" spans="2:7" x14ac:dyDescent="0.15">
      <c r="B22" s="1" t="s">
        <v>19</v>
      </c>
      <c r="D22" s="18">
        <v>7.0000000000000007E-2</v>
      </c>
    </row>
    <row r="23" spans="2:7" x14ac:dyDescent="0.15">
      <c r="B23" s="1" t="s">
        <v>20</v>
      </c>
      <c r="D23" s="13">
        <v>0.01</v>
      </c>
    </row>
    <row r="24" spans="2:7" x14ac:dyDescent="0.15">
      <c r="B24" s="1" t="s">
        <v>21</v>
      </c>
      <c r="D24" s="13">
        <v>1</v>
      </c>
    </row>
    <row r="25" spans="2:7" x14ac:dyDescent="0.15">
      <c r="B25" s="1" t="s">
        <v>22</v>
      </c>
      <c r="D25" s="13">
        <v>0.02</v>
      </c>
    </row>
    <row r="26" spans="2:7" x14ac:dyDescent="0.15">
      <c r="B26" s="1" t="s">
        <v>23</v>
      </c>
      <c r="D26" s="19">
        <v>8</v>
      </c>
    </row>
    <row r="27" spans="2:7" x14ac:dyDescent="0.15">
      <c r="D27" s="8"/>
    </row>
    <row r="28" spans="2:7" x14ac:dyDescent="0.15">
      <c r="B28" s="3" t="s">
        <v>24</v>
      </c>
      <c r="C28" s="4"/>
      <c r="D28" s="4"/>
      <c r="E28" s="4"/>
      <c r="F28" s="4"/>
      <c r="G28" s="4"/>
    </row>
    <row r="29" spans="2:7" x14ac:dyDescent="0.15">
      <c r="B29" s="1" t="s">
        <v>25</v>
      </c>
      <c r="D29" s="15">
        <v>150</v>
      </c>
    </row>
    <row r="30" spans="2:7" x14ac:dyDescent="0.15">
      <c r="B30" s="1" t="s">
        <v>26</v>
      </c>
      <c r="D30" s="15">
        <v>10</v>
      </c>
    </row>
    <row r="31" spans="2:7" x14ac:dyDescent="0.15">
      <c r="B31" s="1" t="s">
        <v>27</v>
      </c>
      <c r="D31" s="15">
        <v>100</v>
      </c>
    </row>
    <row r="33" spans="2:7" x14ac:dyDescent="0.15">
      <c r="B33" s="3" t="s">
        <v>28</v>
      </c>
      <c r="C33" s="4"/>
      <c r="D33" s="4"/>
      <c r="E33" s="4"/>
      <c r="F33" s="4"/>
      <c r="G33" s="4"/>
    </row>
    <row r="34" spans="2:7" x14ac:dyDescent="0.15">
      <c r="B34" s="1" t="s">
        <v>29</v>
      </c>
      <c r="D34" s="20">
        <v>0.15</v>
      </c>
    </row>
    <row r="35" spans="2:7" x14ac:dyDescent="0.15">
      <c r="B35" s="1" t="s">
        <v>59</v>
      </c>
      <c r="D35" s="20">
        <v>0.3</v>
      </c>
    </row>
    <row r="36" spans="2:7" x14ac:dyDescent="0.15">
      <c r="B36" s="1" t="s">
        <v>30</v>
      </c>
      <c r="D36" s="20">
        <v>0.2</v>
      </c>
    </row>
    <row r="37" spans="2:7" x14ac:dyDescent="0.15">
      <c r="B37" s="1" t="s">
        <v>31</v>
      </c>
      <c r="D37" s="20">
        <v>0.06</v>
      </c>
    </row>
    <row r="38" spans="2:7" x14ac:dyDescent="0.15">
      <c r="B38" s="1" t="s">
        <v>32</v>
      </c>
      <c r="D38" s="20">
        <v>0.1</v>
      </c>
    </row>
    <row r="40" spans="2:7" x14ac:dyDescent="0.15">
      <c r="B40" s="3" t="s">
        <v>35</v>
      </c>
      <c r="C40" s="11"/>
      <c r="D40" s="11"/>
      <c r="E40" s="11"/>
      <c r="F40" s="11"/>
      <c r="G40" s="11"/>
    </row>
    <row r="41" spans="2:7" x14ac:dyDescent="0.15">
      <c r="C41" s="21">
        <v>2024</v>
      </c>
      <c r="D41" s="10">
        <f>+C41+1</f>
        <v>2025</v>
      </c>
      <c r="E41" s="10">
        <f t="shared" ref="E41:G41" si="0">+D41+1</f>
        <v>2026</v>
      </c>
      <c r="F41" s="10">
        <f t="shared" si="0"/>
        <v>2027</v>
      </c>
      <c r="G41" s="10">
        <f t="shared" si="0"/>
        <v>2028</v>
      </c>
    </row>
    <row r="42" spans="2:7" x14ac:dyDescent="0.15">
      <c r="B42" s="1" t="s">
        <v>33</v>
      </c>
      <c r="C42" s="22">
        <v>0.01</v>
      </c>
      <c r="D42" s="22">
        <v>1.4999999999999999E-2</v>
      </c>
      <c r="E42" s="9">
        <f t="shared" ref="E42:G42" si="1">D42+0.25%</f>
        <v>1.7499999999999998E-2</v>
      </c>
      <c r="F42" s="9">
        <f t="shared" si="1"/>
        <v>1.9999999999999997E-2</v>
      </c>
      <c r="G42" s="9">
        <f t="shared" si="1"/>
        <v>2.2499999999999996E-2</v>
      </c>
    </row>
    <row r="43" spans="2:7" x14ac:dyDescent="0.15">
      <c r="B43" s="1" t="s">
        <v>34</v>
      </c>
      <c r="C43" s="23">
        <v>1.4999999999999999E-2</v>
      </c>
      <c r="D43" s="23">
        <v>1.4999999999999999E-2</v>
      </c>
      <c r="E43" s="23">
        <v>1.4999999999999999E-2</v>
      </c>
      <c r="F43" s="23">
        <v>1.4999999999999999E-2</v>
      </c>
      <c r="G43" s="23">
        <v>1.4999999999999999E-2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LBO model</vt:lpstr>
      <vt:lpstr>Prompt</vt:lpstr>
      <vt:lpstr>CIRC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Manfredi</dc:creator>
  <cp:lastModifiedBy>Pietro Manfredi</cp:lastModifiedBy>
  <dcterms:created xsi:type="dcterms:W3CDTF">2024-11-17T20:30:41Z</dcterms:created>
  <dcterms:modified xsi:type="dcterms:W3CDTF">2024-11-18T21:13:50Z</dcterms:modified>
</cp:coreProperties>
</file>