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/GitHub Repos/rwd-xray/tools/"/>
    </mc:Choice>
  </mc:AlternateContent>
  <xr:revisionPtr revIDLastSave="0" documentId="8_{A491B66F-7017-3D4D-8EC4-B253DBAB6649}" xr6:coauthVersionLast="45" xr6:coauthVersionMax="45" xr10:uidLastSave="{00000000-0000-0000-0000-000000000000}"/>
  <bookViews>
    <workbookView xWindow="320" yWindow="460" windowWidth="13900" windowHeight="17160" activeTab="1" xr2:uid="{9D1BDD93-9EEC-CF4B-915A-8D35D7744A01}"/>
  </bookViews>
  <sheets>
    <sheet name="misc" sheetId="4" r:id="rId1"/>
    <sheet name="CR-V" sheetId="7" r:id="rId2"/>
    <sheet name="Civic Hatch (au)" sheetId="12" r:id="rId3"/>
    <sheet name="Civic Hatch" sheetId="8" r:id="rId4"/>
    <sheet name="Civic Sedan" sheetId="9" r:id="rId5"/>
    <sheet name="Clarity" sheetId="10" r:id="rId6"/>
    <sheet name="Insight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11" l="1"/>
  <c r="B50" i="11"/>
  <c r="B49" i="11"/>
  <c r="B43" i="11"/>
  <c r="B48" i="11"/>
  <c r="B47" i="11"/>
  <c r="B42" i="11"/>
  <c r="B55" i="12"/>
  <c r="B54" i="12"/>
  <c r="B53" i="12"/>
  <c r="B52" i="12"/>
  <c r="B51" i="12"/>
  <c r="B50" i="12"/>
  <c r="B49" i="12"/>
  <c r="K35" i="12"/>
  <c r="H35" i="12"/>
  <c r="J35" i="12" s="1"/>
  <c r="G35" i="12"/>
  <c r="F35" i="12"/>
  <c r="E35" i="12"/>
  <c r="D35" i="12"/>
  <c r="C35" i="12"/>
  <c r="K34" i="12"/>
  <c r="I34" i="12"/>
  <c r="J34" i="12" s="1"/>
  <c r="H34" i="12"/>
  <c r="G34" i="12"/>
  <c r="F34" i="12"/>
  <c r="E34" i="12"/>
  <c r="D34" i="12"/>
  <c r="C34" i="12"/>
  <c r="K33" i="12"/>
  <c r="J33" i="12"/>
  <c r="I33" i="12"/>
  <c r="H33" i="12"/>
  <c r="G33" i="12"/>
  <c r="F33" i="12"/>
  <c r="E33" i="12"/>
  <c r="D33" i="12"/>
  <c r="C33" i="12"/>
  <c r="B61" i="12" s="1"/>
  <c r="K32" i="12"/>
  <c r="I32" i="12"/>
  <c r="J32" i="12" s="1"/>
  <c r="H32" i="12"/>
  <c r="G32" i="12"/>
  <c r="F32" i="12"/>
  <c r="E32" i="12"/>
  <c r="D32" i="12"/>
  <c r="C32" i="12"/>
  <c r="K31" i="12"/>
  <c r="I31" i="12"/>
  <c r="J31" i="12" s="1"/>
  <c r="H31" i="12"/>
  <c r="G31" i="12"/>
  <c r="F31" i="12"/>
  <c r="E31" i="12"/>
  <c r="D31" i="12"/>
  <c r="C31" i="12"/>
  <c r="K30" i="12"/>
  <c r="I30" i="12"/>
  <c r="J30" i="12" s="1"/>
  <c r="H30" i="12"/>
  <c r="G30" i="12"/>
  <c r="F30" i="12"/>
  <c r="E30" i="12"/>
  <c r="D30" i="12"/>
  <c r="C30" i="12"/>
  <c r="K29" i="12"/>
  <c r="J29" i="12"/>
  <c r="I29" i="12"/>
  <c r="H29" i="12"/>
  <c r="G29" i="12"/>
  <c r="F29" i="12"/>
  <c r="E29" i="12"/>
  <c r="D29" i="12"/>
  <c r="C29" i="12"/>
  <c r="K19" i="12"/>
  <c r="J19" i="12"/>
  <c r="I19" i="12"/>
  <c r="H19" i="12"/>
  <c r="G19" i="12"/>
  <c r="F19" i="12"/>
  <c r="E19" i="12"/>
  <c r="D19" i="12"/>
  <c r="C19" i="12"/>
  <c r="B47" i="12" s="1"/>
  <c r="K18" i="12"/>
  <c r="J18" i="12"/>
  <c r="I18" i="12"/>
  <c r="H18" i="12"/>
  <c r="G18" i="12"/>
  <c r="F18" i="12"/>
  <c r="E18" i="12"/>
  <c r="D18" i="12"/>
  <c r="C18" i="12"/>
  <c r="K17" i="12"/>
  <c r="J17" i="12"/>
  <c r="I17" i="12"/>
  <c r="H17" i="12"/>
  <c r="G17" i="12"/>
  <c r="F17" i="12"/>
  <c r="E17" i="12"/>
  <c r="D17" i="12"/>
  <c r="C17" i="12"/>
  <c r="K16" i="12"/>
  <c r="J16" i="12"/>
  <c r="I16" i="12"/>
  <c r="H16" i="12"/>
  <c r="G16" i="12"/>
  <c r="F16" i="12"/>
  <c r="E16" i="12"/>
  <c r="D16" i="12"/>
  <c r="C16" i="12"/>
  <c r="K15" i="12"/>
  <c r="J15" i="12"/>
  <c r="I15" i="12"/>
  <c r="H15" i="12"/>
  <c r="G15" i="12"/>
  <c r="F15" i="12"/>
  <c r="E15" i="12"/>
  <c r="D15" i="12"/>
  <c r="C15" i="12"/>
  <c r="K14" i="12"/>
  <c r="J14" i="12"/>
  <c r="I14" i="12"/>
  <c r="H14" i="12"/>
  <c r="G14" i="12"/>
  <c r="F14" i="12"/>
  <c r="E14" i="12"/>
  <c r="D14" i="12"/>
  <c r="B46" i="12" s="1"/>
  <c r="C14" i="12"/>
  <c r="K13" i="12"/>
  <c r="J13" i="12"/>
  <c r="I13" i="12"/>
  <c r="H13" i="12"/>
  <c r="G13" i="12"/>
  <c r="F13" i="12"/>
  <c r="E13" i="12"/>
  <c r="D13" i="12"/>
  <c r="C13" i="12"/>
  <c r="B45" i="12" s="1"/>
  <c r="B47" i="10"/>
  <c r="B48" i="10"/>
  <c r="B49" i="10"/>
  <c r="B46" i="10"/>
  <c r="K30" i="11"/>
  <c r="J30" i="11"/>
  <c r="B61" i="11"/>
  <c r="B60" i="11"/>
  <c r="B59" i="11"/>
  <c r="B58" i="11"/>
  <c r="B57" i="11"/>
  <c r="B56" i="11"/>
  <c r="B55" i="11"/>
  <c r="K35" i="11"/>
  <c r="I35" i="11"/>
  <c r="H35" i="11"/>
  <c r="G35" i="11"/>
  <c r="F35" i="11"/>
  <c r="E35" i="11"/>
  <c r="D35" i="11"/>
  <c r="C35" i="11"/>
  <c r="K34" i="11"/>
  <c r="J34" i="11" s="1"/>
  <c r="I34" i="11"/>
  <c r="H34" i="11"/>
  <c r="G34" i="11"/>
  <c r="F34" i="11"/>
  <c r="E34" i="11"/>
  <c r="D34" i="11"/>
  <c r="C34" i="11"/>
  <c r="K33" i="11"/>
  <c r="J33" i="11" s="1"/>
  <c r="I33" i="11"/>
  <c r="H33" i="11"/>
  <c r="G33" i="11"/>
  <c r="F33" i="11"/>
  <c r="E33" i="11"/>
  <c r="D33" i="11"/>
  <c r="C33" i="11"/>
  <c r="K32" i="11"/>
  <c r="J32" i="11" s="1"/>
  <c r="I32" i="11"/>
  <c r="H32" i="11"/>
  <c r="G32" i="11"/>
  <c r="F32" i="11"/>
  <c r="E32" i="11"/>
  <c r="D32" i="11"/>
  <c r="C32" i="11"/>
  <c r="K31" i="11"/>
  <c r="I31" i="11" s="1"/>
  <c r="H31" i="11"/>
  <c r="G31" i="11"/>
  <c r="F31" i="11"/>
  <c r="E31" i="11"/>
  <c r="D31" i="11"/>
  <c r="C31" i="11"/>
  <c r="I30" i="11"/>
  <c r="H30" i="11"/>
  <c r="G30" i="11"/>
  <c r="F30" i="11"/>
  <c r="E30" i="11"/>
  <c r="D30" i="11"/>
  <c r="C30" i="11"/>
  <c r="K29" i="11"/>
  <c r="J29" i="11"/>
  <c r="I29" i="11"/>
  <c r="H29" i="11"/>
  <c r="G29" i="11"/>
  <c r="F29" i="11"/>
  <c r="E29" i="11"/>
  <c r="D29" i="11"/>
  <c r="B41" i="11" s="1"/>
  <c r="C29" i="11"/>
  <c r="K19" i="11"/>
  <c r="J19" i="11"/>
  <c r="I19" i="11"/>
  <c r="H19" i="11"/>
  <c r="G19" i="11"/>
  <c r="F19" i="11"/>
  <c r="E19" i="11"/>
  <c r="D19" i="11"/>
  <c r="C19" i="11"/>
  <c r="K18" i="11"/>
  <c r="J18" i="11"/>
  <c r="I18" i="11"/>
  <c r="H18" i="11"/>
  <c r="G18" i="11"/>
  <c r="F18" i="11"/>
  <c r="E18" i="11"/>
  <c r="D18" i="11"/>
  <c r="C18" i="11"/>
  <c r="K17" i="11"/>
  <c r="J17" i="11"/>
  <c r="I17" i="11"/>
  <c r="H17" i="11"/>
  <c r="G17" i="11"/>
  <c r="F17" i="11"/>
  <c r="E17" i="11"/>
  <c r="D17" i="11"/>
  <c r="C17" i="11"/>
  <c r="K16" i="11"/>
  <c r="J16" i="11"/>
  <c r="I16" i="11"/>
  <c r="H16" i="11"/>
  <c r="G16" i="11"/>
  <c r="F16" i="11"/>
  <c r="E16" i="11"/>
  <c r="D16" i="11"/>
  <c r="C16" i="11"/>
  <c r="K15" i="11"/>
  <c r="J15" i="11"/>
  <c r="I15" i="11"/>
  <c r="H15" i="11"/>
  <c r="G15" i="11"/>
  <c r="F15" i="11"/>
  <c r="E15" i="11"/>
  <c r="D15" i="11"/>
  <c r="C15" i="11"/>
  <c r="K14" i="11"/>
  <c r="J14" i="11"/>
  <c r="I14" i="11"/>
  <c r="H14" i="11"/>
  <c r="G14" i="11"/>
  <c r="F14" i="11"/>
  <c r="E14" i="11"/>
  <c r="D14" i="11"/>
  <c r="C14" i="11"/>
  <c r="K13" i="11"/>
  <c r="J13" i="11"/>
  <c r="I13" i="11"/>
  <c r="H13" i="11"/>
  <c r="G13" i="11"/>
  <c r="F13" i="11"/>
  <c r="E13" i="11"/>
  <c r="D13" i="11"/>
  <c r="C13" i="11"/>
  <c r="B63" i="10"/>
  <c r="B64" i="10"/>
  <c r="B65" i="10"/>
  <c r="B66" i="10"/>
  <c r="B67" i="10"/>
  <c r="B62" i="10"/>
  <c r="B61" i="10"/>
  <c r="B54" i="10"/>
  <c r="B55" i="10"/>
  <c r="B56" i="10"/>
  <c r="B57" i="10"/>
  <c r="B58" i="10"/>
  <c r="B59" i="10"/>
  <c r="B53" i="10"/>
  <c r="B63" i="9"/>
  <c r="B62" i="9"/>
  <c r="B61" i="9"/>
  <c r="B60" i="9"/>
  <c r="B59" i="9"/>
  <c r="B58" i="9"/>
  <c r="B57" i="9"/>
  <c r="B55" i="9"/>
  <c r="B50" i="9"/>
  <c r="B51" i="9"/>
  <c r="B52" i="9"/>
  <c r="B53" i="9"/>
  <c r="B54" i="9"/>
  <c r="B49" i="9"/>
  <c r="B43" i="10"/>
  <c r="B42" i="10"/>
  <c r="K35" i="9"/>
  <c r="J35" i="9" s="1"/>
  <c r="I35" i="7"/>
  <c r="K35" i="7"/>
  <c r="J35" i="7" s="1"/>
  <c r="I30" i="10"/>
  <c r="J30" i="10"/>
  <c r="J29" i="10"/>
  <c r="B44" i="10"/>
  <c r="B41" i="10"/>
  <c r="K35" i="10"/>
  <c r="J35" i="10"/>
  <c r="I35" i="10"/>
  <c r="H35" i="10"/>
  <c r="G35" i="10"/>
  <c r="F35" i="10"/>
  <c r="E35" i="10"/>
  <c r="D35" i="10"/>
  <c r="C35" i="10"/>
  <c r="K34" i="10"/>
  <c r="I34" i="10"/>
  <c r="H34" i="10"/>
  <c r="G34" i="10"/>
  <c r="F34" i="10"/>
  <c r="E34" i="10"/>
  <c r="D34" i="10"/>
  <c r="C34" i="10"/>
  <c r="K33" i="10"/>
  <c r="I33" i="10"/>
  <c r="H33" i="10"/>
  <c r="G33" i="10"/>
  <c r="F33" i="10"/>
  <c r="E33" i="10"/>
  <c r="D33" i="10"/>
  <c r="C33" i="10"/>
  <c r="K32" i="10"/>
  <c r="I32" i="10"/>
  <c r="H32" i="10"/>
  <c r="G32" i="10"/>
  <c r="F32" i="10"/>
  <c r="E32" i="10"/>
  <c r="D32" i="10"/>
  <c r="C32" i="10"/>
  <c r="K31" i="10"/>
  <c r="J31" i="10"/>
  <c r="I31" i="10"/>
  <c r="H31" i="10"/>
  <c r="G31" i="10"/>
  <c r="F31" i="10"/>
  <c r="E31" i="10"/>
  <c r="D31" i="10"/>
  <c r="C31" i="10"/>
  <c r="K30" i="10"/>
  <c r="H30" i="10"/>
  <c r="G30" i="10"/>
  <c r="F30" i="10"/>
  <c r="E30" i="10"/>
  <c r="D30" i="10"/>
  <c r="C30" i="10"/>
  <c r="K29" i="10"/>
  <c r="I29" i="10"/>
  <c r="H29" i="10"/>
  <c r="G29" i="10"/>
  <c r="F29" i="10"/>
  <c r="E29" i="10"/>
  <c r="D29" i="10"/>
  <c r="C29" i="10"/>
  <c r="K19" i="10"/>
  <c r="J19" i="10"/>
  <c r="I19" i="10"/>
  <c r="H19" i="10"/>
  <c r="G19" i="10"/>
  <c r="F19" i="10"/>
  <c r="E19" i="10"/>
  <c r="D19" i="10"/>
  <c r="C19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E17" i="10"/>
  <c r="D17" i="10"/>
  <c r="C17" i="10"/>
  <c r="K16" i="10"/>
  <c r="J16" i="10"/>
  <c r="I16" i="10"/>
  <c r="H16" i="10"/>
  <c r="G16" i="10"/>
  <c r="F16" i="10"/>
  <c r="E16" i="10"/>
  <c r="D16" i="10"/>
  <c r="C16" i="10"/>
  <c r="K15" i="10"/>
  <c r="J15" i="10"/>
  <c r="I15" i="10"/>
  <c r="H15" i="10"/>
  <c r="G15" i="10"/>
  <c r="F15" i="10"/>
  <c r="E15" i="10"/>
  <c r="D15" i="10"/>
  <c r="C15" i="10"/>
  <c r="K14" i="10"/>
  <c r="J14" i="10"/>
  <c r="I14" i="10"/>
  <c r="H14" i="10"/>
  <c r="G14" i="10"/>
  <c r="F14" i="10"/>
  <c r="E14" i="10"/>
  <c r="D14" i="10"/>
  <c r="C14" i="10"/>
  <c r="K13" i="10"/>
  <c r="J13" i="10"/>
  <c r="I13" i="10"/>
  <c r="H13" i="10"/>
  <c r="G13" i="10"/>
  <c r="F13" i="10"/>
  <c r="E13" i="10"/>
  <c r="D13" i="10"/>
  <c r="C13" i="10"/>
  <c r="B41" i="8"/>
  <c r="I35" i="8"/>
  <c r="J35" i="8"/>
  <c r="J30" i="8"/>
  <c r="J31" i="8"/>
  <c r="J32" i="8"/>
  <c r="B60" i="8" s="1"/>
  <c r="J33" i="8"/>
  <c r="B61" i="8" s="1"/>
  <c r="J34" i="8"/>
  <c r="J29" i="8"/>
  <c r="B58" i="8"/>
  <c r="B59" i="8"/>
  <c r="B62" i="8"/>
  <c r="B57" i="8"/>
  <c r="B50" i="8"/>
  <c r="B51" i="8"/>
  <c r="B52" i="8"/>
  <c r="B53" i="8"/>
  <c r="B54" i="8"/>
  <c r="B55" i="8"/>
  <c r="B49" i="8"/>
  <c r="H30" i="8"/>
  <c r="I30" i="8"/>
  <c r="H31" i="8"/>
  <c r="I31" i="8"/>
  <c r="H32" i="8"/>
  <c r="I32" i="8"/>
  <c r="H33" i="8"/>
  <c r="I33" i="8"/>
  <c r="H34" i="8"/>
  <c r="I34" i="8"/>
  <c r="H35" i="8"/>
  <c r="I29" i="8"/>
  <c r="J29" i="7"/>
  <c r="I29" i="7"/>
  <c r="J30" i="7"/>
  <c r="J31" i="7"/>
  <c r="J32" i="7"/>
  <c r="J33" i="7"/>
  <c r="J34" i="7"/>
  <c r="I30" i="7"/>
  <c r="I31" i="7"/>
  <c r="I32" i="7"/>
  <c r="I33" i="7"/>
  <c r="B61" i="7" s="1"/>
  <c r="I34" i="7"/>
  <c r="B58" i="7"/>
  <c r="B59" i="7"/>
  <c r="B62" i="7"/>
  <c r="B50" i="7"/>
  <c r="B51" i="7"/>
  <c r="B52" i="7"/>
  <c r="B53" i="7"/>
  <c r="B54" i="7"/>
  <c r="B49" i="7"/>
  <c r="J30" i="9"/>
  <c r="J32" i="9"/>
  <c r="J34" i="9"/>
  <c r="I30" i="9"/>
  <c r="I31" i="9"/>
  <c r="I32" i="9"/>
  <c r="I33" i="9"/>
  <c r="I34" i="9"/>
  <c r="I29" i="9"/>
  <c r="H35" i="9"/>
  <c r="G35" i="9"/>
  <c r="F35" i="9"/>
  <c r="E35" i="9"/>
  <c r="D35" i="9"/>
  <c r="C35" i="9"/>
  <c r="K34" i="9"/>
  <c r="H34" i="9"/>
  <c r="G34" i="9"/>
  <c r="F34" i="9"/>
  <c r="E34" i="9"/>
  <c r="D34" i="9"/>
  <c r="C34" i="9"/>
  <c r="K33" i="9"/>
  <c r="J33" i="9" s="1"/>
  <c r="H33" i="9"/>
  <c r="G33" i="9"/>
  <c r="F33" i="9"/>
  <c r="E33" i="9"/>
  <c r="D33" i="9"/>
  <c r="C33" i="9"/>
  <c r="K32" i="9"/>
  <c r="H32" i="9"/>
  <c r="G32" i="9"/>
  <c r="F32" i="9"/>
  <c r="E32" i="9"/>
  <c r="D32" i="9"/>
  <c r="C32" i="9"/>
  <c r="K31" i="9"/>
  <c r="J31" i="9" s="1"/>
  <c r="H31" i="9"/>
  <c r="G31" i="9"/>
  <c r="F31" i="9"/>
  <c r="E31" i="9"/>
  <c r="D31" i="9"/>
  <c r="C31" i="9"/>
  <c r="K30" i="9"/>
  <c r="H30" i="9"/>
  <c r="G30" i="9"/>
  <c r="F30" i="9"/>
  <c r="E30" i="9"/>
  <c r="D30" i="9"/>
  <c r="C30" i="9"/>
  <c r="K29" i="9"/>
  <c r="J29" i="9" s="1"/>
  <c r="H29" i="9"/>
  <c r="G29" i="9"/>
  <c r="F29" i="9"/>
  <c r="E29" i="9"/>
  <c r="D29" i="9"/>
  <c r="C29" i="9"/>
  <c r="K19" i="9"/>
  <c r="J19" i="9"/>
  <c r="I19" i="9"/>
  <c r="H19" i="9"/>
  <c r="G19" i="9"/>
  <c r="F19" i="9"/>
  <c r="E19" i="9"/>
  <c r="D19" i="9"/>
  <c r="C19" i="9"/>
  <c r="B45" i="9" s="1"/>
  <c r="K18" i="9"/>
  <c r="J18" i="9"/>
  <c r="I18" i="9"/>
  <c r="H18" i="9"/>
  <c r="G18" i="9"/>
  <c r="F18" i="9"/>
  <c r="E18" i="9"/>
  <c r="D18" i="9"/>
  <c r="C18" i="9"/>
  <c r="K17" i="9"/>
  <c r="J17" i="9"/>
  <c r="I17" i="9"/>
  <c r="H17" i="9"/>
  <c r="G17" i="9"/>
  <c r="F17" i="9"/>
  <c r="E17" i="9"/>
  <c r="D17" i="9"/>
  <c r="C17" i="9"/>
  <c r="K16" i="9"/>
  <c r="J16" i="9"/>
  <c r="I16" i="9"/>
  <c r="H16" i="9"/>
  <c r="G16" i="9"/>
  <c r="F16" i="9"/>
  <c r="E16" i="9"/>
  <c r="D16" i="9"/>
  <c r="C16" i="9"/>
  <c r="K15" i="9"/>
  <c r="J15" i="9"/>
  <c r="I15" i="9"/>
  <c r="H15" i="9"/>
  <c r="G15" i="9"/>
  <c r="F15" i="9"/>
  <c r="E15" i="9"/>
  <c r="D15" i="9"/>
  <c r="C15" i="9"/>
  <c r="K14" i="9"/>
  <c r="J14" i="9"/>
  <c r="I14" i="9"/>
  <c r="H14" i="9"/>
  <c r="G14" i="9"/>
  <c r="F14" i="9"/>
  <c r="E14" i="9"/>
  <c r="D14" i="9"/>
  <c r="C14" i="9"/>
  <c r="K13" i="9"/>
  <c r="J13" i="9"/>
  <c r="I13" i="9"/>
  <c r="H13" i="9"/>
  <c r="G13" i="9"/>
  <c r="F13" i="9"/>
  <c r="E13" i="9"/>
  <c r="D13" i="9"/>
  <c r="B44" i="9" s="1"/>
  <c r="C13" i="9"/>
  <c r="B47" i="8"/>
  <c r="B46" i="8"/>
  <c r="B45" i="8"/>
  <c r="K35" i="8"/>
  <c r="G35" i="8"/>
  <c r="F35" i="8"/>
  <c r="E35" i="8"/>
  <c r="D35" i="8"/>
  <c r="C35" i="8"/>
  <c r="K34" i="8"/>
  <c r="G34" i="8"/>
  <c r="F34" i="8"/>
  <c r="E34" i="8"/>
  <c r="D34" i="8"/>
  <c r="C34" i="8"/>
  <c r="K33" i="8"/>
  <c r="G33" i="8"/>
  <c r="F33" i="8"/>
  <c r="E33" i="8"/>
  <c r="D33" i="8"/>
  <c r="C33" i="8"/>
  <c r="K32" i="8"/>
  <c r="G32" i="8"/>
  <c r="F32" i="8"/>
  <c r="E32" i="8"/>
  <c r="D32" i="8"/>
  <c r="C32" i="8"/>
  <c r="K31" i="8"/>
  <c r="G31" i="8"/>
  <c r="F31" i="8"/>
  <c r="E31" i="8"/>
  <c r="D31" i="8"/>
  <c r="C31" i="8"/>
  <c r="K30" i="8"/>
  <c r="G30" i="8"/>
  <c r="F30" i="8"/>
  <c r="E30" i="8"/>
  <c r="D30" i="8"/>
  <c r="C30" i="8"/>
  <c r="K29" i="8"/>
  <c r="H29" i="8"/>
  <c r="G29" i="8"/>
  <c r="F29" i="8"/>
  <c r="E29" i="8"/>
  <c r="D29" i="8"/>
  <c r="C29" i="8"/>
  <c r="K19" i="8"/>
  <c r="J19" i="8"/>
  <c r="I19" i="8"/>
  <c r="H19" i="8"/>
  <c r="G19" i="8"/>
  <c r="F19" i="8"/>
  <c r="E19" i="8"/>
  <c r="D19" i="8"/>
  <c r="C19" i="8"/>
  <c r="K18" i="8"/>
  <c r="J18" i="8"/>
  <c r="I18" i="8"/>
  <c r="H18" i="8"/>
  <c r="G18" i="8"/>
  <c r="F18" i="8"/>
  <c r="E18" i="8"/>
  <c r="D18" i="8"/>
  <c r="C18" i="8"/>
  <c r="K17" i="8"/>
  <c r="J17" i="8"/>
  <c r="I17" i="8"/>
  <c r="H17" i="8"/>
  <c r="G17" i="8"/>
  <c r="F17" i="8"/>
  <c r="E17" i="8"/>
  <c r="D17" i="8"/>
  <c r="C17" i="8"/>
  <c r="K16" i="8"/>
  <c r="J16" i="8"/>
  <c r="I16" i="8"/>
  <c r="H16" i="8"/>
  <c r="G16" i="8"/>
  <c r="F16" i="8"/>
  <c r="E16" i="8"/>
  <c r="D16" i="8"/>
  <c r="C16" i="8"/>
  <c r="K15" i="8"/>
  <c r="J15" i="8"/>
  <c r="I15" i="8"/>
  <c r="H15" i="8"/>
  <c r="G15" i="8"/>
  <c r="F15" i="8"/>
  <c r="E15" i="8"/>
  <c r="D15" i="8"/>
  <c r="C15" i="8"/>
  <c r="K14" i="8"/>
  <c r="J14" i="8"/>
  <c r="I14" i="8"/>
  <c r="H14" i="8"/>
  <c r="G14" i="8"/>
  <c r="F14" i="8"/>
  <c r="E14" i="8"/>
  <c r="D14" i="8"/>
  <c r="C14" i="8"/>
  <c r="K13" i="8"/>
  <c r="J13" i="8"/>
  <c r="I13" i="8"/>
  <c r="H13" i="8"/>
  <c r="G13" i="8"/>
  <c r="F13" i="8"/>
  <c r="E13" i="8"/>
  <c r="D13" i="8"/>
  <c r="C13" i="8"/>
  <c r="D93" i="4"/>
  <c r="K30" i="7"/>
  <c r="K31" i="7"/>
  <c r="K32" i="7"/>
  <c r="K33" i="7"/>
  <c r="K34" i="7"/>
  <c r="K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D29" i="7"/>
  <c r="E29" i="7"/>
  <c r="F29" i="7"/>
  <c r="G29" i="7"/>
  <c r="H29" i="7"/>
  <c r="C29" i="7"/>
  <c r="C14" i="7"/>
  <c r="D14" i="7"/>
  <c r="E14" i="7"/>
  <c r="F14" i="7"/>
  <c r="G14" i="7"/>
  <c r="H14" i="7"/>
  <c r="I14" i="7"/>
  <c r="J14" i="7"/>
  <c r="K14" i="7"/>
  <c r="C15" i="7"/>
  <c r="D15" i="7"/>
  <c r="E15" i="7"/>
  <c r="F15" i="7"/>
  <c r="G15" i="7"/>
  <c r="H15" i="7"/>
  <c r="I15" i="7"/>
  <c r="J15" i="7"/>
  <c r="K15" i="7"/>
  <c r="C16" i="7"/>
  <c r="D16" i="7"/>
  <c r="E16" i="7"/>
  <c r="F16" i="7"/>
  <c r="G16" i="7"/>
  <c r="H16" i="7"/>
  <c r="I16" i="7"/>
  <c r="J16" i="7"/>
  <c r="K16" i="7"/>
  <c r="C17" i="7"/>
  <c r="D17" i="7"/>
  <c r="E17" i="7"/>
  <c r="F17" i="7"/>
  <c r="G17" i="7"/>
  <c r="H17" i="7"/>
  <c r="I17" i="7"/>
  <c r="J17" i="7"/>
  <c r="K17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D13" i="7"/>
  <c r="E13" i="7"/>
  <c r="F13" i="7"/>
  <c r="G13" i="7"/>
  <c r="H13" i="7"/>
  <c r="I13" i="7"/>
  <c r="J13" i="7"/>
  <c r="K13" i="7"/>
  <c r="C13" i="7"/>
  <c r="J31" i="11" l="1"/>
  <c r="B44" i="11" s="1"/>
  <c r="B57" i="12"/>
  <c r="B41" i="12"/>
  <c r="B58" i="12"/>
  <c r="B59" i="12"/>
  <c r="B60" i="12"/>
  <c r="B42" i="12"/>
  <c r="B62" i="12"/>
  <c r="I35" i="12"/>
  <c r="B63" i="12" s="1"/>
  <c r="J35" i="11"/>
  <c r="B69" i="11" s="1"/>
  <c r="B65" i="11"/>
  <c r="B68" i="11"/>
  <c r="B66" i="11"/>
  <c r="B67" i="11"/>
  <c r="B45" i="11"/>
  <c r="B63" i="11"/>
  <c r="B64" i="11"/>
  <c r="B63" i="7"/>
  <c r="B55" i="7"/>
  <c r="J32" i="10"/>
  <c r="J33" i="10"/>
  <c r="J34" i="10"/>
  <c r="B60" i="7"/>
  <c r="D133" i="4"/>
  <c r="D126" i="4" s="1"/>
  <c r="E126" i="4" s="1"/>
  <c r="E125" i="4"/>
  <c r="AB130" i="4"/>
  <c r="X130" i="4"/>
  <c r="AA130" i="4" s="1"/>
  <c r="AB129" i="4"/>
  <c r="Z129" i="4"/>
  <c r="AC129" i="4" s="1"/>
  <c r="X129" i="4"/>
  <c r="AA129" i="4" s="1"/>
  <c r="AB128" i="4"/>
  <c r="X128" i="4"/>
  <c r="Z128" i="4" s="1"/>
  <c r="AC128" i="4" s="1"/>
  <c r="AB127" i="4"/>
  <c r="X127" i="4"/>
  <c r="AA127" i="4" s="1"/>
  <c r="AB126" i="4"/>
  <c r="X126" i="4"/>
  <c r="AA126" i="4" s="1"/>
  <c r="E57" i="4"/>
  <c r="E58" i="4"/>
  <c r="E59" i="4"/>
  <c r="E60" i="4"/>
  <c r="E61" i="4"/>
  <c r="E62" i="4"/>
  <c r="E63" i="4"/>
  <c r="E107" i="4"/>
  <c r="E108" i="4"/>
  <c r="E109" i="4"/>
  <c r="E106" i="4"/>
  <c r="F18" i="4"/>
  <c r="F11" i="4"/>
  <c r="F12" i="4"/>
  <c r="F13" i="4"/>
  <c r="F14" i="4"/>
  <c r="F15" i="4"/>
  <c r="F16" i="4"/>
  <c r="F17" i="4"/>
  <c r="F10" i="4"/>
  <c r="F110" i="4"/>
  <c r="F41" i="4"/>
  <c r="F34" i="4"/>
  <c r="F35" i="4"/>
  <c r="F36" i="4"/>
  <c r="F37" i="4"/>
  <c r="F38" i="4"/>
  <c r="F39" i="4"/>
  <c r="F40" i="4"/>
  <c r="F33" i="4"/>
  <c r="F57" i="4"/>
  <c r="F58" i="4"/>
  <c r="F59" i="4"/>
  <c r="F60" i="4"/>
  <c r="F61" i="4"/>
  <c r="F62" i="4"/>
  <c r="F63" i="4"/>
  <c r="F64" i="4"/>
  <c r="F56" i="4"/>
  <c r="F82" i="4"/>
  <c r="F80" i="4"/>
  <c r="F81" i="4"/>
  <c r="F83" i="4"/>
  <c r="F84" i="4"/>
  <c r="F85" i="4"/>
  <c r="F86" i="4"/>
  <c r="F87" i="4"/>
  <c r="F79" i="4"/>
  <c r="F102" i="4"/>
  <c r="G102" i="4" s="1"/>
  <c r="F104" i="4"/>
  <c r="F105" i="4"/>
  <c r="F106" i="4"/>
  <c r="F107" i="4"/>
  <c r="F108" i="4"/>
  <c r="F109" i="4"/>
  <c r="F103" i="4"/>
  <c r="E110" i="4"/>
  <c r="H110" i="4" s="1"/>
  <c r="E87" i="4"/>
  <c r="E64" i="4"/>
  <c r="E41" i="4"/>
  <c r="E18" i="4"/>
  <c r="AB107" i="4"/>
  <c r="X107" i="4"/>
  <c r="AA107" i="4" s="1"/>
  <c r="AE107" i="4" s="1"/>
  <c r="AE102" i="4" s="1"/>
  <c r="AB106" i="4"/>
  <c r="X106" i="4"/>
  <c r="AA106" i="4" s="1"/>
  <c r="AE106" i="4" s="1"/>
  <c r="AB105" i="4"/>
  <c r="X105" i="4"/>
  <c r="AA105" i="4" s="1"/>
  <c r="AE105" i="4" s="1"/>
  <c r="AB104" i="4"/>
  <c r="X104" i="4"/>
  <c r="AA104" i="4" s="1"/>
  <c r="AB103" i="4"/>
  <c r="X103" i="4"/>
  <c r="AA103" i="4" s="1"/>
  <c r="H107" i="4"/>
  <c r="G106" i="4"/>
  <c r="E105" i="4"/>
  <c r="G105" i="4" s="1"/>
  <c r="E104" i="4"/>
  <c r="G104" i="4" s="1"/>
  <c r="E103" i="4"/>
  <c r="G103" i="4" s="1"/>
  <c r="E102" i="4"/>
  <c r="AB18" i="4"/>
  <c r="AB17" i="4"/>
  <c r="AB16" i="4"/>
  <c r="AB15" i="4"/>
  <c r="AB14" i="4"/>
  <c r="AB13" i="4"/>
  <c r="AB12" i="4"/>
  <c r="AB11" i="4"/>
  <c r="AB10" i="4"/>
  <c r="B43" i="12" l="1"/>
  <c r="B42" i="8"/>
  <c r="B46" i="7"/>
  <c r="B45" i="7"/>
  <c r="B57" i="7"/>
  <c r="B41" i="9"/>
  <c r="B42" i="7"/>
  <c r="B47" i="7"/>
  <c r="B41" i="7"/>
  <c r="B43" i="7"/>
  <c r="D129" i="4"/>
  <c r="E129" i="4" s="1"/>
  <c r="E133" i="4"/>
  <c r="D128" i="4"/>
  <c r="E128" i="4" s="1"/>
  <c r="D131" i="4"/>
  <c r="E131" i="4" s="1"/>
  <c r="D127" i="4"/>
  <c r="E127" i="4" s="1"/>
  <c r="D132" i="4"/>
  <c r="E132" i="4" s="1"/>
  <c r="D130" i="4"/>
  <c r="E130" i="4" s="1"/>
  <c r="Z130" i="4"/>
  <c r="AC130" i="4" s="1"/>
  <c r="AC125" i="4" s="1"/>
  <c r="AG125" i="4" s="1"/>
  <c r="AE126" i="4"/>
  <c r="AE127" i="4"/>
  <c r="Z126" i="4"/>
  <c r="AC126" i="4" s="1"/>
  <c r="Z127" i="4"/>
  <c r="AC127" i="4" s="1"/>
  <c r="AE129" i="4"/>
  <c r="AE130" i="4"/>
  <c r="AE125" i="4" s="1"/>
  <c r="AA128" i="4"/>
  <c r="AE128" i="4" s="1"/>
  <c r="Z103" i="4"/>
  <c r="AC103" i="4" s="1"/>
  <c r="Z104" i="4"/>
  <c r="AC104" i="4" s="1"/>
  <c r="AE103" i="4"/>
  <c r="AE104" i="4"/>
  <c r="D116" i="4"/>
  <c r="H102" i="4"/>
  <c r="H103" i="4"/>
  <c r="H104" i="4"/>
  <c r="H105" i="4"/>
  <c r="H106" i="4"/>
  <c r="Z105" i="4"/>
  <c r="AC105" i="4" s="1"/>
  <c r="Z106" i="4"/>
  <c r="AC106" i="4" s="1"/>
  <c r="Z107" i="4"/>
  <c r="AC107" i="4" s="1"/>
  <c r="AC102" i="4" s="1"/>
  <c r="G107" i="4"/>
  <c r="G110" i="4"/>
  <c r="Y18" i="4"/>
  <c r="Y17" i="4"/>
  <c r="Y16" i="4"/>
  <c r="Y15" i="4"/>
  <c r="Y14" i="4"/>
  <c r="Y13" i="4"/>
  <c r="Y12" i="4"/>
  <c r="Y11" i="4"/>
  <c r="Y10" i="4"/>
  <c r="D139" i="4" l="1"/>
  <c r="AG102" i="4"/>
  <c r="H108" i="4"/>
  <c r="G108" i="4"/>
  <c r="O16" i="4"/>
  <c r="H109" i="4" l="1"/>
  <c r="G109" i="4"/>
  <c r="D117" i="4"/>
  <c r="Q22" i="4"/>
  <c r="Q23" i="4"/>
  <c r="Q24" i="4"/>
  <c r="Q25" i="4"/>
  <c r="Q26" i="4"/>
  <c r="Q27" i="4"/>
  <c r="Q28" i="4"/>
  <c r="Q29" i="4"/>
  <c r="Q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P21" i="4"/>
  <c r="O21" i="4"/>
  <c r="N21" i="4"/>
  <c r="Q10" i="4"/>
  <c r="P10" i="4"/>
  <c r="O10" i="4"/>
  <c r="N22" i="4"/>
  <c r="N23" i="4"/>
  <c r="N24" i="4"/>
  <c r="N25" i="4"/>
  <c r="N26" i="4"/>
  <c r="N27" i="4"/>
  <c r="N28" i="4"/>
  <c r="N29" i="4"/>
  <c r="N10" i="4"/>
  <c r="Q12" i="4"/>
  <c r="E79" i="4"/>
  <c r="H79" i="4" s="1"/>
  <c r="G79" i="4"/>
  <c r="E80" i="4"/>
  <c r="G80" i="4" s="1"/>
  <c r="E81" i="4"/>
  <c r="G81" i="4" s="1"/>
  <c r="E82" i="4"/>
  <c r="G82" i="4" s="1"/>
  <c r="Q13" i="4"/>
  <c r="E83" i="4"/>
  <c r="G83" i="4" s="1"/>
  <c r="Q14" i="4"/>
  <c r="E84" i="4"/>
  <c r="G84" i="4" s="1"/>
  <c r="Q15" i="4"/>
  <c r="Q16" i="4"/>
  <c r="Q17" i="4"/>
  <c r="G87" i="4"/>
  <c r="Q18" i="4"/>
  <c r="O12" i="4"/>
  <c r="E35" i="4"/>
  <c r="G35" i="4" s="1"/>
  <c r="O18" i="4"/>
  <c r="H41" i="4"/>
  <c r="O17" i="4"/>
  <c r="E39" i="4"/>
  <c r="G39" i="4" s="1"/>
  <c r="O15" i="4"/>
  <c r="E38" i="4"/>
  <c r="G38" i="4" s="1"/>
  <c r="O14" i="4"/>
  <c r="E37" i="4"/>
  <c r="G37" i="4" s="1"/>
  <c r="O13" i="4"/>
  <c r="E36" i="4"/>
  <c r="G36" i="4" s="1"/>
  <c r="O11" i="4"/>
  <c r="E34" i="4"/>
  <c r="H34" i="4" s="1"/>
  <c r="G33" i="4"/>
  <c r="E33" i="4"/>
  <c r="H33" i="4" s="1"/>
  <c r="N11" i="4"/>
  <c r="N12" i="4"/>
  <c r="N13" i="4"/>
  <c r="N14" i="4"/>
  <c r="N15" i="4"/>
  <c r="N16" i="4"/>
  <c r="N17" i="4"/>
  <c r="N18" i="4"/>
  <c r="G10" i="4"/>
  <c r="P11" i="4"/>
  <c r="P12" i="4"/>
  <c r="P13" i="4"/>
  <c r="P14" i="4"/>
  <c r="P15" i="4"/>
  <c r="P16" i="4"/>
  <c r="P17" i="4"/>
  <c r="P18" i="4"/>
  <c r="G56" i="4"/>
  <c r="G62" i="4"/>
  <c r="H64" i="4"/>
  <c r="H61" i="4"/>
  <c r="H60" i="4"/>
  <c r="H59" i="4"/>
  <c r="H58" i="4"/>
  <c r="H57" i="4"/>
  <c r="E56" i="4"/>
  <c r="Q11" i="4" l="1"/>
  <c r="D71" i="4"/>
  <c r="D24" i="4"/>
  <c r="D47" i="4"/>
  <c r="D70" i="4"/>
  <c r="H80" i="4"/>
  <c r="H38" i="4"/>
  <c r="H35" i="4"/>
  <c r="E85" i="4"/>
  <c r="H87" i="4"/>
  <c r="H84" i="4"/>
  <c r="H83" i="4"/>
  <c r="H82" i="4"/>
  <c r="H81" i="4"/>
  <c r="H37" i="4"/>
  <c r="G34" i="4"/>
  <c r="H36" i="4"/>
  <c r="H39" i="4"/>
  <c r="G57" i="4"/>
  <c r="E40" i="4"/>
  <c r="G40" i="4" s="1"/>
  <c r="G41" i="4"/>
  <c r="G64" i="4"/>
  <c r="G58" i="4"/>
  <c r="G63" i="4"/>
  <c r="G61" i="4"/>
  <c r="G59" i="4"/>
  <c r="G60" i="4"/>
  <c r="H56" i="4"/>
  <c r="H62" i="4"/>
  <c r="E12" i="4"/>
  <c r="G12" i="4" s="1"/>
  <c r="E13" i="4"/>
  <c r="G13" i="4" s="1"/>
  <c r="E14" i="4"/>
  <c r="G14" i="4" s="1"/>
  <c r="E15" i="4"/>
  <c r="G15" i="4" s="1"/>
  <c r="E16" i="4"/>
  <c r="G16" i="4" s="1"/>
  <c r="E11" i="4"/>
  <c r="G11" i="4" s="1"/>
  <c r="G18" i="4"/>
  <c r="E10" i="4"/>
  <c r="G85" i="4" l="1"/>
  <c r="H85" i="4"/>
  <c r="E86" i="4"/>
  <c r="H86" i="4" s="1"/>
  <c r="D48" i="4"/>
  <c r="H40" i="4"/>
  <c r="H63" i="4"/>
  <c r="H10" i="4"/>
  <c r="E17" i="4"/>
  <c r="G17" i="4" s="1"/>
  <c r="AB81" i="4"/>
  <c r="AB82" i="4"/>
  <c r="AB83" i="4"/>
  <c r="AB84" i="4"/>
  <c r="AB85" i="4"/>
  <c r="X84" i="4"/>
  <c r="Z84" i="4" s="1"/>
  <c r="AC84" i="4" s="1"/>
  <c r="X85" i="4"/>
  <c r="AA85" i="4" s="1"/>
  <c r="X83" i="4"/>
  <c r="AA83" i="4" s="1"/>
  <c r="X82" i="4"/>
  <c r="AA82" i="4" s="1"/>
  <c r="X81" i="4"/>
  <c r="AA81" i="4" s="1"/>
  <c r="Z85" i="4"/>
  <c r="AC85" i="4" s="1"/>
  <c r="AD128" i="4" l="1"/>
  <c r="AD126" i="4"/>
  <c r="AD129" i="4"/>
  <c r="AD127" i="4"/>
  <c r="AC80" i="4"/>
  <c r="AD104" i="4"/>
  <c r="AD105" i="4"/>
  <c r="AD103" i="4"/>
  <c r="AD106" i="4"/>
  <c r="D94" i="4"/>
  <c r="G86" i="4"/>
  <c r="D25" i="4"/>
  <c r="AE81" i="4"/>
  <c r="Z81" i="4"/>
  <c r="AC81" i="4" s="1"/>
  <c r="AD81" i="4" s="1"/>
  <c r="AA84" i="4"/>
  <c r="AE84" i="4" s="1"/>
  <c r="AD84" i="4"/>
  <c r="Z83" i="4"/>
  <c r="AC83" i="4" s="1"/>
  <c r="AD83" i="4" s="1"/>
  <c r="Z82" i="4"/>
  <c r="AC82" i="4" s="1"/>
  <c r="AD82" i="4" s="1"/>
  <c r="AE82" i="4"/>
  <c r="AE83" i="4"/>
  <c r="AE85" i="4"/>
  <c r="AF126" i="4" l="1"/>
  <c r="AF127" i="4"/>
  <c r="AF129" i="4"/>
  <c r="AF128" i="4"/>
  <c r="AE80" i="4"/>
  <c r="AF105" i="4"/>
  <c r="AF106" i="4"/>
  <c r="AF104" i="4"/>
  <c r="AF103" i="4"/>
  <c r="AG80" i="4"/>
  <c r="AF81" i="4"/>
  <c r="AF82" i="4"/>
  <c r="AF84" i="4"/>
  <c r="AF83" i="4"/>
  <c r="H13" i="4" l="1"/>
  <c r="H15" i="4"/>
  <c r="H14" i="4"/>
  <c r="H16" i="4"/>
  <c r="H17" i="4"/>
  <c r="H11" i="4"/>
  <c r="H12" i="4"/>
  <c r="H18" i="4"/>
  <c r="B43" i="8"/>
  <c r="B63" i="8" l="1"/>
  <c r="I35" i="9"/>
  <c r="B42" i="9" s="1"/>
</calcChain>
</file>

<file path=xl/sharedStrings.xml><?xml version="1.0" encoding="utf-8"?>
<sst xmlns="http://schemas.openxmlformats.org/spreadsheetml/2006/main" count="683" uniqueCount="137">
  <si>
    <t>DB</t>
  </si>
  <si>
    <t>1BB</t>
  </si>
  <si>
    <t>67F</t>
  </si>
  <si>
    <t>DE</t>
  </si>
  <si>
    <t>6EE</t>
  </si>
  <si>
    <t>1CB</t>
  </si>
  <si>
    <t>35E</t>
  </si>
  <si>
    <t>60D</t>
  </si>
  <si>
    <t>14D</t>
  </si>
  <si>
    <t>1EF</t>
  </si>
  <si>
    <t>f00</t>
  </si>
  <si>
    <t>TorqueBP</t>
  </si>
  <si>
    <t>Steer Max</t>
  </si>
  <si>
    <t>TorqueV:</t>
  </si>
  <si>
    <t>TorqueBP:</t>
  </si>
  <si>
    <t>TorqueV</t>
  </si>
  <si>
    <t>Civic Hatch</t>
  </si>
  <si>
    <t>Civic Sedan</t>
  </si>
  <si>
    <t>CRV steer ratio</t>
  </si>
  <si>
    <t>?</t>
  </si>
  <si>
    <t>Ratio</t>
  </si>
  <si>
    <t>Right Ratio</t>
  </si>
  <si>
    <t>Left Ratio</t>
  </si>
  <si>
    <t>Percent</t>
  </si>
  <si>
    <t>Wheel(°)</t>
  </si>
  <si>
    <t>Left Tire(°)</t>
  </si>
  <si>
    <t>Right Tire(°)</t>
  </si>
  <si>
    <t>Avg Tire(°)</t>
  </si>
  <si>
    <t>14d</t>
  </si>
  <si>
    <t>1ef</t>
  </si>
  <si>
    <t>6ee</t>
  </si>
  <si>
    <t>DC5</t>
  </si>
  <si>
    <t>119f</t>
  </si>
  <si>
    <t>140b</t>
  </si>
  <si>
    <t>Clarity</t>
  </si>
  <si>
    <t>Original Torque_table_val</t>
  </si>
  <si>
    <t>Original Torque_table_idx</t>
  </si>
  <si>
    <t>Motor Torque Output</t>
  </si>
  <si>
    <t>STEER_CONFIG_INDEX</t>
  </si>
  <si>
    <t>6F</t>
  </si>
  <si>
    <t>A00</t>
  </si>
  <si>
    <t>D00</t>
  </si>
  <si>
    <t>F00</t>
  </si>
  <si>
    <t>10C0</t>
  </si>
  <si>
    <t>11FF</t>
  </si>
  <si>
    <t>B04</t>
  </si>
  <si>
    <t>CDF</t>
  </si>
  <si>
    <t>E19</t>
  </si>
  <si>
    <t>CR-V</t>
  </si>
  <si>
    <t>A15</t>
  </si>
  <si>
    <t>E6D</t>
  </si>
  <si>
    <t>129A</t>
  </si>
  <si>
    <t>134D</t>
  </si>
  <si>
    <t>Torque_Table_Val</t>
  </si>
  <si>
    <t>Torque_Table_IDX</t>
  </si>
  <si>
    <t>Clarity_torque_in</t>
  </si>
  <si>
    <t>Clarity torque_out</t>
  </si>
  <si>
    <t>clarity filter</t>
  </si>
  <si>
    <t>crv filter</t>
  </si>
  <si>
    <t>Insight</t>
  </si>
  <si>
    <t>Torque multiplier</t>
  </si>
  <si>
    <t>6f</t>
  </si>
  <si>
    <t>de</t>
  </si>
  <si>
    <t>1bb</t>
  </si>
  <si>
    <t>idx = e4 *ddb4 &gt;&gt; f &gt;&gt; 2</t>
  </si>
  <si>
    <t>e4 = idx&lt;&lt; 2 &lt;&lt; f / ddb4</t>
  </si>
  <si>
    <t>a80</t>
  </si>
  <si>
    <t>ce6</t>
  </si>
  <si>
    <t>idx row 1</t>
  </si>
  <si>
    <t>c00</t>
  </si>
  <si>
    <t>eb6</t>
  </si>
  <si>
    <t>10ae</t>
  </si>
  <si>
    <t>Linear BP</t>
  </si>
  <si>
    <t>Linear Testing (breaks sensing)</t>
  </si>
  <si>
    <t>Original Max:</t>
  </si>
  <si>
    <t>Multiplier:</t>
  </si>
  <si>
    <t>db</t>
  </si>
  <si>
    <t>67f</t>
  </si>
  <si>
    <t>1b5</t>
  </si>
  <si>
    <t>51c</t>
  </si>
  <si>
    <t>idx row 2</t>
  </si>
  <si>
    <t>idx row 3</t>
  </si>
  <si>
    <t>idx row 4</t>
  </si>
  <si>
    <t>idx row 5</t>
  </si>
  <si>
    <t>idx row 6</t>
  </si>
  <si>
    <t>idx row 7</t>
  </si>
  <si>
    <t>torqueV 1</t>
  </si>
  <si>
    <t>torqueV 2</t>
  </si>
  <si>
    <t>torqueV 3</t>
  </si>
  <si>
    <t>torqueV 4</t>
  </si>
  <si>
    <t>torqueV 5</t>
  </si>
  <si>
    <t>torqueV 6</t>
  </si>
  <si>
    <t>torqueV 7</t>
  </si>
  <si>
    <t>a15</t>
  </si>
  <si>
    <t>e6d</t>
  </si>
  <si>
    <t>129a</t>
  </si>
  <si>
    <t>134d</t>
  </si>
  <si>
    <t>6b3</t>
  </si>
  <si>
    <t>bf8</t>
  </si>
  <si>
    <t>ebb</t>
  </si>
  <si>
    <t>6e1</t>
  </si>
  <si>
    <t>c9a</t>
  </si>
  <si>
    <t>*table goes to 6ee but fn is clamped to 67f</t>
  </si>
  <si>
    <t>b1a</t>
  </si>
  <si>
    <t>ccd</t>
  </si>
  <si>
    <t>e9a</t>
  </si>
  <si>
    <t>104d</t>
  </si>
  <si>
    <t>119a</t>
  </si>
  <si>
    <t>11da</t>
  </si>
  <si>
    <t>original torque_table row 1</t>
  </si>
  <si>
    <t>original torque_table row 2</t>
  </si>
  <si>
    <t>original torque_table row 3</t>
  </si>
  <si>
    <t>original torque_table row 4</t>
  </si>
  <si>
    <t>original torque_table row 5</t>
  </si>
  <si>
    <t>original torque_table row 6</t>
  </si>
  <si>
    <t>original torque_table row 7</t>
  </si>
  <si>
    <t>new torque_table row 1</t>
  </si>
  <si>
    <t>new torque_table row 2</t>
  </si>
  <si>
    <t>new torque_table row 3</t>
  </si>
  <si>
    <t>new torque_table row 4</t>
  </si>
  <si>
    <t>new torque_table row 5</t>
  </si>
  <si>
    <t>new torque_table row 6</t>
  </si>
  <si>
    <t>new torque_table row 7</t>
  </si>
  <si>
    <t>a00</t>
  </si>
  <si>
    <t>d00</t>
  </si>
  <si>
    <t>10c0</t>
  </si>
  <si>
    <t>11ff</t>
  </si>
  <si>
    <t>e00</t>
  </si>
  <si>
    <t>b04</t>
  </si>
  <si>
    <t>cdf</t>
  </si>
  <si>
    <t>e19</t>
  </si>
  <si>
    <t>917</t>
  </si>
  <si>
    <t>dc5</t>
  </si>
  <si>
    <t>140a</t>
  </si>
  <si>
    <t>2a1</t>
  </si>
  <si>
    <t>aee</t>
  </si>
  <si>
    <t>141a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</si>
</sst>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7" xfId="0" applyBorder="1" applyAlignment="1">
      <alignment wrapText="1"/>
    </xf>
    <xf numFmtId="0" fontId="0" fillId="3" borderId="0" xfId="0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0" fillId="0" borderId="11" xfId="0" applyBorder="1"/>
    <xf numFmtId="0" fontId="0" fillId="0" borderId="10" xfId="0" applyBorder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>
      <alignment wrapText="1"/>
    </xf>
    <xf numFmtId="0" fontId="0" fillId="0" borderId="5" xfId="0" applyBorder="1" applyAlignment="1"/>
    <xf numFmtId="0" fontId="0" fillId="0" borderId="6" xfId="0" applyBorder="1" applyAlignment="1"/>
    <xf numFmtId="0" fontId="0" fillId="2" borderId="0" xfId="0" applyFill="1" applyBorder="1"/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  <xf numFmtId="0" fontId="0" fillId="0" borderId="0" xfId="0" applyBorder="1" applyAlignment="1"/>
    <xf numFmtId="165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11" fontId="0" fillId="2" borderId="0" xfId="0" quotePrefix="1" applyNumberFormat="1" applyFill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  <a:r>
              <a:rPr lang="en-US" baseline="0"/>
              <a:t> CR V Steering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misc!$V$80:$V$85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405</c:v>
                </c:pt>
              </c:numCache>
            </c:numRef>
          </c:xVal>
          <c:yVal>
            <c:numRef>
              <c:f>misc!$AC$80:$AC$85</c:f>
              <c:numCache>
                <c:formatCode>General</c:formatCode>
                <c:ptCount val="6"/>
                <c:pt idx="0" formatCode="0.0000">
                  <c:v>14.708715973483958</c:v>
                </c:pt>
                <c:pt idx="1">
                  <c:v>14.044176738161928</c:v>
                </c:pt>
                <c:pt idx="2">
                  <c:v>13.866883058520814</c:v>
                </c:pt>
                <c:pt idx="3">
                  <c:v>13.138696787264225</c:v>
                </c:pt>
                <c:pt idx="4">
                  <c:v>12.510867368008903</c:v>
                </c:pt>
                <c:pt idx="5">
                  <c:v>12.257263311236631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8-514D-AA49-06E8BCBA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0240"/>
        <c:axId val="498043200"/>
      </c:scatterChart>
      <c:valAx>
        <c:axId val="4972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 Wheel</a:t>
                </a:r>
                <a:r>
                  <a:rPr lang="en-US" baseline="0"/>
                  <a:t> </a:t>
                </a:r>
                <a:r>
                  <a:rPr lang="en-US"/>
                  <a:t>Angle</a:t>
                </a:r>
              </a:p>
            </c:rich>
          </c:tx>
          <c:layout>
            <c:manualLayout>
              <c:xMode val="edge"/>
              <c:yMode val="edge"/>
              <c:x val="0.34619809188500283"/>
              <c:y val="0.88949383938879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43200"/>
        <c:crosses val="autoZero"/>
        <c:crossBetween val="midCat"/>
      </c:valAx>
      <c:valAx>
        <c:axId val="498043200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misc!$E$125:$E$133</c:f>
              <c:numCache>
                <c:formatCode>General</c:formatCode>
                <c:ptCount val="9"/>
                <c:pt idx="0">
                  <c:v>0</c:v>
                </c:pt>
                <c:pt idx="1">
                  <c:v>2752</c:v>
                </c:pt>
                <c:pt idx="2">
                  <c:v>5504</c:v>
                </c:pt>
                <c:pt idx="3">
                  <c:v>8256</c:v>
                </c:pt>
                <c:pt idx="4">
                  <c:v>11008</c:v>
                </c:pt>
                <c:pt idx="5">
                  <c:v>13760</c:v>
                </c:pt>
                <c:pt idx="6">
                  <c:v>16512</c:v>
                </c:pt>
                <c:pt idx="7">
                  <c:v>19264</c:v>
                </c:pt>
                <c:pt idx="8">
                  <c:v>22016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F-1244-AD91-8485C375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3072"/>
        <c:axId val="182230384"/>
      </c:scatterChart>
      <c:valAx>
        <c:axId val="1423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0384"/>
        <c:crosses val="autoZero"/>
        <c:crossBetween val="midCat"/>
      </c:valAx>
      <c:valAx>
        <c:axId val="1822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misc!$H$9</c:f>
              <c:strCache>
                <c:ptCount val="1"/>
                <c:pt idx="0">
                  <c:v>Motor Torque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misc!$G$10:$G$18</c:f>
              <c:numCache>
                <c:formatCode>General</c:formatCode>
                <c:ptCount val="9"/>
                <c:pt idx="0">
                  <c:v>0</c:v>
                </c:pt>
                <c:pt idx="1">
                  <c:v>2327</c:v>
                </c:pt>
                <c:pt idx="2">
                  <c:v>3525</c:v>
                </c:pt>
                <c:pt idx="3">
                  <c:v>4119</c:v>
                </c:pt>
                <c:pt idx="4">
                  <c:v>4511</c:v>
                </c:pt>
                <c:pt idx="5">
                  <c:v>5131</c:v>
                </c:pt>
                <c:pt idx="6">
                  <c:v>5760</c:v>
                </c:pt>
                <c:pt idx="7">
                  <c:v>8640</c:v>
                </c:pt>
                <c:pt idx="8">
                  <c:v>11520</c:v>
                </c:pt>
              </c:numCache>
            </c:numRef>
          </c:xVal>
          <c:yVal>
            <c:numRef>
              <c:f>misc!$H$10:$H$18</c:f>
              <c:numCache>
                <c:formatCode>General</c:formatCode>
                <c:ptCount val="9"/>
                <c:pt idx="0">
                  <c:v>0</c:v>
                </c:pt>
                <c:pt idx="1">
                  <c:v>2327</c:v>
                </c:pt>
                <c:pt idx="2">
                  <c:v>3525</c:v>
                </c:pt>
                <c:pt idx="3">
                  <c:v>4119</c:v>
                </c:pt>
                <c:pt idx="4">
                  <c:v>4511</c:v>
                </c:pt>
                <c:pt idx="5">
                  <c:v>5131</c:v>
                </c:pt>
                <c:pt idx="6">
                  <c:v>5760</c:v>
                </c:pt>
                <c:pt idx="7">
                  <c:v>8640</c:v>
                </c:pt>
                <c:pt idx="8">
                  <c:v>11520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E-3A42-8904-C1899208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1552"/>
        <c:axId val="660373184"/>
      </c:scatterChart>
      <c:valAx>
        <c:axId val="6603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3184"/>
        <c:crosses val="autoZero"/>
        <c:crossBetween val="midCat"/>
      </c:valAx>
      <c:valAx>
        <c:axId val="660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misc!$H$9</c:f>
              <c:strCache>
                <c:ptCount val="1"/>
                <c:pt idx="0">
                  <c:v>Motor Torque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misc!$G$56:$G$64</c:f>
              <c:numCache>
                <c:formatCode>General</c:formatCode>
                <c:ptCount val="9"/>
                <c:pt idx="0">
                  <c:v>0</c:v>
                </c:pt>
                <c:pt idx="1">
                  <c:v>1408</c:v>
                </c:pt>
                <c:pt idx="2">
                  <c:v>2560</c:v>
                </c:pt>
                <c:pt idx="3">
                  <c:v>3328</c:v>
                </c:pt>
                <c:pt idx="4">
                  <c:v>3840</c:v>
                </c:pt>
                <c:pt idx="5">
                  <c:v>4288</c:v>
                </c:pt>
                <c:pt idx="6">
                  <c:v>4607</c:v>
                </c:pt>
                <c:pt idx="7">
                  <c:v>4864</c:v>
                </c:pt>
                <c:pt idx="8">
                  <c:v>10240</c:v>
                </c:pt>
              </c:numCache>
            </c:numRef>
          </c:xVal>
          <c:yVal>
            <c:numRef>
              <c:f>misc!$H$56:$H$64</c:f>
              <c:numCache>
                <c:formatCode>General</c:formatCode>
                <c:ptCount val="9"/>
                <c:pt idx="0">
                  <c:v>0</c:v>
                </c:pt>
                <c:pt idx="1">
                  <c:v>1408</c:v>
                </c:pt>
                <c:pt idx="2">
                  <c:v>2560</c:v>
                </c:pt>
                <c:pt idx="3">
                  <c:v>3328</c:v>
                </c:pt>
                <c:pt idx="4">
                  <c:v>3840</c:v>
                </c:pt>
                <c:pt idx="5">
                  <c:v>4288</c:v>
                </c:pt>
                <c:pt idx="6">
                  <c:v>4607</c:v>
                </c:pt>
                <c:pt idx="7">
                  <c:v>4864</c:v>
                </c:pt>
                <c:pt idx="8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27-BE4D-9A41-72DDA70A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1552"/>
        <c:axId val="660373184"/>
      </c:scatterChart>
      <c:valAx>
        <c:axId val="6603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3184"/>
        <c:crosses val="autoZero"/>
        <c:crossBetween val="midCat"/>
      </c:valAx>
      <c:valAx>
        <c:axId val="660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misc!$H$9</c:f>
              <c:strCache>
                <c:ptCount val="1"/>
                <c:pt idx="0">
                  <c:v>Motor Torque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misc!$G$33:$G$41</c:f>
              <c:numCache>
                <c:formatCode>General</c:formatCode>
                <c:ptCount val="9"/>
                <c:pt idx="0">
                  <c:v>0</c:v>
                </c:pt>
                <c:pt idx="1">
                  <c:v>1862</c:v>
                </c:pt>
                <c:pt idx="2">
                  <c:v>2820</c:v>
                </c:pt>
                <c:pt idx="3">
                  <c:v>3295</c:v>
                </c:pt>
                <c:pt idx="4">
                  <c:v>3609</c:v>
                </c:pt>
                <c:pt idx="5">
                  <c:v>4104</c:v>
                </c:pt>
                <c:pt idx="6">
                  <c:v>4608</c:v>
                </c:pt>
                <c:pt idx="7">
                  <c:v>6912</c:v>
                </c:pt>
                <c:pt idx="8">
                  <c:v>9216</c:v>
                </c:pt>
              </c:numCache>
            </c:numRef>
          </c:xVal>
          <c:yVal>
            <c:numRef>
              <c:f>misc!$H$33:$H$41</c:f>
              <c:numCache>
                <c:formatCode>General</c:formatCode>
                <c:ptCount val="9"/>
                <c:pt idx="0">
                  <c:v>0</c:v>
                </c:pt>
                <c:pt idx="1">
                  <c:v>1862</c:v>
                </c:pt>
                <c:pt idx="2">
                  <c:v>2820</c:v>
                </c:pt>
                <c:pt idx="3">
                  <c:v>3295</c:v>
                </c:pt>
                <c:pt idx="4">
                  <c:v>3609</c:v>
                </c:pt>
                <c:pt idx="5">
                  <c:v>4104</c:v>
                </c:pt>
                <c:pt idx="6">
                  <c:v>4608</c:v>
                </c:pt>
                <c:pt idx="7">
                  <c:v>6912</c:v>
                </c:pt>
                <c:pt idx="8">
                  <c:v>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5-0D4F-82C4-B3FC285D2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1552"/>
        <c:axId val="660373184"/>
      </c:scatterChart>
      <c:valAx>
        <c:axId val="6603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3184"/>
        <c:crosses val="autoZero"/>
        <c:crossBetween val="midCat"/>
      </c:valAx>
      <c:valAx>
        <c:axId val="660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misc!$H$78</c:f>
              <c:strCache>
                <c:ptCount val="1"/>
                <c:pt idx="0">
                  <c:v>Motor Torque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misc!$G$79:$G$87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6485</c:v>
                </c:pt>
                <c:pt idx="7">
                  <c:v>8362</c:v>
                </c:pt>
                <c:pt idx="8">
                  <c:v>10240</c:v>
                </c:pt>
              </c:numCache>
            </c:numRef>
          </c:xVal>
          <c:yVal>
            <c:numRef>
              <c:f>misc!$H$79:$H$87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6485</c:v>
                </c:pt>
                <c:pt idx="7">
                  <c:v>8362</c:v>
                </c:pt>
                <c:pt idx="8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C-CB40-BCF8-F3133199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86256"/>
        <c:axId val="656850512"/>
      </c:scatterChart>
      <c:valAx>
        <c:axId val="6010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50512"/>
        <c:crosses val="autoZero"/>
        <c:crossBetween val="midCat"/>
      </c:valAx>
      <c:valAx>
        <c:axId val="6568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Honda</a:t>
            </a:r>
            <a:r>
              <a:rPr lang="en-US" baseline="0"/>
              <a:t> Torque Request vs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misc!$U$9</c:f>
              <c:strCache>
                <c:ptCount val="1"/>
                <c:pt idx="0">
                  <c:v>Civic Hatch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misc!$U$10:$U$18</c:f>
              <c:numCache>
                <c:formatCode>General</c:formatCode>
                <c:ptCount val="9"/>
                <c:pt idx="0">
                  <c:v>0</c:v>
                </c:pt>
                <c:pt idx="1">
                  <c:v>512</c:v>
                </c:pt>
                <c:pt idx="2">
                  <c:v>769</c:v>
                </c:pt>
                <c:pt idx="3">
                  <c:v>1143</c:v>
                </c:pt>
                <c:pt idx="4">
                  <c:v>1514</c:v>
                </c:pt>
                <c:pt idx="5">
                  <c:v>2048</c:v>
                </c:pt>
                <c:pt idx="6">
                  <c:v>2558</c:v>
                </c:pt>
                <c:pt idx="7">
                  <c:v>3584</c:v>
                </c:pt>
                <c:pt idx="8">
                  <c:v>3840</c:v>
                </c:pt>
              </c:numCache>
            </c:numRef>
          </c:xVal>
          <c:yVal>
            <c:numRef>
              <c:f>misc!$V$10:$V$18</c:f>
              <c:numCache>
                <c:formatCode>General</c:formatCode>
                <c:ptCount val="9"/>
                <c:pt idx="0">
                  <c:v>0</c:v>
                </c:pt>
                <c:pt idx="1">
                  <c:v>1862</c:v>
                </c:pt>
                <c:pt idx="2">
                  <c:v>2820</c:v>
                </c:pt>
                <c:pt idx="3">
                  <c:v>3295</c:v>
                </c:pt>
                <c:pt idx="4">
                  <c:v>3609</c:v>
                </c:pt>
                <c:pt idx="5">
                  <c:v>4104</c:v>
                </c:pt>
                <c:pt idx="6">
                  <c:v>4608</c:v>
                </c:pt>
                <c:pt idx="7">
                  <c:v>4608</c:v>
                </c:pt>
                <c:pt idx="8">
                  <c:v>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B-F54F-95C5-7E8D9CE32A03}"/>
            </c:ext>
          </c:extLst>
        </c:ser>
        <c:ser>
          <c:idx val="1"/>
          <c:order val="1"/>
          <c:tx>
            <c:strRef>
              <c:f>misc!$S$9</c:f>
              <c:strCache>
                <c:ptCount val="1"/>
                <c:pt idx="0">
                  <c:v>Civic Sedan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misc!$S$10:$S$18</c:f>
              <c:numCache>
                <c:formatCode>General</c:formatCode>
                <c:ptCount val="9"/>
                <c:pt idx="0">
                  <c:v>0</c:v>
                </c:pt>
                <c:pt idx="1">
                  <c:v>512</c:v>
                </c:pt>
                <c:pt idx="2">
                  <c:v>769</c:v>
                </c:pt>
                <c:pt idx="3">
                  <c:v>1143</c:v>
                </c:pt>
                <c:pt idx="4">
                  <c:v>1514</c:v>
                </c:pt>
                <c:pt idx="5">
                  <c:v>2048</c:v>
                </c:pt>
                <c:pt idx="6">
                  <c:v>2558</c:v>
                </c:pt>
                <c:pt idx="7">
                  <c:v>3584</c:v>
                </c:pt>
                <c:pt idx="8">
                  <c:v>3840</c:v>
                </c:pt>
              </c:numCache>
            </c:numRef>
          </c:xVal>
          <c:yVal>
            <c:numRef>
              <c:f>misc!$T$10:$T$18</c:f>
              <c:numCache>
                <c:formatCode>General</c:formatCode>
                <c:ptCount val="9"/>
                <c:pt idx="0">
                  <c:v>0</c:v>
                </c:pt>
                <c:pt idx="1">
                  <c:v>2327</c:v>
                </c:pt>
                <c:pt idx="2">
                  <c:v>3525</c:v>
                </c:pt>
                <c:pt idx="3">
                  <c:v>4119</c:v>
                </c:pt>
                <c:pt idx="4">
                  <c:v>4511</c:v>
                </c:pt>
                <c:pt idx="5">
                  <c:v>5131</c:v>
                </c:pt>
                <c:pt idx="6">
                  <c:v>5760</c:v>
                </c:pt>
                <c:pt idx="7">
                  <c:v>5760</c:v>
                </c:pt>
                <c:pt idx="8">
                  <c:v>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B-F54F-95C5-7E8D9CE32A03}"/>
            </c:ext>
          </c:extLst>
        </c:ser>
        <c:ser>
          <c:idx val="2"/>
          <c:order val="2"/>
          <c:tx>
            <c:strRef>
              <c:f>misc!$W$9</c:f>
              <c:strCache>
                <c:ptCount val="1"/>
                <c:pt idx="0">
                  <c:v>Clarity_torque_in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misc!$W$10:$W$18</c:f>
              <c:numCache>
                <c:formatCode>General</c:formatCode>
                <c:ptCount val="9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769</c:v>
                </c:pt>
                <c:pt idx="4">
                  <c:v>1023</c:v>
                </c:pt>
                <c:pt idx="5">
                  <c:v>1535</c:v>
                </c:pt>
                <c:pt idx="6">
                  <c:v>2048</c:v>
                </c:pt>
                <c:pt idx="7">
                  <c:v>2558</c:v>
                </c:pt>
                <c:pt idx="8">
                  <c:v>3840</c:v>
                </c:pt>
              </c:numCache>
            </c:numRef>
          </c:xVal>
          <c:yVal>
            <c:numRef>
              <c:f>misc!$X$10:$X$18</c:f>
              <c:numCache>
                <c:formatCode>General</c:formatCode>
                <c:ptCount val="9"/>
                <c:pt idx="0">
                  <c:v>0</c:v>
                </c:pt>
                <c:pt idx="1">
                  <c:v>1408</c:v>
                </c:pt>
                <c:pt idx="2">
                  <c:v>2560</c:v>
                </c:pt>
                <c:pt idx="3">
                  <c:v>3328</c:v>
                </c:pt>
                <c:pt idx="4">
                  <c:v>3840</c:v>
                </c:pt>
                <c:pt idx="5">
                  <c:v>4288</c:v>
                </c:pt>
                <c:pt idx="6">
                  <c:v>4607</c:v>
                </c:pt>
                <c:pt idx="7">
                  <c:v>4864</c:v>
                </c:pt>
                <c:pt idx="8">
                  <c:v>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B-F54F-95C5-7E8D9CE32A03}"/>
            </c:ext>
          </c:extLst>
        </c:ser>
        <c:ser>
          <c:idx val="3"/>
          <c:order val="3"/>
          <c:tx>
            <c:strRef>
              <c:f>misc!$Z$9</c:f>
              <c:strCache>
                <c:ptCount val="1"/>
                <c:pt idx="0">
                  <c:v>CR-V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misc!$Z$10:$Z$18</c:f>
              <c:numCache>
                <c:formatCode>General</c:formatCode>
                <c:ptCount val="9"/>
                <c:pt idx="0">
                  <c:v>0</c:v>
                </c:pt>
                <c:pt idx="1">
                  <c:v>505</c:v>
                </c:pt>
                <c:pt idx="2">
                  <c:v>1023</c:v>
                </c:pt>
                <c:pt idx="3">
                  <c:v>1528</c:v>
                </c:pt>
                <c:pt idx="4">
                  <c:v>2048</c:v>
                </c:pt>
                <c:pt idx="5">
                  <c:v>2558</c:v>
                </c:pt>
                <c:pt idx="6">
                  <c:v>3071</c:v>
                </c:pt>
                <c:pt idx="7">
                  <c:v>3584</c:v>
                </c:pt>
                <c:pt idx="8">
                  <c:v>3840</c:v>
                </c:pt>
              </c:numCache>
            </c:numRef>
          </c:xVal>
          <c:yVal>
            <c:numRef>
              <c:f>misc!$AA$10:$AA$18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4762</c:v>
                </c:pt>
                <c:pt idx="7">
                  <c:v>4941</c:v>
                </c:pt>
                <c:pt idx="8">
                  <c:v>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B-F54F-95C5-7E8D9CE3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20672"/>
        <c:axId val="672184240"/>
      </c:scatterChart>
      <c:valAx>
        <c:axId val="6180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</a:t>
                </a:r>
              </a:p>
              <a:p>
                <a:pPr>
                  <a:defRPr/>
                </a:pPr>
                <a:r>
                  <a:rPr lang="en-US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4240"/>
        <c:crosses val="autoZero"/>
        <c:crossBetween val="midCat"/>
      </c:valAx>
      <c:valAx>
        <c:axId val="6721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Clarity Torque</a:t>
            </a:r>
            <a:r>
              <a:rPr lang="en-US" baseline="0"/>
              <a:t> vs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misc!$W$10:$W$18</c:f>
              <c:numCache>
                <c:formatCode>General</c:formatCode>
                <c:ptCount val="9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769</c:v>
                </c:pt>
                <c:pt idx="4">
                  <c:v>1023</c:v>
                </c:pt>
                <c:pt idx="5">
                  <c:v>1535</c:v>
                </c:pt>
                <c:pt idx="6">
                  <c:v>2048</c:v>
                </c:pt>
                <c:pt idx="7">
                  <c:v>2558</c:v>
                </c:pt>
                <c:pt idx="8">
                  <c:v>3840</c:v>
                </c:pt>
              </c:numCache>
            </c:numRef>
          </c:xVal>
          <c:yVal>
            <c:numRef>
              <c:f>misc!$X$10:$X$18</c:f>
              <c:numCache>
                <c:formatCode>General</c:formatCode>
                <c:ptCount val="9"/>
                <c:pt idx="0">
                  <c:v>0</c:v>
                </c:pt>
                <c:pt idx="1">
                  <c:v>1408</c:v>
                </c:pt>
                <c:pt idx="2">
                  <c:v>2560</c:v>
                </c:pt>
                <c:pt idx="3">
                  <c:v>3328</c:v>
                </c:pt>
                <c:pt idx="4">
                  <c:v>3840</c:v>
                </c:pt>
                <c:pt idx="5">
                  <c:v>4288</c:v>
                </c:pt>
                <c:pt idx="6">
                  <c:v>4607</c:v>
                </c:pt>
                <c:pt idx="7">
                  <c:v>4864</c:v>
                </c:pt>
                <c:pt idx="8">
                  <c:v>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F-F744-A4C5-48B2063B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15631"/>
        <c:axId val="1391321631"/>
      </c:scatterChart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misc!$W$10:$W$18</c:f>
              <c:numCache>
                <c:formatCode>General</c:formatCode>
                <c:ptCount val="9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769</c:v>
                </c:pt>
                <c:pt idx="4">
                  <c:v>1023</c:v>
                </c:pt>
                <c:pt idx="5">
                  <c:v>1535</c:v>
                </c:pt>
                <c:pt idx="6">
                  <c:v>2048</c:v>
                </c:pt>
                <c:pt idx="7">
                  <c:v>2558</c:v>
                </c:pt>
                <c:pt idx="8">
                  <c:v>3840</c:v>
                </c:pt>
              </c:numCache>
            </c:numRef>
          </c:xVal>
          <c:yVal>
            <c:numRef>
              <c:f>misc!$Y$10:$Y$18</c:f>
              <c:numCache>
                <c:formatCode>General</c:formatCode>
                <c:ptCount val="9"/>
                <c:pt idx="0">
                  <c:v>77</c:v>
                </c:pt>
                <c:pt idx="1">
                  <c:v>102</c:v>
                </c:pt>
                <c:pt idx="2">
                  <c:v>128</c:v>
                </c:pt>
                <c:pt idx="3">
                  <c:v>154</c:v>
                </c:pt>
                <c:pt idx="4">
                  <c:v>179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3-0A4B-B087-58880391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1456"/>
        <c:axId val="142516960"/>
      </c:scatterChart>
      <c:valAx>
        <c:axId val="139131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21631"/>
        <c:crosses val="autoZero"/>
        <c:crossBetween val="midCat"/>
      </c:valAx>
      <c:valAx>
        <c:axId val="13913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15631"/>
        <c:crosses val="autoZero"/>
        <c:crossBetween val="midCat"/>
      </c:valAx>
      <c:valAx>
        <c:axId val="14251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1456"/>
        <c:crosses val="max"/>
        <c:crossBetween val="midCat"/>
      </c:valAx>
      <c:valAx>
        <c:axId val="1421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crv torque vs filter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misc!$Z$10:$Z$18</c:f>
              <c:numCache>
                <c:formatCode>General</c:formatCode>
                <c:ptCount val="9"/>
                <c:pt idx="0">
                  <c:v>0</c:v>
                </c:pt>
                <c:pt idx="1">
                  <c:v>505</c:v>
                </c:pt>
                <c:pt idx="2">
                  <c:v>1023</c:v>
                </c:pt>
                <c:pt idx="3">
                  <c:v>1528</c:v>
                </c:pt>
                <c:pt idx="4">
                  <c:v>2048</c:v>
                </c:pt>
                <c:pt idx="5">
                  <c:v>2558</c:v>
                </c:pt>
                <c:pt idx="6">
                  <c:v>3071</c:v>
                </c:pt>
                <c:pt idx="7">
                  <c:v>3584</c:v>
                </c:pt>
                <c:pt idx="8">
                  <c:v>3840</c:v>
                </c:pt>
              </c:numCache>
            </c:numRef>
          </c:xVal>
          <c:yVal>
            <c:numRef>
              <c:f>misc!$AA$10:$AA$18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2581</c:v>
                </c:pt>
                <c:pt idx="3">
                  <c:v>3693</c:v>
                </c:pt>
                <c:pt idx="4">
                  <c:v>4352</c:v>
                </c:pt>
                <c:pt idx="5">
                  <c:v>4608</c:v>
                </c:pt>
                <c:pt idx="6">
                  <c:v>4762</c:v>
                </c:pt>
                <c:pt idx="7">
                  <c:v>4941</c:v>
                </c:pt>
                <c:pt idx="8">
                  <c:v>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3-2342-99BE-8B3A8859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58431"/>
        <c:axId val="1386821967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misc!$Z$10:$Z$18</c:f>
              <c:numCache>
                <c:formatCode>General</c:formatCode>
                <c:ptCount val="9"/>
                <c:pt idx="0">
                  <c:v>0</c:v>
                </c:pt>
                <c:pt idx="1">
                  <c:v>505</c:v>
                </c:pt>
                <c:pt idx="2">
                  <c:v>1023</c:v>
                </c:pt>
                <c:pt idx="3">
                  <c:v>1528</c:v>
                </c:pt>
                <c:pt idx="4">
                  <c:v>2048</c:v>
                </c:pt>
                <c:pt idx="5">
                  <c:v>2558</c:v>
                </c:pt>
                <c:pt idx="6">
                  <c:v>3071</c:v>
                </c:pt>
                <c:pt idx="7">
                  <c:v>3584</c:v>
                </c:pt>
                <c:pt idx="8">
                  <c:v>3840</c:v>
                </c:pt>
              </c:numCache>
            </c:numRef>
          </c:xVal>
          <c:yVal>
            <c:numRef>
              <c:f>misc!$AB$10:$AB$18</c:f>
              <c:numCache>
                <c:formatCode>General</c:formatCode>
                <c:ptCount val="9"/>
                <c:pt idx="0">
                  <c:v>33</c:v>
                </c:pt>
                <c:pt idx="1">
                  <c:v>77</c:v>
                </c:pt>
                <c:pt idx="2">
                  <c:v>150</c:v>
                </c:pt>
                <c:pt idx="3">
                  <c:v>192</c:v>
                </c:pt>
                <c:pt idx="4">
                  <c:v>203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2-7B42-BF0F-0DA35248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8432"/>
        <c:axId val="138509408"/>
      </c:scatterChart>
      <c:valAx>
        <c:axId val="13869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21967"/>
        <c:crosses val="autoZero"/>
        <c:crossBetween val="midCat"/>
      </c:valAx>
      <c:valAx>
        <c:axId val="13868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58431"/>
        <c:crosses val="autoZero"/>
        <c:crossBetween val="midCat"/>
      </c:valAx>
      <c:valAx>
        <c:axId val="13850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8432"/>
        <c:crosses val="max"/>
        <c:crossBetween val="midCat"/>
      </c:valAx>
      <c:valAx>
        <c:axId val="14039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5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misc!$H$78</c:f>
              <c:strCache>
                <c:ptCount val="1"/>
                <c:pt idx="0">
                  <c:v>Motor Torque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misc!$G$102:$G$110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2048</c:v>
                </c:pt>
                <c:pt idx="3">
                  <c:v>2688</c:v>
                </c:pt>
                <c:pt idx="4">
                  <c:v>3302</c:v>
                </c:pt>
                <c:pt idx="5">
                  <c:v>4096</c:v>
                </c:pt>
                <c:pt idx="6">
                  <c:v>4480</c:v>
                </c:pt>
                <c:pt idx="7">
                  <c:v>4608</c:v>
                </c:pt>
                <c:pt idx="8">
                  <c:v>9728</c:v>
                </c:pt>
              </c:numCache>
            </c:numRef>
          </c:xVal>
          <c:yVal>
            <c:numRef>
              <c:f>misc!$H$102:$H$110</c:f>
              <c:numCache>
                <c:formatCode>General</c:formatCode>
                <c:ptCount val="9"/>
                <c:pt idx="0">
                  <c:v>0</c:v>
                </c:pt>
                <c:pt idx="1">
                  <c:v>1280</c:v>
                </c:pt>
                <c:pt idx="2">
                  <c:v>2048</c:v>
                </c:pt>
                <c:pt idx="3">
                  <c:v>2688</c:v>
                </c:pt>
                <c:pt idx="4">
                  <c:v>3302</c:v>
                </c:pt>
                <c:pt idx="5">
                  <c:v>4096</c:v>
                </c:pt>
                <c:pt idx="6">
                  <c:v>4480</c:v>
                </c:pt>
                <c:pt idx="7">
                  <c:v>4608</c:v>
                </c:pt>
                <c:pt idx="8">
                  <c:v>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C-6B46-AEB8-E1CC70C1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86256"/>
        <c:axId val="656850512"/>
      </c:scatterChart>
      <c:valAx>
        <c:axId val="6010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50512"/>
        <c:crosses val="autoZero"/>
        <c:crossBetween val="midCat"/>
      </c:valAx>
      <c:valAx>
        <c:axId val="6568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108143</xdr:colOff>
      <xdr:row>86</xdr:row>
      <xdr:rowOff>47912</xdr:rowOff>
    </xdr:from>
    <xdr:to>
      <xdr:col>42</xdr:col>
      <xdr:colOff>259773</xdr:colOff>
      <xdr:row>143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BE2EA-CB51-3F48-AE7F-8834DD497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149412</xdr:colOff>
      <xdr:row>7</xdr:row>
      <xdr:rowOff>74706</xdr:rowOff>
    </xdr:from>
    <xdr:to>
      <xdr:col>9</xdr:col>
      <xdr:colOff>776942</xdr:colOff>
      <xdr:row>20</xdr:row>
      <xdr:rowOff>74705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155DE-B4D2-2C47-AE97-18790870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59766</xdr:colOff>
      <xdr:row>54</xdr:row>
      <xdr:rowOff>29883</xdr:rowOff>
    </xdr:from>
    <xdr:to>
      <xdr:col>10</xdr:col>
      <xdr:colOff>134472</xdr:colOff>
      <xdr:row>67</xdr:row>
      <xdr:rowOff>164352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AACC46-AEAA-5048-BD07-7E0616DE6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59765</xdr:colOff>
      <xdr:row>29</xdr:row>
      <xdr:rowOff>194235</xdr:rowOff>
    </xdr:from>
    <xdr:to>
      <xdr:col>10</xdr:col>
      <xdr:colOff>134470</xdr:colOff>
      <xdr:row>42</xdr:row>
      <xdr:rowOff>119529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59C84E-EE16-DD4D-AE80-8836B6F75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821764</xdr:colOff>
      <xdr:row>74</xdr:row>
      <xdr:rowOff>119529</xdr:rowOff>
    </xdr:from>
    <xdr:to>
      <xdr:col>9</xdr:col>
      <xdr:colOff>762000</xdr:colOff>
      <xdr:row>88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A18DB-3BCC-6C41-B508-9E5950106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358586</xdr:colOff>
      <xdr:row>47</xdr:row>
      <xdr:rowOff>44825</xdr:rowOff>
    </xdr:from>
    <xdr:to>
      <xdr:col>25</xdr:col>
      <xdr:colOff>44822</xdr:colOff>
      <xdr:row>81</xdr:row>
      <xdr:rowOff>59765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7E1782-5123-7E41-8F2B-34A99E132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545353</xdr:colOff>
      <xdr:row>26</xdr:row>
      <xdr:rowOff>29881</xdr:rowOff>
    </xdr:from>
    <xdr:to>
      <xdr:col>20</xdr:col>
      <xdr:colOff>186765</xdr:colOff>
      <xdr:row>47</xdr:row>
      <xdr:rowOff>11952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ED8560-318D-1245-A64F-E3DDFB92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209177</xdr:colOff>
      <xdr:row>26</xdr:row>
      <xdr:rowOff>2989</xdr:rowOff>
    </xdr:from>
    <xdr:to>
      <xdr:col>26</xdr:col>
      <xdr:colOff>672354</xdr:colOff>
      <xdr:row>46</xdr:row>
      <xdr:rowOff>149411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379C94-9D1F-FA43-A349-75E7E261B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224117</xdr:colOff>
      <xdr:row>99</xdr:row>
      <xdr:rowOff>44822</xdr:rowOff>
    </xdr:from>
    <xdr:to>
      <xdr:col>10</xdr:col>
      <xdr:colOff>433294</xdr:colOff>
      <xdr:row>113</xdr:row>
      <xdr:rowOff>59764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FC20C-4D17-0D44-A8EF-FB05017FD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246529</xdr:colOff>
      <xdr:row>122</xdr:row>
      <xdr:rowOff>55283</xdr:rowOff>
    </xdr:from>
    <xdr:to>
      <xdr:col>9</xdr:col>
      <xdr:colOff>933823</xdr:colOff>
      <xdr:row>135</xdr:row>
      <xdr:rowOff>79188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3D3FC5-0FEC-7047-98DF-DFCFECCDE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4AA4-6EBE-8542-98C8-620F4EDB85E6}">
  <dimension ref="A1:AM150"/>
  <sheetViews>
    <sheetView topLeftCell="L40" zoomScale="85" zoomScaleNormal="167" workbookViewId="0">
      <selection activeCell="A117" sqref="A116:J117"/>
    </sheetView>
  </sheetViews>
  <sheetFormatPr baseColWidth="10" defaultRowHeight="16" x14ac:dyDescent="0.2"/>
  <cols>
    <col min="3" max="4" width="14.5" customWidth="1"/>
    <col min="5" max="5" width="10.83203125" customWidth="1"/>
    <col min="6" max="10" width="12.6640625" bestFit="1" customWidth="1"/>
    <col min="11" max="12" width="13.6640625" bestFit="1" customWidth="1"/>
    <col min="23" max="23" width="16.1640625" customWidth="1"/>
    <col min="24" max="25" width="8.83203125" customWidth="1"/>
    <col min="34" max="34" width="8.33203125" bestFit="1" customWidth="1"/>
    <col min="35" max="35" width="9.83203125" bestFit="1" customWidth="1"/>
    <col min="36" max="36" width="10.83203125" bestFit="1" customWidth="1"/>
    <col min="37" max="37" width="9.6640625" bestFit="1" customWidth="1"/>
    <col min="38" max="38" width="10.33203125" hidden="1" customWidth="1"/>
    <col min="39" max="39" width="9.1640625" hidden="1" customWidth="1"/>
    <col min="40" max="40" width="9" bestFit="1" customWidth="1"/>
    <col min="41" max="41" width="7.33203125" bestFit="1" customWidth="1"/>
  </cols>
  <sheetData>
    <row r="1" spans="1:2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5"/>
      <c r="N1" s="5"/>
      <c r="O1" s="5"/>
      <c r="P1" s="5"/>
    </row>
    <row r="2" spans="1:2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"/>
      <c r="N2" s="5"/>
      <c r="O2" s="5"/>
      <c r="P2" s="5"/>
    </row>
    <row r="3" spans="1:28" ht="17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"/>
      <c r="N3" s="5"/>
      <c r="O3" s="5"/>
      <c r="P3" s="5"/>
    </row>
    <row r="4" spans="1:28" ht="17" thickBot="1" x14ac:dyDescent="0.25">
      <c r="A4" s="2"/>
      <c r="C4" s="6"/>
      <c r="L4" s="2"/>
      <c r="M4" s="5"/>
      <c r="N4" s="5"/>
      <c r="O4" s="5"/>
      <c r="P4" s="5"/>
    </row>
    <row r="5" spans="1:28" x14ac:dyDescent="0.2">
      <c r="A5" s="2"/>
      <c r="C5" s="37" t="s">
        <v>17</v>
      </c>
      <c r="D5" s="38"/>
      <c r="E5" s="38"/>
      <c r="F5" s="38"/>
      <c r="G5" s="38"/>
      <c r="H5" s="38"/>
      <c r="I5" s="38"/>
      <c r="J5" s="39"/>
      <c r="L5" s="2"/>
      <c r="M5" s="5"/>
      <c r="N5" s="5"/>
      <c r="O5" s="5"/>
      <c r="P5" s="5"/>
    </row>
    <row r="6" spans="1:28" ht="17" thickBot="1" x14ac:dyDescent="0.25">
      <c r="A6" s="2"/>
      <c r="C6" s="40"/>
      <c r="D6" s="41"/>
      <c r="E6" s="41"/>
      <c r="F6" s="41"/>
      <c r="G6" s="41"/>
      <c r="H6" s="41"/>
      <c r="I6" s="41"/>
      <c r="J6" s="42"/>
      <c r="L6" s="2"/>
      <c r="M6" s="5"/>
      <c r="N6" s="5"/>
      <c r="O6" s="5"/>
      <c r="P6" s="5"/>
    </row>
    <row r="7" spans="1:28" x14ac:dyDescent="0.2">
      <c r="A7" s="2"/>
      <c r="L7" s="2"/>
      <c r="M7" s="5"/>
      <c r="N7" s="5"/>
      <c r="O7" s="5"/>
      <c r="P7" s="5"/>
    </row>
    <row r="8" spans="1:28" x14ac:dyDescent="0.2">
      <c r="A8" s="2"/>
      <c r="L8" s="2"/>
      <c r="M8" s="5"/>
      <c r="N8" s="43" t="s">
        <v>54</v>
      </c>
      <c r="O8" s="43"/>
      <c r="P8" s="43"/>
      <c r="Q8" s="43"/>
      <c r="S8" s="26" t="s">
        <v>54</v>
      </c>
      <c r="U8" s="26"/>
      <c r="V8" s="26"/>
      <c r="W8" s="26"/>
    </row>
    <row r="9" spans="1:28" x14ac:dyDescent="0.2">
      <c r="A9" s="2"/>
      <c r="C9" t="s">
        <v>36</v>
      </c>
      <c r="D9" t="s">
        <v>35</v>
      </c>
      <c r="E9" t="s">
        <v>11</v>
      </c>
      <c r="F9" t="s">
        <v>15</v>
      </c>
      <c r="G9" t="s">
        <v>11</v>
      </c>
      <c r="H9" t="s">
        <v>37</v>
      </c>
      <c r="L9" s="2"/>
      <c r="M9" s="5"/>
      <c r="N9" t="s">
        <v>17</v>
      </c>
      <c r="O9" s="5" t="s">
        <v>16</v>
      </c>
      <c r="P9" s="5" t="s">
        <v>34</v>
      </c>
      <c r="Q9" s="5" t="s">
        <v>48</v>
      </c>
      <c r="S9" t="s">
        <v>17</v>
      </c>
      <c r="T9" t="s">
        <v>17</v>
      </c>
      <c r="U9" s="5" t="s">
        <v>16</v>
      </c>
      <c r="V9" s="5" t="s">
        <v>16</v>
      </c>
      <c r="W9" s="5" t="s">
        <v>55</v>
      </c>
      <c r="X9" s="5" t="s">
        <v>56</v>
      </c>
      <c r="Y9" s="5" t="s">
        <v>57</v>
      </c>
      <c r="Z9" s="5" t="s">
        <v>48</v>
      </c>
      <c r="AA9" s="5" t="s">
        <v>48</v>
      </c>
      <c r="AB9" s="5" t="s">
        <v>58</v>
      </c>
    </row>
    <row r="10" spans="1:28" x14ac:dyDescent="0.2">
      <c r="A10" s="2"/>
      <c r="C10" s="20">
        <v>0</v>
      </c>
      <c r="D10" s="21">
        <v>0</v>
      </c>
      <c r="E10" s="27">
        <f t="shared" ref="E10:E16" si="0">D10</f>
        <v>0</v>
      </c>
      <c r="F10" s="27" t="str">
        <f t="shared" ref="F10:F17" si="1">DEC2HEX(_xlfn.BITLSHIFT(ROUND(HEX2DEC(C10)/SQRT(3),0),2))</f>
        <v>0</v>
      </c>
      <c r="G10">
        <f>HEX2DEC(F10)</f>
        <v>0</v>
      </c>
      <c r="H10">
        <f t="shared" ref="H10:H18" si="2">HEX2DEC(E10)</f>
        <v>0</v>
      </c>
      <c r="L10" s="2"/>
      <c r="M10" s="5"/>
      <c r="N10" s="5">
        <f>HEX2DEC(C10)</f>
        <v>0</v>
      </c>
      <c r="O10" s="5">
        <f>HEX2DEC(C33)</f>
        <v>0</v>
      </c>
      <c r="P10" s="5">
        <f>HEX2DEC(C56)</f>
        <v>0</v>
      </c>
      <c r="Q10" s="5">
        <f>HEX2DEC(C79)</f>
        <v>0</v>
      </c>
      <c r="R10" s="5"/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f>HEX2DEC("4d")</f>
        <v>77</v>
      </c>
      <c r="Z10" s="5">
        <v>0</v>
      </c>
      <c r="AA10" s="5">
        <v>0</v>
      </c>
      <c r="AB10" s="5">
        <f>HEX2DEC("21")</f>
        <v>33</v>
      </c>
    </row>
    <row r="11" spans="1:28" x14ac:dyDescent="0.2">
      <c r="A11" s="2"/>
      <c r="C11" s="22" t="s">
        <v>3</v>
      </c>
      <c r="D11" s="23">
        <v>917</v>
      </c>
      <c r="E11" s="27">
        <f t="shared" si="0"/>
        <v>917</v>
      </c>
      <c r="F11" s="27" t="str">
        <f t="shared" si="1"/>
        <v>200</v>
      </c>
      <c r="G11">
        <f t="shared" ref="G11:G18" si="3">HEX2DEC(E11)</f>
        <v>2327</v>
      </c>
      <c r="H11">
        <f t="shared" si="2"/>
        <v>2327</v>
      </c>
      <c r="L11" s="2"/>
      <c r="M11" s="5"/>
      <c r="N11" s="5">
        <f>HEX2DEC(F11)</f>
        <v>512</v>
      </c>
      <c r="O11" s="5">
        <f t="shared" ref="O11:O18" si="4">HEX2DEC(F34)</f>
        <v>512</v>
      </c>
      <c r="P11" s="5">
        <f t="shared" ref="P11:P18" si="5">HEX2DEC(F57)</f>
        <v>256</v>
      </c>
      <c r="Q11" s="5">
        <f t="shared" ref="Q11:Q18" si="6">HEX2DEC(F80)</f>
        <v>504</v>
      </c>
      <c r="R11" s="5"/>
      <c r="S11" s="5">
        <v>512</v>
      </c>
      <c r="T11" s="5">
        <v>2327</v>
      </c>
      <c r="U11" s="5">
        <v>512</v>
      </c>
      <c r="V11" s="5">
        <v>1862</v>
      </c>
      <c r="W11" s="5">
        <v>256</v>
      </c>
      <c r="X11" s="5">
        <v>1408</v>
      </c>
      <c r="Y11" s="5">
        <f>HEX2DEC("66")</f>
        <v>102</v>
      </c>
      <c r="Z11" s="5">
        <v>505</v>
      </c>
      <c r="AA11" s="5">
        <v>1280</v>
      </c>
      <c r="AB11" s="5">
        <f>HEX2DEC("4d")</f>
        <v>77</v>
      </c>
    </row>
    <row r="12" spans="1:28" x14ac:dyDescent="0.2">
      <c r="A12" s="2"/>
      <c r="C12" s="22" t="s">
        <v>28</v>
      </c>
      <c r="D12" s="23" t="s">
        <v>31</v>
      </c>
      <c r="E12" s="27" t="str">
        <f t="shared" si="0"/>
        <v>DC5</v>
      </c>
      <c r="F12" s="27" t="str">
        <f t="shared" si="1"/>
        <v>300</v>
      </c>
      <c r="G12">
        <f t="shared" si="3"/>
        <v>3525</v>
      </c>
      <c r="H12">
        <f t="shared" si="2"/>
        <v>3525</v>
      </c>
      <c r="L12" s="2"/>
      <c r="M12" s="5"/>
      <c r="N12" s="5">
        <f t="shared" ref="N12:N18" si="7">HEX2DEC(F12)</f>
        <v>768</v>
      </c>
      <c r="O12" s="5">
        <f t="shared" si="4"/>
        <v>768</v>
      </c>
      <c r="P12" s="5">
        <f t="shared" si="5"/>
        <v>512</v>
      </c>
      <c r="Q12" s="5">
        <f t="shared" si="6"/>
        <v>1024</v>
      </c>
      <c r="R12" s="5"/>
      <c r="S12" s="5">
        <v>769</v>
      </c>
      <c r="T12" s="5">
        <v>3525</v>
      </c>
      <c r="U12" s="5">
        <v>769</v>
      </c>
      <c r="V12" s="5">
        <v>2820</v>
      </c>
      <c r="W12" s="5">
        <v>512</v>
      </c>
      <c r="X12" s="5">
        <v>2560</v>
      </c>
      <c r="Y12" s="5">
        <f>HEX2DEC("80")</f>
        <v>128</v>
      </c>
      <c r="Z12" s="5">
        <v>1023</v>
      </c>
      <c r="AA12" s="5">
        <v>2581</v>
      </c>
      <c r="AB12" s="5">
        <f>HEX2DEC("96")</f>
        <v>150</v>
      </c>
    </row>
    <row r="13" spans="1:28" x14ac:dyDescent="0.2">
      <c r="A13" s="2"/>
      <c r="C13" s="22" t="s">
        <v>29</v>
      </c>
      <c r="D13" s="23">
        <v>1017</v>
      </c>
      <c r="E13" s="27">
        <f t="shared" si="0"/>
        <v>1017</v>
      </c>
      <c r="F13" s="27" t="str">
        <f t="shared" si="1"/>
        <v>478</v>
      </c>
      <c r="G13">
        <f t="shared" si="3"/>
        <v>4119</v>
      </c>
      <c r="H13">
        <f t="shared" si="2"/>
        <v>4119</v>
      </c>
      <c r="L13" s="2"/>
      <c r="M13" s="5"/>
      <c r="N13" s="5">
        <f t="shared" si="7"/>
        <v>1144</v>
      </c>
      <c r="O13" s="5">
        <f t="shared" si="4"/>
        <v>1144</v>
      </c>
      <c r="P13" s="5">
        <f t="shared" si="5"/>
        <v>768</v>
      </c>
      <c r="Q13" s="5">
        <f t="shared" si="6"/>
        <v>1528</v>
      </c>
      <c r="R13" s="5"/>
      <c r="S13" s="5">
        <v>1143</v>
      </c>
      <c r="T13" s="5">
        <v>4119</v>
      </c>
      <c r="U13" s="5">
        <v>1143</v>
      </c>
      <c r="V13" s="5">
        <v>3295</v>
      </c>
      <c r="W13" s="5">
        <v>769</v>
      </c>
      <c r="X13" s="5">
        <v>3328</v>
      </c>
      <c r="Y13" s="5">
        <f>HEX2DEC("9a")</f>
        <v>154</v>
      </c>
      <c r="Z13" s="5">
        <v>1528</v>
      </c>
      <c r="AA13" s="5">
        <v>3693</v>
      </c>
      <c r="AB13" s="5">
        <f>HEX2DEC("c0")</f>
        <v>192</v>
      </c>
    </row>
    <row r="14" spans="1:28" x14ac:dyDescent="0.2">
      <c r="A14" s="2"/>
      <c r="C14" s="22">
        <v>290</v>
      </c>
      <c r="D14" s="23" t="s">
        <v>32</v>
      </c>
      <c r="E14" s="27" t="str">
        <f t="shared" si="0"/>
        <v>119f</v>
      </c>
      <c r="F14" s="27" t="str">
        <f t="shared" si="1"/>
        <v>5EC</v>
      </c>
      <c r="G14">
        <f t="shared" si="3"/>
        <v>4511</v>
      </c>
      <c r="H14">
        <f t="shared" si="2"/>
        <v>4511</v>
      </c>
      <c r="L14" s="2"/>
      <c r="M14" s="5"/>
      <c r="N14" s="5">
        <f t="shared" si="7"/>
        <v>1516</v>
      </c>
      <c r="O14" s="5">
        <f t="shared" si="4"/>
        <v>1516</v>
      </c>
      <c r="P14" s="5">
        <f t="shared" si="5"/>
        <v>1024</v>
      </c>
      <c r="Q14" s="5">
        <f t="shared" si="6"/>
        <v>2048</v>
      </c>
      <c r="R14" s="5"/>
      <c r="S14" s="5">
        <v>1514</v>
      </c>
      <c r="T14" s="5">
        <v>4511</v>
      </c>
      <c r="U14" s="5">
        <v>1514</v>
      </c>
      <c r="V14" s="5">
        <v>3609</v>
      </c>
      <c r="W14" s="5">
        <v>1023</v>
      </c>
      <c r="X14" s="5">
        <v>3840</v>
      </c>
      <c r="Y14" s="5">
        <f>HEX2DEC("b3")</f>
        <v>179</v>
      </c>
      <c r="Z14" s="5">
        <v>2048</v>
      </c>
      <c r="AA14" s="5">
        <v>4352</v>
      </c>
      <c r="AB14" s="5">
        <f>HEX2DEC("cb")</f>
        <v>203</v>
      </c>
    </row>
    <row r="15" spans="1:28" x14ac:dyDescent="0.2">
      <c r="A15" s="2"/>
      <c r="C15" s="22">
        <v>377</v>
      </c>
      <c r="D15" s="23" t="s">
        <v>33</v>
      </c>
      <c r="E15" s="27" t="str">
        <f t="shared" si="0"/>
        <v>140b</v>
      </c>
      <c r="F15" s="27" t="str">
        <f t="shared" si="1"/>
        <v>800</v>
      </c>
      <c r="G15">
        <f t="shared" si="3"/>
        <v>5131</v>
      </c>
      <c r="H15">
        <f t="shared" si="2"/>
        <v>5131</v>
      </c>
      <c r="L15" s="2"/>
      <c r="M15" s="5"/>
      <c r="N15" s="5">
        <f t="shared" si="7"/>
        <v>2048</v>
      </c>
      <c r="O15" s="5">
        <f t="shared" si="4"/>
        <v>2048</v>
      </c>
      <c r="P15" s="5">
        <f t="shared" si="5"/>
        <v>1536</v>
      </c>
      <c r="Q15" s="5">
        <f t="shared" si="6"/>
        <v>2560</v>
      </c>
      <c r="R15" s="5"/>
      <c r="S15" s="5">
        <v>2048</v>
      </c>
      <c r="T15" s="5">
        <v>5131</v>
      </c>
      <c r="U15" s="5">
        <v>2048</v>
      </c>
      <c r="V15" s="5">
        <v>4104</v>
      </c>
      <c r="W15" s="5">
        <v>1535</v>
      </c>
      <c r="X15" s="5">
        <v>4288</v>
      </c>
      <c r="Y15" s="5">
        <f>HEX2DEC("c0")</f>
        <v>192</v>
      </c>
      <c r="Z15" s="5">
        <v>2558</v>
      </c>
      <c r="AA15" s="5">
        <v>4608</v>
      </c>
      <c r="AB15" s="5">
        <f>HEX2DEC("cd")</f>
        <v>205</v>
      </c>
    </row>
    <row r="16" spans="1:28" x14ac:dyDescent="0.2">
      <c r="A16" s="2"/>
      <c r="C16" s="22">
        <v>454</v>
      </c>
      <c r="D16" s="23">
        <v>1680</v>
      </c>
      <c r="E16" s="27">
        <f t="shared" si="0"/>
        <v>1680</v>
      </c>
      <c r="F16" s="27" t="str">
        <f t="shared" si="1"/>
        <v>A00</v>
      </c>
      <c r="G16">
        <f t="shared" si="3"/>
        <v>5760</v>
      </c>
      <c r="H16">
        <f t="shared" si="2"/>
        <v>5760</v>
      </c>
      <c r="L16" s="2"/>
      <c r="M16" s="5"/>
      <c r="N16" s="5">
        <f t="shared" si="7"/>
        <v>2560</v>
      </c>
      <c r="O16" s="5">
        <f t="shared" si="4"/>
        <v>2560</v>
      </c>
      <c r="P16" s="5">
        <f t="shared" si="5"/>
        <v>2048</v>
      </c>
      <c r="Q16" s="5">
        <f t="shared" si="6"/>
        <v>3072</v>
      </c>
      <c r="R16" s="5"/>
      <c r="S16" s="5">
        <v>2558</v>
      </c>
      <c r="T16" s="5">
        <v>5760</v>
      </c>
      <c r="U16" s="5">
        <v>2558</v>
      </c>
      <c r="V16" s="5">
        <v>4608</v>
      </c>
      <c r="W16" s="5">
        <v>2048</v>
      </c>
      <c r="X16" s="5">
        <v>4607</v>
      </c>
      <c r="Y16" s="5">
        <f>HEX2DEC("c0")</f>
        <v>192</v>
      </c>
      <c r="Z16" s="5">
        <v>3071</v>
      </c>
      <c r="AA16" s="5">
        <v>4762</v>
      </c>
      <c r="AB16" s="5">
        <f>HEX2DEC("cd")</f>
        <v>205</v>
      </c>
    </row>
    <row r="17" spans="1:28" x14ac:dyDescent="0.2">
      <c r="A17" s="2"/>
      <c r="C17" s="22">
        <v>610</v>
      </c>
      <c r="D17" s="23">
        <v>1680</v>
      </c>
      <c r="E17" s="27" t="str">
        <f>DEC2HEX(((HEX2DEC(E16)+HEX2DEC(E18))/2))</f>
        <v>21C0</v>
      </c>
      <c r="F17" s="27" t="str">
        <f t="shared" si="1"/>
        <v>E00</v>
      </c>
      <c r="G17">
        <f t="shared" si="3"/>
        <v>8640</v>
      </c>
      <c r="H17">
        <f t="shared" si="2"/>
        <v>8640</v>
      </c>
      <c r="L17" s="2"/>
      <c r="M17" s="5"/>
      <c r="N17" s="5">
        <f t="shared" si="7"/>
        <v>3584</v>
      </c>
      <c r="O17" s="5">
        <f t="shared" si="4"/>
        <v>3584</v>
      </c>
      <c r="P17" s="5">
        <f t="shared" si="5"/>
        <v>2560</v>
      </c>
      <c r="Q17" s="5">
        <f t="shared" si="6"/>
        <v>3584</v>
      </c>
      <c r="R17" s="5"/>
      <c r="S17" s="5">
        <v>3584</v>
      </c>
      <c r="T17" s="5">
        <v>5760</v>
      </c>
      <c r="U17" s="5">
        <v>3584</v>
      </c>
      <c r="V17" s="5">
        <v>4608</v>
      </c>
      <c r="W17" s="5">
        <v>2558</v>
      </c>
      <c r="X17" s="5">
        <v>4864</v>
      </c>
      <c r="Y17" s="5">
        <f>HEX2DEC("c0")</f>
        <v>192</v>
      </c>
      <c r="Z17" s="5">
        <v>3584</v>
      </c>
      <c r="AA17" s="5">
        <v>4941</v>
      </c>
      <c r="AB17" s="5">
        <f>HEX2DEC("cd")</f>
        <v>205</v>
      </c>
    </row>
    <row r="18" spans="1:28" x14ac:dyDescent="0.2">
      <c r="A18" s="2"/>
      <c r="C18" s="24" t="s">
        <v>30</v>
      </c>
      <c r="D18" s="25">
        <v>1680</v>
      </c>
      <c r="E18" s="27" t="str">
        <f>DEC2HEX(HEX2DEC(D18)*D20)</f>
        <v>2D00</v>
      </c>
      <c r="F18" s="27" t="str">
        <f>D21</f>
        <v>F00</v>
      </c>
      <c r="G18">
        <f t="shared" si="3"/>
        <v>11520</v>
      </c>
      <c r="H18">
        <f t="shared" si="2"/>
        <v>11520</v>
      </c>
      <c r="L18" s="2"/>
      <c r="M18" s="5"/>
      <c r="N18" s="5">
        <f t="shared" si="7"/>
        <v>3840</v>
      </c>
      <c r="O18" s="5">
        <f t="shared" si="4"/>
        <v>3840</v>
      </c>
      <c r="P18" s="5">
        <f t="shared" si="5"/>
        <v>3840</v>
      </c>
      <c r="Q18" s="5">
        <f t="shared" si="6"/>
        <v>3840</v>
      </c>
      <c r="R18" s="5"/>
      <c r="S18" s="5">
        <v>3840</v>
      </c>
      <c r="T18" s="5">
        <v>5760</v>
      </c>
      <c r="U18" s="5">
        <v>3840</v>
      </c>
      <c r="V18" s="5">
        <v>4608</v>
      </c>
      <c r="W18" s="5">
        <v>3840</v>
      </c>
      <c r="X18" s="5">
        <v>5120</v>
      </c>
      <c r="Y18" s="5">
        <f>HEX2DEC("c0")</f>
        <v>192</v>
      </c>
      <c r="Z18" s="5">
        <v>3840</v>
      </c>
      <c r="AA18" s="5">
        <v>5120</v>
      </c>
      <c r="AB18" s="5">
        <f>HEX2DEC("cd")</f>
        <v>205</v>
      </c>
    </row>
    <row r="19" spans="1:28" x14ac:dyDescent="0.2">
      <c r="A19" s="2"/>
      <c r="L19" s="2"/>
      <c r="M19" s="5"/>
      <c r="N19" s="43" t="s">
        <v>53</v>
      </c>
      <c r="O19" s="43"/>
      <c r="P19" s="43"/>
      <c r="Q19" s="43"/>
      <c r="R19" s="5"/>
      <c r="S19" s="26" t="s">
        <v>53</v>
      </c>
      <c r="T19" s="26"/>
      <c r="U19" s="26"/>
      <c r="V19" s="26"/>
    </row>
    <row r="20" spans="1:28" x14ac:dyDescent="0.2">
      <c r="A20" s="2"/>
      <c r="C20" t="s">
        <v>60</v>
      </c>
      <c r="D20" s="1">
        <v>2</v>
      </c>
      <c r="L20" s="2"/>
      <c r="M20" s="5"/>
      <c r="N20" t="s">
        <v>17</v>
      </c>
      <c r="O20" s="5" t="s">
        <v>16</v>
      </c>
      <c r="P20" s="5" t="s">
        <v>34</v>
      </c>
      <c r="Q20" s="5" t="s">
        <v>48</v>
      </c>
      <c r="R20" s="5"/>
    </row>
    <row r="21" spans="1:28" x14ac:dyDescent="0.2">
      <c r="A21" s="2"/>
      <c r="C21" t="s">
        <v>12</v>
      </c>
      <c r="D21" s="1" t="s">
        <v>42</v>
      </c>
      <c r="L21" s="2"/>
      <c r="M21" s="5"/>
      <c r="N21" s="5">
        <f t="shared" ref="N21:N29" si="8">HEX2DEC(D10)</f>
        <v>0</v>
      </c>
      <c r="O21" s="5">
        <f t="shared" ref="O21:O29" si="9">HEX2DEC(D33)</f>
        <v>0</v>
      </c>
      <c r="P21" s="5">
        <f t="shared" ref="P21:P29" si="10">HEX2DEC(D56)</f>
        <v>0</v>
      </c>
      <c r="Q21" s="5">
        <f t="shared" ref="Q21:Q29" si="11">HEX2DEC(D79)</f>
        <v>0</v>
      </c>
      <c r="R21" s="5"/>
    </row>
    <row r="22" spans="1:28" x14ac:dyDescent="0.2">
      <c r="A22" s="2"/>
      <c r="C22" s="5" t="s">
        <v>38</v>
      </c>
      <c r="D22" s="19">
        <v>2</v>
      </c>
      <c r="L22" s="2"/>
      <c r="M22" s="5"/>
      <c r="N22" s="5">
        <f t="shared" si="8"/>
        <v>2327</v>
      </c>
      <c r="O22" s="5">
        <f t="shared" si="9"/>
        <v>1862</v>
      </c>
      <c r="P22" s="5">
        <f t="shared" si="10"/>
        <v>1408</v>
      </c>
      <c r="Q22" s="5">
        <f t="shared" si="11"/>
        <v>1280</v>
      </c>
      <c r="R22" s="5"/>
    </row>
    <row r="23" spans="1:28" ht="17" thickBot="1" x14ac:dyDescent="0.25">
      <c r="A23" s="2"/>
      <c r="L23" s="2"/>
      <c r="M23" s="5"/>
      <c r="N23" s="5">
        <f t="shared" si="8"/>
        <v>3525</v>
      </c>
      <c r="O23" s="5">
        <f t="shared" si="9"/>
        <v>2820</v>
      </c>
      <c r="P23" s="5">
        <f t="shared" si="10"/>
        <v>2560</v>
      </c>
      <c r="Q23" s="5">
        <f t="shared" si="11"/>
        <v>2581</v>
      </c>
      <c r="R23" s="5"/>
    </row>
    <row r="24" spans="1:28" ht="17" thickBot="1" x14ac:dyDescent="0.25">
      <c r="A24" s="2"/>
      <c r="C24" s="12" t="s">
        <v>13</v>
      </c>
      <c r="D24" s="34" t="str">
        <f>"0x" &amp; F10 &amp; ", 0x" &amp; F11 &amp; ", 0x" &amp; F12 &amp; ", 0x" &amp;F13 &amp; ", 0x" &amp; F14 &amp; ", 0x" &amp; F15 &amp; ", 0x" &amp; F16 &amp; ", 0x" &amp; F17 &amp; ", 0x" &amp; F18</f>
        <v>0x0, 0x200, 0x300, 0x478, 0x5EC, 0x800, 0xA00, 0xE00, 0xF00</v>
      </c>
      <c r="E24" s="35"/>
      <c r="F24" s="35"/>
      <c r="G24" s="35"/>
      <c r="H24" s="35"/>
      <c r="I24" s="14"/>
      <c r="J24" s="15"/>
      <c r="L24" s="2"/>
      <c r="M24" s="5"/>
      <c r="N24" s="5">
        <f t="shared" si="8"/>
        <v>4119</v>
      </c>
      <c r="O24" s="5">
        <f t="shared" si="9"/>
        <v>3295</v>
      </c>
      <c r="P24" s="5">
        <f t="shared" si="10"/>
        <v>3328</v>
      </c>
      <c r="Q24" s="5">
        <f t="shared" si="11"/>
        <v>3693</v>
      </c>
      <c r="R24" s="5"/>
      <c r="AA24" s="5"/>
    </row>
    <row r="25" spans="1:28" ht="17" thickBot="1" x14ac:dyDescent="0.25">
      <c r="A25" s="2"/>
      <c r="C25" s="13" t="s">
        <v>14</v>
      </c>
      <c r="D25" s="34" t="str">
        <f>"0x" &amp; E10 &amp; ", 0x" &amp; E11 &amp; ", 0x" &amp; E12 &amp; ", 0x" &amp;(E13) &amp; ", 0x" &amp; E14 &amp; ", 0x" &amp; E15 &amp; ", 0x" &amp; E16 &amp; ", 0x" &amp; E17 &amp; ", 0x" &amp; E18</f>
        <v>0x0, 0x917, 0xDC5, 0x1017, 0x119f, 0x140b, 0x1680, 0x21C0, 0x2D00</v>
      </c>
      <c r="E25" s="35"/>
      <c r="F25" s="35"/>
      <c r="G25" s="35"/>
      <c r="H25" s="35"/>
      <c r="I25" s="17"/>
      <c r="J25" s="18"/>
      <c r="L25" s="2"/>
      <c r="M25" s="5"/>
      <c r="N25" s="5">
        <f t="shared" si="8"/>
        <v>4511</v>
      </c>
      <c r="O25" s="5">
        <f t="shared" si="9"/>
        <v>3609</v>
      </c>
      <c r="P25" s="5">
        <f t="shared" si="10"/>
        <v>3840</v>
      </c>
      <c r="Q25" s="5">
        <f t="shared" si="11"/>
        <v>4352</v>
      </c>
      <c r="R25" s="5"/>
      <c r="AA25" s="5"/>
    </row>
    <row r="26" spans="1:28" x14ac:dyDescent="0.2">
      <c r="A26" s="2"/>
      <c r="L26" s="2"/>
      <c r="M26" s="5"/>
      <c r="N26" s="5">
        <f t="shared" si="8"/>
        <v>5131</v>
      </c>
      <c r="O26" s="5">
        <f t="shared" si="9"/>
        <v>4104</v>
      </c>
      <c r="P26" s="5">
        <f t="shared" si="10"/>
        <v>4288</v>
      </c>
      <c r="Q26" s="5">
        <f t="shared" si="11"/>
        <v>4608</v>
      </c>
      <c r="R26" s="5"/>
      <c r="AA26" s="5"/>
    </row>
    <row r="27" spans="1:28" ht="17" thickBot="1" x14ac:dyDescent="0.25">
      <c r="A27" s="2"/>
      <c r="C27" s="16"/>
      <c r="L27" s="2"/>
      <c r="M27" s="5"/>
      <c r="N27" s="5">
        <f t="shared" si="8"/>
        <v>5760</v>
      </c>
      <c r="O27" s="5">
        <f t="shared" si="9"/>
        <v>4608</v>
      </c>
      <c r="P27" s="5">
        <f t="shared" si="10"/>
        <v>4607</v>
      </c>
      <c r="Q27" s="5">
        <f t="shared" si="11"/>
        <v>4762</v>
      </c>
      <c r="R27" s="5"/>
      <c r="AA27" s="5"/>
    </row>
    <row r="28" spans="1:28" ht="16" customHeight="1" x14ac:dyDescent="0.2">
      <c r="A28" s="2"/>
      <c r="C28" s="37" t="s">
        <v>16</v>
      </c>
      <c r="D28" s="38"/>
      <c r="E28" s="38"/>
      <c r="F28" s="38"/>
      <c r="G28" s="38"/>
      <c r="H28" s="38"/>
      <c r="I28" s="38"/>
      <c r="J28" s="39"/>
      <c r="L28" s="2"/>
      <c r="M28" s="5"/>
      <c r="N28" s="5">
        <f t="shared" si="8"/>
        <v>5760</v>
      </c>
      <c r="O28" s="5">
        <f t="shared" si="9"/>
        <v>4608</v>
      </c>
      <c r="P28" s="5">
        <f t="shared" si="10"/>
        <v>4864</v>
      </c>
      <c r="Q28" s="5">
        <f t="shared" si="11"/>
        <v>4941</v>
      </c>
      <c r="R28" s="5"/>
      <c r="AA28" s="5"/>
    </row>
    <row r="29" spans="1:28" ht="17" customHeight="1" thickBot="1" x14ac:dyDescent="0.25">
      <c r="A29" s="2"/>
      <c r="C29" s="40"/>
      <c r="D29" s="41"/>
      <c r="E29" s="41"/>
      <c r="F29" s="41"/>
      <c r="G29" s="41"/>
      <c r="H29" s="41"/>
      <c r="I29" s="41"/>
      <c r="J29" s="42"/>
      <c r="L29" s="2"/>
      <c r="M29" s="5"/>
      <c r="N29" s="5">
        <f t="shared" si="8"/>
        <v>5760</v>
      </c>
      <c r="O29" s="5">
        <f t="shared" si="9"/>
        <v>4608</v>
      </c>
      <c r="P29" s="5">
        <f t="shared" si="10"/>
        <v>5120</v>
      </c>
      <c r="Q29" s="5">
        <f t="shared" si="11"/>
        <v>5120</v>
      </c>
      <c r="R29" s="5"/>
      <c r="AA29" s="5"/>
    </row>
    <row r="30" spans="1:28" x14ac:dyDescent="0.2">
      <c r="A30" s="2"/>
      <c r="L30" s="2"/>
      <c r="M30" s="5"/>
      <c r="N30" s="5"/>
      <c r="O30" s="5"/>
      <c r="P30" s="5"/>
      <c r="AA30" s="5"/>
    </row>
    <row r="31" spans="1:28" ht="16" customHeight="1" x14ac:dyDescent="0.2">
      <c r="A31" s="2"/>
      <c r="L31" s="2"/>
      <c r="M31" s="5"/>
      <c r="N31" s="5"/>
      <c r="O31" s="5"/>
      <c r="P31" s="5"/>
      <c r="AA31" s="5"/>
    </row>
    <row r="32" spans="1:28" ht="16" customHeight="1" x14ac:dyDescent="0.2">
      <c r="A32" s="2"/>
      <c r="C32" t="s">
        <v>36</v>
      </c>
      <c r="D32" t="s">
        <v>35</v>
      </c>
      <c r="E32" t="s">
        <v>11</v>
      </c>
      <c r="F32" t="s">
        <v>15</v>
      </c>
      <c r="G32" t="s">
        <v>11</v>
      </c>
      <c r="H32" t="s">
        <v>37</v>
      </c>
      <c r="L32" s="2"/>
      <c r="M32" s="5"/>
      <c r="N32" s="5"/>
      <c r="O32" s="5"/>
      <c r="P32" s="5"/>
      <c r="AA32" s="5"/>
    </row>
    <row r="33" spans="1:16" x14ac:dyDescent="0.2">
      <c r="A33" s="2"/>
      <c r="C33" s="20">
        <v>0</v>
      </c>
      <c r="D33" s="21">
        <v>0</v>
      </c>
      <c r="E33" s="27">
        <f t="shared" ref="E33:E39" si="12">D33</f>
        <v>0</v>
      </c>
      <c r="F33" s="27" t="str">
        <f t="shared" ref="F33:F40" si="13">DEC2HEX(_xlfn.BITLSHIFT(ROUND(HEX2DEC(C33)/SQRT(3),0),2))</f>
        <v>0</v>
      </c>
      <c r="G33">
        <f>HEX2DEC(F33)</f>
        <v>0</v>
      </c>
      <c r="H33">
        <f t="shared" ref="H33:H41" si="14">HEX2DEC(E33)</f>
        <v>0</v>
      </c>
      <c r="L33" s="3"/>
      <c r="M33" s="5"/>
      <c r="N33" s="5"/>
      <c r="O33" s="5"/>
      <c r="P33" s="5"/>
    </row>
    <row r="34" spans="1:16" x14ac:dyDescent="0.2">
      <c r="A34" s="2"/>
      <c r="C34" s="22" t="s">
        <v>3</v>
      </c>
      <c r="D34" s="23">
        <v>746</v>
      </c>
      <c r="E34" s="27">
        <f t="shared" si="12"/>
        <v>746</v>
      </c>
      <c r="F34" s="27" t="str">
        <f t="shared" si="13"/>
        <v>200</v>
      </c>
      <c r="G34">
        <f t="shared" ref="G34:G41" si="15">HEX2DEC(E34)</f>
        <v>1862</v>
      </c>
      <c r="H34">
        <f t="shared" si="14"/>
        <v>1862</v>
      </c>
      <c r="L34" s="3"/>
      <c r="M34" s="5"/>
      <c r="N34" s="5"/>
      <c r="O34" s="5"/>
      <c r="P34" s="5"/>
    </row>
    <row r="35" spans="1:16" x14ac:dyDescent="0.2">
      <c r="A35" s="2"/>
      <c r="C35" s="22" t="s">
        <v>8</v>
      </c>
      <c r="D35" s="23" t="s">
        <v>45</v>
      </c>
      <c r="E35" s="27" t="str">
        <f t="shared" si="12"/>
        <v>B04</v>
      </c>
      <c r="F35" s="27" t="str">
        <f t="shared" si="13"/>
        <v>300</v>
      </c>
      <c r="G35">
        <f t="shared" si="15"/>
        <v>2820</v>
      </c>
      <c r="H35">
        <f t="shared" si="14"/>
        <v>2820</v>
      </c>
      <c r="L35" s="2"/>
      <c r="M35" s="5"/>
      <c r="N35" s="5"/>
      <c r="O35" s="5"/>
      <c r="P35" s="5"/>
    </row>
    <row r="36" spans="1:16" x14ac:dyDescent="0.2">
      <c r="A36" s="2"/>
      <c r="C36" s="22" t="s">
        <v>9</v>
      </c>
      <c r="D36" s="23" t="s">
        <v>46</v>
      </c>
      <c r="E36" s="27" t="str">
        <f t="shared" si="12"/>
        <v>CDF</v>
      </c>
      <c r="F36" s="27" t="str">
        <f t="shared" si="13"/>
        <v>478</v>
      </c>
      <c r="G36">
        <f t="shared" si="15"/>
        <v>3295</v>
      </c>
      <c r="H36">
        <f t="shared" si="14"/>
        <v>3295</v>
      </c>
      <c r="L36" s="2"/>
      <c r="M36" s="5"/>
      <c r="N36" s="5"/>
      <c r="O36" s="5"/>
      <c r="P36" s="5"/>
    </row>
    <row r="37" spans="1:16" x14ac:dyDescent="0.2">
      <c r="A37" s="2"/>
      <c r="C37" s="22">
        <v>290</v>
      </c>
      <c r="D37" s="23" t="s">
        <v>47</v>
      </c>
      <c r="E37" s="27" t="str">
        <f t="shared" si="12"/>
        <v>E19</v>
      </c>
      <c r="F37" s="27" t="str">
        <f t="shared" si="13"/>
        <v>5EC</v>
      </c>
      <c r="G37">
        <f t="shared" si="15"/>
        <v>3609</v>
      </c>
      <c r="H37">
        <f t="shared" si="14"/>
        <v>3609</v>
      </c>
      <c r="L37" s="2"/>
      <c r="M37" s="5"/>
      <c r="N37" s="5"/>
      <c r="O37" s="5"/>
      <c r="P37" s="5"/>
    </row>
    <row r="38" spans="1:16" x14ac:dyDescent="0.2">
      <c r="A38" s="2"/>
      <c r="C38" s="22">
        <v>377</v>
      </c>
      <c r="D38" s="23">
        <v>1008</v>
      </c>
      <c r="E38" s="27">
        <f t="shared" si="12"/>
        <v>1008</v>
      </c>
      <c r="F38" s="27" t="str">
        <f t="shared" si="13"/>
        <v>800</v>
      </c>
      <c r="G38">
        <f t="shared" si="15"/>
        <v>4104</v>
      </c>
      <c r="H38">
        <f t="shared" si="14"/>
        <v>4104</v>
      </c>
      <c r="L38" s="2"/>
      <c r="M38" s="5"/>
      <c r="N38" s="5"/>
      <c r="O38" s="5"/>
      <c r="P38" s="5"/>
    </row>
    <row r="39" spans="1:16" x14ac:dyDescent="0.2">
      <c r="A39" s="2"/>
      <c r="C39" s="22">
        <v>454</v>
      </c>
      <c r="D39" s="23">
        <v>1200</v>
      </c>
      <c r="E39" s="27">
        <f t="shared" si="12"/>
        <v>1200</v>
      </c>
      <c r="F39" s="27" t="str">
        <f t="shared" si="13"/>
        <v>A00</v>
      </c>
      <c r="G39">
        <f t="shared" si="15"/>
        <v>4608</v>
      </c>
      <c r="H39">
        <f t="shared" si="14"/>
        <v>4608</v>
      </c>
      <c r="L39" s="2"/>
      <c r="M39" s="5"/>
      <c r="N39" s="5"/>
      <c r="O39" s="5"/>
      <c r="P39" s="5"/>
    </row>
    <row r="40" spans="1:16" x14ac:dyDescent="0.2">
      <c r="A40" s="2"/>
      <c r="C40" s="22">
        <v>610</v>
      </c>
      <c r="D40" s="23">
        <v>1200</v>
      </c>
      <c r="E40" s="27" t="str">
        <f>DEC2HEX(((HEX2DEC(E39)+HEX2DEC(E41))/2))</f>
        <v>1B00</v>
      </c>
      <c r="F40" s="27" t="str">
        <f t="shared" si="13"/>
        <v>E00</v>
      </c>
      <c r="G40">
        <f t="shared" si="15"/>
        <v>6912</v>
      </c>
      <c r="H40">
        <f t="shared" si="14"/>
        <v>6912</v>
      </c>
      <c r="L40" s="2"/>
      <c r="M40" s="5"/>
      <c r="N40" s="5"/>
      <c r="O40" s="5"/>
      <c r="P40" s="5"/>
    </row>
    <row r="41" spans="1:16" x14ac:dyDescent="0.2">
      <c r="A41" s="2"/>
      <c r="C41" s="24" t="s">
        <v>4</v>
      </c>
      <c r="D41" s="25">
        <v>1200</v>
      </c>
      <c r="E41" s="27" t="str">
        <f>DEC2HEX(HEX2DEC(D41)*D43)</f>
        <v>2400</v>
      </c>
      <c r="F41" s="28" t="str">
        <f>D44</f>
        <v>F00</v>
      </c>
      <c r="G41">
        <f t="shared" si="15"/>
        <v>9216</v>
      </c>
      <c r="H41">
        <f t="shared" si="14"/>
        <v>9216</v>
      </c>
      <c r="L41" s="2"/>
      <c r="M41" s="5"/>
      <c r="N41" s="5"/>
      <c r="O41" s="5"/>
      <c r="P41" s="5"/>
    </row>
    <row r="42" spans="1:16" x14ac:dyDescent="0.2">
      <c r="A42" s="2"/>
      <c r="L42" s="2"/>
      <c r="M42" s="5"/>
      <c r="N42" s="5"/>
      <c r="O42" s="5"/>
      <c r="P42" s="5"/>
    </row>
    <row r="43" spans="1:16" x14ac:dyDescent="0.2">
      <c r="A43" s="2"/>
      <c r="C43" t="s">
        <v>60</v>
      </c>
      <c r="D43" s="1">
        <v>2</v>
      </c>
      <c r="L43" s="2"/>
      <c r="M43" s="5"/>
      <c r="N43" s="5"/>
      <c r="O43" s="5"/>
      <c r="P43" s="5"/>
    </row>
    <row r="44" spans="1:16" x14ac:dyDescent="0.2">
      <c r="A44" s="2"/>
      <c r="C44" t="s">
        <v>12</v>
      </c>
      <c r="D44" s="1" t="s">
        <v>42</v>
      </c>
      <c r="L44" s="2"/>
      <c r="M44" s="5"/>
      <c r="N44" s="5"/>
      <c r="O44" s="5"/>
      <c r="P44" s="5"/>
    </row>
    <row r="45" spans="1:16" x14ac:dyDescent="0.2">
      <c r="A45" s="2"/>
      <c r="C45" s="5" t="s">
        <v>38</v>
      </c>
      <c r="D45" s="19">
        <v>2</v>
      </c>
      <c r="L45" s="2"/>
      <c r="M45" s="5"/>
      <c r="N45" s="5"/>
      <c r="O45" s="5"/>
      <c r="P45" s="5"/>
    </row>
    <row r="46" spans="1:16" ht="17" thickBot="1" x14ac:dyDescent="0.25">
      <c r="A46" s="2"/>
      <c r="L46" s="2"/>
      <c r="M46" s="5"/>
      <c r="N46" s="5"/>
      <c r="O46" s="5"/>
      <c r="P46" s="5"/>
    </row>
    <row r="47" spans="1:16" ht="17" thickBot="1" x14ac:dyDescent="0.25">
      <c r="A47" s="2"/>
      <c r="C47" s="12" t="s">
        <v>13</v>
      </c>
      <c r="D47" s="34" t="str">
        <f>"0x" &amp; F33 &amp; ", 0x" &amp; F34 &amp; ", 0x" &amp; F35 &amp; ", 0x" &amp;F36 &amp; ", 0x" &amp; F37 &amp; ", 0x" &amp; F38 &amp; ", 0x" &amp; F39 &amp; ", 0x" &amp; F40 &amp; ", 0x" &amp; F41</f>
        <v>0x0, 0x200, 0x300, 0x478, 0x5EC, 0x800, 0xA00, 0xE00, 0xF00</v>
      </c>
      <c r="E47" s="35"/>
      <c r="F47" s="35"/>
      <c r="G47" s="35"/>
      <c r="H47" s="35"/>
      <c r="I47" s="14"/>
      <c r="J47" s="15"/>
      <c r="L47" s="2"/>
      <c r="M47" s="5"/>
      <c r="N47" s="5"/>
      <c r="O47" s="5"/>
      <c r="P47" s="5"/>
    </row>
    <row r="48" spans="1:16" ht="17" thickBot="1" x14ac:dyDescent="0.25">
      <c r="A48" s="2"/>
      <c r="C48" s="13" t="s">
        <v>14</v>
      </c>
      <c r="D48" s="34" t="str">
        <f>"0x" &amp; E33 &amp; ", 0x" &amp; E34 &amp; ", 0x" &amp; E35 &amp; ", 0x" &amp;(E36) &amp; ", 0x" &amp; E37 &amp; ", 0x" &amp; E38 &amp; ", 0x" &amp; E39 &amp; ", 0x" &amp; E40 &amp; ", 0x" &amp; E41</f>
        <v>0x0, 0x746, 0xB04, 0xCDF, 0xE19, 0x1008, 0x1200, 0x1B00, 0x2400</v>
      </c>
      <c r="E48" s="35"/>
      <c r="F48" s="35"/>
      <c r="G48" s="35"/>
      <c r="H48" s="35"/>
      <c r="I48" s="17"/>
      <c r="J48" s="18"/>
      <c r="L48" s="2"/>
      <c r="M48" s="5"/>
      <c r="N48" s="5"/>
      <c r="O48" s="5"/>
      <c r="P48" s="5"/>
    </row>
    <row r="49" spans="1:16" ht="16" customHeight="1" x14ac:dyDescent="0.2">
      <c r="A49" s="2"/>
      <c r="L49" s="2"/>
      <c r="M49" s="5"/>
      <c r="N49" s="5"/>
      <c r="O49" s="5"/>
      <c r="P49" s="5"/>
    </row>
    <row r="50" spans="1:16" ht="17" customHeight="1" thickBot="1" x14ac:dyDescent="0.25">
      <c r="A50" s="2"/>
      <c r="C50" s="16"/>
      <c r="L50" s="2"/>
      <c r="M50" s="5"/>
      <c r="N50" s="5"/>
      <c r="O50" s="5"/>
      <c r="P50" s="5"/>
    </row>
    <row r="51" spans="1:16" x14ac:dyDescent="0.2">
      <c r="A51" s="2"/>
      <c r="C51" s="37" t="s">
        <v>34</v>
      </c>
      <c r="D51" s="38"/>
      <c r="E51" s="38"/>
      <c r="F51" s="38"/>
      <c r="G51" s="38"/>
      <c r="H51" s="38"/>
      <c r="I51" s="38"/>
      <c r="J51" s="39"/>
      <c r="L51" s="2"/>
      <c r="M51" s="5"/>
      <c r="N51" s="5"/>
      <c r="O51" s="5"/>
      <c r="P51" s="5"/>
    </row>
    <row r="52" spans="1:16" ht="17" thickBot="1" x14ac:dyDescent="0.25">
      <c r="A52" s="2"/>
      <c r="C52" s="40"/>
      <c r="D52" s="41"/>
      <c r="E52" s="41"/>
      <c r="F52" s="41"/>
      <c r="G52" s="41"/>
      <c r="H52" s="41"/>
      <c r="I52" s="41"/>
      <c r="J52" s="42"/>
      <c r="L52" s="2"/>
      <c r="M52" s="5"/>
      <c r="N52" s="5"/>
      <c r="O52" s="5"/>
      <c r="P52" s="5"/>
    </row>
    <row r="53" spans="1:16" x14ac:dyDescent="0.2">
      <c r="A53" s="2"/>
      <c r="L53" s="2"/>
      <c r="M53" s="5"/>
      <c r="N53" s="5"/>
      <c r="O53" s="5"/>
      <c r="P53" s="5"/>
    </row>
    <row r="54" spans="1:16" x14ac:dyDescent="0.2">
      <c r="A54" s="2"/>
      <c r="L54" s="2"/>
      <c r="M54" s="5"/>
      <c r="N54" s="5"/>
      <c r="O54" s="5"/>
      <c r="P54" s="5"/>
    </row>
    <row r="55" spans="1:16" x14ac:dyDescent="0.2">
      <c r="A55" s="2"/>
      <c r="C55" t="s">
        <v>36</v>
      </c>
      <c r="D55" t="s">
        <v>35</v>
      </c>
      <c r="E55" t="s">
        <v>11</v>
      </c>
      <c r="F55" t="s">
        <v>15</v>
      </c>
      <c r="G55" t="s">
        <v>11</v>
      </c>
      <c r="H55" t="s">
        <v>37</v>
      </c>
      <c r="L55" s="2"/>
      <c r="M55" s="5"/>
      <c r="N55" s="5"/>
      <c r="O55" s="5"/>
      <c r="P55" s="5"/>
    </row>
    <row r="56" spans="1:16" x14ac:dyDescent="0.2">
      <c r="A56" s="2"/>
      <c r="C56" s="20">
        <v>0</v>
      </c>
      <c r="D56" s="21">
        <v>0</v>
      </c>
      <c r="E56" s="27">
        <f t="shared" ref="E56:E63" si="16">D56</f>
        <v>0</v>
      </c>
      <c r="F56" s="27" t="str">
        <f>DEC2HEX(_xlfn.BITLSHIFT(ROUND(HEX2DEC(C56)/SQRT(3),0),2))</f>
        <v>0</v>
      </c>
      <c r="G56">
        <f>HEX2DEC(F56)</f>
        <v>0</v>
      </c>
      <c r="H56">
        <f t="shared" ref="H56:H64" si="17">HEX2DEC(E56)</f>
        <v>0</v>
      </c>
      <c r="L56" s="2"/>
      <c r="M56" s="5"/>
      <c r="N56" s="5"/>
      <c r="O56" s="5"/>
      <c r="P56" s="5"/>
    </row>
    <row r="57" spans="1:16" x14ac:dyDescent="0.2">
      <c r="A57" s="2"/>
      <c r="C57" s="22" t="s">
        <v>39</v>
      </c>
      <c r="D57" s="23">
        <v>580</v>
      </c>
      <c r="E57" s="27">
        <f t="shared" si="16"/>
        <v>580</v>
      </c>
      <c r="F57" s="27" t="str">
        <f t="shared" ref="F57:F64" si="18">DEC2HEX(_xlfn.BITLSHIFT(ROUND(HEX2DEC(C57)/SQRT(3),0),2))</f>
        <v>100</v>
      </c>
      <c r="G57">
        <f t="shared" ref="G57:G64" si="19">HEX2DEC(E57)</f>
        <v>1408</v>
      </c>
      <c r="H57">
        <f t="shared" si="17"/>
        <v>1408</v>
      </c>
      <c r="L57" s="2"/>
      <c r="M57" s="5"/>
      <c r="N57" s="5"/>
      <c r="O57" s="5"/>
      <c r="P57" s="5"/>
    </row>
    <row r="58" spans="1:16" x14ac:dyDescent="0.2">
      <c r="A58" s="2"/>
      <c r="C58" s="22" t="s">
        <v>3</v>
      </c>
      <c r="D58" s="23" t="s">
        <v>40</v>
      </c>
      <c r="E58" s="27" t="str">
        <f t="shared" si="16"/>
        <v>A00</v>
      </c>
      <c r="F58" s="27" t="str">
        <f t="shared" si="18"/>
        <v>200</v>
      </c>
      <c r="G58">
        <f t="shared" si="19"/>
        <v>2560</v>
      </c>
      <c r="H58">
        <f t="shared" si="17"/>
        <v>2560</v>
      </c>
      <c r="L58" s="2"/>
      <c r="M58" s="5"/>
      <c r="N58" s="5"/>
      <c r="O58" s="5"/>
      <c r="P58" s="5"/>
    </row>
    <row r="59" spans="1:16" x14ac:dyDescent="0.2">
      <c r="A59" s="2"/>
      <c r="C59" s="22" t="s">
        <v>8</v>
      </c>
      <c r="D59" s="23" t="s">
        <v>41</v>
      </c>
      <c r="E59" s="27" t="str">
        <f t="shared" si="16"/>
        <v>D00</v>
      </c>
      <c r="F59" s="27" t="str">
        <f t="shared" si="18"/>
        <v>300</v>
      </c>
      <c r="G59">
        <f t="shared" si="19"/>
        <v>3328</v>
      </c>
      <c r="H59">
        <f t="shared" si="17"/>
        <v>3328</v>
      </c>
      <c r="L59" s="2"/>
      <c r="M59" s="5"/>
      <c r="N59" s="5"/>
      <c r="O59" s="5"/>
      <c r="P59" s="5"/>
    </row>
    <row r="60" spans="1:16" x14ac:dyDescent="0.2">
      <c r="A60" s="2"/>
      <c r="C60" s="22" t="s">
        <v>1</v>
      </c>
      <c r="D60" s="23" t="s">
        <v>42</v>
      </c>
      <c r="E60" s="27" t="str">
        <f t="shared" si="16"/>
        <v>F00</v>
      </c>
      <c r="F60" s="27" t="str">
        <f t="shared" si="18"/>
        <v>400</v>
      </c>
      <c r="G60">
        <f t="shared" si="19"/>
        <v>3840</v>
      </c>
      <c r="H60">
        <f t="shared" si="17"/>
        <v>3840</v>
      </c>
      <c r="L60" s="2"/>
      <c r="M60" s="5"/>
      <c r="N60" s="5"/>
      <c r="O60" s="5"/>
      <c r="P60" s="5"/>
    </row>
    <row r="61" spans="1:16" x14ac:dyDescent="0.2">
      <c r="A61" s="2"/>
      <c r="C61" s="22">
        <v>299</v>
      </c>
      <c r="D61" s="23" t="s">
        <v>43</v>
      </c>
      <c r="E61" s="27" t="str">
        <f t="shared" si="16"/>
        <v>10C0</v>
      </c>
      <c r="F61" s="27" t="str">
        <f t="shared" si="18"/>
        <v>600</v>
      </c>
      <c r="G61">
        <f t="shared" si="19"/>
        <v>4288</v>
      </c>
      <c r="H61">
        <f t="shared" si="17"/>
        <v>4288</v>
      </c>
      <c r="L61" s="2"/>
      <c r="M61" s="5"/>
      <c r="N61" s="5"/>
      <c r="O61" s="5"/>
      <c r="P61" s="5"/>
    </row>
    <row r="62" spans="1:16" x14ac:dyDescent="0.2">
      <c r="A62" s="2"/>
      <c r="C62" s="22">
        <v>377</v>
      </c>
      <c r="D62" s="23" t="s">
        <v>44</v>
      </c>
      <c r="E62" s="27" t="str">
        <f t="shared" si="16"/>
        <v>11FF</v>
      </c>
      <c r="F62" s="27" t="str">
        <f t="shared" si="18"/>
        <v>800</v>
      </c>
      <c r="G62">
        <f t="shared" si="19"/>
        <v>4607</v>
      </c>
      <c r="H62">
        <f t="shared" si="17"/>
        <v>4607</v>
      </c>
      <c r="L62" s="2"/>
      <c r="M62" s="5"/>
      <c r="N62" s="5"/>
      <c r="O62" s="5"/>
      <c r="P62" s="5"/>
    </row>
    <row r="63" spans="1:16" x14ac:dyDescent="0.2">
      <c r="A63" s="2"/>
      <c r="C63" s="22">
        <v>454</v>
      </c>
      <c r="D63" s="23">
        <v>1300</v>
      </c>
      <c r="E63" s="27">
        <f t="shared" si="16"/>
        <v>1300</v>
      </c>
      <c r="F63" s="27" t="str">
        <f t="shared" si="18"/>
        <v>A00</v>
      </c>
      <c r="G63">
        <f t="shared" si="19"/>
        <v>4864</v>
      </c>
      <c r="H63">
        <f t="shared" si="17"/>
        <v>4864</v>
      </c>
      <c r="L63" s="2"/>
      <c r="M63" s="5"/>
      <c r="N63" s="5"/>
      <c r="O63" s="5"/>
      <c r="P63" s="5"/>
    </row>
    <row r="64" spans="1:16" x14ac:dyDescent="0.2">
      <c r="A64" s="2"/>
      <c r="C64" s="24" t="s">
        <v>2</v>
      </c>
      <c r="D64" s="25">
        <v>1400</v>
      </c>
      <c r="E64" s="27" t="str">
        <f>DEC2HEX(HEX2DEC(D64)*D66)</f>
        <v>2800</v>
      </c>
      <c r="F64" s="27" t="str">
        <f t="shared" si="18"/>
        <v>F00</v>
      </c>
      <c r="G64">
        <f t="shared" si="19"/>
        <v>10240</v>
      </c>
      <c r="H64">
        <f t="shared" si="17"/>
        <v>10240</v>
      </c>
      <c r="L64" s="2"/>
      <c r="M64" s="5"/>
      <c r="N64" s="5"/>
      <c r="O64" s="5"/>
      <c r="P64" s="5"/>
    </row>
    <row r="65" spans="1:33" x14ac:dyDescent="0.2">
      <c r="A65" s="2"/>
      <c r="L65" s="2"/>
      <c r="M65" s="5"/>
      <c r="N65" s="5"/>
      <c r="O65" s="5"/>
      <c r="P65" s="5"/>
    </row>
    <row r="66" spans="1:33" x14ac:dyDescent="0.2">
      <c r="A66" s="2"/>
      <c r="C66" t="s">
        <v>60</v>
      </c>
      <c r="D66" s="1">
        <v>2</v>
      </c>
      <c r="L66" s="2"/>
      <c r="M66" s="5"/>
      <c r="N66" s="5"/>
      <c r="O66" s="5"/>
      <c r="P66" s="5"/>
    </row>
    <row r="67" spans="1:33" x14ac:dyDescent="0.2">
      <c r="A67" s="2"/>
      <c r="C67" t="s">
        <v>12</v>
      </c>
      <c r="D67" s="1" t="s">
        <v>10</v>
      </c>
      <c r="L67" s="2"/>
      <c r="M67" s="5"/>
      <c r="N67" s="5"/>
      <c r="O67" s="5"/>
      <c r="P67" s="5"/>
    </row>
    <row r="68" spans="1:33" x14ac:dyDescent="0.2">
      <c r="A68" s="2"/>
      <c r="C68" s="5" t="s">
        <v>38</v>
      </c>
      <c r="D68" s="19">
        <v>2</v>
      </c>
      <c r="L68" s="2"/>
      <c r="M68" s="5"/>
      <c r="N68" s="5"/>
      <c r="O68" s="5"/>
      <c r="P68" s="5"/>
    </row>
    <row r="69" spans="1:33" ht="17" thickBot="1" x14ac:dyDescent="0.25">
      <c r="A69" s="2"/>
      <c r="L69" s="2"/>
      <c r="M69" s="5"/>
      <c r="N69" s="5"/>
      <c r="O69" s="5"/>
      <c r="P69" s="5"/>
    </row>
    <row r="70" spans="1:33" ht="17" thickBot="1" x14ac:dyDescent="0.25">
      <c r="A70" s="2"/>
      <c r="C70" s="12" t="s">
        <v>13</v>
      </c>
      <c r="D70" s="34" t="str">
        <f>"0x" &amp; F56 &amp; ", 0x" &amp; F57 &amp; ", 0x" &amp; F58 &amp; ", 0x" &amp;F59 &amp; ", 0x" &amp; F60 &amp; ", 0x" &amp; F61 &amp; ", 0x" &amp; F62 &amp; ", 0x" &amp; F63 &amp; ", 0x" &amp; F64</f>
        <v>0x0, 0x100, 0x200, 0x300, 0x400, 0x600, 0x800, 0xA00, 0xF00</v>
      </c>
      <c r="E70" s="35"/>
      <c r="F70" s="35"/>
      <c r="G70" s="35"/>
      <c r="H70" s="35"/>
      <c r="I70" s="35"/>
      <c r="J70" s="36"/>
      <c r="L70" s="2"/>
    </row>
    <row r="71" spans="1:33" ht="16" customHeight="1" thickBot="1" x14ac:dyDescent="0.25">
      <c r="A71" s="2"/>
      <c r="C71" s="13" t="s">
        <v>14</v>
      </c>
      <c r="D71" s="34" t="str">
        <f>"0x" &amp; E56 &amp; ", 0x" &amp; E57 &amp; ", 0x" &amp; E58 &amp; ", 0x" &amp;(E59) &amp; ", 0x" &amp; E60 &amp; ", 0x" &amp; E61 &amp; ", 0x" &amp; E62 &amp; ", 0x" &amp; E63 &amp; ", 0x" &amp; E64</f>
        <v>0x0, 0x580, 0xA00, 0xD00, 0xF00, 0x10C0, 0x11FF, 0x1300, 0x2800</v>
      </c>
      <c r="E71" s="35"/>
      <c r="F71" s="35"/>
      <c r="G71" s="35"/>
      <c r="H71" s="35"/>
      <c r="I71" s="35"/>
      <c r="J71" s="36"/>
      <c r="L71" s="2"/>
      <c r="V71" s="33" t="s">
        <v>18</v>
      </c>
      <c r="W71" s="33"/>
    </row>
    <row r="72" spans="1:33" ht="17" customHeight="1" x14ac:dyDescent="0.2">
      <c r="A72" s="2"/>
      <c r="C72" s="29"/>
      <c r="D72" s="30"/>
      <c r="E72" s="30"/>
      <c r="F72" s="30"/>
      <c r="G72" s="30"/>
      <c r="H72" s="30"/>
      <c r="I72" s="30"/>
      <c r="J72" s="30"/>
      <c r="L72" s="2"/>
    </row>
    <row r="73" spans="1:33" ht="17" thickBot="1" x14ac:dyDescent="0.25">
      <c r="A73" s="2"/>
      <c r="C73" s="16"/>
      <c r="L73" s="2"/>
    </row>
    <row r="74" spans="1:33" x14ac:dyDescent="0.2">
      <c r="A74" s="2"/>
      <c r="C74" s="37" t="s">
        <v>48</v>
      </c>
      <c r="D74" s="38"/>
      <c r="E74" s="38"/>
      <c r="F74" s="38"/>
      <c r="G74" s="38"/>
      <c r="H74" s="38"/>
      <c r="I74" s="38"/>
      <c r="J74" s="39"/>
      <c r="L74" s="4"/>
    </row>
    <row r="75" spans="1:33" ht="17" thickBot="1" x14ac:dyDescent="0.25">
      <c r="A75" s="2"/>
      <c r="C75" s="40"/>
      <c r="D75" s="41"/>
      <c r="E75" s="41"/>
      <c r="F75" s="41"/>
      <c r="G75" s="41"/>
      <c r="H75" s="41"/>
      <c r="I75" s="41"/>
      <c r="J75" s="42"/>
      <c r="L75" s="2"/>
    </row>
    <row r="76" spans="1:33" x14ac:dyDescent="0.2">
      <c r="A76" s="2"/>
      <c r="L76" s="2"/>
    </row>
    <row r="77" spans="1:33" x14ac:dyDescent="0.2">
      <c r="A77" s="2"/>
      <c r="L77" s="2"/>
    </row>
    <row r="78" spans="1:33" x14ac:dyDescent="0.2">
      <c r="A78" s="2"/>
      <c r="C78" t="s">
        <v>36</v>
      </c>
      <c r="D78" t="s">
        <v>35</v>
      </c>
      <c r="E78" t="s">
        <v>11</v>
      </c>
      <c r="F78" t="s">
        <v>15</v>
      </c>
      <c r="G78" t="s">
        <v>11</v>
      </c>
      <c r="H78" t="s">
        <v>37</v>
      </c>
      <c r="L78" s="2"/>
    </row>
    <row r="79" spans="1:33" x14ac:dyDescent="0.2">
      <c r="A79" s="2"/>
      <c r="C79" s="20">
        <v>0</v>
      </c>
      <c r="D79" s="21">
        <v>0</v>
      </c>
      <c r="E79" s="27">
        <f t="shared" ref="E79:E84" si="20">D79</f>
        <v>0</v>
      </c>
      <c r="F79" s="27" t="str">
        <f>DEC2HEX(_xlfn.BITLSHIFT(ROUND(HEX2DEC(C79)/SQRT(3),0),2))</f>
        <v>0</v>
      </c>
      <c r="G79">
        <f>HEX2DEC(F79)</f>
        <v>0</v>
      </c>
      <c r="H79">
        <f t="shared" ref="H79:H87" si="21">HEX2DEC(E79)</f>
        <v>0</v>
      </c>
      <c r="L79" s="2"/>
      <c r="V79" t="s">
        <v>24</v>
      </c>
      <c r="W79" t="s">
        <v>25</v>
      </c>
      <c r="X79" t="s">
        <v>26</v>
      </c>
      <c r="Z79" t="s">
        <v>27</v>
      </c>
      <c r="AA79" t="s">
        <v>21</v>
      </c>
      <c r="AB79" t="s">
        <v>22</v>
      </c>
      <c r="AC79" t="s">
        <v>20</v>
      </c>
      <c r="AD79" t="s">
        <v>23</v>
      </c>
    </row>
    <row r="80" spans="1:33" x14ac:dyDescent="0.2">
      <c r="A80" s="2"/>
      <c r="C80" s="22" t="s">
        <v>0</v>
      </c>
      <c r="D80" s="23">
        <v>500</v>
      </c>
      <c r="E80" s="27">
        <f t="shared" si="20"/>
        <v>500</v>
      </c>
      <c r="F80" s="27" t="str">
        <f t="shared" ref="F80:F87" si="22">DEC2HEX(_xlfn.BITLSHIFT(ROUND(HEX2DEC(C80)/SQRT(3),0),2))</f>
        <v>1F8</v>
      </c>
      <c r="G80">
        <f t="shared" ref="G80:G87" si="23">HEX2DEC(E80)</f>
        <v>1280</v>
      </c>
      <c r="H80">
        <f t="shared" si="21"/>
        <v>1280</v>
      </c>
      <c r="L80" s="2"/>
      <c r="V80" s="1">
        <v>0</v>
      </c>
      <c r="W80" s="1">
        <v>0</v>
      </c>
      <c r="X80" s="1">
        <v>0</v>
      </c>
      <c r="Y80" s="1"/>
      <c r="Z80" s="1">
        <v>0</v>
      </c>
      <c r="AA80" s="1" t="s">
        <v>19</v>
      </c>
      <c r="AB80" s="1" t="s">
        <v>19</v>
      </c>
      <c r="AC80" s="11">
        <f>AC85+(0.2*AC85)</f>
        <v>14.708715973483958</v>
      </c>
      <c r="AD80" s="9">
        <v>0.2</v>
      </c>
      <c r="AE80" s="11">
        <f>AE85+(0.2*AE85)</f>
        <v>14.887908006343169</v>
      </c>
      <c r="AF80" s="9">
        <v>0.2</v>
      </c>
      <c r="AG80" s="10">
        <f>(AC80-AC81)/AC80</f>
        <v>4.5179962446757663E-2</v>
      </c>
    </row>
    <row r="81" spans="1:32" x14ac:dyDescent="0.2">
      <c r="A81" s="2"/>
      <c r="C81" s="22" t="s">
        <v>1</v>
      </c>
      <c r="D81" s="23" t="s">
        <v>49</v>
      </c>
      <c r="E81" s="27" t="str">
        <f t="shared" si="20"/>
        <v>A15</v>
      </c>
      <c r="F81" s="27" t="str">
        <f t="shared" si="22"/>
        <v>400</v>
      </c>
      <c r="G81">
        <f t="shared" si="23"/>
        <v>2581</v>
      </c>
      <c r="H81">
        <f t="shared" si="21"/>
        <v>2581</v>
      </c>
      <c r="L81" s="2"/>
      <c r="V81">
        <v>90</v>
      </c>
      <c r="W81" s="10">
        <v>6.9166999999999996</v>
      </c>
      <c r="X81" s="10">
        <f>(5+54/60)</f>
        <v>5.9</v>
      </c>
      <c r="Y81" s="10"/>
      <c r="Z81" s="10">
        <f>AVERAGE(W81:X81)</f>
        <v>6.4083500000000004</v>
      </c>
      <c r="AA81" s="10">
        <f>V81/X81</f>
        <v>15.254237288135592</v>
      </c>
      <c r="AB81" s="10">
        <f>V81/W81</f>
        <v>13.011985484407305</v>
      </c>
      <c r="AC81">
        <f>V81/Z81</f>
        <v>14.044176738161928</v>
      </c>
      <c r="AD81" s="8">
        <f>(AC81-AC$85)/AC$85</f>
        <v>0.14578404506389087</v>
      </c>
      <c r="AE81" s="10">
        <f>AVERAGE(AA81:AB81)</f>
        <v>14.133111386271448</v>
      </c>
      <c r="AF81" s="8">
        <f>(AE81-AE$85)/AE$85</f>
        <v>0.13916163750473495</v>
      </c>
    </row>
    <row r="82" spans="1:32" x14ac:dyDescent="0.2">
      <c r="A82" s="2"/>
      <c r="C82" s="22">
        <v>296</v>
      </c>
      <c r="D82" s="23" t="s">
        <v>50</v>
      </c>
      <c r="E82" s="27" t="str">
        <f t="shared" si="20"/>
        <v>E6D</v>
      </c>
      <c r="F82" s="27" t="str">
        <f t="shared" si="22"/>
        <v>5F8</v>
      </c>
      <c r="G82">
        <f t="shared" si="23"/>
        <v>3693</v>
      </c>
      <c r="H82">
        <f t="shared" si="21"/>
        <v>3693</v>
      </c>
      <c r="L82" s="2"/>
      <c r="V82">
        <v>180</v>
      </c>
      <c r="W82" s="10">
        <v>14.0778</v>
      </c>
      <c r="X82" s="10">
        <f>(12+7/-60)</f>
        <v>11.883333333333333</v>
      </c>
      <c r="Y82" s="10"/>
      <c r="Z82" s="10">
        <f t="shared" ref="Z82:Z85" si="24">AVERAGE(W82:X82)</f>
        <v>12.980566666666666</v>
      </c>
      <c r="AA82" s="10">
        <f>V82/X82</f>
        <v>15.147265077138851</v>
      </c>
      <c r="AB82" s="10">
        <f>V82/W82</f>
        <v>12.786088735455824</v>
      </c>
      <c r="AC82">
        <f>V82/Z82</f>
        <v>13.866883058520814</v>
      </c>
      <c r="AD82" s="8">
        <f>(AC82-AC$85)/AC$85</f>
        <v>0.13131966789100408</v>
      </c>
      <c r="AE82" s="10">
        <f>AVERAGE(AA82:AB82)</f>
        <v>13.966676906297337</v>
      </c>
      <c r="AF82" s="8">
        <f>(AE82-AE$85)/AE$85</f>
        <v>0.12574663145527257</v>
      </c>
    </row>
    <row r="83" spans="1:32" x14ac:dyDescent="0.2">
      <c r="A83" s="2"/>
      <c r="C83" s="22">
        <v>377</v>
      </c>
      <c r="D83" s="23">
        <v>1100</v>
      </c>
      <c r="E83" s="27">
        <f t="shared" si="20"/>
        <v>1100</v>
      </c>
      <c r="F83" s="27" t="str">
        <f t="shared" si="22"/>
        <v>800</v>
      </c>
      <c r="G83">
        <f t="shared" si="23"/>
        <v>4352</v>
      </c>
      <c r="H83">
        <f t="shared" si="21"/>
        <v>4352</v>
      </c>
      <c r="L83" s="2"/>
      <c r="V83">
        <v>270</v>
      </c>
      <c r="W83" s="10">
        <v>21.633299999999998</v>
      </c>
      <c r="X83" s="10">
        <f>(19+28/60)</f>
        <v>19.466666666666665</v>
      </c>
      <c r="Y83" s="10"/>
      <c r="Z83" s="10">
        <f t="shared" si="24"/>
        <v>20.54998333333333</v>
      </c>
      <c r="AA83" s="10">
        <f>V83/X83</f>
        <v>13.869863013698632</v>
      </c>
      <c r="AB83" s="10">
        <f>V83/W83</f>
        <v>12.480758830136873</v>
      </c>
      <c r="AC83">
        <f>V83/Z83</f>
        <v>13.138696787264225</v>
      </c>
      <c r="AD83" s="8">
        <f>(AC83-AC$85)/AC$85</f>
        <v>7.1911115364516567E-2</v>
      </c>
      <c r="AE83" s="10">
        <f>AVERAGE(AA83:AB83)</f>
        <v>13.175310921917752</v>
      </c>
      <c r="AF83" s="8">
        <f>(AE83-AE$85)/AE$85</f>
        <v>6.1960693172278279E-2</v>
      </c>
    </row>
    <row r="84" spans="1:32" x14ac:dyDescent="0.2">
      <c r="A84" s="2"/>
      <c r="C84" s="22">
        <v>454</v>
      </c>
      <c r="D84" s="23">
        <v>1200</v>
      </c>
      <c r="E84" s="27">
        <f t="shared" si="20"/>
        <v>1200</v>
      </c>
      <c r="F84" s="27" t="str">
        <f t="shared" si="22"/>
        <v>A00</v>
      </c>
      <c r="G84">
        <f t="shared" si="23"/>
        <v>4608</v>
      </c>
      <c r="H84">
        <f t="shared" si="21"/>
        <v>4608</v>
      </c>
      <c r="L84" s="2"/>
      <c r="V84">
        <v>360</v>
      </c>
      <c r="W84" s="10">
        <v>30.933299999999999</v>
      </c>
      <c r="X84" s="10">
        <f>(26+37/60)</f>
        <v>26.616666666666667</v>
      </c>
      <c r="Y84" s="10"/>
      <c r="Z84" s="10">
        <f t="shared" si="24"/>
        <v>28.774983333333331</v>
      </c>
      <c r="AA84" s="10">
        <f>V84/X84</f>
        <v>13.525360050093926</v>
      </c>
      <c r="AB84" s="10">
        <f>V84/W84</f>
        <v>11.637943575370233</v>
      </c>
      <c r="AC84">
        <f>V84/Z84</f>
        <v>12.510867368008903</v>
      </c>
      <c r="AD84" s="8">
        <f>(AC84-AC$85)/AC$85</f>
        <v>2.0690104335099369E-2</v>
      </c>
      <c r="AE84" s="10">
        <f>AVERAGE(AA84:AB84)</f>
        <v>12.58165181273208</v>
      </c>
      <c r="AF84" s="8">
        <f>(AE84-AE$85)/AE$85</f>
        <v>1.4110388702416921E-2</v>
      </c>
    </row>
    <row r="85" spans="1:32" x14ac:dyDescent="0.2">
      <c r="A85" s="2"/>
      <c r="C85" s="22">
        <v>532</v>
      </c>
      <c r="D85" s="23" t="s">
        <v>51</v>
      </c>
      <c r="E85" s="27" t="str">
        <f>DEC2HEX((HEX2DEC(E87)-HEX2DEC(E84))/3+HEX2DEC(E84))</f>
        <v>1955</v>
      </c>
      <c r="F85" s="27" t="str">
        <f t="shared" si="22"/>
        <v>C00</v>
      </c>
      <c r="G85">
        <f t="shared" si="23"/>
        <v>6485</v>
      </c>
      <c r="H85">
        <f t="shared" si="21"/>
        <v>6485</v>
      </c>
      <c r="L85" s="2"/>
      <c r="V85">
        <v>405</v>
      </c>
      <c r="W85" s="10">
        <v>36.666600000000003</v>
      </c>
      <c r="X85" s="10">
        <f>(29+25/60)</f>
        <v>29.416666666666668</v>
      </c>
      <c r="Y85" s="10"/>
      <c r="Z85" s="10">
        <f t="shared" si="24"/>
        <v>33.041633333333337</v>
      </c>
      <c r="AA85" s="10">
        <f>V85/X85</f>
        <v>13.76770538243626</v>
      </c>
      <c r="AB85" s="10">
        <f>V85/W85</f>
        <v>11.045474628135686</v>
      </c>
      <c r="AC85">
        <f>V85/Z85</f>
        <v>12.257263311236631</v>
      </c>
      <c r="AD85" s="8"/>
      <c r="AE85" s="10">
        <f>AVERAGE(AA85:AB85)</f>
        <v>12.406590005285974</v>
      </c>
      <c r="AF85" s="8"/>
    </row>
    <row r="86" spans="1:32" x14ac:dyDescent="0.2">
      <c r="A86" s="2"/>
      <c r="C86" s="22">
        <v>610</v>
      </c>
      <c r="D86" s="23" t="s">
        <v>52</v>
      </c>
      <c r="E86" s="27" t="str">
        <f>DEC2HEX(((HEX2DEC(E85)+HEX2DEC(E87))/2))</f>
        <v>20AA</v>
      </c>
      <c r="F86" s="27" t="str">
        <f t="shared" si="22"/>
        <v>E00</v>
      </c>
      <c r="G86">
        <f t="shared" si="23"/>
        <v>8362</v>
      </c>
      <c r="H86">
        <f t="shared" si="21"/>
        <v>8362</v>
      </c>
      <c r="L86" s="2"/>
      <c r="AF86" s="8"/>
    </row>
    <row r="87" spans="1:32" x14ac:dyDescent="0.2">
      <c r="A87" s="2"/>
      <c r="C87" s="24" t="s">
        <v>2</v>
      </c>
      <c r="D87" s="25">
        <v>1400</v>
      </c>
      <c r="E87" s="27" t="str">
        <f>DEC2HEX(HEX2DEC(D87)*D89)</f>
        <v>2800</v>
      </c>
      <c r="F87" s="27" t="str">
        <f t="shared" si="22"/>
        <v>F00</v>
      </c>
      <c r="G87">
        <f t="shared" si="23"/>
        <v>10240</v>
      </c>
      <c r="H87">
        <f t="shared" si="21"/>
        <v>10240</v>
      </c>
      <c r="L87" s="2"/>
      <c r="AF87" s="8"/>
    </row>
    <row r="88" spans="1:32" x14ac:dyDescent="0.2">
      <c r="A88" s="2"/>
      <c r="L88" s="2"/>
    </row>
    <row r="89" spans="1:32" x14ac:dyDescent="0.2">
      <c r="A89" s="2"/>
      <c r="C89" t="s">
        <v>60</v>
      </c>
      <c r="D89" s="1">
        <v>2</v>
      </c>
      <c r="F89" s="27"/>
      <c r="L89" s="2"/>
    </row>
    <row r="90" spans="1:32" x14ac:dyDescent="0.2">
      <c r="A90" s="2"/>
      <c r="C90" t="s">
        <v>12</v>
      </c>
      <c r="D90" s="1" t="s">
        <v>10</v>
      </c>
      <c r="L90" s="2"/>
    </row>
    <row r="91" spans="1:32" x14ac:dyDescent="0.2">
      <c r="A91" s="2"/>
      <c r="C91" s="5" t="s">
        <v>38</v>
      </c>
      <c r="D91" s="19">
        <v>1</v>
      </c>
      <c r="L91" s="2"/>
      <c r="M91" s="5"/>
      <c r="N91" s="5"/>
      <c r="O91" s="5"/>
      <c r="P91" s="5"/>
    </row>
    <row r="92" spans="1:32" ht="17" thickBot="1" x14ac:dyDescent="0.25">
      <c r="A92" s="2"/>
      <c r="L92" s="2"/>
    </row>
    <row r="93" spans="1:32" ht="16" customHeight="1" thickBot="1" x14ac:dyDescent="0.25">
      <c r="A93" s="2"/>
      <c r="C93" s="12" t="s">
        <v>13</v>
      </c>
      <c r="D93" s="34" t="str">
        <f>"0x" &amp; F79 &amp; ", 0x" &amp; F80 &amp; ", 0x" &amp; F81 &amp; ", 0x" &amp;F82 &amp; ", 0x" &amp; F83 &amp; ", 0x" &amp; F84 &amp; ", 0x" &amp; F85 &amp; ", 0x" &amp; F86 &amp; ", 0x" &amp; F87</f>
        <v>0x0, 0x1F8, 0x400, 0x5F8, 0x800, 0xA00, 0xC00, 0xE00, 0xF00</v>
      </c>
      <c r="E93" s="35"/>
      <c r="F93" s="35"/>
      <c r="G93" s="35"/>
      <c r="H93" s="35"/>
      <c r="I93" s="35"/>
      <c r="J93" s="36"/>
      <c r="L93" s="2"/>
      <c r="V93" s="33" t="s">
        <v>18</v>
      </c>
      <c r="W93" s="33"/>
    </row>
    <row r="94" spans="1:32" ht="17" customHeight="1" thickBot="1" x14ac:dyDescent="0.25">
      <c r="A94" s="2"/>
      <c r="C94" s="13" t="s">
        <v>14</v>
      </c>
      <c r="D94" s="34" t="str">
        <f>"0x" &amp; E79 &amp; ", 0x" &amp; E80 &amp; ", 0x" &amp; E81 &amp; ", 0x" &amp;(E82) &amp; ", 0x" &amp; E83 &amp; ", 0x" &amp; E84 &amp; ", 0x" &amp; E85 &amp; ", 0x" &amp; E86 &amp; ", 0x" &amp; E87</f>
        <v>0x0, 0x500, 0xA15, 0xE6D, 0x1100, 0x1200, 0x1955, 0x20AA, 0x2800</v>
      </c>
      <c r="E94" s="35"/>
      <c r="F94" s="35"/>
      <c r="G94" s="35"/>
      <c r="H94" s="35"/>
      <c r="I94" s="35"/>
      <c r="J94" s="36"/>
      <c r="L94" s="2"/>
    </row>
    <row r="95" spans="1:32" x14ac:dyDescent="0.2">
      <c r="A95" s="2"/>
      <c r="C95" s="29"/>
      <c r="D95" s="30"/>
      <c r="E95" s="30"/>
      <c r="F95" s="30"/>
      <c r="G95" s="30"/>
      <c r="H95" s="30"/>
      <c r="I95" s="30"/>
      <c r="J95" s="30"/>
      <c r="L95" s="2"/>
    </row>
    <row r="96" spans="1:32" ht="17" thickBot="1" x14ac:dyDescent="0.25">
      <c r="A96" s="2"/>
      <c r="C96" s="16"/>
      <c r="L96" s="2"/>
    </row>
    <row r="97" spans="1:33" x14ac:dyDescent="0.2">
      <c r="A97" s="2"/>
      <c r="C97" s="37" t="s">
        <v>59</v>
      </c>
      <c r="D97" s="38"/>
      <c r="E97" s="38"/>
      <c r="F97" s="38"/>
      <c r="G97" s="38"/>
      <c r="H97" s="38"/>
      <c r="I97" s="38"/>
      <c r="J97" s="39"/>
      <c r="L97" s="4"/>
    </row>
    <row r="98" spans="1:33" ht="17" thickBot="1" x14ac:dyDescent="0.25">
      <c r="A98" s="2"/>
      <c r="C98" s="40"/>
      <c r="D98" s="41"/>
      <c r="E98" s="41"/>
      <c r="F98" s="41"/>
      <c r="G98" s="41"/>
      <c r="H98" s="41"/>
      <c r="I98" s="41"/>
      <c r="J98" s="42"/>
      <c r="L98" s="2"/>
    </row>
    <row r="99" spans="1:33" x14ac:dyDescent="0.2">
      <c r="A99" s="2"/>
      <c r="C99" t="s">
        <v>64</v>
      </c>
      <c r="L99" s="2"/>
    </row>
    <row r="100" spans="1:33" x14ac:dyDescent="0.2">
      <c r="A100" s="2"/>
      <c r="C100" t="s">
        <v>65</v>
      </c>
      <c r="L100" s="2"/>
    </row>
    <row r="101" spans="1:33" x14ac:dyDescent="0.2">
      <c r="A101" s="2"/>
      <c r="C101" t="s">
        <v>36</v>
      </c>
      <c r="D101" t="s">
        <v>35</v>
      </c>
      <c r="E101" t="s">
        <v>11</v>
      </c>
      <c r="F101" t="s">
        <v>15</v>
      </c>
      <c r="G101" t="s">
        <v>11</v>
      </c>
      <c r="H101" t="s">
        <v>37</v>
      </c>
      <c r="L101" s="2"/>
      <c r="V101" t="s">
        <v>24</v>
      </c>
      <c r="W101" t="s">
        <v>25</v>
      </c>
      <c r="X101" t="s">
        <v>26</v>
      </c>
      <c r="Z101" t="s">
        <v>27</v>
      </c>
      <c r="AA101" t="s">
        <v>21</v>
      </c>
      <c r="AB101" t="s">
        <v>22</v>
      </c>
      <c r="AC101" t="s">
        <v>20</v>
      </c>
      <c r="AD101" t="s">
        <v>23</v>
      </c>
    </row>
    <row r="102" spans="1:33" x14ac:dyDescent="0.2">
      <c r="A102" s="2"/>
      <c r="C102" s="20">
        <v>0</v>
      </c>
      <c r="D102" s="21">
        <v>0</v>
      </c>
      <c r="E102" s="27">
        <f>D102</f>
        <v>0</v>
      </c>
      <c r="F102" s="27" t="str">
        <f>DEC2HEX(_xlfn.BITLSHIFT(ROUND(HEX2DEC(C102)/SQRT(3),0),2))</f>
        <v>0</v>
      </c>
      <c r="G102">
        <f>HEX2DEC(F102)</f>
        <v>0</v>
      </c>
      <c r="H102">
        <f t="shared" ref="H102:H110" si="25">HEX2DEC(E102)</f>
        <v>0</v>
      </c>
      <c r="L102" s="2"/>
      <c r="V102" s="1">
        <v>0</v>
      </c>
      <c r="W102" s="1">
        <v>0</v>
      </c>
      <c r="X102" s="1">
        <v>0</v>
      </c>
      <c r="Y102" s="1"/>
      <c r="Z102" s="1">
        <v>0</v>
      </c>
      <c r="AA102" s="1" t="s">
        <v>19</v>
      </c>
      <c r="AB102" s="1" t="s">
        <v>19</v>
      </c>
      <c r="AC102" s="11">
        <f>AC107+(0.2*AC107)</f>
        <v>14.708715973483958</v>
      </c>
      <c r="AD102" s="9">
        <v>0.2</v>
      </c>
      <c r="AE102" s="11">
        <f>AE107+(0.2*AE107)</f>
        <v>14.887908006343169</v>
      </c>
      <c r="AF102" s="9">
        <v>0.2</v>
      </c>
      <c r="AG102" s="10">
        <f>(AC102-AC103)/AC102</f>
        <v>4.5179962446757663E-2</v>
      </c>
    </row>
    <row r="103" spans="1:33" x14ac:dyDescent="0.2">
      <c r="A103" s="2"/>
      <c r="C103" s="22" t="s">
        <v>61</v>
      </c>
      <c r="D103" s="23">
        <v>500</v>
      </c>
      <c r="E103" s="27">
        <f>D103</f>
        <v>500</v>
      </c>
      <c r="F103" s="27" t="str">
        <f>DEC2HEX(_xlfn.BITLSHIFT(ROUND(HEX2DEC(C103)/SQRT(3),0),2))</f>
        <v>100</v>
      </c>
      <c r="G103">
        <f t="shared" ref="G103:G110" si="26">HEX2DEC(E103)</f>
        <v>1280</v>
      </c>
      <c r="H103">
        <f t="shared" si="25"/>
        <v>1280</v>
      </c>
      <c r="L103" s="2"/>
      <c r="V103">
        <v>90</v>
      </c>
      <c r="W103" s="10">
        <v>6.9166999999999996</v>
      </c>
      <c r="X103" s="10">
        <f>(5+54/60)</f>
        <v>5.9</v>
      </c>
      <c r="Y103" s="10"/>
      <c r="Z103" s="10">
        <f>AVERAGE(W103:X103)</f>
        <v>6.4083500000000004</v>
      </c>
      <c r="AA103" s="10">
        <f>V103/X103</f>
        <v>15.254237288135592</v>
      </c>
      <c r="AB103" s="10">
        <f>V103/W103</f>
        <v>13.011985484407305</v>
      </c>
      <c r="AC103">
        <f>V103/Z103</f>
        <v>14.044176738161928</v>
      </c>
      <c r="AD103" s="8">
        <f>(AC103-AC$85)/AC$85</f>
        <v>0.14578404506389087</v>
      </c>
      <c r="AE103" s="10">
        <f>AVERAGE(AA103:AB103)</f>
        <v>14.133111386271448</v>
      </c>
      <c r="AF103" s="8">
        <f>(AE103-AE$85)/AE$85</f>
        <v>0.13916163750473495</v>
      </c>
    </row>
    <row r="104" spans="1:33" x14ac:dyDescent="0.2">
      <c r="A104" s="2"/>
      <c r="C104" s="22" t="s">
        <v>62</v>
      </c>
      <c r="D104" s="23">
        <v>800</v>
      </c>
      <c r="E104" s="27">
        <f>D104</f>
        <v>800</v>
      </c>
      <c r="F104" s="27" t="str">
        <f t="shared" ref="F104:F110" si="27">DEC2HEX(_xlfn.BITLSHIFT(ROUND(HEX2DEC(C104)/SQRT(3),0),2))</f>
        <v>200</v>
      </c>
      <c r="G104">
        <f t="shared" si="26"/>
        <v>2048</v>
      </c>
      <c r="H104">
        <f t="shared" si="25"/>
        <v>2048</v>
      </c>
      <c r="L104" s="2"/>
      <c r="V104">
        <v>180</v>
      </c>
      <c r="W104" s="10">
        <v>14.0778</v>
      </c>
      <c r="X104" s="10">
        <f>(12+7/-60)</f>
        <v>11.883333333333333</v>
      </c>
      <c r="Y104" s="10"/>
      <c r="Z104" s="10">
        <f t="shared" ref="Z104:Z107" si="28">AVERAGE(W104:X104)</f>
        <v>12.980566666666666</v>
      </c>
      <c r="AA104" s="10">
        <f>V104/X104</f>
        <v>15.147265077138851</v>
      </c>
      <c r="AB104" s="10">
        <f>V104/W104</f>
        <v>12.786088735455824</v>
      </c>
      <c r="AC104">
        <f>V104/Z104</f>
        <v>13.866883058520814</v>
      </c>
      <c r="AD104" s="8">
        <f>(AC104-AC$85)/AC$85</f>
        <v>0.13131966789100408</v>
      </c>
      <c r="AE104" s="10">
        <f>AVERAGE(AA104:AB104)</f>
        <v>13.966676906297337</v>
      </c>
      <c r="AF104" s="8">
        <f>(AE104-AE$85)/AE$85</f>
        <v>0.12574663145527257</v>
      </c>
    </row>
    <row r="105" spans="1:33" x14ac:dyDescent="0.2">
      <c r="A105" s="2"/>
      <c r="C105" s="22" t="s">
        <v>28</v>
      </c>
      <c r="D105" s="23" t="s">
        <v>66</v>
      </c>
      <c r="E105" s="27" t="str">
        <f>D105</f>
        <v>a80</v>
      </c>
      <c r="F105" s="27" t="str">
        <f t="shared" si="27"/>
        <v>300</v>
      </c>
      <c r="G105">
        <f t="shared" si="26"/>
        <v>2688</v>
      </c>
      <c r="H105">
        <f t="shared" si="25"/>
        <v>2688</v>
      </c>
      <c r="L105" s="2"/>
      <c r="V105">
        <v>270</v>
      </c>
      <c r="W105" s="10">
        <v>21.633299999999998</v>
      </c>
      <c r="X105" s="10">
        <f>(19+28/60)</f>
        <v>19.466666666666665</v>
      </c>
      <c r="Y105" s="10"/>
      <c r="Z105" s="10">
        <f t="shared" si="28"/>
        <v>20.54998333333333</v>
      </c>
      <c r="AA105" s="10">
        <f>V105/X105</f>
        <v>13.869863013698632</v>
      </c>
      <c r="AB105" s="10">
        <f>V105/W105</f>
        <v>12.480758830136873</v>
      </c>
      <c r="AC105">
        <f>V105/Z105</f>
        <v>13.138696787264225</v>
      </c>
      <c r="AD105" s="8">
        <f>(AC105-AC$85)/AC$85</f>
        <v>7.1911115364516567E-2</v>
      </c>
      <c r="AE105" s="10">
        <f>AVERAGE(AA105:AB105)</f>
        <v>13.175310921917752</v>
      </c>
      <c r="AF105" s="8">
        <f>(AE105-AE$85)/AE$85</f>
        <v>6.1960693172278279E-2</v>
      </c>
    </row>
    <row r="106" spans="1:33" x14ac:dyDescent="0.2">
      <c r="A106" s="2"/>
      <c r="C106" s="22" t="s">
        <v>63</v>
      </c>
      <c r="D106" s="23" t="s">
        <v>67</v>
      </c>
      <c r="E106" s="27" t="str">
        <f>D106</f>
        <v>ce6</v>
      </c>
      <c r="F106" s="27" t="str">
        <f t="shared" si="27"/>
        <v>400</v>
      </c>
      <c r="G106">
        <f t="shared" si="26"/>
        <v>3302</v>
      </c>
      <c r="H106">
        <f t="shared" si="25"/>
        <v>3302</v>
      </c>
      <c r="L106" s="2"/>
      <c r="V106">
        <v>360</v>
      </c>
      <c r="W106" s="10">
        <v>30.933299999999999</v>
      </c>
      <c r="X106" s="10">
        <f>(26+37/60)</f>
        <v>26.616666666666667</v>
      </c>
      <c r="Y106" s="10"/>
      <c r="Z106" s="10">
        <f t="shared" si="28"/>
        <v>28.774983333333331</v>
      </c>
      <c r="AA106" s="10">
        <f>V106/X106</f>
        <v>13.525360050093926</v>
      </c>
      <c r="AB106" s="10">
        <f>V106/W106</f>
        <v>11.637943575370233</v>
      </c>
      <c r="AC106">
        <f>V106/Z106</f>
        <v>12.510867368008903</v>
      </c>
      <c r="AD106" s="8">
        <f>(AC106-AC$85)/AC$85</f>
        <v>2.0690104335099369E-2</v>
      </c>
      <c r="AE106" s="10">
        <f>AVERAGE(AA106:AB106)</f>
        <v>12.58165181273208</v>
      </c>
      <c r="AF106" s="8">
        <f>(AE106-AE$85)/AE$85</f>
        <v>1.4110388702416921E-2</v>
      </c>
    </row>
    <row r="107" spans="1:33" x14ac:dyDescent="0.2">
      <c r="A107" s="2"/>
      <c r="C107" s="22">
        <v>299</v>
      </c>
      <c r="D107" s="23">
        <v>1000</v>
      </c>
      <c r="E107" s="27">
        <f t="shared" ref="E107:E109" si="29">D107</f>
        <v>1000</v>
      </c>
      <c r="F107" s="27" t="str">
        <f t="shared" si="27"/>
        <v>600</v>
      </c>
      <c r="G107">
        <f t="shared" si="26"/>
        <v>4096</v>
      </c>
      <c r="H107">
        <f t="shared" si="25"/>
        <v>4096</v>
      </c>
      <c r="L107" s="2"/>
      <c r="V107">
        <v>405</v>
      </c>
      <c r="W107" s="10">
        <v>36.666600000000003</v>
      </c>
      <c r="X107" s="10">
        <f>(29+25/60)</f>
        <v>29.416666666666668</v>
      </c>
      <c r="Y107" s="10"/>
      <c r="Z107" s="10">
        <f t="shared" si="28"/>
        <v>33.041633333333337</v>
      </c>
      <c r="AA107" s="10">
        <f>V107/X107</f>
        <v>13.76770538243626</v>
      </c>
      <c r="AB107" s="10">
        <f>V107/W107</f>
        <v>11.045474628135686</v>
      </c>
      <c r="AC107">
        <f>V107/Z107</f>
        <v>12.257263311236631</v>
      </c>
      <c r="AD107" s="8"/>
      <c r="AE107" s="10">
        <f>AVERAGE(AA107:AB107)</f>
        <v>12.406590005285974</v>
      </c>
      <c r="AF107" s="8"/>
    </row>
    <row r="108" spans="1:33" x14ac:dyDescent="0.2">
      <c r="A108" s="2"/>
      <c r="C108" s="22">
        <v>377</v>
      </c>
      <c r="D108" s="23">
        <v>1180</v>
      </c>
      <c r="E108" s="27">
        <f t="shared" si="29"/>
        <v>1180</v>
      </c>
      <c r="F108" s="27" t="str">
        <f t="shared" si="27"/>
        <v>800</v>
      </c>
      <c r="G108">
        <f t="shared" si="26"/>
        <v>4480</v>
      </c>
      <c r="H108">
        <f t="shared" si="25"/>
        <v>4480</v>
      </c>
      <c r="L108" s="2"/>
      <c r="AF108" s="8"/>
    </row>
    <row r="109" spans="1:33" x14ac:dyDescent="0.2">
      <c r="A109" s="2"/>
      <c r="C109" s="22">
        <v>454</v>
      </c>
      <c r="D109" s="23">
        <v>1200</v>
      </c>
      <c r="E109" s="27">
        <f t="shared" si="29"/>
        <v>1200</v>
      </c>
      <c r="F109" s="27" t="str">
        <f t="shared" si="27"/>
        <v>A00</v>
      </c>
      <c r="G109">
        <f t="shared" si="26"/>
        <v>4608</v>
      </c>
      <c r="H109">
        <f t="shared" si="25"/>
        <v>4608</v>
      </c>
      <c r="L109" s="2"/>
      <c r="AF109" s="8"/>
    </row>
    <row r="110" spans="1:33" x14ac:dyDescent="0.2">
      <c r="A110" s="2"/>
      <c r="C110" s="24" t="s">
        <v>2</v>
      </c>
      <c r="D110" s="25">
        <v>1300</v>
      </c>
      <c r="E110" s="27" t="str">
        <f>DEC2HEX(HEX2DEC(D110)*D112)</f>
        <v>2600</v>
      </c>
      <c r="F110" s="27" t="str">
        <f t="shared" si="27"/>
        <v>F00</v>
      </c>
      <c r="G110">
        <f t="shared" si="26"/>
        <v>9728</v>
      </c>
      <c r="H110">
        <f t="shared" si="25"/>
        <v>9728</v>
      </c>
      <c r="L110" s="2"/>
    </row>
    <row r="111" spans="1:33" x14ac:dyDescent="0.2">
      <c r="A111" s="2"/>
      <c r="L111" s="2"/>
    </row>
    <row r="112" spans="1:33" x14ac:dyDescent="0.2">
      <c r="A112" s="2"/>
      <c r="C112" t="s">
        <v>60</v>
      </c>
      <c r="D112" s="1">
        <v>2</v>
      </c>
      <c r="L112" s="2"/>
    </row>
    <row r="113" spans="1:33" x14ac:dyDescent="0.2">
      <c r="A113" s="2"/>
      <c r="C113" t="s">
        <v>12</v>
      </c>
      <c r="D113" s="1" t="s">
        <v>10</v>
      </c>
      <c r="L113" s="2"/>
    </row>
    <row r="114" spans="1:33" x14ac:dyDescent="0.2">
      <c r="A114" s="2"/>
      <c r="C114" s="5" t="s">
        <v>38</v>
      </c>
      <c r="D114" s="19">
        <v>1</v>
      </c>
      <c r="L114" s="2"/>
    </row>
    <row r="115" spans="1:33" ht="17" thickBot="1" x14ac:dyDescent="0.25">
      <c r="A115" s="2"/>
      <c r="L115" s="2"/>
    </row>
    <row r="116" spans="1:33" ht="17" thickBot="1" x14ac:dyDescent="0.25">
      <c r="A116" s="2"/>
      <c r="C116" s="12" t="s">
        <v>13</v>
      </c>
      <c r="D116" s="34" t="str">
        <f>"0x" &amp; F102 &amp; ", 0x" &amp; F103 &amp; ", 0x" &amp; F104 &amp; ", 0x" &amp;F105 &amp; ", 0x" &amp; F106 &amp; ", 0x" &amp; F107 &amp; ", 0x" &amp; F108 &amp; ", 0x" &amp; F109 &amp; ", 0x" &amp; F110</f>
        <v>0x0, 0x100, 0x200, 0x300, 0x400, 0x600, 0x800, 0xA00, 0xF00</v>
      </c>
      <c r="E116" s="35"/>
      <c r="F116" s="35"/>
      <c r="G116" s="35"/>
      <c r="H116" s="35"/>
      <c r="I116" s="35"/>
      <c r="J116" s="36"/>
      <c r="L116" s="2"/>
    </row>
    <row r="117" spans="1:33" ht="17" thickBot="1" x14ac:dyDescent="0.25">
      <c r="A117" s="2"/>
      <c r="C117" s="13" t="s">
        <v>14</v>
      </c>
      <c r="D117" s="34" t="str">
        <f>"0x" &amp; E102 &amp; ", 0x" &amp; E103 &amp; ", 0x" &amp; E104 &amp; ", 0x" &amp;(E105) &amp; ", 0x" &amp; E106 &amp; ", 0x" &amp; E107 &amp; ", 0x" &amp; E108 &amp; ", 0x" &amp; E109 &amp; ", 0x" &amp; E110</f>
        <v>0x0, 0x500, 0x800, 0xa80, 0xce6, 0x1000, 0x1180, 0x1200, 0x2600</v>
      </c>
      <c r="E117" s="35"/>
      <c r="F117" s="35"/>
      <c r="G117" s="35"/>
      <c r="H117" s="35"/>
      <c r="I117" s="35"/>
      <c r="J117" s="36"/>
      <c r="L117" s="2"/>
    </row>
    <row r="118" spans="1:33" x14ac:dyDescent="0.2">
      <c r="A118" s="2"/>
      <c r="L118" s="7"/>
    </row>
    <row r="119" spans="1:33" ht="17" thickBot="1" x14ac:dyDescent="0.25">
      <c r="A119" s="2"/>
      <c r="L119" s="7"/>
    </row>
    <row r="120" spans="1:33" x14ac:dyDescent="0.2">
      <c r="A120" s="2"/>
      <c r="C120" s="37" t="s">
        <v>73</v>
      </c>
      <c r="D120" s="38"/>
      <c r="E120" s="38"/>
      <c r="F120" s="38"/>
      <c r="G120" s="38"/>
      <c r="H120" s="38"/>
      <c r="I120" s="38"/>
      <c r="J120" s="39"/>
      <c r="L120" s="4"/>
    </row>
    <row r="121" spans="1:33" ht="17" thickBot="1" x14ac:dyDescent="0.25">
      <c r="A121" s="2"/>
      <c r="C121" s="40"/>
      <c r="D121" s="41"/>
      <c r="E121" s="41"/>
      <c r="F121" s="41"/>
      <c r="G121" s="41"/>
      <c r="H121" s="41"/>
      <c r="I121" s="41"/>
      <c r="J121" s="42"/>
      <c r="L121" s="2"/>
    </row>
    <row r="122" spans="1:33" x14ac:dyDescent="0.2">
      <c r="A122" s="2"/>
      <c r="L122" s="2"/>
    </row>
    <row r="123" spans="1:33" x14ac:dyDescent="0.2">
      <c r="A123" s="2"/>
      <c r="L123" s="2"/>
    </row>
    <row r="124" spans="1:33" x14ac:dyDescent="0.2">
      <c r="A124" s="2"/>
      <c r="L124" s="2"/>
      <c r="V124" t="s">
        <v>24</v>
      </c>
      <c r="W124" t="s">
        <v>25</v>
      </c>
      <c r="X124" t="s">
        <v>26</v>
      </c>
      <c r="Z124" t="s">
        <v>27</v>
      </c>
      <c r="AA124" t="s">
        <v>21</v>
      </c>
      <c r="AB124" t="s">
        <v>22</v>
      </c>
      <c r="AC124" t="s">
        <v>20</v>
      </c>
      <c r="AD124" t="s">
        <v>23</v>
      </c>
    </row>
    <row r="125" spans="1:33" x14ac:dyDescent="0.2">
      <c r="A125" s="2"/>
      <c r="D125">
        <v>0</v>
      </c>
      <c r="E125" s="27">
        <f>HEX2DEC(D125)</f>
        <v>0</v>
      </c>
      <c r="F125" s="27"/>
      <c r="L125" s="2"/>
      <c r="V125" s="1">
        <v>0</v>
      </c>
      <c r="W125" s="1">
        <v>0</v>
      </c>
      <c r="X125" s="1">
        <v>0</v>
      </c>
      <c r="Y125" s="1"/>
      <c r="Z125" s="1">
        <v>0</v>
      </c>
      <c r="AA125" s="1" t="s">
        <v>19</v>
      </c>
      <c r="AB125" s="1" t="s">
        <v>19</v>
      </c>
      <c r="AC125" s="11">
        <f>AC130+(0.2*AC130)</f>
        <v>14.708715973483958</v>
      </c>
      <c r="AD125" s="9">
        <v>0.2</v>
      </c>
      <c r="AE125" s="11">
        <f>AE130+(0.2*AE130)</f>
        <v>14.887908006343169</v>
      </c>
      <c r="AF125" s="9">
        <v>0.2</v>
      </c>
      <c r="AG125" s="10">
        <f>(AC125-AC126)/AC125</f>
        <v>4.5179962446757663E-2</v>
      </c>
    </row>
    <row r="126" spans="1:33" x14ac:dyDescent="0.2">
      <c r="A126" s="2"/>
      <c r="C126">
        <v>1</v>
      </c>
      <c r="D126" t="str">
        <f t="shared" ref="D126:D132" si="30">DEC2HEX(HEX2DEC(D$133)/8*C126)</f>
        <v>AC0</v>
      </c>
      <c r="E126" s="27">
        <f t="shared" ref="E126:E133" si="31">HEX2DEC(D126)</f>
        <v>2752</v>
      </c>
      <c r="F126" s="27"/>
      <c r="L126" s="2"/>
      <c r="V126">
        <v>90</v>
      </c>
      <c r="W126" s="10">
        <v>6.9166999999999996</v>
      </c>
      <c r="X126" s="10">
        <f>(5+54/60)</f>
        <v>5.9</v>
      </c>
      <c r="Y126" s="10"/>
      <c r="Z126" s="10">
        <f>AVERAGE(W126:X126)</f>
        <v>6.4083500000000004</v>
      </c>
      <c r="AA126" s="10">
        <f>V126/X126</f>
        <v>15.254237288135592</v>
      </c>
      <c r="AB126" s="10">
        <f>V126/W126</f>
        <v>13.011985484407305</v>
      </c>
      <c r="AC126">
        <f>V126/Z126</f>
        <v>14.044176738161928</v>
      </c>
      <c r="AD126" s="8">
        <f>(AC126-AC$85)/AC$85</f>
        <v>0.14578404506389087</v>
      </c>
      <c r="AE126" s="10">
        <f>AVERAGE(AA126:AB126)</f>
        <v>14.133111386271448</v>
      </c>
      <c r="AF126" s="8">
        <f>(AE126-AE$85)/AE$85</f>
        <v>0.13916163750473495</v>
      </c>
    </row>
    <row r="127" spans="1:33" x14ac:dyDescent="0.2">
      <c r="A127" s="2"/>
      <c r="C127">
        <v>2</v>
      </c>
      <c r="D127" t="str">
        <f t="shared" si="30"/>
        <v>1580</v>
      </c>
      <c r="E127" s="27">
        <f t="shared" si="31"/>
        <v>5504</v>
      </c>
      <c r="F127" s="27"/>
      <c r="L127" s="2"/>
      <c r="V127">
        <v>180</v>
      </c>
      <c r="W127" s="10">
        <v>14.0778</v>
      </c>
      <c r="X127" s="10">
        <f>(12+7/-60)</f>
        <v>11.883333333333333</v>
      </c>
      <c r="Y127" s="10"/>
      <c r="Z127" s="10">
        <f t="shared" ref="Z127:Z130" si="32">AVERAGE(W127:X127)</f>
        <v>12.980566666666666</v>
      </c>
      <c r="AA127" s="10">
        <f>V127/X127</f>
        <v>15.147265077138851</v>
      </c>
      <c r="AB127" s="10">
        <f>V127/W127</f>
        <v>12.786088735455824</v>
      </c>
      <c r="AC127">
        <f>V127/Z127</f>
        <v>13.866883058520814</v>
      </c>
      <c r="AD127" s="8">
        <f>(AC127-AC$85)/AC$85</f>
        <v>0.13131966789100408</v>
      </c>
      <c r="AE127" s="10">
        <f>AVERAGE(AA127:AB127)</f>
        <v>13.966676906297337</v>
      </c>
      <c r="AF127" s="8">
        <f>(AE127-AE$85)/AE$85</f>
        <v>0.12574663145527257</v>
      </c>
    </row>
    <row r="128" spans="1:33" x14ac:dyDescent="0.2">
      <c r="A128" s="2"/>
      <c r="C128">
        <v>3</v>
      </c>
      <c r="D128" t="str">
        <f t="shared" si="30"/>
        <v>2040</v>
      </c>
      <c r="E128" s="27">
        <f t="shared" si="31"/>
        <v>8256</v>
      </c>
      <c r="F128" s="27"/>
      <c r="L128" s="2"/>
      <c r="V128">
        <v>270</v>
      </c>
      <c r="W128" s="10">
        <v>21.633299999999998</v>
      </c>
      <c r="X128" s="10">
        <f>(19+28/60)</f>
        <v>19.466666666666665</v>
      </c>
      <c r="Y128" s="10"/>
      <c r="Z128" s="10">
        <f t="shared" si="32"/>
        <v>20.54998333333333</v>
      </c>
      <c r="AA128" s="10">
        <f>V128/X128</f>
        <v>13.869863013698632</v>
      </c>
      <c r="AB128" s="10">
        <f>V128/W128</f>
        <v>12.480758830136873</v>
      </c>
      <c r="AC128">
        <f>V128/Z128</f>
        <v>13.138696787264225</v>
      </c>
      <c r="AD128" s="8">
        <f>(AC128-AC$85)/AC$85</f>
        <v>7.1911115364516567E-2</v>
      </c>
      <c r="AE128" s="10">
        <f>AVERAGE(AA128:AB128)</f>
        <v>13.175310921917752</v>
      </c>
      <c r="AF128" s="8">
        <f>(AE128-AE$85)/AE$85</f>
        <v>6.1960693172278279E-2</v>
      </c>
    </row>
    <row r="129" spans="1:32" x14ac:dyDescent="0.2">
      <c r="A129" s="2"/>
      <c r="C129">
        <v>4</v>
      </c>
      <c r="D129" t="str">
        <f t="shared" si="30"/>
        <v>2B00</v>
      </c>
      <c r="E129" s="27">
        <f t="shared" si="31"/>
        <v>11008</v>
      </c>
      <c r="F129" s="27"/>
      <c r="L129" s="2"/>
      <c r="V129">
        <v>360</v>
      </c>
      <c r="W129" s="10">
        <v>30.933299999999999</v>
      </c>
      <c r="X129" s="10">
        <f>(26+37/60)</f>
        <v>26.616666666666667</v>
      </c>
      <c r="Y129" s="10"/>
      <c r="Z129" s="10">
        <f t="shared" si="32"/>
        <v>28.774983333333331</v>
      </c>
      <c r="AA129" s="10">
        <f>V129/X129</f>
        <v>13.525360050093926</v>
      </c>
      <c r="AB129" s="10">
        <f>V129/W129</f>
        <v>11.637943575370233</v>
      </c>
      <c r="AC129">
        <f>V129/Z129</f>
        <v>12.510867368008903</v>
      </c>
      <c r="AD129" s="8">
        <f>(AC129-AC$85)/AC$85</f>
        <v>2.0690104335099369E-2</v>
      </c>
      <c r="AE129" s="10">
        <f>AVERAGE(AA129:AB129)</f>
        <v>12.58165181273208</v>
      </c>
      <c r="AF129" s="8">
        <f>(AE129-AE$85)/AE$85</f>
        <v>1.4110388702416921E-2</v>
      </c>
    </row>
    <row r="130" spans="1:32" x14ac:dyDescent="0.2">
      <c r="A130" s="2"/>
      <c r="C130">
        <v>5</v>
      </c>
      <c r="D130" t="str">
        <f t="shared" si="30"/>
        <v>35C0</v>
      </c>
      <c r="E130" s="27">
        <f t="shared" si="31"/>
        <v>13760</v>
      </c>
      <c r="F130" s="27"/>
      <c r="L130" s="2"/>
      <c r="V130">
        <v>405</v>
      </c>
      <c r="W130" s="10">
        <v>36.666600000000003</v>
      </c>
      <c r="X130" s="10">
        <f>(29+25/60)</f>
        <v>29.416666666666668</v>
      </c>
      <c r="Y130" s="10"/>
      <c r="Z130" s="10">
        <f t="shared" si="32"/>
        <v>33.041633333333337</v>
      </c>
      <c r="AA130" s="10">
        <f>V130/X130</f>
        <v>13.76770538243626</v>
      </c>
      <c r="AB130" s="10">
        <f>V130/W130</f>
        <v>11.045474628135686</v>
      </c>
      <c r="AC130">
        <f>V130/Z130</f>
        <v>12.257263311236631</v>
      </c>
      <c r="AD130" s="8"/>
      <c r="AE130" s="10">
        <f>AVERAGE(AA130:AB130)</f>
        <v>12.406590005285974</v>
      </c>
      <c r="AF130" s="8"/>
    </row>
    <row r="131" spans="1:32" x14ac:dyDescent="0.2">
      <c r="A131" s="2"/>
      <c r="C131">
        <v>6</v>
      </c>
      <c r="D131" t="str">
        <f t="shared" si="30"/>
        <v>4080</v>
      </c>
      <c r="E131" s="27">
        <f t="shared" si="31"/>
        <v>16512</v>
      </c>
      <c r="F131" s="27"/>
      <c r="L131" s="2"/>
      <c r="AF131" s="8"/>
    </row>
    <row r="132" spans="1:32" x14ac:dyDescent="0.2">
      <c r="A132" s="2"/>
      <c r="C132">
        <v>7</v>
      </c>
      <c r="D132" t="str">
        <f t="shared" si="30"/>
        <v>4B40</v>
      </c>
      <c r="E132" s="27">
        <f t="shared" si="31"/>
        <v>19264</v>
      </c>
      <c r="F132" s="27"/>
      <c r="L132" s="2"/>
      <c r="AF132" s="8"/>
    </row>
    <row r="133" spans="1:32" x14ac:dyDescent="0.2">
      <c r="A133" s="2"/>
      <c r="C133" s="5"/>
      <c r="D133" s="5" t="str">
        <f>DEC2HEX(HEX2DEC(D135*D136))</f>
        <v>5600</v>
      </c>
      <c r="E133" s="27">
        <f t="shared" si="31"/>
        <v>22016</v>
      </c>
      <c r="F133" s="27"/>
      <c r="L133" s="2"/>
    </row>
    <row r="134" spans="1:32" x14ac:dyDescent="0.2">
      <c r="A134" s="2"/>
      <c r="L134" s="2"/>
    </row>
    <row r="135" spans="1:32" x14ac:dyDescent="0.2">
      <c r="A135" s="2"/>
      <c r="C135" t="s">
        <v>74</v>
      </c>
      <c r="D135" s="1">
        <v>1400</v>
      </c>
      <c r="L135" s="2"/>
    </row>
    <row r="136" spans="1:32" x14ac:dyDescent="0.2">
      <c r="A136" s="2"/>
      <c r="C136" t="s">
        <v>75</v>
      </c>
      <c r="D136" s="1">
        <v>4</v>
      </c>
      <c r="L136" s="2"/>
    </row>
    <row r="137" spans="1:32" x14ac:dyDescent="0.2">
      <c r="A137" s="2"/>
      <c r="C137" s="5"/>
      <c r="D137" s="32"/>
      <c r="L137" s="2"/>
    </row>
    <row r="138" spans="1:32" ht="17" thickBot="1" x14ac:dyDescent="0.25">
      <c r="A138" s="2"/>
      <c r="L138" s="2"/>
    </row>
    <row r="139" spans="1:32" ht="17" thickBot="1" x14ac:dyDescent="0.25">
      <c r="A139" s="2"/>
      <c r="C139" t="s">
        <v>72</v>
      </c>
      <c r="D139" s="34" t="str">
        <f>"0x" &amp; D125 &amp; ", 0x" &amp; D126 &amp; ", 0x" &amp; D127 &amp; ", 0x" &amp;(D128) &amp; ", 0x" &amp; D129 &amp; ", 0x" &amp; D130 &amp; ", 0x" &amp; D131 &amp; ", 0x" &amp; D132 &amp; ", 0x" &amp; D133</f>
        <v>0x0, 0xAC0, 0x1580, 0x2040, 0x2B00, 0x35C0, 0x4080, 0x4B40, 0x5600</v>
      </c>
      <c r="E139" s="35"/>
      <c r="F139" s="35"/>
      <c r="G139" s="35"/>
      <c r="H139" s="35"/>
      <c r="I139" s="35"/>
      <c r="J139" s="36"/>
      <c r="L139" s="2"/>
    </row>
    <row r="140" spans="1:32" x14ac:dyDescent="0.2">
      <c r="A140" s="2"/>
      <c r="L140" s="7"/>
    </row>
    <row r="141" spans="1:32" x14ac:dyDescent="0.2">
      <c r="A141" s="2"/>
      <c r="L141" s="7"/>
    </row>
    <row r="142" spans="1:32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32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32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50" spans="5:12" x14ac:dyDescent="0.2">
      <c r="E150" s="31"/>
      <c r="F150" s="31"/>
      <c r="G150" s="31"/>
      <c r="H150" s="31"/>
      <c r="I150" s="31"/>
      <c r="J150" s="31"/>
      <c r="K150" s="31"/>
      <c r="L150" s="31"/>
    </row>
  </sheetData>
  <mergeCells count="21">
    <mergeCell ref="V71:W71"/>
    <mergeCell ref="C5:J6"/>
    <mergeCell ref="C74:J75"/>
    <mergeCell ref="C51:J52"/>
    <mergeCell ref="N8:Q8"/>
    <mergeCell ref="N19:Q19"/>
    <mergeCell ref="D24:H24"/>
    <mergeCell ref="D25:H25"/>
    <mergeCell ref="D70:J70"/>
    <mergeCell ref="D71:J71"/>
    <mergeCell ref="C28:J29"/>
    <mergeCell ref="D47:H47"/>
    <mergeCell ref="D48:H48"/>
    <mergeCell ref="V93:W93"/>
    <mergeCell ref="D116:J116"/>
    <mergeCell ref="D117:J117"/>
    <mergeCell ref="D139:J139"/>
    <mergeCell ref="C120:J121"/>
    <mergeCell ref="C97:J98"/>
    <mergeCell ref="D94:J94"/>
    <mergeCell ref="D93:J93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A5A1-CD47-4E41-AE94-1DCB63AFE4E0}">
  <dimension ref="B1:K63"/>
  <sheetViews>
    <sheetView tabSelected="1" topLeftCell="A29" zoomScale="95" workbookViewId="0">
      <selection activeCell="M45" sqref="M45"/>
    </sheetView>
  </sheetViews>
  <sheetFormatPr baseColWidth="10" defaultRowHeight="16" x14ac:dyDescent="0.2"/>
  <cols>
    <col min="1" max="1" width="7.33203125" style="27" customWidth="1"/>
    <col min="2" max="2" width="10.1640625" style="27" bestFit="1" customWidth="1"/>
    <col min="3" max="11" width="7" style="27" customWidth="1"/>
    <col min="12" max="16384" width="10.83203125" style="27"/>
  </cols>
  <sheetData>
    <row r="1" spans="2:11" x14ac:dyDescent="0.2">
      <c r="C1" s="44"/>
    </row>
    <row r="2" spans="2:11" ht="16" customHeight="1" x14ac:dyDescent="0.2">
      <c r="B2" s="53" t="s">
        <v>48</v>
      </c>
      <c r="C2" s="53"/>
      <c r="D2" s="53"/>
      <c r="E2" s="53"/>
      <c r="F2" s="53"/>
      <c r="G2" s="53"/>
      <c r="H2" s="53"/>
      <c r="I2" s="53"/>
      <c r="J2" s="53"/>
      <c r="K2" s="53"/>
    </row>
    <row r="3" spans="2:11" ht="17" customHeight="1" x14ac:dyDescent="0.2">
      <c r="B3" s="53"/>
      <c r="C3" s="53"/>
      <c r="D3" s="53"/>
      <c r="E3" s="53"/>
      <c r="F3" s="53"/>
      <c r="G3" s="53"/>
      <c r="H3" s="53"/>
      <c r="I3" s="53"/>
      <c r="J3" s="53"/>
      <c r="K3" s="53"/>
    </row>
    <row r="5" spans="2:11" x14ac:dyDescent="0.2">
      <c r="B5" s="27" t="s">
        <v>68</v>
      </c>
      <c r="C5" s="45">
        <v>0</v>
      </c>
      <c r="D5" s="45" t="s">
        <v>76</v>
      </c>
      <c r="E5" s="45" t="s">
        <v>63</v>
      </c>
      <c r="F5" s="45">
        <v>296</v>
      </c>
      <c r="G5" s="45">
        <v>377</v>
      </c>
      <c r="H5" s="45">
        <v>454</v>
      </c>
      <c r="I5" s="45">
        <v>532</v>
      </c>
      <c r="J5" s="45">
        <v>610</v>
      </c>
      <c r="K5" s="45" t="s">
        <v>77</v>
      </c>
    </row>
    <row r="6" spans="2:11" x14ac:dyDescent="0.2">
      <c r="B6" s="27" t="s">
        <v>80</v>
      </c>
      <c r="C6" s="45">
        <v>0</v>
      </c>
      <c r="D6" s="45" t="s">
        <v>76</v>
      </c>
      <c r="E6" s="45" t="s">
        <v>63</v>
      </c>
      <c r="F6" s="45">
        <v>296</v>
      </c>
      <c r="G6" s="45">
        <v>377</v>
      </c>
      <c r="H6" s="45">
        <v>454</v>
      </c>
      <c r="I6" s="45">
        <v>532</v>
      </c>
      <c r="J6" s="45">
        <v>619</v>
      </c>
      <c r="K6" s="45" t="s">
        <v>77</v>
      </c>
    </row>
    <row r="7" spans="2:11" x14ac:dyDescent="0.2">
      <c r="B7" s="27" t="s">
        <v>81</v>
      </c>
      <c r="C7" s="45">
        <v>0</v>
      </c>
      <c r="D7" s="45" t="s">
        <v>62</v>
      </c>
      <c r="E7" s="45" t="s">
        <v>78</v>
      </c>
      <c r="F7" s="45">
        <v>275</v>
      </c>
      <c r="G7" s="45">
        <v>356</v>
      </c>
      <c r="H7" s="45">
        <v>454</v>
      </c>
      <c r="I7" s="45" t="s">
        <v>79</v>
      </c>
      <c r="J7" s="45">
        <v>610</v>
      </c>
      <c r="K7" s="45" t="s">
        <v>30</v>
      </c>
    </row>
    <row r="8" spans="2:11" x14ac:dyDescent="0.2">
      <c r="B8" s="27" t="s">
        <v>82</v>
      </c>
      <c r="C8" s="45">
        <v>0</v>
      </c>
      <c r="D8" s="45" t="s">
        <v>62</v>
      </c>
      <c r="E8" s="45" t="s">
        <v>78</v>
      </c>
      <c r="F8" s="45">
        <v>275</v>
      </c>
      <c r="G8" s="45">
        <v>356</v>
      </c>
      <c r="H8" s="45">
        <v>454</v>
      </c>
      <c r="I8" s="45" t="s">
        <v>79</v>
      </c>
      <c r="J8" s="45">
        <v>610</v>
      </c>
      <c r="K8" s="46" t="s">
        <v>30</v>
      </c>
    </row>
    <row r="9" spans="2:11" x14ac:dyDescent="0.2">
      <c r="B9" s="27" t="s">
        <v>83</v>
      </c>
      <c r="C9" s="45">
        <v>0</v>
      </c>
      <c r="D9" s="45" t="s">
        <v>62</v>
      </c>
      <c r="E9" s="45" t="s">
        <v>78</v>
      </c>
      <c r="F9" s="45">
        <v>275</v>
      </c>
      <c r="G9" s="45">
        <v>356</v>
      </c>
      <c r="H9" s="45">
        <v>454</v>
      </c>
      <c r="I9" s="45" t="s">
        <v>79</v>
      </c>
      <c r="J9" s="45">
        <v>610</v>
      </c>
      <c r="K9" s="46" t="s">
        <v>30</v>
      </c>
    </row>
    <row r="10" spans="2:11" x14ac:dyDescent="0.2">
      <c r="B10" s="27" t="s">
        <v>84</v>
      </c>
      <c r="C10" s="45">
        <v>0</v>
      </c>
      <c r="D10" s="45" t="s">
        <v>62</v>
      </c>
      <c r="E10" s="45" t="s">
        <v>78</v>
      </c>
      <c r="F10" s="45">
        <v>275</v>
      </c>
      <c r="G10" s="45">
        <v>356</v>
      </c>
      <c r="H10" s="45">
        <v>454</v>
      </c>
      <c r="I10" s="45" t="s">
        <v>79</v>
      </c>
      <c r="J10" s="45">
        <v>610</v>
      </c>
      <c r="K10" s="46" t="s">
        <v>30</v>
      </c>
    </row>
    <row r="11" spans="2:11" x14ac:dyDescent="0.2">
      <c r="B11" s="27" t="s">
        <v>85</v>
      </c>
      <c r="C11" s="45">
        <v>0</v>
      </c>
      <c r="D11" s="45" t="s">
        <v>62</v>
      </c>
      <c r="E11" s="45" t="s">
        <v>63</v>
      </c>
      <c r="F11" s="45">
        <v>299</v>
      </c>
      <c r="G11" s="45">
        <v>377</v>
      </c>
      <c r="H11" s="45">
        <v>454</v>
      </c>
      <c r="I11" s="45">
        <v>532</v>
      </c>
      <c r="J11" s="45">
        <v>610</v>
      </c>
      <c r="K11" s="46" t="s">
        <v>77</v>
      </c>
    </row>
    <row r="13" spans="2:11" x14ac:dyDescent="0.2">
      <c r="B13" s="27" t="s">
        <v>86</v>
      </c>
      <c r="C13" s="27" t="str">
        <f>DEC2HEX(_xlfn.BITLSHIFT(ROUND(HEX2DEC(C5)/SQRT(3),0),2))</f>
        <v>0</v>
      </c>
      <c r="D13" s="27" t="str">
        <f t="shared" ref="D13:K13" si="0">DEC2HEX(_xlfn.BITLSHIFT(ROUND(HEX2DEC(D5)/SQRT(3),0),2))</f>
        <v>1F8</v>
      </c>
      <c r="E13" s="27" t="str">
        <f t="shared" si="0"/>
        <v>400</v>
      </c>
      <c r="F13" s="27" t="str">
        <f t="shared" si="0"/>
        <v>5F8</v>
      </c>
      <c r="G13" s="27" t="str">
        <f t="shared" si="0"/>
        <v>800</v>
      </c>
      <c r="H13" s="27" t="str">
        <f t="shared" si="0"/>
        <v>A00</v>
      </c>
      <c r="I13" s="27" t="str">
        <f t="shared" si="0"/>
        <v>C00</v>
      </c>
      <c r="J13" s="27" t="str">
        <f t="shared" si="0"/>
        <v>E00</v>
      </c>
      <c r="K13" s="27" t="str">
        <f t="shared" si="0"/>
        <v>F00</v>
      </c>
    </row>
    <row r="14" spans="2:11" x14ac:dyDescent="0.2">
      <c r="B14" s="27" t="s">
        <v>87</v>
      </c>
      <c r="C14" s="27" t="str">
        <f t="shared" ref="C14:C19" si="1">DEC2HEX(_xlfn.BITLSHIFT(ROUND(HEX2DEC(C6)/SQRT(3),0),2))</f>
        <v>0</v>
      </c>
      <c r="D14" s="27" t="str">
        <f t="shared" ref="D14:D19" si="2">DEC2HEX(_xlfn.BITLSHIFT(ROUND(HEX2DEC(D6)/SQRT(3),0),2))</f>
        <v>1F8</v>
      </c>
      <c r="E14" s="27" t="str">
        <f t="shared" ref="E14:E19" si="3">DEC2HEX(_xlfn.BITLSHIFT(ROUND(HEX2DEC(E6)/SQRT(3),0),2))</f>
        <v>400</v>
      </c>
      <c r="F14" s="27" t="str">
        <f t="shared" ref="F14:F19" si="4">DEC2HEX(_xlfn.BITLSHIFT(ROUND(HEX2DEC(F6)/SQRT(3),0),2))</f>
        <v>5F8</v>
      </c>
      <c r="G14" s="27" t="str">
        <f t="shared" ref="G14:G19" si="5">DEC2HEX(_xlfn.BITLSHIFT(ROUND(HEX2DEC(G6)/SQRT(3),0),2))</f>
        <v>800</v>
      </c>
      <c r="H14" s="27" t="str">
        <f t="shared" ref="H14:H19" si="6">DEC2HEX(_xlfn.BITLSHIFT(ROUND(HEX2DEC(H6)/SQRT(3),0),2))</f>
        <v>A00</v>
      </c>
      <c r="I14" s="27" t="str">
        <f t="shared" ref="I14:I19" si="7">DEC2HEX(_xlfn.BITLSHIFT(ROUND(HEX2DEC(I6)/SQRT(3),0),2))</f>
        <v>C00</v>
      </c>
      <c r="J14" s="27" t="str">
        <f t="shared" ref="J14:J19" si="8">DEC2HEX(_xlfn.BITLSHIFT(ROUND(HEX2DEC(J6)/SQRT(3),0),2))</f>
        <v>E14</v>
      </c>
      <c r="K14" s="27" t="str">
        <f t="shared" ref="K14:K19" si="9">DEC2HEX(_xlfn.BITLSHIFT(ROUND(HEX2DEC(K6)/SQRT(3),0),2))</f>
        <v>F00</v>
      </c>
    </row>
    <row r="15" spans="2:11" x14ac:dyDescent="0.2">
      <c r="B15" s="27" t="s">
        <v>88</v>
      </c>
      <c r="C15" s="27" t="str">
        <f t="shared" si="1"/>
        <v>0</v>
      </c>
      <c r="D15" s="27" t="str">
        <f t="shared" si="2"/>
        <v>200</v>
      </c>
      <c r="E15" s="27" t="str">
        <f t="shared" si="3"/>
        <v>3F0</v>
      </c>
      <c r="F15" s="27" t="str">
        <f t="shared" si="4"/>
        <v>5AC</v>
      </c>
      <c r="G15" s="27" t="str">
        <f t="shared" si="5"/>
        <v>7B4</v>
      </c>
      <c r="H15" s="27" t="str">
        <f t="shared" si="6"/>
        <v>A00</v>
      </c>
      <c r="I15" s="27" t="str">
        <f t="shared" si="7"/>
        <v>BCC</v>
      </c>
      <c r="J15" s="27" t="str">
        <f t="shared" si="8"/>
        <v>E00</v>
      </c>
      <c r="K15" s="27" t="str">
        <f t="shared" si="9"/>
        <v>1000</v>
      </c>
    </row>
    <row r="16" spans="2:11" x14ac:dyDescent="0.2">
      <c r="B16" s="27" t="s">
        <v>89</v>
      </c>
      <c r="C16" s="27" t="str">
        <f t="shared" si="1"/>
        <v>0</v>
      </c>
      <c r="D16" s="27" t="str">
        <f t="shared" si="2"/>
        <v>200</v>
      </c>
      <c r="E16" s="27" t="str">
        <f t="shared" si="3"/>
        <v>3F0</v>
      </c>
      <c r="F16" s="27" t="str">
        <f t="shared" si="4"/>
        <v>5AC</v>
      </c>
      <c r="G16" s="27" t="str">
        <f t="shared" si="5"/>
        <v>7B4</v>
      </c>
      <c r="H16" s="27" t="str">
        <f t="shared" si="6"/>
        <v>A00</v>
      </c>
      <c r="I16" s="27" t="str">
        <f t="shared" si="7"/>
        <v>BCC</v>
      </c>
      <c r="J16" s="27" t="str">
        <f t="shared" si="8"/>
        <v>E00</v>
      </c>
      <c r="K16" s="27" t="str">
        <f t="shared" si="9"/>
        <v>1000</v>
      </c>
    </row>
    <row r="17" spans="2:11" x14ac:dyDescent="0.2">
      <c r="B17" s="27" t="s">
        <v>90</v>
      </c>
      <c r="C17" s="27" t="str">
        <f t="shared" si="1"/>
        <v>0</v>
      </c>
      <c r="D17" s="27" t="str">
        <f t="shared" si="2"/>
        <v>200</v>
      </c>
      <c r="E17" s="27" t="str">
        <f t="shared" si="3"/>
        <v>3F0</v>
      </c>
      <c r="F17" s="27" t="str">
        <f t="shared" si="4"/>
        <v>5AC</v>
      </c>
      <c r="G17" s="27" t="str">
        <f t="shared" si="5"/>
        <v>7B4</v>
      </c>
      <c r="H17" s="27" t="str">
        <f t="shared" si="6"/>
        <v>A00</v>
      </c>
      <c r="I17" s="27" t="str">
        <f t="shared" si="7"/>
        <v>BCC</v>
      </c>
      <c r="J17" s="27" t="str">
        <f t="shared" si="8"/>
        <v>E00</v>
      </c>
      <c r="K17" s="27" t="str">
        <f t="shared" si="9"/>
        <v>1000</v>
      </c>
    </row>
    <row r="18" spans="2:11" x14ac:dyDescent="0.2">
      <c r="B18" s="27" t="s">
        <v>91</v>
      </c>
      <c r="C18" s="27" t="str">
        <f t="shared" si="1"/>
        <v>0</v>
      </c>
      <c r="D18" s="27" t="str">
        <f t="shared" si="2"/>
        <v>200</v>
      </c>
      <c r="E18" s="27" t="str">
        <f t="shared" si="3"/>
        <v>3F0</v>
      </c>
      <c r="F18" s="27" t="str">
        <f t="shared" si="4"/>
        <v>5AC</v>
      </c>
      <c r="G18" s="27" t="str">
        <f t="shared" si="5"/>
        <v>7B4</v>
      </c>
      <c r="H18" s="27" t="str">
        <f t="shared" si="6"/>
        <v>A00</v>
      </c>
      <c r="I18" s="27" t="str">
        <f t="shared" si="7"/>
        <v>BCC</v>
      </c>
      <c r="J18" s="27" t="str">
        <f t="shared" si="8"/>
        <v>E00</v>
      </c>
      <c r="K18" s="27" t="str">
        <f t="shared" si="9"/>
        <v>1000</v>
      </c>
    </row>
    <row r="19" spans="2:11" x14ac:dyDescent="0.2">
      <c r="B19" s="27" t="s">
        <v>92</v>
      </c>
      <c r="C19" s="27" t="str">
        <f t="shared" si="1"/>
        <v>0</v>
      </c>
      <c r="D19" s="27" t="str">
        <f t="shared" si="2"/>
        <v>200</v>
      </c>
      <c r="E19" s="27" t="str">
        <f t="shared" si="3"/>
        <v>400</v>
      </c>
      <c r="F19" s="27" t="str">
        <f t="shared" si="4"/>
        <v>600</v>
      </c>
      <c r="G19" s="27" t="str">
        <f t="shared" si="5"/>
        <v>800</v>
      </c>
      <c r="H19" s="27" t="str">
        <f t="shared" si="6"/>
        <v>A00</v>
      </c>
      <c r="I19" s="27" t="str">
        <f t="shared" si="7"/>
        <v>C00</v>
      </c>
      <c r="J19" s="27" t="str">
        <f t="shared" si="8"/>
        <v>E00</v>
      </c>
      <c r="K19" s="27" t="str">
        <f t="shared" si="9"/>
        <v>F00</v>
      </c>
    </row>
    <row r="21" spans="2:11" x14ac:dyDescent="0.2">
      <c r="B21" s="27" t="s">
        <v>109</v>
      </c>
      <c r="C21" s="45">
        <v>0</v>
      </c>
      <c r="D21" s="45">
        <v>500</v>
      </c>
      <c r="E21" s="45" t="s">
        <v>93</v>
      </c>
      <c r="F21" s="45" t="s">
        <v>94</v>
      </c>
      <c r="G21" s="45">
        <v>1100</v>
      </c>
      <c r="H21" s="45">
        <v>1200</v>
      </c>
      <c r="I21" s="45" t="s">
        <v>95</v>
      </c>
      <c r="J21" s="45" t="s">
        <v>96</v>
      </c>
      <c r="K21" s="45">
        <v>1400</v>
      </c>
    </row>
    <row r="22" spans="2:11" x14ac:dyDescent="0.2">
      <c r="B22" s="27" t="s">
        <v>110</v>
      </c>
      <c r="C22" s="45">
        <v>0</v>
      </c>
      <c r="D22" s="45">
        <v>500</v>
      </c>
      <c r="E22" s="45" t="s">
        <v>93</v>
      </c>
      <c r="F22" s="45" t="s">
        <v>94</v>
      </c>
      <c r="G22" s="45">
        <v>1100</v>
      </c>
      <c r="H22" s="45">
        <v>1200</v>
      </c>
      <c r="I22" s="45" t="s">
        <v>95</v>
      </c>
      <c r="J22" s="45" t="s">
        <v>96</v>
      </c>
      <c r="K22" s="45">
        <v>1400</v>
      </c>
    </row>
    <row r="23" spans="2:11" x14ac:dyDescent="0.2">
      <c r="B23" s="27" t="s">
        <v>111</v>
      </c>
      <c r="C23" s="45">
        <v>0</v>
      </c>
      <c r="D23" s="45" t="s">
        <v>97</v>
      </c>
      <c r="E23" s="45" t="s">
        <v>98</v>
      </c>
      <c r="F23" s="45" t="s">
        <v>99</v>
      </c>
      <c r="G23" s="45">
        <v>1078</v>
      </c>
      <c r="H23" s="45">
        <v>1200</v>
      </c>
      <c r="I23" s="45">
        <v>1317</v>
      </c>
      <c r="J23" s="45">
        <v>1400</v>
      </c>
      <c r="K23" s="45">
        <v>1400</v>
      </c>
    </row>
    <row r="24" spans="2:11" x14ac:dyDescent="0.2">
      <c r="B24" s="27" t="s">
        <v>112</v>
      </c>
      <c r="C24" s="45">
        <v>0</v>
      </c>
      <c r="D24" s="45" t="s">
        <v>97</v>
      </c>
      <c r="E24" s="45" t="s">
        <v>98</v>
      </c>
      <c r="F24" s="45" t="s">
        <v>99</v>
      </c>
      <c r="G24" s="45">
        <v>1078</v>
      </c>
      <c r="H24" s="45">
        <v>1200</v>
      </c>
      <c r="I24" s="45">
        <v>1317</v>
      </c>
      <c r="J24" s="45">
        <v>1400</v>
      </c>
      <c r="K24" s="45">
        <v>1400</v>
      </c>
    </row>
    <row r="25" spans="2:11" x14ac:dyDescent="0.2">
      <c r="B25" s="27" t="s">
        <v>113</v>
      </c>
      <c r="C25" s="45">
        <v>0</v>
      </c>
      <c r="D25" s="45" t="s">
        <v>97</v>
      </c>
      <c r="E25" s="45" t="s">
        <v>98</v>
      </c>
      <c r="F25" s="45" t="s">
        <v>99</v>
      </c>
      <c r="G25" s="45">
        <v>1078</v>
      </c>
      <c r="H25" s="45">
        <v>1200</v>
      </c>
      <c r="I25" s="45">
        <v>1317</v>
      </c>
      <c r="J25" s="45">
        <v>1400</v>
      </c>
      <c r="K25" s="45">
        <v>1400</v>
      </c>
    </row>
    <row r="26" spans="2:11" x14ac:dyDescent="0.2">
      <c r="B26" s="27" t="s">
        <v>114</v>
      </c>
      <c r="C26" s="45">
        <v>0</v>
      </c>
      <c r="D26" s="45" t="s">
        <v>97</v>
      </c>
      <c r="E26" s="45" t="s">
        <v>98</v>
      </c>
      <c r="F26" s="45" t="s">
        <v>99</v>
      </c>
      <c r="G26" s="45">
        <v>1078</v>
      </c>
      <c r="H26" s="45">
        <v>1200</v>
      </c>
      <c r="I26" s="45">
        <v>1317</v>
      </c>
      <c r="J26" s="45">
        <v>1400</v>
      </c>
      <c r="K26" s="45">
        <v>1400</v>
      </c>
    </row>
    <row r="27" spans="2:11" x14ac:dyDescent="0.2">
      <c r="B27" s="27" t="s">
        <v>115</v>
      </c>
      <c r="C27" s="45">
        <v>0</v>
      </c>
      <c r="D27" s="47" t="s">
        <v>100</v>
      </c>
      <c r="E27" s="45" t="s">
        <v>101</v>
      </c>
      <c r="F27" s="45">
        <v>1000</v>
      </c>
      <c r="G27" s="45">
        <v>1100</v>
      </c>
      <c r="H27" s="45">
        <v>1200</v>
      </c>
      <c r="I27" s="45" t="s">
        <v>95</v>
      </c>
      <c r="J27" s="45" t="s">
        <v>96</v>
      </c>
      <c r="K27" s="45">
        <v>1400</v>
      </c>
    </row>
    <row r="29" spans="2:11" x14ac:dyDescent="0.2">
      <c r="B29" s="27" t="s">
        <v>116</v>
      </c>
      <c r="C29" s="27">
        <f>C21</f>
        <v>0</v>
      </c>
      <c r="D29" s="27">
        <f t="shared" ref="D29:H29" si="10">D21</f>
        <v>500</v>
      </c>
      <c r="E29" s="27" t="str">
        <f t="shared" si="10"/>
        <v>a15</v>
      </c>
      <c r="F29" s="27" t="str">
        <f t="shared" si="10"/>
        <v>e6d</v>
      </c>
      <c r="G29" s="27">
        <f t="shared" si="10"/>
        <v>1100</v>
      </c>
      <c r="H29" s="27">
        <f t="shared" si="10"/>
        <v>1200</v>
      </c>
      <c r="I29" s="65" t="str">
        <f>DEC2HEX(HEX2DEC(H29)+((HEX2DEC(K29)-HEX2DEC(H29))/3*1))</f>
        <v>1955</v>
      </c>
      <c r="J29" s="65" t="str">
        <f>DEC2HEX(HEX2DEC(H29)+((HEX2DEC(K29)-HEX2DEC(H29))/3*2))</f>
        <v>20AA</v>
      </c>
      <c r="K29" s="65" t="str">
        <f>DEC2HEX(HEX2DEC(K21)*D$37)</f>
        <v>2800</v>
      </c>
    </row>
    <row r="30" spans="2:11" x14ac:dyDescent="0.2">
      <c r="B30" s="27" t="s">
        <v>117</v>
      </c>
      <c r="C30" s="27">
        <f t="shared" ref="C30:H30" si="11">C22</f>
        <v>0</v>
      </c>
      <c r="D30" s="27">
        <f t="shared" si="11"/>
        <v>500</v>
      </c>
      <c r="E30" s="27" t="str">
        <f t="shared" si="11"/>
        <v>a15</v>
      </c>
      <c r="F30" s="27" t="str">
        <f t="shared" si="11"/>
        <v>e6d</v>
      </c>
      <c r="G30" s="27">
        <f t="shared" si="11"/>
        <v>1100</v>
      </c>
      <c r="H30" s="27">
        <f t="shared" si="11"/>
        <v>1200</v>
      </c>
      <c r="I30" s="65" t="str">
        <f t="shared" ref="I30:I35" si="12">DEC2HEX(HEX2DEC(H30)+(HEX2DEC(K30)-HEX2DEC(H30))/3*1)</f>
        <v>1955</v>
      </c>
      <c r="J30" s="65" t="str">
        <f t="shared" ref="J30:J35" si="13">DEC2HEX(HEX2DEC(H30)+((HEX2DEC(K30)-HEX2DEC(H30))/3*2))</f>
        <v>20AA</v>
      </c>
      <c r="K30" s="65" t="str">
        <f t="shared" ref="K30:K35" si="14">DEC2HEX(HEX2DEC(K22)*D$37)</f>
        <v>2800</v>
      </c>
    </row>
    <row r="31" spans="2:11" x14ac:dyDescent="0.2">
      <c r="B31" s="27" t="s">
        <v>118</v>
      </c>
      <c r="C31" s="27">
        <f t="shared" ref="C31:H31" si="15">C23</f>
        <v>0</v>
      </c>
      <c r="D31" s="27" t="str">
        <f t="shared" si="15"/>
        <v>6b3</v>
      </c>
      <c r="E31" s="27" t="str">
        <f t="shared" si="15"/>
        <v>bf8</v>
      </c>
      <c r="F31" s="27" t="str">
        <f t="shared" si="15"/>
        <v>ebb</v>
      </c>
      <c r="G31" s="27">
        <f t="shared" si="15"/>
        <v>1078</v>
      </c>
      <c r="H31" s="27">
        <f t="shared" si="15"/>
        <v>1200</v>
      </c>
      <c r="I31" s="65" t="str">
        <f t="shared" si="12"/>
        <v>1955</v>
      </c>
      <c r="J31" s="65" t="str">
        <f t="shared" si="13"/>
        <v>20AA</v>
      </c>
      <c r="K31" s="65" t="str">
        <f t="shared" si="14"/>
        <v>2800</v>
      </c>
    </row>
    <row r="32" spans="2:11" x14ac:dyDescent="0.2">
      <c r="B32" s="27" t="s">
        <v>119</v>
      </c>
      <c r="C32" s="27">
        <f t="shared" ref="C32:H32" si="16">C24</f>
        <v>0</v>
      </c>
      <c r="D32" s="27" t="str">
        <f t="shared" si="16"/>
        <v>6b3</v>
      </c>
      <c r="E32" s="27" t="str">
        <f t="shared" si="16"/>
        <v>bf8</v>
      </c>
      <c r="F32" s="27" t="str">
        <f t="shared" si="16"/>
        <v>ebb</v>
      </c>
      <c r="G32" s="27">
        <f t="shared" si="16"/>
        <v>1078</v>
      </c>
      <c r="H32" s="27">
        <f t="shared" si="16"/>
        <v>1200</v>
      </c>
      <c r="I32" s="65" t="str">
        <f t="shared" si="12"/>
        <v>1955</v>
      </c>
      <c r="J32" s="65" t="str">
        <f t="shared" si="13"/>
        <v>20AA</v>
      </c>
      <c r="K32" s="65" t="str">
        <f t="shared" si="14"/>
        <v>2800</v>
      </c>
    </row>
    <row r="33" spans="2:11" x14ac:dyDescent="0.2">
      <c r="B33" s="27" t="s">
        <v>120</v>
      </c>
      <c r="C33" s="27">
        <f t="shared" ref="C33:H33" si="17">C25</f>
        <v>0</v>
      </c>
      <c r="D33" s="27" t="str">
        <f t="shared" si="17"/>
        <v>6b3</v>
      </c>
      <c r="E33" s="27" t="str">
        <f t="shared" si="17"/>
        <v>bf8</v>
      </c>
      <c r="F33" s="27" t="str">
        <f t="shared" si="17"/>
        <v>ebb</v>
      </c>
      <c r="G33" s="27">
        <f t="shared" si="17"/>
        <v>1078</v>
      </c>
      <c r="H33" s="27">
        <f t="shared" si="17"/>
        <v>1200</v>
      </c>
      <c r="I33" s="65" t="str">
        <f t="shared" si="12"/>
        <v>1955</v>
      </c>
      <c r="J33" s="65" t="str">
        <f t="shared" si="13"/>
        <v>20AA</v>
      </c>
      <c r="K33" s="65" t="str">
        <f t="shared" si="14"/>
        <v>2800</v>
      </c>
    </row>
    <row r="34" spans="2:11" x14ac:dyDescent="0.2">
      <c r="B34" s="27" t="s">
        <v>121</v>
      </c>
      <c r="C34" s="27">
        <f t="shared" ref="C34:H34" si="18">C26</f>
        <v>0</v>
      </c>
      <c r="D34" s="27" t="str">
        <f t="shared" si="18"/>
        <v>6b3</v>
      </c>
      <c r="E34" s="27" t="str">
        <f t="shared" si="18"/>
        <v>bf8</v>
      </c>
      <c r="F34" s="27" t="str">
        <f t="shared" si="18"/>
        <v>ebb</v>
      </c>
      <c r="G34" s="27">
        <f t="shared" si="18"/>
        <v>1078</v>
      </c>
      <c r="H34" s="27">
        <f t="shared" si="18"/>
        <v>1200</v>
      </c>
      <c r="I34" s="65" t="str">
        <f t="shared" si="12"/>
        <v>1955</v>
      </c>
      <c r="J34" s="65" t="str">
        <f t="shared" si="13"/>
        <v>20AA</v>
      </c>
      <c r="K34" s="65" t="str">
        <f t="shared" si="14"/>
        <v>2800</v>
      </c>
    </row>
    <row r="35" spans="2:11" x14ac:dyDescent="0.2">
      <c r="B35" s="27" t="s">
        <v>122</v>
      </c>
      <c r="C35" s="27">
        <f t="shared" ref="C35:H35" si="19">C27</f>
        <v>0</v>
      </c>
      <c r="D35" s="27" t="str">
        <f t="shared" si="19"/>
        <v>6e1</v>
      </c>
      <c r="E35" s="27" t="str">
        <f t="shared" si="19"/>
        <v>c9a</v>
      </c>
      <c r="F35" s="27">
        <f t="shared" si="19"/>
        <v>1000</v>
      </c>
      <c r="G35" s="27">
        <f t="shared" si="19"/>
        <v>1100</v>
      </c>
      <c r="H35" s="27">
        <f t="shared" si="19"/>
        <v>1200</v>
      </c>
      <c r="I35" s="65" t="str">
        <f>DEC2HEX(HEX2DEC(H35)+((HEX2DEC(K35)-HEX2DEC(H35))/3*1))</f>
        <v>1955</v>
      </c>
      <c r="J35" s="65" t="str">
        <f>DEC2HEX(HEX2DEC(H35)+((HEX2DEC(K35)-HEX2DEC(H35))/3*2))</f>
        <v>20AA</v>
      </c>
      <c r="K35" s="65" t="str">
        <f t="shared" si="14"/>
        <v>2800</v>
      </c>
    </row>
    <row r="37" spans="2:11" x14ac:dyDescent="0.2">
      <c r="B37" s="51" t="s">
        <v>60</v>
      </c>
      <c r="C37" s="51"/>
      <c r="D37" s="45">
        <v>2</v>
      </c>
    </row>
    <row r="38" spans="2:11" x14ac:dyDescent="0.2">
      <c r="B38" s="51" t="s">
        <v>12</v>
      </c>
      <c r="C38" s="51"/>
      <c r="D38" s="45" t="s">
        <v>10</v>
      </c>
    </row>
    <row r="39" spans="2:11" x14ac:dyDescent="0.2">
      <c r="B39" s="52" t="s">
        <v>38</v>
      </c>
      <c r="C39" s="52"/>
      <c r="D39" s="46">
        <v>1</v>
      </c>
    </row>
    <row r="40" spans="2:11" ht="17" thickBot="1" x14ac:dyDescent="0.25"/>
    <row r="41" spans="2:11" ht="50" customHeight="1" thickBot="1" x14ac:dyDescent="0.25">
      <c r="B41" s="55" t="str">
        <f>"if self.CS.steer_config_index in [1, 2]: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self.CS.steer_config_index in [1, 2]: ret.lateralParams.torqueBP, ret.lateralParams.torqueV = [[0x0, 0x500, 0xa15, 0xe6d, 0x1100, 0x1200, 0x1955, 0x20AA, 0x2800], [0x0, 0x1F8, 0x400, 0x5F8, 0x800, 0xA00, 0xC00, 0xE00, 0xF00]]</v>
      </c>
      <c r="C41" s="56"/>
      <c r="D41" s="56"/>
      <c r="E41" s="56"/>
      <c r="F41" s="56"/>
      <c r="G41" s="56"/>
      <c r="H41" s="56"/>
      <c r="I41" s="56"/>
      <c r="J41" s="56"/>
      <c r="K41" s="57"/>
    </row>
    <row r="42" spans="2:11" ht="50" customHeight="1" thickBot="1" x14ac:dyDescent="0.25">
      <c r="B42" s="55" t="str">
        <f>"elif self.CS.steer_config_index in [3,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self.CS.steer_config_index in [3, 4, 5, 6]: ret.lateralParams.torqueBP, ret.lateralParams.torqueV = [[0x0, 0x6b3, 0xbf8, 0xebb, 0x1078, 0x1200, 0x1955, 0x20AA, 0x2800], [0x0, 0x200, 0x3F0, 0x5AC, 0x7B4, 0xA00, 0xBCC, 0xE00, 0x1000]]</v>
      </c>
      <c r="C42" s="56"/>
      <c r="D42" s="56"/>
      <c r="E42" s="56"/>
      <c r="F42" s="56"/>
      <c r="G42" s="56"/>
      <c r="H42" s="56"/>
      <c r="I42" s="56"/>
      <c r="J42" s="56"/>
      <c r="K42" s="57"/>
    </row>
    <row r="43" spans="2:11" ht="50" customHeight="1" thickBot="1" x14ac:dyDescent="0.25">
      <c r="B43" s="55" t="str">
        <f>"elif self.CS.steer_config_index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self.CS.steer_config_index == 7: ret.lateralParams.torqueBP, ret.lateralParams.torqueV = [[0x0, 0x6e1, 0xc9a, 0x1000, 0x1100, 0x1200, 0x1955, 0x20AA, 0x2800], [0x0, 0x200, 0x400, 0x600, 0x800, 0xA00, 0xC00, 0xE00, 0xF00]]</v>
      </c>
      <c r="C43" s="56"/>
      <c r="D43" s="56"/>
      <c r="E43" s="56"/>
      <c r="F43" s="56"/>
      <c r="G43" s="56"/>
      <c r="H43" s="56"/>
      <c r="I43" s="56"/>
      <c r="J43" s="56"/>
      <c r="K43" s="57"/>
    </row>
    <row r="44" spans="2:11" ht="17" thickBot="1" x14ac:dyDescent="0.25">
      <c r="B44" s="54"/>
      <c r="C44" s="30"/>
      <c r="D44" s="54"/>
      <c r="E44" s="54"/>
      <c r="F44" s="54"/>
      <c r="G44" s="54"/>
      <c r="H44" s="54"/>
      <c r="I44" s="54"/>
      <c r="J44" s="54"/>
      <c r="K44" s="54"/>
    </row>
    <row r="45" spans="2:11" ht="52" customHeight="1" thickBot="1" x14ac:dyDescent="0.25">
      <c r="B45" s="59" t="str">
        <f>"if self.CS.steer_config_index in [1, 2]: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self.CS.steer_config_index in [1, 2]: ret.lateralParams.torqueBP, ret.lateralParams.torqueV = [[0x0, 0x500, 0xa15, 0xe6d, 0x1100, 0x1200, 0x1955, 0x20AA, 0x2800], [0x0, 0x1F8, 0x400, 0x5F8, 0x800, 0xA00, 0xC00, 0xE00, 0xF00]]</v>
      </c>
      <c r="C45" s="60"/>
      <c r="D45" s="60"/>
      <c r="E45" s="60"/>
      <c r="F45" s="60"/>
      <c r="G45" s="60"/>
      <c r="H45" s="60"/>
      <c r="I45" s="60"/>
      <c r="J45" s="60"/>
      <c r="K45" s="61"/>
    </row>
    <row r="46" spans="2:11" ht="52" customHeight="1" thickBot="1" x14ac:dyDescent="0.25">
      <c r="B46" s="55" t="str">
        <f>"elif self.CS.steer_config_index in [3,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self.CS.steer_config_index in [3, 4, 5, 6]: ret.lateralParams.torqueBP, ret.lateralParams.torqueV = [[0x0, 0x6b3, 0xbf8, 0xebb, 0x1078, 0x1200, 0x1955, 0x20AA, 0x2800], [0x0, 0x200, 0x3F0, 0x5AC, 0x7B4, 0xA00, 0xBCC, 0xE00, 0x1000]]</v>
      </c>
      <c r="C46" s="56"/>
      <c r="D46" s="56"/>
      <c r="E46" s="56"/>
      <c r="F46" s="56"/>
      <c r="G46" s="56"/>
      <c r="H46" s="56"/>
      <c r="I46" s="56"/>
      <c r="J46" s="56"/>
      <c r="K46" s="57"/>
    </row>
    <row r="47" spans="2:11" ht="52" customHeight="1" thickBot="1" x14ac:dyDescent="0.25">
      <c r="B47" s="62" t="str">
        <f>"elif self.CS.steer_config_index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self.CS.steer_config_index == 7: ret.lateralParams.torqueBP, ret.lateralParams.torqueV = [[0x0, 0x6e1, 0xc9a, 0x1000, 0x1100, 0x1200, 0x1955, 0x20AA, 0x2800], [0x0, 0x200, 0x400, 0x600, 0x800, 0xA00, 0xC00, 0xE00, 0xF00]]</v>
      </c>
      <c r="C47" s="63"/>
      <c r="D47" s="63"/>
      <c r="E47" s="63"/>
      <c r="F47" s="63"/>
      <c r="G47" s="63"/>
      <c r="H47" s="63"/>
      <c r="I47" s="63"/>
      <c r="J47" s="63"/>
      <c r="K47" s="64"/>
    </row>
    <row r="48" spans="2:11" ht="17" thickBot="1" x14ac:dyDescent="0.25"/>
    <row r="49" spans="2:11" ht="17" thickBot="1" x14ac:dyDescent="0.25">
      <c r="B49" s="48" t="str">
        <f>"'0x000" &amp; C21 &amp; ", 0x0" &amp; D21 &amp; ", 0x0" &amp; E21 &amp; ", 0x0" &amp;F21 &amp; ", 0x" &amp; G21 &amp; ", 0x" &amp; H21 &amp; ", 0x" &amp; I21 &amp; ", 0x" &amp; J21 &amp; ", 0x" &amp; K21 &amp; "', # " &amp; B21</f>
        <v>'0x0000, 0x0500, 0x0a15, 0x0e6d, 0x1100, 0x1200, 0x129a, 0x134d, 0x1400', # original torque_table row 1</v>
      </c>
      <c r="C49" s="49"/>
      <c r="D49" s="49"/>
      <c r="E49" s="49"/>
      <c r="F49" s="49"/>
      <c r="G49" s="49"/>
      <c r="H49" s="49"/>
      <c r="I49" s="49"/>
      <c r="J49" s="49"/>
      <c r="K49" s="50"/>
    </row>
    <row r="50" spans="2:11" ht="17" thickBot="1" x14ac:dyDescent="0.25">
      <c r="B50" s="48" t="str">
        <f t="shared" ref="B50:B55" si="20">"'0x000" &amp; C22 &amp; ", 0x0" &amp; D22 &amp; ", 0x0" &amp; E22 &amp; ", 0x0" &amp;F22 &amp; ", 0x" &amp; G22 &amp; ", 0x" &amp; H22 &amp; ", 0x" &amp; I22 &amp; ", 0x" &amp; J22 &amp; ", 0x" &amp; K22 &amp; "', # " &amp; B22</f>
        <v>'0x0000, 0x0500, 0x0a15, 0x0e6d, 0x1100, 0x1200, 0x129a, 0x134d, 0x1400', # original torque_table row 2</v>
      </c>
      <c r="C50" s="49"/>
      <c r="D50" s="49"/>
      <c r="E50" s="49"/>
      <c r="F50" s="49"/>
      <c r="G50" s="49"/>
      <c r="H50" s="49"/>
      <c r="I50" s="49"/>
      <c r="J50" s="49"/>
      <c r="K50" s="50"/>
    </row>
    <row r="51" spans="2:11" ht="17" thickBot="1" x14ac:dyDescent="0.25">
      <c r="B51" s="48" t="str">
        <f t="shared" si="20"/>
        <v>'0x0000, 0x06b3, 0x0bf8, 0x0ebb, 0x1078, 0x1200, 0x1317, 0x1400, 0x1400', # original torque_table row 3</v>
      </c>
      <c r="C51" s="49"/>
      <c r="D51" s="49"/>
      <c r="E51" s="49"/>
      <c r="F51" s="49"/>
      <c r="G51" s="49"/>
      <c r="H51" s="49"/>
      <c r="I51" s="49"/>
      <c r="J51" s="49"/>
      <c r="K51" s="50"/>
    </row>
    <row r="52" spans="2:11" ht="17" thickBot="1" x14ac:dyDescent="0.25">
      <c r="B52" s="48" t="str">
        <f t="shared" si="20"/>
        <v>'0x0000, 0x06b3, 0x0bf8, 0x0ebb, 0x1078, 0x1200, 0x1317, 0x1400, 0x1400', # original torque_table row 4</v>
      </c>
      <c r="C52" s="49"/>
      <c r="D52" s="49"/>
      <c r="E52" s="49"/>
      <c r="F52" s="49"/>
      <c r="G52" s="49"/>
      <c r="H52" s="49"/>
      <c r="I52" s="49"/>
      <c r="J52" s="49"/>
      <c r="K52" s="50"/>
    </row>
    <row r="53" spans="2:11" ht="17" thickBot="1" x14ac:dyDescent="0.25">
      <c r="B53" s="48" t="str">
        <f t="shared" si="20"/>
        <v>'0x0000, 0x06b3, 0x0bf8, 0x0ebb, 0x1078, 0x1200, 0x1317, 0x1400, 0x1400', # original torque_table row 5</v>
      </c>
      <c r="C53" s="49"/>
      <c r="D53" s="49"/>
      <c r="E53" s="49"/>
      <c r="F53" s="49"/>
      <c r="G53" s="49"/>
      <c r="H53" s="49"/>
      <c r="I53" s="49"/>
      <c r="J53" s="49"/>
      <c r="K53" s="50"/>
    </row>
    <row r="54" spans="2:11" ht="17" thickBot="1" x14ac:dyDescent="0.25">
      <c r="B54" s="48" t="str">
        <f t="shared" si="20"/>
        <v>'0x0000, 0x06b3, 0x0bf8, 0x0ebb, 0x1078, 0x1200, 0x1317, 0x1400, 0x1400', # original torque_table row 6</v>
      </c>
      <c r="C54" s="49"/>
      <c r="D54" s="49"/>
      <c r="E54" s="49"/>
      <c r="F54" s="49"/>
      <c r="G54" s="49"/>
      <c r="H54" s="49"/>
      <c r="I54" s="49"/>
      <c r="J54" s="49"/>
      <c r="K54" s="50"/>
    </row>
    <row r="55" spans="2:11" ht="17" thickBot="1" x14ac:dyDescent="0.25">
      <c r="B55" s="48" t="str">
        <f>"'0x000" &amp; C27 &amp; ", 0x0" &amp; D27 &amp; ", 0x0" &amp; E27 &amp; ", 0x" &amp;F27 &amp; ", 0x" &amp; G27 &amp; ", 0x" &amp; H27 &amp; ", 0x" &amp; I27 &amp; ", 0x" &amp; J27 &amp; ", 0x" &amp; K27 &amp; "', # " &amp; B27</f>
        <v>'0x0000, 0x06e1, 0x0c9a, 0x1000, 0x1100, 0x1200, 0x129a, 0x134d, 0x1400', # original torque_table row 7</v>
      </c>
      <c r="C55" s="49"/>
      <c r="D55" s="49"/>
      <c r="E55" s="49"/>
      <c r="F55" s="49"/>
      <c r="G55" s="49"/>
      <c r="H55" s="49"/>
      <c r="I55" s="49"/>
      <c r="J55" s="49"/>
      <c r="K55" s="50"/>
    </row>
    <row r="56" spans="2:11" ht="17" thickBot="1" x14ac:dyDescent="0.25"/>
    <row r="57" spans="2:11" ht="17" thickBot="1" x14ac:dyDescent="0.25">
      <c r="B57" s="48" t="str">
        <f>"'0x000" &amp; C29 &amp; ", 0x0" &amp; D29 &amp; ", 0x0" &amp; E29 &amp; ", 0x0" &amp;F29 &amp; ", 0x" &amp; G29 &amp; ", 0x" &amp; H29 &amp; ", 0x" &amp; I29 &amp; ", 0x" &amp; J29 &amp; ", 0x" &amp; K29 &amp; "', # " &amp; B29</f>
        <v>'0x0000, 0x0500, 0x0a15, 0x0e6d, 0x1100, 0x1200, 0x1955, 0x20AA, 0x2800', # new torque_table row 1</v>
      </c>
      <c r="C57" s="49"/>
      <c r="D57" s="49"/>
      <c r="E57" s="49"/>
      <c r="F57" s="49"/>
      <c r="G57" s="49"/>
      <c r="H57" s="49"/>
      <c r="I57" s="49"/>
      <c r="J57" s="49"/>
      <c r="K57" s="50"/>
    </row>
    <row r="58" spans="2:11" ht="17" thickBot="1" x14ac:dyDescent="0.25">
      <c r="B58" s="48" t="str">
        <f t="shared" ref="B58:B63" si="21">"'0x000" &amp; C30 &amp; ", 0x0" &amp; D30 &amp; ", 0x0" &amp; E30 &amp; ", 0x0" &amp;F30 &amp; ", 0x" &amp; G30 &amp; ", 0x" &amp; H30 &amp; ", 0x" &amp; I30 &amp; ", 0x" &amp; J30 &amp; ", 0x" &amp; K30 &amp; "', # " &amp; B30</f>
        <v>'0x0000, 0x0500, 0x0a15, 0x0e6d, 0x1100, 0x1200, 0x1955, 0x20AA, 0x2800', # new torque_table row 2</v>
      </c>
      <c r="C58" s="49"/>
      <c r="D58" s="49"/>
      <c r="E58" s="49"/>
      <c r="F58" s="49"/>
      <c r="G58" s="49"/>
      <c r="H58" s="49"/>
      <c r="I58" s="49"/>
      <c r="J58" s="49"/>
      <c r="K58" s="50"/>
    </row>
    <row r="59" spans="2:11" ht="17" thickBot="1" x14ac:dyDescent="0.25">
      <c r="B59" s="48" t="str">
        <f t="shared" si="21"/>
        <v>'0x0000, 0x06b3, 0x0bf8, 0x0ebb, 0x1078, 0x1200, 0x1955, 0x20AA, 0x2800', # new torque_table row 3</v>
      </c>
      <c r="C59" s="49"/>
      <c r="D59" s="49"/>
      <c r="E59" s="49"/>
      <c r="F59" s="49"/>
      <c r="G59" s="49"/>
      <c r="H59" s="49"/>
      <c r="I59" s="49"/>
      <c r="J59" s="49"/>
      <c r="K59" s="50"/>
    </row>
    <row r="60" spans="2:11" ht="17" thickBot="1" x14ac:dyDescent="0.25">
      <c r="B60" s="48" t="str">
        <f t="shared" si="21"/>
        <v>'0x0000, 0x06b3, 0x0bf8, 0x0ebb, 0x1078, 0x1200, 0x1955, 0x20AA, 0x2800', # new torque_table row 4</v>
      </c>
      <c r="C60" s="49"/>
      <c r="D60" s="49"/>
      <c r="E60" s="49"/>
      <c r="F60" s="49"/>
      <c r="G60" s="49"/>
      <c r="H60" s="49"/>
      <c r="I60" s="49"/>
      <c r="J60" s="49"/>
      <c r="K60" s="50"/>
    </row>
    <row r="61" spans="2:11" ht="17" thickBot="1" x14ac:dyDescent="0.25">
      <c r="B61" s="48" t="str">
        <f t="shared" si="21"/>
        <v>'0x0000, 0x06b3, 0x0bf8, 0x0ebb, 0x1078, 0x1200, 0x1955, 0x20AA, 0x2800', # new torque_table row 5</v>
      </c>
      <c r="C61" s="49"/>
      <c r="D61" s="49"/>
      <c r="E61" s="49"/>
      <c r="F61" s="49"/>
      <c r="G61" s="49"/>
      <c r="H61" s="49"/>
      <c r="I61" s="49"/>
      <c r="J61" s="49"/>
      <c r="K61" s="50"/>
    </row>
    <row r="62" spans="2:11" ht="17" thickBot="1" x14ac:dyDescent="0.25">
      <c r="B62" s="48" t="str">
        <f t="shared" si="21"/>
        <v>'0x0000, 0x06b3, 0x0bf8, 0x0ebb, 0x1078, 0x1200, 0x1955, 0x20AA, 0x2800', # new torque_table row 6</v>
      </c>
      <c r="C62" s="49"/>
      <c r="D62" s="49"/>
      <c r="E62" s="49"/>
      <c r="F62" s="49"/>
      <c r="G62" s="49"/>
      <c r="H62" s="49"/>
      <c r="I62" s="49"/>
      <c r="J62" s="49"/>
      <c r="K62" s="50"/>
    </row>
    <row r="63" spans="2:11" ht="17" thickBot="1" x14ac:dyDescent="0.25">
      <c r="B63" s="48" t="str">
        <f>"'0x000" &amp; C35 &amp; ", 0x0" &amp; D35 &amp; ", 0x0" &amp; E35 &amp; ", 0x" &amp;F35 &amp; ", 0x" &amp; G35 &amp; ", 0x" &amp; H35 &amp; ", 0x" &amp; I35 &amp; ", 0x" &amp; J35 &amp; ", 0x" &amp; K35 &amp; "', # " &amp; B35</f>
        <v>'0x0000, 0x06e1, 0x0c9a, 0x1000, 0x1100, 0x1200, 0x1955, 0x20AA, 0x2800', # new torque_table row 7</v>
      </c>
      <c r="C63" s="49"/>
      <c r="D63" s="49"/>
      <c r="E63" s="49"/>
      <c r="F63" s="49"/>
      <c r="G63" s="49"/>
      <c r="H63" s="49"/>
      <c r="I63" s="49"/>
      <c r="J63" s="49"/>
      <c r="K63" s="50"/>
    </row>
  </sheetData>
  <mergeCells count="24">
    <mergeCell ref="B61:K61"/>
    <mergeCell ref="B62:K62"/>
    <mergeCell ref="B63:K63"/>
    <mergeCell ref="B54:K54"/>
    <mergeCell ref="B55:K55"/>
    <mergeCell ref="B57:K57"/>
    <mergeCell ref="B58:K58"/>
    <mergeCell ref="B59:K59"/>
    <mergeCell ref="B60:K60"/>
    <mergeCell ref="B50:K50"/>
    <mergeCell ref="B51:K51"/>
    <mergeCell ref="B52:K52"/>
    <mergeCell ref="B53:K53"/>
    <mergeCell ref="B46:K46"/>
    <mergeCell ref="B47:K47"/>
    <mergeCell ref="B49:K49"/>
    <mergeCell ref="B41:K41"/>
    <mergeCell ref="B42:K42"/>
    <mergeCell ref="B43:K43"/>
    <mergeCell ref="B45:K45"/>
    <mergeCell ref="B37:C37"/>
    <mergeCell ref="B38:C38"/>
    <mergeCell ref="B39:C39"/>
    <mergeCell ref="B2:K3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551E-5CA4-5945-A103-1C607D1BD276}">
  <dimension ref="B1:K63"/>
  <sheetViews>
    <sheetView topLeftCell="A5" zoomScale="95" workbookViewId="0">
      <selection activeCell="F22" sqref="F22"/>
    </sheetView>
  </sheetViews>
  <sheetFormatPr baseColWidth="10" defaultRowHeight="16" x14ac:dyDescent="0.2"/>
  <cols>
    <col min="1" max="1" width="7.33203125" style="27" customWidth="1"/>
    <col min="2" max="2" width="10.1640625" style="27" bestFit="1" customWidth="1"/>
    <col min="3" max="11" width="7" style="27" customWidth="1"/>
    <col min="12" max="16384" width="10.83203125" style="27"/>
  </cols>
  <sheetData>
    <row r="1" spans="2:11" x14ac:dyDescent="0.2">
      <c r="C1" s="44"/>
    </row>
    <row r="2" spans="2:11" ht="16" customHeight="1" x14ac:dyDescent="0.2">
      <c r="B2" s="53" t="s">
        <v>16</v>
      </c>
      <c r="C2" s="53"/>
      <c r="D2" s="53"/>
      <c r="E2" s="53"/>
      <c r="F2" s="53"/>
      <c r="G2" s="53"/>
      <c r="H2" s="53"/>
      <c r="I2" s="53"/>
      <c r="J2" s="53"/>
      <c r="K2" s="53"/>
    </row>
    <row r="3" spans="2:11" ht="17" customHeight="1" x14ac:dyDescent="0.2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2:11" x14ac:dyDescent="0.2">
      <c r="K4" s="27" t="s">
        <v>102</v>
      </c>
    </row>
    <row r="5" spans="2:11" x14ac:dyDescent="0.2">
      <c r="B5" s="27" t="s">
        <v>68</v>
      </c>
      <c r="C5" s="1">
        <v>0</v>
      </c>
      <c r="D5" s="1">
        <v>67</v>
      </c>
      <c r="E5" s="1">
        <v>107</v>
      </c>
      <c r="F5" s="1" t="s">
        <v>5</v>
      </c>
      <c r="G5" s="1">
        <v>294</v>
      </c>
      <c r="H5" s="1" t="s">
        <v>6</v>
      </c>
      <c r="I5" s="1">
        <v>457</v>
      </c>
      <c r="J5" s="1" t="s">
        <v>7</v>
      </c>
      <c r="K5" s="1" t="s">
        <v>77</v>
      </c>
    </row>
    <row r="6" spans="2:11" x14ac:dyDescent="0.2">
      <c r="B6" s="27" t="s">
        <v>80</v>
      </c>
      <c r="C6" s="1">
        <v>0</v>
      </c>
      <c r="D6" s="1" t="s">
        <v>3</v>
      </c>
      <c r="E6" s="1" t="s">
        <v>8</v>
      </c>
      <c r="F6" s="1" t="s">
        <v>9</v>
      </c>
      <c r="G6" s="1">
        <v>290</v>
      </c>
      <c r="H6" s="1">
        <v>377</v>
      </c>
      <c r="I6" s="1">
        <v>454</v>
      </c>
      <c r="J6" s="1">
        <v>610</v>
      </c>
      <c r="K6" s="1" t="s">
        <v>77</v>
      </c>
    </row>
    <row r="7" spans="2:11" x14ac:dyDescent="0.2">
      <c r="B7" s="27" t="s">
        <v>81</v>
      </c>
      <c r="C7" s="1">
        <v>0</v>
      </c>
      <c r="D7" s="1" t="s">
        <v>3</v>
      </c>
      <c r="E7" s="1" t="s">
        <v>8</v>
      </c>
      <c r="F7" s="1" t="s">
        <v>9</v>
      </c>
      <c r="G7" s="1">
        <v>290</v>
      </c>
      <c r="H7" s="1">
        <v>377</v>
      </c>
      <c r="I7" s="1">
        <v>454</v>
      </c>
      <c r="J7" s="1">
        <v>610</v>
      </c>
      <c r="K7" s="1" t="s">
        <v>77</v>
      </c>
    </row>
    <row r="8" spans="2:11" x14ac:dyDescent="0.2">
      <c r="B8" s="27" t="s">
        <v>82</v>
      </c>
      <c r="C8" s="1">
        <v>0</v>
      </c>
      <c r="D8" s="1" t="s">
        <v>3</v>
      </c>
      <c r="E8" s="1" t="s">
        <v>8</v>
      </c>
      <c r="F8" s="1" t="s">
        <v>9</v>
      </c>
      <c r="G8" s="1">
        <v>290</v>
      </c>
      <c r="H8" s="1">
        <v>377</v>
      </c>
      <c r="I8" s="1">
        <v>454</v>
      </c>
      <c r="J8" s="1">
        <v>610</v>
      </c>
      <c r="K8" s="1" t="s">
        <v>77</v>
      </c>
    </row>
    <row r="9" spans="2:11" x14ac:dyDescent="0.2">
      <c r="B9" s="27" t="s">
        <v>83</v>
      </c>
      <c r="C9" s="1">
        <v>0</v>
      </c>
      <c r="D9" s="1" t="s">
        <v>3</v>
      </c>
      <c r="E9" s="1" t="s">
        <v>8</v>
      </c>
      <c r="F9" s="1" t="s">
        <v>9</v>
      </c>
      <c r="G9" s="1">
        <v>290</v>
      </c>
      <c r="H9" s="1">
        <v>377</v>
      </c>
      <c r="I9" s="1">
        <v>454</v>
      </c>
      <c r="J9" s="1">
        <v>610</v>
      </c>
      <c r="K9" s="1" t="s">
        <v>77</v>
      </c>
    </row>
    <row r="10" spans="2:11" x14ac:dyDescent="0.2">
      <c r="B10" s="27" t="s">
        <v>84</v>
      </c>
      <c r="C10" s="1">
        <v>0</v>
      </c>
      <c r="D10" s="1" t="s">
        <v>3</v>
      </c>
      <c r="E10" s="1" t="s">
        <v>8</v>
      </c>
      <c r="F10" s="1" t="s">
        <v>9</v>
      </c>
      <c r="G10" s="1">
        <v>290</v>
      </c>
      <c r="H10" s="1">
        <v>377</v>
      </c>
      <c r="I10" s="1">
        <v>454</v>
      </c>
      <c r="J10" s="1">
        <v>610</v>
      </c>
      <c r="K10" s="1" t="s">
        <v>77</v>
      </c>
    </row>
    <row r="11" spans="2:11" x14ac:dyDescent="0.2">
      <c r="B11" s="27" t="s">
        <v>85</v>
      </c>
      <c r="C11" s="1">
        <v>0</v>
      </c>
      <c r="D11" s="1" t="s">
        <v>3</v>
      </c>
      <c r="E11" s="1" t="s">
        <v>1</v>
      </c>
      <c r="F11" s="1">
        <v>299</v>
      </c>
      <c r="G11" s="1">
        <v>377</v>
      </c>
      <c r="H11" s="1">
        <v>455</v>
      </c>
      <c r="I11" s="1">
        <v>532</v>
      </c>
      <c r="J11" s="1">
        <v>610</v>
      </c>
      <c r="K11" s="1" t="s">
        <v>77</v>
      </c>
    </row>
    <row r="13" spans="2:11" x14ac:dyDescent="0.2">
      <c r="B13" s="27" t="s">
        <v>86</v>
      </c>
      <c r="C13" s="27" t="str">
        <f>DEC2HEX(_xlfn.BITLSHIFT(ROUND(HEX2DEC(C5)/SQRT(3),0),2))</f>
        <v>0</v>
      </c>
      <c r="D13" s="27" t="str">
        <f t="shared" ref="D13:K19" si="0">DEC2HEX(_xlfn.BITLSHIFT(ROUND(HEX2DEC(D5)/SQRT(3),0),2))</f>
        <v>EC</v>
      </c>
      <c r="E13" s="27" t="str">
        <f t="shared" si="0"/>
        <v>260</v>
      </c>
      <c r="F13" s="27" t="str">
        <f t="shared" si="0"/>
        <v>424</v>
      </c>
      <c r="G13" s="27" t="str">
        <f t="shared" si="0"/>
        <v>5F4</v>
      </c>
      <c r="H13" s="27" t="str">
        <f t="shared" si="0"/>
        <v>7C8</v>
      </c>
      <c r="I13" s="27" t="str">
        <f t="shared" si="0"/>
        <v>A04</v>
      </c>
      <c r="J13" s="27" t="str">
        <f t="shared" si="0"/>
        <v>DF8</v>
      </c>
      <c r="K13" s="27" t="str">
        <f t="shared" si="0"/>
        <v>F00</v>
      </c>
    </row>
    <row r="14" spans="2:11" x14ac:dyDescent="0.2">
      <c r="B14" s="27" t="s">
        <v>87</v>
      </c>
      <c r="C14" s="27" t="str">
        <f t="shared" ref="C14:C19" si="1">DEC2HEX(_xlfn.BITLSHIFT(ROUND(HEX2DEC(C6)/SQRT(3),0),2))</f>
        <v>0</v>
      </c>
      <c r="D14" s="27" t="str">
        <f t="shared" si="0"/>
        <v>200</v>
      </c>
      <c r="E14" s="27" t="str">
        <f t="shared" si="0"/>
        <v>300</v>
      </c>
      <c r="F14" s="27" t="str">
        <f t="shared" si="0"/>
        <v>478</v>
      </c>
      <c r="G14" s="27" t="str">
        <f t="shared" si="0"/>
        <v>5EC</v>
      </c>
      <c r="H14" s="27" t="str">
        <f t="shared" si="0"/>
        <v>800</v>
      </c>
      <c r="I14" s="27" t="str">
        <f t="shared" si="0"/>
        <v>A00</v>
      </c>
      <c r="J14" s="27" t="str">
        <f t="shared" si="0"/>
        <v>E00</v>
      </c>
      <c r="K14" s="27" t="str">
        <f t="shared" si="0"/>
        <v>F00</v>
      </c>
    </row>
    <row r="15" spans="2:11" x14ac:dyDescent="0.2">
      <c r="B15" s="27" t="s">
        <v>88</v>
      </c>
      <c r="C15" s="27" t="str">
        <f t="shared" si="1"/>
        <v>0</v>
      </c>
      <c r="D15" s="27" t="str">
        <f t="shared" si="0"/>
        <v>200</v>
      </c>
      <c r="E15" s="27" t="str">
        <f t="shared" si="0"/>
        <v>300</v>
      </c>
      <c r="F15" s="27" t="str">
        <f t="shared" si="0"/>
        <v>478</v>
      </c>
      <c r="G15" s="27" t="str">
        <f t="shared" si="0"/>
        <v>5EC</v>
      </c>
      <c r="H15" s="27" t="str">
        <f t="shared" si="0"/>
        <v>800</v>
      </c>
      <c r="I15" s="27" t="str">
        <f t="shared" si="0"/>
        <v>A00</v>
      </c>
      <c r="J15" s="27" t="str">
        <f t="shared" si="0"/>
        <v>E00</v>
      </c>
      <c r="K15" s="27" t="str">
        <f t="shared" si="0"/>
        <v>F00</v>
      </c>
    </row>
    <row r="16" spans="2:11" x14ac:dyDescent="0.2">
      <c r="B16" s="27" t="s">
        <v>89</v>
      </c>
      <c r="C16" s="27" t="str">
        <f t="shared" si="1"/>
        <v>0</v>
      </c>
      <c r="D16" s="27" t="str">
        <f t="shared" si="0"/>
        <v>200</v>
      </c>
      <c r="E16" s="27" t="str">
        <f t="shared" si="0"/>
        <v>300</v>
      </c>
      <c r="F16" s="27" t="str">
        <f t="shared" si="0"/>
        <v>478</v>
      </c>
      <c r="G16" s="27" t="str">
        <f t="shared" si="0"/>
        <v>5EC</v>
      </c>
      <c r="H16" s="27" t="str">
        <f t="shared" si="0"/>
        <v>800</v>
      </c>
      <c r="I16" s="27" t="str">
        <f t="shared" si="0"/>
        <v>A00</v>
      </c>
      <c r="J16" s="27" t="str">
        <f t="shared" si="0"/>
        <v>E00</v>
      </c>
      <c r="K16" s="27" t="str">
        <f t="shared" si="0"/>
        <v>F00</v>
      </c>
    </row>
    <row r="17" spans="2:11" x14ac:dyDescent="0.2">
      <c r="B17" s="27" t="s">
        <v>90</v>
      </c>
      <c r="C17" s="27" t="str">
        <f t="shared" si="1"/>
        <v>0</v>
      </c>
      <c r="D17" s="27" t="str">
        <f t="shared" si="0"/>
        <v>200</v>
      </c>
      <c r="E17" s="27" t="str">
        <f t="shared" si="0"/>
        <v>300</v>
      </c>
      <c r="F17" s="27" t="str">
        <f t="shared" si="0"/>
        <v>478</v>
      </c>
      <c r="G17" s="27" t="str">
        <f t="shared" si="0"/>
        <v>5EC</v>
      </c>
      <c r="H17" s="27" t="str">
        <f t="shared" si="0"/>
        <v>800</v>
      </c>
      <c r="I17" s="27" t="str">
        <f t="shared" si="0"/>
        <v>A00</v>
      </c>
      <c r="J17" s="27" t="str">
        <f t="shared" si="0"/>
        <v>E00</v>
      </c>
      <c r="K17" s="27" t="str">
        <f t="shared" si="0"/>
        <v>F00</v>
      </c>
    </row>
    <row r="18" spans="2:11" x14ac:dyDescent="0.2">
      <c r="B18" s="27" t="s">
        <v>91</v>
      </c>
      <c r="C18" s="27" t="str">
        <f t="shared" si="1"/>
        <v>0</v>
      </c>
      <c r="D18" s="27" t="str">
        <f t="shared" si="0"/>
        <v>200</v>
      </c>
      <c r="E18" s="27" t="str">
        <f t="shared" si="0"/>
        <v>300</v>
      </c>
      <c r="F18" s="27" t="str">
        <f t="shared" si="0"/>
        <v>478</v>
      </c>
      <c r="G18" s="27" t="str">
        <f t="shared" si="0"/>
        <v>5EC</v>
      </c>
      <c r="H18" s="27" t="str">
        <f t="shared" si="0"/>
        <v>800</v>
      </c>
      <c r="I18" s="27" t="str">
        <f t="shared" si="0"/>
        <v>A00</v>
      </c>
      <c r="J18" s="27" t="str">
        <f t="shared" si="0"/>
        <v>E00</v>
      </c>
      <c r="K18" s="27" t="str">
        <f t="shared" si="0"/>
        <v>F00</v>
      </c>
    </row>
    <row r="19" spans="2:11" x14ac:dyDescent="0.2">
      <c r="B19" s="27" t="s">
        <v>92</v>
      </c>
      <c r="C19" s="27" t="str">
        <f t="shared" si="1"/>
        <v>0</v>
      </c>
      <c r="D19" s="27" t="str">
        <f t="shared" si="0"/>
        <v>200</v>
      </c>
      <c r="E19" s="27" t="str">
        <f t="shared" si="0"/>
        <v>400</v>
      </c>
      <c r="F19" s="27" t="str">
        <f t="shared" si="0"/>
        <v>600</v>
      </c>
      <c r="G19" s="27" t="str">
        <f t="shared" si="0"/>
        <v>800</v>
      </c>
      <c r="H19" s="27" t="str">
        <f t="shared" si="0"/>
        <v>A00</v>
      </c>
      <c r="I19" s="27" t="str">
        <f t="shared" si="0"/>
        <v>C00</v>
      </c>
      <c r="J19" s="27" t="str">
        <f t="shared" si="0"/>
        <v>E00</v>
      </c>
      <c r="K19" s="27" t="str">
        <f t="shared" si="0"/>
        <v>F00</v>
      </c>
    </row>
    <row r="21" spans="2:11" x14ac:dyDescent="0.2">
      <c r="B21" s="27" t="s">
        <v>109</v>
      </c>
      <c r="C21" s="46">
        <v>0</v>
      </c>
      <c r="D21" s="46" t="s">
        <v>134</v>
      </c>
      <c r="E21" s="46">
        <v>692</v>
      </c>
      <c r="F21" s="46" t="s">
        <v>135</v>
      </c>
      <c r="G21" s="46" t="s">
        <v>70</v>
      </c>
      <c r="H21" s="46" t="s">
        <v>71</v>
      </c>
      <c r="I21" s="46">
        <v>1200</v>
      </c>
      <c r="J21" s="46">
        <v>1200</v>
      </c>
      <c r="K21" s="46">
        <v>1200</v>
      </c>
    </row>
    <row r="22" spans="2:11" x14ac:dyDescent="0.2">
      <c r="B22" s="27" t="s">
        <v>110</v>
      </c>
      <c r="C22" s="46">
        <v>0</v>
      </c>
      <c r="D22" s="46">
        <v>746</v>
      </c>
      <c r="E22" s="46" t="s">
        <v>45</v>
      </c>
      <c r="F22" s="46" t="s">
        <v>46</v>
      </c>
      <c r="G22" s="46" t="s">
        <v>47</v>
      </c>
      <c r="H22" s="46">
        <v>1008</v>
      </c>
      <c r="I22" s="46">
        <v>1200</v>
      </c>
      <c r="J22" s="46">
        <v>1200</v>
      </c>
      <c r="K22" s="46">
        <v>1200</v>
      </c>
    </row>
    <row r="23" spans="2:11" x14ac:dyDescent="0.2">
      <c r="B23" s="27" t="s">
        <v>111</v>
      </c>
      <c r="C23" s="46">
        <v>0</v>
      </c>
      <c r="D23" s="46">
        <v>746</v>
      </c>
      <c r="E23" s="46" t="s">
        <v>45</v>
      </c>
      <c r="F23" s="46" t="s">
        <v>46</v>
      </c>
      <c r="G23" s="46" t="s">
        <v>47</v>
      </c>
      <c r="H23" s="46">
        <v>1008</v>
      </c>
      <c r="I23" s="46">
        <v>1200</v>
      </c>
      <c r="J23" s="46">
        <v>1200</v>
      </c>
      <c r="K23" s="46">
        <v>1200</v>
      </c>
    </row>
    <row r="24" spans="2:11" x14ac:dyDescent="0.2">
      <c r="B24" s="27" t="s">
        <v>112</v>
      </c>
      <c r="C24" s="46">
        <v>0</v>
      </c>
      <c r="D24" s="46">
        <v>746</v>
      </c>
      <c r="E24" s="46" t="s">
        <v>45</v>
      </c>
      <c r="F24" s="46" t="s">
        <v>46</v>
      </c>
      <c r="G24" s="46" t="s">
        <v>47</v>
      </c>
      <c r="H24" s="46">
        <v>1008</v>
      </c>
      <c r="I24" s="46">
        <v>1200</v>
      </c>
      <c r="J24" s="46">
        <v>1200</v>
      </c>
      <c r="K24" s="46">
        <v>1200</v>
      </c>
    </row>
    <row r="25" spans="2:11" x14ac:dyDescent="0.2">
      <c r="B25" s="27" t="s">
        <v>113</v>
      </c>
      <c r="C25" s="46">
        <v>0</v>
      </c>
      <c r="D25" s="46">
        <v>746</v>
      </c>
      <c r="E25" s="46" t="s">
        <v>45</v>
      </c>
      <c r="F25" s="46" t="s">
        <v>46</v>
      </c>
      <c r="G25" s="46" t="s">
        <v>47</v>
      </c>
      <c r="H25" s="46">
        <v>1008</v>
      </c>
      <c r="I25" s="46">
        <v>1200</v>
      </c>
      <c r="J25" s="46">
        <v>1200</v>
      </c>
      <c r="K25" s="46">
        <v>1200</v>
      </c>
    </row>
    <row r="26" spans="2:11" x14ac:dyDescent="0.2">
      <c r="B26" s="27" t="s">
        <v>114</v>
      </c>
      <c r="C26" s="46">
        <v>0</v>
      </c>
      <c r="D26" s="46">
        <v>746</v>
      </c>
      <c r="E26" s="46" t="s">
        <v>45</v>
      </c>
      <c r="F26" s="46" t="s">
        <v>46</v>
      </c>
      <c r="G26" s="46" t="s">
        <v>47</v>
      </c>
      <c r="H26" s="46">
        <v>1008</v>
      </c>
      <c r="I26" s="46">
        <v>1200</v>
      </c>
      <c r="J26" s="46">
        <v>1200</v>
      </c>
      <c r="K26" s="46">
        <v>1200</v>
      </c>
    </row>
    <row r="27" spans="2:11" x14ac:dyDescent="0.2">
      <c r="B27" s="27" t="s">
        <v>115</v>
      </c>
      <c r="C27" s="45">
        <v>0</v>
      </c>
      <c r="D27" s="47" t="s">
        <v>97</v>
      </c>
      <c r="E27" s="45" t="s">
        <v>103</v>
      </c>
      <c r="F27" s="45" t="s">
        <v>104</v>
      </c>
      <c r="G27" s="45" t="s">
        <v>105</v>
      </c>
      <c r="H27" s="45" t="s">
        <v>106</v>
      </c>
      <c r="I27" s="45" t="s">
        <v>107</v>
      </c>
      <c r="J27" s="45" t="s">
        <v>108</v>
      </c>
      <c r="K27" s="45" t="s">
        <v>108</v>
      </c>
    </row>
    <row r="29" spans="2:11" x14ac:dyDescent="0.2">
      <c r="B29" s="27" t="s">
        <v>116</v>
      </c>
      <c r="C29" s="27">
        <f>C21</f>
        <v>0</v>
      </c>
      <c r="D29" s="27" t="str">
        <f t="shared" ref="D29:I29" si="2">D21</f>
        <v>2a1</v>
      </c>
      <c r="E29" s="27">
        <f t="shared" si="2"/>
        <v>692</v>
      </c>
      <c r="F29" s="27" t="str">
        <f t="shared" si="2"/>
        <v>aee</v>
      </c>
      <c r="G29" s="27" t="str">
        <f t="shared" si="2"/>
        <v>eb6</v>
      </c>
      <c r="H29" s="27" t="str">
        <f t="shared" si="2"/>
        <v>10ae</v>
      </c>
      <c r="I29" s="27">
        <f t="shared" si="2"/>
        <v>1200</v>
      </c>
      <c r="J29" s="65" t="str">
        <f>DEC2HEX(HEX2DEC(I29)+((HEX2DEC(K29)-HEX2DEC(I29))/2))</f>
        <v>1B00</v>
      </c>
      <c r="K29" s="65" t="str">
        <f>DEC2HEX(HEX2DEC(K21)*D$37)</f>
        <v>2400</v>
      </c>
    </row>
    <row r="30" spans="2:11" x14ac:dyDescent="0.2">
      <c r="B30" s="27" t="s">
        <v>117</v>
      </c>
      <c r="C30" s="27">
        <f t="shared" ref="C30:I35" si="3">C22</f>
        <v>0</v>
      </c>
      <c r="D30" s="27">
        <f t="shared" si="3"/>
        <v>746</v>
      </c>
      <c r="E30" s="27" t="str">
        <f t="shared" si="3"/>
        <v>B04</v>
      </c>
      <c r="F30" s="27" t="str">
        <f t="shared" si="3"/>
        <v>CDF</v>
      </c>
      <c r="G30" s="27" t="str">
        <f t="shared" si="3"/>
        <v>E19</v>
      </c>
      <c r="H30" s="27">
        <f t="shared" si="3"/>
        <v>1008</v>
      </c>
      <c r="I30" s="27">
        <f t="shared" si="3"/>
        <v>1200</v>
      </c>
      <c r="J30" s="65" t="str">
        <f t="shared" ref="J30:J34" si="4">DEC2HEX(HEX2DEC(I30)+((HEX2DEC(K30)-HEX2DEC(I30))/2))</f>
        <v>1B00</v>
      </c>
      <c r="K30" s="65" t="str">
        <f t="shared" ref="K30:K35" si="5">DEC2HEX(HEX2DEC(K22)*D$37)</f>
        <v>2400</v>
      </c>
    </row>
    <row r="31" spans="2:11" x14ac:dyDescent="0.2">
      <c r="B31" s="27" t="s">
        <v>118</v>
      </c>
      <c r="C31" s="27">
        <f t="shared" si="3"/>
        <v>0</v>
      </c>
      <c r="D31" s="27">
        <f t="shared" si="3"/>
        <v>746</v>
      </c>
      <c r="E31" s="27" t="str">
        <f t="shared" si="3"/>
        <v>B04</v>
      </c>
      <c r="F31" s="27" t="str">
        <f t="shared" si="3"/>
        <v>CDF</v>
      </c>
      <c r="G31" s="27" t="str">
        <f t="shared" si="3"/>
        <v>E19</v>
      </c>
      <c r="H31" s="27">
        <f t="shared" si="3"/>
        <v>1008</v>
      </c>
      <c r="I31" s="27">
        <f t="shared" si="3"/>
        <v>1200</v>
      </c>
      <c r="J31" s="65" t="str">
        <f t="shared" si="4"/>
        <v>1B00</v>
      </c>
      <c r="K31" s="65" t="str">
        <f t="shared" si="5"/>
        <v>2400</v>
      </c>
    </row>
    <row r="32" spans="2:11" x14ac:dyDescent="0.2">
      <c r="B32" s="27" t="s">
        <v>119</v>
      </c>
      <c r="C32" s="27">
        <f t="shared" si="3"/>
        <v>0</v>
      </c>
      <c r="D32" s="27">
        <f t="shared" si="3"/>
        <v>746</v>
      </c>
      <c r="E32" s="27" t="str">
        <f t="shared" si="3"/>
        <v>B04</v>
      </c>
      <c r="F32" s="27" t="str">
        <f t="shared" si="3"/>
        <v>CDF</v>
      </c>
      <c r="G32" s="27" t="str">
        <f t="shared" si="3"/>
        <v>E19</v>
      </c>
      <c r="H32" s="27">
        <f t="shared" si="3"/>
        <v>1008</v>
      </c>
      <c r="I32" s="27">
        <f t="shared" si="3"/>
        <v>1200</v>
      </c>
      <c r="J32" s="65" t="str">
        <f t="shared" si="4"/>
        <v>1B00</v>
      </c>
      <c r="K32" s="65" t="str">
        <f t="shared" si="5"/>
        <v>2400</v>
      </c>
    </row>
    <row r="33" spans="2:11" x14ac:dyDescent="0.2">
      <c r="B33" s="27" t="s">
        <v>120</v>
      </c>
      <c r="C33" s="27">
        <f t="shared" si="3"/>
        <v>0</v>
      </c>
      <c r="D33" s="27">
        <f t="shared" si="3"/>
        <v>746</v>
      </c>
      <c r="E33" s="27" t="str">
        <f t="shared" si="3"/>
        <v>B04</v>
      </c>
      <c r="F33" s="27" t="str">
        <f t="shared" si="3"/>
        <v>CDF</v>
      </c>
      <c r="G33" s="27" t="str">
        <f t="shared" si="3"/>
        <v>E19</v>
      </c>
      <c r="H33" s="27">
        <f t="shared" si="3"/>
        <v>1008</v>
      </c>
      <c r="I33" s="27">
        <f t="shared" si="3"/>
        <v>1200</v>
      </c>
      <c r="J33" s="65" t="str">
        <f t="shared" si="4"/>
        <v>1B00</v>
      </c>
      <c r="K33" s="65" t="str">
        <f t="shared" si="5"/>
        <v>2400</v>
      </c>
    </row>
    <row r="34" spans="2:11" x14ac:dyDescent="0.2">
      <c r="B34" s="27" t="s">
        <v>121</v>
      </c>
      <c r="C34" s="27">
        <f t="shared" si="3"/>
        <v>0</v>
      </c>
      <c r="D34" s="27">
        <f t="shared" si="3"/>
        <v>746</v>
      </c>
      <c r="E34" s="27" t="str">
        <f t="shared" si="3"/>
        <v>B04</v>
      </c>
      <c r="F34" s="27" t="str">
        <f t="shared" si="3"/>
        <v>CDF</v>
      </c>
      <c r="G34" s="27" t="str">
        <f t="shared" si="3"/>
        <v>E19</v>
      </c>
      <c r="H34" s="27">
        <f t="shared" si="3"/>
        <v>1008</v>
      </c>
      <c r="I34" s="27">
        <f t="shared" si="3"/>
        <v>1200</v>
      </c>
      <c r="J34" s="65" t="str">
        <f t="shared" si="4"/>
        <v>1B00</v>
      </c>
      <c r="K34" s="65" t="str">
        <f t="shared" si="5"/>
        <v>2400</v>
      </c>
    </row>
    <row r="35" spans="2:11" x14ac:dyDescent="0.2">
      <c r="B35" s="27" t="s">
        <v>122</v>
      </c>
      <c r="C35" s="27">
        <f t="shared" si="3"/>
        <v>0</v>
      </c>
      <c r="D35" s="27" t="str">
        <f t="shared" si="3"/>
        <v>6b3</v>
      </c>
      <c r="E35" s="27" t="str">
        <f t="shared" si="3"/>
        <v>b1a</v>
      </c>
      <c r="F35" s="27" t="str">
        <f t="shared" si="3"/>
        <v>ccd</v>
      </c>
      <c r="G35" s="27" t="str">
        <f t="shared" si="3"/>
        <v>e9a</v>
      </c>
      <c r="H35" s="27" t="str">
        <f t="shared" si="3"/>
        <v>104d</v>
      </c>
      <c r="I35" s="65" t="str">
        <f>DEC2HEX(HEX2DEC(H35)+((HEX2DEC(K35)-HEX2DEC(H35))/3*1))</f>
        <v>16C4</v>
      </c>
      <c r="J35" s="65" t="str">
        <f>DEC2HEX(HEX2DEC(H35)+((HEX2DEC(K35)-HEX2DEC(H35))/3*2))</f>
        <v>1D3C</v>
      </c>
      <c r="K35" s="65" t="str">
        <f t="shared" si="5"/>
        <v>23B4</v>
      </c>
    </row>
    <row r="37" spans="2:11" x14ac:dyDescent="0.2">
      <c r="B37" s="51" t="s">
        <v>60</v>
      </c>
      <c r="C37" s="51"/>
      <c r="D37" s="45">
        <v>2</v>
      </c>
    </row>
    <row r="38" spans="2:11" x14ac:dyDescent="0.2">
      <c r="B38" s="51" t="s">
        <v>12</v>
      </c>
      <c r="C38" s="51"/>
      <c r="D38" s="45" t="s">
        <v>10</v>
      </c>
    </row>
    <row r="39" spans="2:11" x14ac:dyDescent="0.2">
      <c r="B39" s="52" t="s">
        <v>38</v>
      </c>
      <c r="C39" s="52"/>
      <c r="D39" s="46">
        <v>1</v>
      </c>
    </row>
    <row r="40" spans="2:11" ht="17" thickBot="1" x14ac:dyDescent="0.25"/>
    <row r="41" spans="2:11" ht="50" customHeight="1" thickBot="1" x14ac:dyDescent="0.25">
      <c r="B41" s="55" t="str">
        <f>"if self.CS.steer_config_index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self.CS.steer_config_index == 1: ret.lateralParams.torqueBP, ret.lateralParams.torqueV = [[0x0, 0x2a1, 0x692, 0xaee, 0xeb6, 0x10ae, 0x1200, 0x1B00, 0x2400], [0x0, 0xEC, 0x260, 0x424, 0x5F4, 0x7C8, 0xA04, 0xDF8, 0xF00]]</v>
      </c>
      <c r="C41" s="56"/>
      <c r="D41" s="56"/>
      <c r="E41" s="56"/>
      <c r="F41" s="56"/>
      <c r="G41" s="56"/>
      <c r="H41" s="56"/>
      <c r="I41" s="56"/>
      <c r="J41" s="56"/>
      <c r="K41" s="57"/>
    </row>
    <row r="42" spans="2:11" ht="50" customHeight="1" thickBot="1" x14ac:dyDescent="0.25">
      <c r="B42" s="55" t="str">
        <f>"elif self.CS.steer_config_index in [2, 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self.CS.steer_config_index in [2, 3, 4, 5, 6]: ret.lateralParams.torqueBP, ret.lateralParams.torqueV = [[0x0, 0x746, 0xB04, 0xCDF, 0xE19, 0x1008, 0x1200, 0x1B00, 0x2400], [0x0, 0x200, 0x300, 0x478, 0x5EC, 0x800, 0xA00, 0xE00, 0xF00]]</v>
      </c>
      <c r="C42" s="56"/>
      <c r="D42" s="56"/>
      <c r="E42" s="56"/>
      <c r="F42" s="56"/>
      <c r="G42" s="56"/>
      <c r="H42" s="56"/>
      <c r="I42" s="56"/>
      <c r="J42" s="56"/>
      <c r="K42" s="57"/>
    </row>
    <row r="43" spans="2:11" ht="50" customHeight="1" thickBot="1" x14ac:dyDescent="0.25">
      <c r="B43" s="55" t="str">
        <f>"elif self.CS.steer_config_index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self.CS.steer_config_index == 7: ret.lateralParams.torqueBP, ret.lateralParams.torqueV = [[0x0, 0x6b3, 0xb1a, 0xccd, 0xe9a, 0x104d, 0x16C4, 0x1D3C, 0x23B4], [0x0, 0x200, 0x400, 0x600, 0x800, 0xA00, 0xC00, 0xE00, 0xF00]]</v>
      </c>
      <c r="C43" s="56"/>
      <c r="D43" s="56"/>
      <c r="E43" s="56"/>
      <c r="F43" s="56"/>
      <c r="G43" s="56"/>
      <c r="H43" s="56"/>
      <c r="I43" s="56"/>
      <c r="J43" s="56"/>
      <c r="K43" s="57"/>
    </row>
    <row r="44" spans="2:11" ht="17" thickBot="1" x14ac:dyDescent="0.25">
      <c r="B44" s="54"/>
      <c r="C44" s="30"/>
      <c r="D44" s="54"/>
      <c r="E44" s="54"/>
      <c r="F44" s="54"/>
      <c r="G44" s="54"/>
      <c r="H44" s="54"/>
      <c r="I44" s="54"/>
      <c r="J44" s="54"/>
      <c r="K44" s="54"/>
    </row>
    <row r="45" spans="2:11" ht="52" customHeight="1" thickBot="1" x14ac:dyDescent="0.25">
      <c r="B45" s="55" t="str">
        <f>"if self.CS.steer_config_index == 1: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self.CS.steer_config_index == 1: ret.lateralParams.torqueBP, ret.lateralParams.torqueV = [[0x0, 0x2a1, 0x692, 0xaee, 0xeb6, 0x10ae, 0x1200], [0x0, 0xEC, 0x260, 0x424, 0x5F4, 0x7C8, 0xA04]]</v>
      </c>
      <c r="C45" s="56"/>
      <c r="D45" s="56"/>
      <c r="E45" s="56"/>
      <c r="F45" s="56"/>
      <c r="G45" s="56"/>
      <c r="H45" s="56"/>
      <c r="I45" s="56"/>
      <c r="J45" s="56"/>
      <c r="K45" s="57"/>
    </row>
    <row r="46" spans="2:11" ht="52" customHeight="1" x14ac:dyDescent="0.2">
      <c r="B46" s="59" t="str">
        <f>"elif self.CS.steer_config_index in [2, 3, 4, 5, 6]: ret.lateralParams.torqueBP, ret.lateralParams.torqueV = [[0x" &amp; C22 &amp; ", 0x" &amp; D22 &amp; ", 0x" &amp; E22 &amp; ", 0x" &amp;F22 &amp; ", 0x" &amp; G22 &amp; ", 0x" &amp; H22 &amp; ", 0x" &amp; I22 &amp; "], [0x" &amp; C14 &amp; ", 0x" &amp; D14 &amp; ", 0x" &amp; E14 &amp; ", 0x" &amp;F14 &amp; ", 0x" &amp; G14 &amp; ", 0x" &amp; H14 &amp; ", 0x" &amp; I14 &amp; "]]"</f>
        <v>elif self.CS.steer_config_index in [2, 3, 4, 5, 6]: ret.lateralParams.torqueBP, ret.lateralParams.torqueV = [[0x0, 0x746, 0xB04, 0xCDF, 0xE19, 0x1008, 0x1200], [0x0, 0x200, 0x300, 0x478, 0x5EC, 0x800, 0xA00]]</v>
      </c>
      <c r="C46" s="60"/>
      <c r="D46" s="60"/>
      <c r="E46" s="60"/>
      <c r="F46" s="60"/>
      <c r="G46" s="60"/>
      <c r="H46" s="60"/>
      <c r="I46" s="60"/>
      <c r="J46" s="60"/>
      <c r="K46" s="61"/>
    </row>
    <row r="47" spans="2:11" ht="52" customHeight="1" thickBot="1" x14ac:dyDescent="0.25">
      <c r="B47" s="62" t="str">
        <f>"elif self.CS.steer_config_index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self.CS.steer_config_index == 7: ret.lateralParams.torqueBP, ret.lateralParams.torqueV = [[0x0, 0x6b3, 0xb1a, 0xccd, 0xe9a, 0x104d, 0x119a, 0x11da], [0x0, 0x200, 0x400, 0x600, 0x800, 0xA00, 0xC00, 0xE00]]</v>
      </c>
      <c r="C47" s="63"/>
      <c r="D47" s="63"/>
      <c r="E47" s="63"/>
      <c r="F47" s="63"/>
      <c r="G47" s="63"/>
      <c r="H47" s="63"/>
      <c r="I47" s="63"/>
      <c r="J47" s="63"/>
      <c r="K47" s="64"/>
    </row>
    <row r="48" spans="2:11" ht="17" thickBot="1" x14ac:dyDescent="0.25"/>
    <row r="49" spans="2:11" ht="17" thickBot="1" x14ac:dyDescent="0.25">
      <c r="B49" s="48" t="str">
        <f>"'0x000" &amp; C21 &amp; ", 0x0" &amp; D21 &amp; ", 0x0" &amp; E21 &amp; ", 0x0" &amp;F21 &amp; ", 0x0" &amp; G21 &amp; ", 0x" &amp; H21 &amp; ", 0x" &amp; I21 &amp; ", 0x" &amp; J21 &amp; ", 0x" &amp; K21 &amp; "', # " &amp; B21</f>
        <v>'0x0000, 0x02a1, 0x0692, 0x0aee, 0x0eb6, 0x10ae, 0x1200, 0x1200, 0x1200', # original torque_table row 1</v>
      </c>
      <c r="C49" s="49"/>
      <c r="D49" s="49"/>
      <c r="E49" s="49"/>
      <c r="F49" s="49"/>
      <c r="G49" s="49"/>
      <c r="H49" s="49"/>
      <c r="I49" s="49"/>
      <c r="J49" s="49"/>
      <c r="K49" s="50"/>
    </row>
    <row r="50" spans="2:11" ht="17" thickBot="1" x14ac:dyDescent="0.25">
      <c r="B50" s="48" t="str">
        <f t="shared" ref="B50:B55" si="6">"'0x000" &amp; C22 &amp; ", 0x0" &amp; D22 &amp; ", 0x0" &amp; E22 &amp; ", 0x0" &amp;F22 &amp; ", 0x0" &amp; G22 &amp; ", 0x" &amp; H22 &amp; ", 0x" &amp; I22 &amp; ", 0x" &amp; J22 &amp; ", 0x" &amp; K22 &amp; "', # " &amp; B22</f>
        <v>'0x0000, 0x0746, 0x0B04, 0x0CDF, 0x0E19, 0x1008, 0x1200, 0x1200, 0x1200', # original torque_table row 2</v>
      </c>
      <c r="C50" s="49"/>
      <c r="D50" s="49"/>
      <c r="E50" s="49"/>
      <c r="F50" s="49"/>
      <c r="G50" s="49"/>
      <c r="H50" s="49"/>
      <c r="I50" s="49"/>
      <c r="J50" s="49"/>
      <c r="K50" s="50"/>
    </row>
    <row r="51" spans="2:11" ht="17" thickBot="1" x14ac:dyDescent="0.25">
      <c r="B51" s="48" t="str">
        <f t="shared" si="6"/>
        <v>'0x0000, 0x0746, 0x0B04, 0x0CDF, 0x0E19, 0x1008, 0x1200, 0x1200, 0x1200', # original torque_table row 3</v>
      </c>
      <c r="C51" s="49"/>
      <c r="D51" s="49"/>
      <c r="E51" s="49"/>
      <c r="F51" s="49"/>
      <c r="G51" s="49"/>
      <c r="H51" s="49"/>
      <c r="I51" s="49"/>
      <c r="J51" s="49"/>
      <c r="K51" s="50"/>
    </row>
    <row r="52" spans="2:11" ht="17" thickBot="1" x14ac:dyDescent="0.25">
      <c r="B52" s="48" t="str">
        <f t="shared" si="6"/>
        <v>'0x0000, 0x0746, 0x0B04, 0x0CDF, 0x0E19, 0x1008, 0x1200, 0x1200, 0x1200', # original torque_table row 4</v>
      </c>
      <c r="C52" s="49"/>
      <c r="D52" s="49"/>
      <c r="E52" s="49"/>
      <c r="F52" s="49"/>
      <c r="G52" s="49"/>
      <c r="H52" s="49"/>
      <c r="I52" s="49"/>
      <c r="J52" s="49"/>
      <c r="K52" s="50"/>
    </row>
    <row r="53" spans="2:11" ht="17" thickBot="1" x14ac:dyDescent="0.25">
      <c r="B53" s="48" t="str">
        <f t="shared" si="6"/>
        <v>'0x0000, 0x0746, 0x0B04, 0x0CDF, 0x0E19, 0x1008, 0x1200, 0x1200, 0x1200', # original torque_table row 5</v>
      </c>
      <c r="C53" s="49"/>
      <c r="D53" s="49"/>
      <c r="E53" s="49"/>
      <c r="F53" s="49"/>
      <c r="G53" s="49"/>
      <c r="H53" s="49"/>
      <c r="I53" s="49"/>
      <c r="J53" s="49"/>
      <c r="K53" s="50"/>
    </row>
    <row r="54" spans="2:11" ht="17" thickBot="1" x14ac:dyDescent="0.25">
      <c r="B54" s="48" t="str">
        <f t="shared" si="6"/>
        <v>'0x0000, 0x0746, 0x0B04, 0x0CDF, 0x0E19, 0x1008, 0x1200, 0x1200, 0x1200', # original torque_table row 6</v>
      </c>
      <c r="C54" s="49"/>
      <c r="D54" s="49"/>
      <c r="E54" s="49"/>
      <c r="F54" s="49"/>
      <c r="G54" s="49"/>
      <c r="H54" s="49"/>
      <c r="I54" s="49"/>
      <c r="J54" s="49"/>
      <c r="K54" s="50"/>
    </row>
    <row r="55" spans="2:11" ht="17" thickBot="1" x14ac:dyDescent="0.25">
      <c r="B55" s="48" t="str">
        <f t="shared" si="6"/>
        <v>'0x0000, 0x06b3, 0x0b1a, 0x0ccd, 0x0e9a, 0x104d, 0x119a, 0x11da, 0x11da', # original torque_table row 7</v>
      </c>
      <c r="C55" s="49"/>
      <c r="D55" s="49"/>
      <c r="E55" s="49"/>
      <c r="F55" s="49"/>
      <c r="G55" s="49"/>
      <c r="H55" s="49"/>
      <c r="I55" s="49"/>
      <c r="J55" s="49"/>
      <c r="K55" s="50"/>
    </row>
    <row r="56" spans="2:11" ht="17" thickBot="1" x14ac:dyDescent="0.25"/>
    <row r="57" spans="2:11" ht="17" thickBot="1" x14ac:dyDescent="0.25">
      <c r="B57" s="48" t="str">
        <f>"'0x000" &amp; C29 &amp; ", 0x0" &amp; D29 &amp; ", 0x0" &amp; E29 &amp; ", 0x0" &amp;F29 &amp; ", 0x0" &amp; G29 &amp; ", 0x" &amp; H29 &amp; ", 0x" &amp; I29 &amp; ", 0x" &amp; J29 &amp; ", 0x" &amp; K29 &amp; "', # " &amp; B29</f>
        <v>'0x0000, 0x02a1, 0x0692, 0x0aee, 0x0eb6, 0x10ae, 0x1200, 0x1B00, 0x2400', # new torque_table row 1</v>
      </c>
      <c r="C57" s="49"/>
      <c r="D57" s="49"/>
      <c r="E57" s="49"/>
      <c r="F57" s="49"/>
      <c r="G57" s="49"/>
      <c r="H57" s="49"/>
      <c r="I57" s="49"/>
      <c r="J57" s="49"/>
      <c r="K57" s="50"/>
    </row>
    <row r="58" spans="2:11" ht="17" thickBot="1" x14ac:dyDescent="0.25">
      <c r="B58" s="48" t="str">
        <f t="shared" ref="B58:B63" si="7">"'0x000" &amp; C30 &amp; ", 0x0" &amp; D30 &amp; ", 0x0" &amp; E30 &amp; ", 0x0" &amp;F30 &amp; ", 0x0" &amp; G30 &amp; ", 0x" &amp; H30 &amp; ", 0x" &amp; I30 &amp; ", 0x" &amp; J30 &amp; ", 0x" &amp; K30 &amp; "', # " &amp; B30</f>
        <v>'0x0000, 0x0746, 0x0B04, 0x0CDF, 0x0E19, 0x1008, 0x1200, 0x1B00, 0x2400', # new torque_table row 2</v>
      </c>
      <c r="C58" s="49"/>
      <c r="D58" s="49"/>
      <c r="E58" s="49"/>
      <c r="F58" s="49"/>
      <c r="G58" s="49"/>
      <c r="H58" s="49"/>
      <c r="I58" s="49"/>
      <c r="J58" s="49"/>
      <c r="K58" s="50"/>
    </row>
    <row r="59" spans="2:11" ht="17" thickBot="1" x14ac:dyDescent="0.25">
      <c r="B59" s="48" t="str">
        <f t="shared" si="7"/>
        <v>'0x0000, 0x0746, 0x0B04, 0x0CDF, 0x0E19, 0x1008, 0x1200, 0x1B00, 0x2400', # new torque_table row 3</v>
      </c>
      <c r="C59" s="49"/>
      <c r="D59" s="49"/>
      <c r="E59" s="49"/>
      <c r="F59" s="49"/>
      <c r="G59" s="49"/>
      <c r="H59" s="49"/>
      <c r="I59" s="49"/>
      <c r="J59" s="49"/>
      <c r="K59" s="50"/>
    </row>
    <row r="60" spans="2:11" ht="17" thickBot="1" x14ac:dyDescent="0.25">
      <c r="B60" s="48" t="str">
        <f t="shared" si="7"/>
        <v>'0x0000, 0x0746, 0x0B04, 0x0CDF, 0x0E19, 0x1008, 0x1200, 0x1B00, 0x2400', # new torque_table row 4</v>
      </c>
      <c r="C60" s="49"/>
      <c r="D60" s="49"/>
      <c r="E60" s="49"/>
      <c r="F60" s="49"/>
      <c r="G60" s="49"/>
      <c r="H60" s="49"/>
      <c r="I60" s="49"/>
      <c r="J60" s="49"/>
      <c r="K60" s="50"/>
    </row>
    <row r="61" spans="2:11" ht="17" thickBot="1" x14ac:dyDescent="0.25">
      <c r="B61" s="48" t="str">
        <f t="shared" si="7"/>
        <v>'0x0000, 0x0746, 0x0B04, 0x0CDF, 0x0E19, 0x1008, 0x1200, 0x1B00, 0x2400', # new torque_table row 5</v>
      </c>
      <c r="C61" s="49"/>
      <c r="D61" s="49"/>
      <c r="E61" s="49"/>
      <c r="F61" s="49"/>
      <c r="G61" s="49"/>
      <c r="H61" s="49"/>
      <c r="I61" s="49"/>
      <c r="J61" s="49"/>
      <c r="K61" s="50"/>
    </row>
    <row r="62" spans="2:11" ht="17" thickBot="1" x14ac:dyDescent="0.25">
      <c r="B62" s="48" t="str">
        <f t="shared" si="7"/>
        <v>'0x0000, 0x0746, 0x0B04, 0x0CDF, 0x0E19, 0x1008, 0x1200, 0x1B00, 0x2400', # new torque_table row 6</v>
      </c>
      <c r="C62" s="49"/>
      <c r="D62" s="49"/>
      <c r="E62" s="49"/>
      <c r="F62" s="49"/>
      <c r="G62" s="49"/>
      <c r="H62" s="49"/>
      <c r="I62" s="49"/>
      <c r="J62" s="49"/>
      <c r="K62" s="50"/>
    </row>
    <row r="63" spans="2:11" ht="17" thickBot="1" x14ac:dyDescent="0.25">
      <c r="B63" s="48" t="str">
        <f t="shared" si="7"/>
        <v>'0x0000, 0x06b3, 0x0b1a, 0x0ccd, 0x0e9a, 0x104d, 0x16C4, 0x1D3C, 0x23B4', # new torque_table row 7</v>
      </c>
      <c r="C63" s="49"/>
      <c r="D63" s="49"/>
      <c r="E63" s="49"/>
      <c r="F63" s="49"/>
      <c r="G63" s="49"/>
      <c r="H63" s="49"/>
      <c r="I63" s="49"/>
      <c r="J63" s="49"/>
      <c r="K63" s="50"/>
    </row>
  </sheetData>
  <mergeCells count="24">
    <mergeCell ref="B58:K58"/>
    <mergeCell ref="B59:K59"/>
    <mergeCell ref="B60:K60"/>
    <mergeCell ref="B61:K61"/>
    <mergeCell ref="B62:K62"/>
    <mergeCell ref="B63:K63"/>
    <mergeCell ref="B51:K51"/>
    <mergeCell ref="B52:K52"/>
    <mergeCell ref="B53:K53"/>
    <mergeCell ref="B54:K54"/>
    <mergeCell ref="B55:K55"/>
    <mergeCell ref="B57:K57"/>
    <mergeCell ref="B43:K43"/>
    <mergeCell ref="B45:K45"/>
    <mergeCell ref="B46:K46"/>
    <mergeCell ref="B47:K47"/>
    <mergeCell ref="B49:K49"/>
    <mergeCell ref="B50:K50"/>
    <mergeCell ref="B2:K3"/>
    <mergeCell ref="B37:C37"/>
    <mergeCell ref="B38:C38"/>
    <mergeCell ref="B39:C39"/>
    <mergeCell ref="B41:K41"/>
    <mergeCell ref="B42:K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76A5-E6D8-2D4E-A3C2-83ABEFED3974}">
  <dimension ref="B1:K63"/>
  <sheetViews>
    <sheetView zoomScale="95" workbookViewId="0">
      <selection activeCell="B45" sqref="B45:K47"/>
    </sheetView>
  </sheetViews>
  <sheetFormatPr baseColWidth="10" defaultRowHeight="16" x14ac:dyDescent="0.2"/>
  <cols>
    <col min="1" max="1" width="7.33203125" style="27" customWidth="1"/>
    <col min="2" max="2" width="10.1640625" style="27" bestFit="1" customWidth="1"/>
    <col min="3" max="11" width="7" style="27" customWidth="1"/>
    <col min="12" max="16384" width="10.83203125" style="27"/>
  </cols>
  <sheetData>
    <row r="1" spans="2:11" x14ac:dyDescent="0.2">
      <c r="C1" s="44"/>
    </row>
    <row r="2" spans="2:11" ht="16" customHeight="1" x14ac:dyDescent="0.2">
      <c r="B2" s="53" t="s">
        <v>16</v>
      </c>
      <c r="C2" s="53"/>
      <c r="D2" s="53"/>
      <c r="E2" s="53"/>
      <c r="F2" s="53"/>
      <c r="G2" s="53"/>
      <c r="H2" s="53"/>
      <c r="I2" s="53"/>
      <c r="J2" s="53"/>
      <c r="K2" s="53"/>
    </row>
    <row r="3" spans="2:11" ht="17" customHeight="1" x14ac:dyDescent="0.2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2:11" x14ac:dyDescent="0.2">
      <c r="K4" s="27" t="s">
        <v>102</v>
      </c>
    </row>
    <row r="5" spans="2:11" x14ac:dyDescent="0.2">
      <c r="B5" s="27" t="s">
        <v>68</v>
      </c>
      <c r="C5" s="1">
        <v>0</v>
      </c>
      <c r="D5" s="1">
        <v>67</v>
      </c>
      <c r="E5" s="1">
        <v>107</v>
      </c>
      <c r="F5" s="1" t="s">
        <v>5</v>
      </c>
      <c r="G5" s="1">
        <v>294</v>
      </c>
      <c r="H5" s="1" t="s">
        <v>6</v>
      </c>
      <c r="I5" s="1">
        <v>457</v>
      </c>
      <c r="J5" s="1" t="s">
        <v>7</v>
      </c>
      <c r="K5" s="1" t="s">
        <v>77</v>
      </c>
    </row>
    <row r="6" spans="2:11" x14ac:dyDescent="0.2">
      <c r="B6" s="27" t="s">
        <v>80</v>
      </c>
      <c r="C6" s="1">
        <v>0</v>
      </c>
      <c r="D6" s="1" t="s">
        <v>3</v>
      </c>
      <c r="E6" s="1" t="s">
        <v>8</v>
      </c>
      <c r="F6" s="1" t="s">
        <v>9</v>
      </c>
      <c r="G6" s="1">
        <v>290</v>
      </c>
      <c r="H6" s="1">
        <v>377</v>
      </c>
      <c r="I6" s="1">
        <v>454</v>
      </c>
      <c r="J6" s="1">
        <v>610</v>
      </c>
      <c r="K6" s="1" t="s">
        <v>77</v>
      </c>
    </row>
    <row r="7" spans="2:11" x14ac:dyDescent="0.2">
      <c r="B7" s="27" t="s">
        <v>81</v>
      </c>
      <c r="C7" s="1">
        <v>0</v>
      </c>
      <c r="D7" s="1" t="s">
        <v>3</v>
      </c>
      <c r="E7" s="1" t="s">
        <v>8</v>
      </c>
      <c r="F7" s="1" t="s">
        <v>9</v>
      </c>
      <c r="G7" s="1">
        <v>290</v>
      </c>
      <c r="H7" s="1">
        <v>377</v>
      </c>
      <c r="I7" s="1">
        <v>454</v>
      </c>
      <c r="J7" s="1">
        <v>610</v>
      </c>
      <c r="K7" s="1" t="s">
        <v>77</v>
      </c>
    </row>
    <row r="8" spans="2:11" x14ac:dyDescent="0.2">
      <c r="B8" s="27" t="s">
        <v>82</v>
      </c>
      <c r="C8" s="1">
        <v>0</v>
      </c>
      <c r="D8" s="1" t="s">
        <v>3</v>
      </c>
      <c r="E8" s="1" t="s">
        <v>8</v>
      </c>
      <c r="F8" s="1" t="s">
        <v>9</v>
      </c>
      <c r="G8" s="1">
        <v>290</v>
      </c>
      <c r="H8" s="1">
        <v>377</v>
      </c>
      <c r="I8" s="1">
        <v>454</v>
      </c>
      <c r="J8" s="1">
        <v>610</v>
      </c>
      <c r="K8" s="1" t="s">
        <v>77</v>
      </c>
    </row>
    <row r="9" spans="2:11" x14ac:dyDescent="0.2">
      <c r="B9" s="27" t="s">
        <v>83</v>
      </c>
      <c r="C9" s="1">
        <v>0</v>
      </c>
      <c r="D9" s="1" t="s">
        <v>3</v>
      </c>
      <c r="E9" s="1" t="s">
        <v>8</v>
      </c>
      <c r="F9" s="1" t="s">
        <v>9</v>
      </c>
      <c r="G9" s="1">
        <v>290</v>
      </c>
      <c r="H9" s="1">
        <v>377</v>
      </c>
      <c r="I9" s="1">
        <v>454</v>
      </c>
      <c r="J9" s="1">
        <v>610</v>
      </c>
      <c r="K9" s="1" t="s">
        <v>77</v>
      </c>
    </row>
    <row r="10" spans="2:11" x14ac:dyDescent="0.2">
      <c r="B10" s="27" t="s">
        <v>84</v>
      </c>
      <c r="C10" s="1">
        <v>0</v>
      </c>
      <c r="D10" s="1" t="s">
        <v>3</v>
      </c>
      <c r="E10" s="1" t="s">
        <v>8</v>
      </c>
      <c r="F10" s="1" t="s">
        <v>9</v>
      </c>
      <c r="G10" s="1">
        <v>290</v>
      </c>
      <c r="H10" s="1">
        <v>377</v>
      </c>
      <c r="I10" s="1">
        <v>454</v>
      </c>
      <c r="J10" s="1">
        <v>610</v>
      </c>
      <c r="K10" s="1" t="s">
        <v>77</v>
      </c>
    </row>
    <row r="11" spans="2:11" x14ac:dyDescent="0.2">
      <c r="B11" s="27" t="s">
        <v>85</v>
      </c>
      <c r="C11" s="1">
        <v>0</v>
      </c>
      <c r="D11" s="1" t="s">
        <v>3</v>
      </c>
      <c r="E11" s="1" t="s">
        <v>1</v>
      </c>
      <c r="F11" s="1">
        <v>299</v>
      </c>
      <c r="G11" s="1">
        <v>377</v>
      </c>
      <c r="H11" s="1">
        <v>455</v>
      </c>
      <c r="I11" s="1">
        <v>532</v>
      </c>
      <c r="J11" s="1">
        <v>610</v>
      </c>
      <c r="K11" s="1" t="s">
        <v>77</v>
      </c>
    </row>
    <row r="13" spans="2:11" x14ac:dyDescent="0.2">
      <c r="B13" s="27" t="s">
        <v>86</v>
      </c>
      <c r="C13" s="27" t="str">
        <f>DEC2HEX(_xlfn.BITLSHIFT(ROUND(HEX2DEC(C5)/SQRT(3),0),2))</f>
        <v>0</v>
      </c>
      <c r="D13" s="27" t="str">
        <f t="shared" ref="D13:K19" si="0">DEC2HEX(_xlfn.BITLSHIFT(ROUND(HEX2DEC(D5)/SQRT(3),0),2))</f>
        <v>EC</v>
      </c>
      <c r="E13" s="27" t="str">
        <f t="shared" si="0"/>
        <v>260</v>
      </c>
      <c r="F13" s="27" t="str">
        <f t="shared" si="0"/>
        <v>424</v>
      </c>
      <c r="G13" s="27" t="str">
        <f t="shared" si="0"/>
        <v>5F4</v>
      </c>
      <c r="H13" s="27" t="str">
        <f t="shared" si="0"/>
        <v>7C8</v>
      </c>
      <c r="I13" s="27" t="str">
        <f t="shared" si="0"/>
        <v>A04</v>
      </c>
      <c r="J13" s="27" t="str">
        <f t="shared" si="0"/>
        <v>DF8</v>
      </c>
      <c r="K13" s="27" t="str">
        <f t="shared" si="0"/>
        <v>F00</v>
      </c>
    </row>
    <row r="14" spans="2:11" x14ac:dyDescent="0.2">
      <c r="B14" s="27" t="s">
        <v>87</v>
      </c>
      <c r="C14" s="27" t="str">
        <f t="shared" ref="C14:C19" si="1">DEC2HEX(_xlfn.BITLSHIFT(ROUND(HEX2DEC(C6)/SQRT(3),0),2))</f>
        <v>0</v>
      </c>
      <c r="D14" s="27" t="str">
        <f t="shared" si="0"/>
        <v>200</v>
      </c>
      <c r="E14" s="27" t="str">
        <f t="shared" si="0"/>
        <v>300</v>
      </c>
      <c r="F14" s="27" t="str">
        <f t="shared" si="0"/>
        <v>478</v>
      </c>
      <c r="G14" s="27" t="str">
        <f t="shared" si="0"/>
        <v>5EC</v>
      </c>
      <c r="H14" s="27" t="str">
        <f t="shared" si="0"/>
        <v>800</v>
      </c>
      <c r="I14" s="27" t="str">
        <f t="shared" si="0"/>
        <v>A00</v>
      </c>
      <c r="J14" s="27" t="str">
        <f t="shared" si="0"/>
        <v>E00</v>
      </c>
      <c r="K14" s="27" t="str">
        <f t="shared" si="0"/>
        <v>F00</v>
      </c>
    </row>
    <row r="15" spans="2:11" x14ac:dyDescent="0.2">
      <c r="B15" s="27" t="s">
        <v>88</v>
      </c>
      <c r="C15" s="27" t="str">
        <f t="shared" si="1"/>
        <v>0</v>
      </c>
      <c r="D15" s="27" t="str">
        <f t="shared" si="0"/>
        <v>200</v>
      </c>
      <c r="E15" s="27" t="str">
        <f t="shared" si="0"/>
        <v>300</v>
      </c>
      <c r="F15" s="27" t="str">
        <f t="shared" si="0"/>
        <v>478</v>
      </c>
      <c r="G15" s="27" t="str">
        <f t="shared" si="0"/>
        <v>5EC</v>
      </c>
      <c r="H15" s="27" t="str">
        <f t="shared" si="0"/>
        <v>800</v>
      </c>
      <c r="I15" s="27" t="str">
        <f t="shared" si="0"/>
        <v>A00</v>
      </c>
      <c r="J15" s="27" t="str">
        <f t="shared" si="0"/>
        <v>E00</v>
      </c>
      <c r="K15" s="27" t="str">
        <f t="shared" si="0"/>
        <v>F00</v>
      </c>
    </row>
    <row r="16" spans="2:11" x14ac:dyDescent="0.2">
      <c r="B16" s="27" t="s">
        <v>89</v>
      </c>
      <c r="C16" s="27" t="str">
        <f t="shared" si="1"/>
        <v>0</v>
      </c>
      <c r="D16" s="27" t="str">
        <f t="shared" si="0"/>
        <v>200</v>
      </c>
      <c r="E16" s="27" t="str">
        <f t="shared" si="0"/>
        <v>300</v>
      </c>
      <c r="F16" s="27" t="str">
        <f t="shared" si="0"/>
        <v>478</v>
      </c>
      <c r="G16" s="27" t="str">
        <f t="shared" si="0"/>
        <v>5EC</v>
      </c>
      <c r="H16" s="27" t="str">
        <f t="shared" si="0"/>
        <v>800</v>
      </c>
      <c r="I16" s="27" t="str">
        <f t="shared" si="0"/>
        <v>A00</v>
      </c>
      <c r="J16" s="27" t="str">
        <f t="shared" si="0"/>
        <v>E00</v>
      </c>
      <c r="K16" s="27" t="str">
        <f t="shared" si="0"/>
        <v>F00</v>
      </c>
    </row>
    <row r="17" spans="2:11" x14ac:dyDescent="0.2">
      <c r="B17" s="27" t="s">
        <v>90</v>
      </c>
      <c r="C17" s="27" t="str">
        <f t="shared" si="1"/>
        <v>0</v>
      </c>
      <c r="D17" s="27" t="str">
        <f t="shared" si="0"/>
        <v>200</v>
      </c>
      <c r="E17" s="27" t="str">
        <f t="shared" si="0"/>
        <v>300</v>
      </c>
      <c r="F17" s="27" t="str">
        <f t="shared" si="0"/>
        <v>478</v>
      </c>
      <c r="G17" s="27" t="str">
        <f t="shared" si="0"/>
        <v>5EC</v>
      </c>
      <c r="H17" s="27" t="str">
        <f t="shared" si="0"/>
        <v>800</v>
      </c>
      <c r="I17" s="27" t="str">
        <f t="shared" si="0"/>
        <v>A00</v>
      </c>
      <c r="J17" s="27" t="str">
        <f t="shared" si="0"/>
        <v>E00</v>
      </c>
      <c r="K17" s="27" t="str">
        <f t="shared" si="0"/>
        <v>F00</v>
      </c>
    </row>
    <row r="18" spans="2:11" x14ac:dyDescent="0.2">
      <c r="B18" s="27" t="s">
        <v>91</v>
      </c>
      <c r="C18" s="27" t="str">
        <f t="shared" si="1"/>
        <v>0</v>
      </c>
      <c r="D18" s="27" t="str">
        <f t="shared" si="0"/>
        <v>200</v>
      </c>
      <c r="E18" s="27" t="str">
        <f t="shared" si="0"/>
        <v>300</v>
      </c>
      <c r="F18" s="27" t="str">
        <f t="shared" si="0"/>
        <v>478</v>
      </c>
      <c r="G18" s="27" t="str">
        <f t="shared" si="0"/>
        <v>5EC</v>
      </c>
      <c r="H18" s="27" t="str">
        <f t="shared" si="0"/>
        <v>800</v>
      </c>
      <c r="I18" s="27" t="str">
        <f t="shared" si="0"/>
        <v>A00</v>
      </c>
      <c r="J18" s="27" t="str">
        <f t="shared" si="0"/>
        <v>E00</v>
      </c>
      <c r="K18" s="27" t="str">
        <f t="shared" si="0"/>
        <v>F00</v>
      </c>
    </row>
    <row r="19" spans="2:11" x14ac:dyDescent="0.2">
      <c r="B19" s="27" t="s">
        <v>92</v>
      </c>
      <c r="C19" s="27" t="str">
        <f t="shared" si="1"/>
        <v>0</v>
      </c>
      <c r="D19" s="27" t="str">
        <f t="shared" si="0"/>
        <v>200</v>
      </c>
      <c r="E19" s="27" t="str">
        <f t="shared" si="0"/>
        <v>400</v>
      </c>
      <c r="F19" s="27" t="str">
        <f t="shared" si="0"/>
        <v>600</v>
      </c>
      <c r="G19" s="27" t="str">
        <f t="shared" si="0"/>
        <v>800</v>
      </c>
      <c r="H19" s="27" t="str">
        <f t="shared" si="0"/>
        <v>A00</v>
      </c>
      <c r="I19" s="27" t="str">
        <f t="shared" si="0"/>
        <v>C00</v>
      </c>
      <c r="J19" s="27" t="str">
        <f t="shared" si="0"/>
        <v>E00</v>
      </c>
      <c r="K19" s="27" t="str">
        <f t="shared" si="0"/>
        <v>F00</v>
      </c>
    </row>
    <row r="21" spans="2:11" x14ac:dyDescent="0.2">
      <c r="B21" s="27" t="s">
        <v>109</v>
      </c>
      <c r="C21" s="46">
        <v>0</v>
      </c>
      <c r="D21" s="46">
        <v>380</v>
      </c>
      <c r="E21" s="46">
        <v>800</v>
      </c>
      <c r="F21" s="46" t="s">
        <v>69</v>
      </c>
      <c r="G21" s="46" t="s">
        <v>70</v>
      </c>
      <c r="H21" s="46" t="s">
        <v>71</v>
      </c>
      <c r="I21" s="46">
        <v>1200</v>
      </c>
      <c r="J21" s="46">
        <v>1200</v>
      </c>
      <c r="K21" s="46">
        <v>1200</v>
      </c>
    </row>
    <row r="22" spans="2:11" x14ac:dyDescent="0.2">
      <c r="B22" s="27" t="s">
        <v>110</v>
      </c>
      <c r="C22" s="46">
        <v>0</v>
      </c>
      <c r="D22" s="46">
        <v>746</v>
      </c>
      <c r="E22" s="46" t="s">
        <v>45</v>
      </c>
      <c r="F22" s="46" t="s">
        <v>46</v>
      </c>
      <c r="G22" s="46" t="s">
        <v>47</v>
      </c>
      <c r="H22" s="46">
        <v>1008</v>
      </c>
      <c r="I22" s="46">
        <v>1200</v>
      </c>
      <c r="J22" s="46">
        <v>1200</v>
      </c>
      <c r="K22" s="46">
        <v>1200</v>
      </c>
    </row>
    <row r="23" spans="2:11" x14ac:dyDescent="0.2">
      <c r="B23" s="27" t="s">
        <v>111</v>
      </c>
      <c r="C23" s="46">
        <v>0</v>
      </c>
      <c r="D23" s="46">
        <v>746</v>
      </c>
      <c r="E23" s="46" t="s">
        <v>45</v>
      </c>
      <c r="F23" s="46" t="s">
        <v>46</v>
      </c>
      <c r="G23" s="46" t="s">
        <v>47</v>
      </c>
      <c r="H23" s="46">
        <v>1008</v>
      </c>
      <c r="I23" s="46">
        <v>1200</v>
      </c>
      <c r="J23" s="46">
        <v>1200</v>
      </c>
      <c r="K23" s="46">
        <v>1200</v>
      </c>
    </row>
    <row r="24" spans="2:11" x14ac:dyDescent="0.2">
      <c r="B24" s="27" t="s">
        <v>112</v>
      </c>
      <c r="C24" s="46">
        <v>0</v>
      </c>
      <c r="D24" s="46">
        <v>746</v>
      </c>
      <c r="E24" s="46" t="s">
        <v>45</v>
      </c>
      <c r="F24" s="46" t="s">
        <v>46</v>
      </c>
      <c r="G24" s="46" t="s">
        <v>47</v>
      </c>
      <c r="H24" s="46">
        <v>1008</v>
      </c>
      <c r="I24" s="46">
        <v>1200</v>
      </c>
      <c r="J24" s="46">
        <v>1200</v>
      </c>
      <c r="K24" s="46">
        <v>1200</v>
      </c>
    </row>
    <row r="25" spans="2:11" x14ac:dyDescent="0.2">
      <c r="B25" s="27" t="s">
        <v>113</v>
      </c>
      <c r="C25" s="46">
        <v>0</v>
      </c>
      <c r="D25" s="46">
        <v>746</v>
      </c>
      <c r="E25" s="46" t="s">
        <v>45</v>
      </c>
      <c r="F25" s="46" t="s">
        <v>46</v>
      </c>
      <c r="G25" s="46" t="s">
        <v>47</v>
      </c>
      <c r="H25" s="46">
        <v>1008</v>
      </c>
      <c r="I25" s="46">
        <v>1200</v>
      </c>
      <c r="J25" s="46">
        <v>1200</v>
      </c>
      <c r="K25" s="46">
        <v>1200</v>
      </c>
    </row>
    <row r="26" spans="2:11" x14ac:dyDescent="0.2">
      <c r="B26" s="27" t="s">
        <v>114</v>
      </c>
      <c r="C26" s="46">
        <v>0</v>
      </c>
      <c r="D26" s="46">
        <v>746</v>
      </c>
      <c r="E26" s="46" t="s">
        <v>45</v>
      </c>
      <c r="F26" s="46" t="s">
        <v>46</v>
      </c>
      <c r="G26" s="46" t="s">
        <v>47</v>
      </c>
      <c r="H26" s="46">
        <v>1008</v>
      </c>
      <c r="I26" s="46">
        <v>1200</v>
      </c>
      <c r="J26" s="46">
        <v>1200</v>
      </c>
      <c r="K26" s="46">
        <v>1200</v>
      </c>
    </row>
    <row r="27" spans="2:11" x14ac:dyDescent="0.2">
      <c r="B27" s="27" t="s">
        <v>115</v>
      </c>
      <c r="C27" s="45">
        <v>0</v>
      </c>
      <c r="D27" s="47" t="s">
        <v>97</v>
      </c>
      <c r="E27" s="45" t="s">
        <v>103</v>
      </c>
      <c r="F27" s="45" t="s">
        <v>104</v>
      </c>
      <c r="G27" s="45" t="s">
        <v>105</v>
      </c>
      <c r="H27" s="45" t="s">
        <v>106</v>
      </c>
      <c r="I27" s="45" t="s">
        <v>107</v>
      </c>
      <c r="J27" s="45" t="s">
        <v>108</v>
      </c>
      <c r="K27" s="45" t="s">
        <v>108</v>
      </c>
    </row>
    <row r="29" spans="2:11" x14ac:dyDescent="0.2">
      <c r="B29" s="27" t="s">
        <v>116</v>
      </c>
      <c r="C29" s="27">
        <f>C21</f>
        <v>0</v>
      </c>
      <c r="D29" s="27">
        <f t="shared" ref="D29:I29" si="2">D21</f>
        <v>380</v>
      </c>
      <c r="E29" s="27">
        <f t="shared" si="2"/>
        <v>800</v>
      </c>
      <c r="F29" s="27" t="str">
        <f t="shared" si="2"/>
        <v>c00</v>
      </c>
      <c r="G29" s="27" t="str">
        <f t="shared" si="2"/>
        <v>eb6</v>
      </c>
      <c r="H29" s="27" t="str">
        <f t="shared" si="2"/>
        <v>10ae</v>
      </c>
      <c r="I29" s="27">
        <f t="shared" si="2"/>
        <v>1200</v>
      </c>
      <c r="J29" s="65" t="str">
        <f>DEC2HEX(HEX2DEC(I29)+((HEX2DEC(K29)-HEX2DEC(I29))/2))</f>
        <v>1B00</v>
      </c>
      <c r="K29" s="65" t="str">
        <f>DEC2HEX(HEX2DEC(K21)*D$37)</f>
        <v>2400</v>
      </c>
    </row>
    <row r="30" spans="2:11" x14ac:dyDescent="0.2">
      <c r="B30" s="27" t="s">
        <v>117</v>
      </c>
      <c r="C30" s="27">
        <f t="shared" ref="C30:I35" si="3">C22</f>
        <v>0</v>
      </c>
      <c r="D30" s="27">
        <f t="shared" si="3"/>
        <v>746</v>
      </c>
      <c r="E30" s="27" t="str">
        <f t="shared" si="3"/>
        <v>B04</v>
      </c>
      <c r="F30" s="27" t="str">
        <f t="shared" si="3"/>
        <v>CDF</v>
      </c>
      <c r="G30" s="27" t="str">
        <f t="shared" si="3"/>
        <v>E19</v>
      </c>
      <c r="H30" s="27">
        <f t="shared" si="3"/>
        <v>1008</v>
      </c>
      <c r="I30" s="27">
        <f t="shared" si="3"/>
        <v>1200</v>
      </c>
      <c r="J30" s="65" t="str">
        <f t="shared" ref="J30:J35" si="4">DEC2HEX(HEX2DEC(I30)+((HEX2DEC(K30)-HEX2DEC(I30))/2))</f>
        <v>1B00</v>
      </c>
      <c r="K30" s="65" t="str">
        <f t="shared" ref="K30:K35" si="5">DEC2HEX(HEX2DEC(K22)*D$37)</f>
        <v>2400</v>
      </c>
    </row>
    <row r="31" spans="2:11" x14ac:dyDescent="0.2">
      <c r="B31" s="27" t="s">
        <v>118</v>
      </c>
      <c r="C31" s="27">
        <f t="shared" si="3"/>
        <v>0</v>
      </c>
      <c r="D31" s="27">
        <f t="shared" si="3"/>
        <v>746</v>
      </c>
      <c r="E31" s="27" t="str">
        <f t="shared" si="3"/>
        <v>B04</v>
      </c>
      <c r="F31" s="27" t="str">
        <f t="shared" si="3"/>
        <v>CDF</v>
      </c>
      <c r="G31" s="27" t="str">
        <f t="shared" si="3"/>
        <v>E19</v>
      </c>
      <c r="H31" s="27">
        <f t="shared" si="3"/>
        <v>1008</v>
      </c>
      <c r="I31" s="27">
        <f t="shared" si="3"/>
        <v>1200</v>
      </c>
      <c r="J31" s="65" t="str">
        <f t="shared" si="4"/>
        <v>1B00</v>
      </c>
      <c r="K31" s="65" t="str">
        <f t="shared" si="5"/>
        <v>2400</v>
      </c>
    </row>
    <row r="32" spans="2:11" x14ac:dyDescent="0.2">
      <c r="B32" s="27" t="s">
        <v>119</v>
      </c>
      <c r="C32" s="27">
        <f t="shared" si="3"/>
        <v>0</v>
      </c>
      <c r="D32" s="27">
        <f t="shared" si="3"/>
        <v>746</v>
      </c>
      <c r="E32" s="27" t="str">
        <f t="shared" si="3"/>
        <v>B04</v>
      </c>
      <c r="F32" s="27" t="str">
        <f t="shared" si="3"/>
        <v>CDF</v>
      </c>
      <c r="G32" s="27" t="str">
        <f t="shared" si="3"/>
        <v>E19</v>
      </c>
      <c r="H32" s="27">
        <f t="shared" si="3"/>
        <v>1008</v>
      </c>
      <c r="I32" s="27">
        <f t="shared" si="3"/>
        <v>1200</v>
      </c>
      <c r="J32" s="65" t="str">
        <f t="shared" si="4"/>
        <v>1B00</v>
      </c>
      <c r="K32" s="65" t="str">
        <f t="shared" si="5"/>
        <v>2400</v>
      </c>
    </row>
    <row r="33" spans="2:11" x14ac:dyDescent="0.2">
      <c r="B33" s="27" t="s">
        <v>120</v>
      </c>
      <c r="C33" s="27">
        <f t="shared" si="3"/>
        <v>0</v>
      </c>
      <c r="D33" s="27">
        <f t="shared" si="3"/>
        <v>746</v>
      </c>
      <c r="E33" s="27" t="str">
        <f t="shared" si="3"/>
        <v>B04</v>
      </c>
      <c r="F33" s="27" t="str">
        <f t="shared" si="3"/>
        <v>CDF</v>
      </c>
      <c r="G33" s="27" t="str">
        <f t="shared" si="3"/>
        <v>E19</v>
      </c>
      <c r="H33" s="27">
        <f t="shared" si="3"/>
        <v>1008</v>
      </c>
      <c r="I33" s="27">
        <f t="shared" si="3"/>
        <v>1200</v>
      </c>
      <c r="J33" s="65" t="str">
        <f t="shared" si="4"/>
        <v>1B00</v>
      </c>
      <c r="K33" s="65" t="str">
        <f t="shared" si="5"/>
        <v>2400</v>
      </c>
    </row>
    <row r="34" spans="2:11" x14ac:dyDescent="0.2">
      <c r="B34" s="27" t="s">
        <v>121</v>
      </c>
      <c r="C34" s="27">
        <f t="shared" si="3"/>
        <v>0</v>
      </c>
      <c r="D34" s="27">
        <f t="shared" si="3"/>
        <v>746</v>
      </c>
      <c r="E34" s="27" t="str">
        <f t="shared" si="3"/>
        <v>B04</v>
      </c>
      <c r="F34" s="27" t="str">
        <f t="shared" si="3"/>
        <v>CDF</v>
      </c>
      <c r="G34" s="27" t="str">
        <f t="shared" si="3"/>
        <v>E19</v>
      </c>
      <c r="H34" s="27">
        <f t="shared" si="3"/>
        <v>1008</v>
      </c>
      <c r="I34" s="27">
        <f t="shared" si="3"/>
        <v>1200</v>
      </c>
      <c r="J34" s="65" t="str">
        <f t="shared" si="4"/>
        <v>1B00</v>
      </c>
      <c r="K34" s="65" t="str">
        <f t="shared" si="5"/>
        <v>2400</v>
      </c>
    </row>
    <row r="35" spans="2:11" x14ac:dyDescent="0.2">
      <c r="B35" s="27" t="s">
        <v>122</v>
      </c>
      <c r="C35" s="27">
        <f t="shared" si="3"/>
        <v>0</v>
      </c>
      <c r="D35" s="27" t="str">
        <f t="shared" si="3"/>
        <v>6b3</v>
      </c>
      <c r="E35" s="27" t="str">
        <f t="shared" si="3"/>
        <v>b1a</v>
      </c>
      <c r="F35" s="27" t="str">
        <f t="shared" si="3"/>
        <v>ccd</v>
      </c>
      <c r="G35" s="27" t="str">
        <f t="shared" si="3"/>
        <v>e9a</v>
      </c>
      <c r="H35" s="27" t="str">
        <f t="shared" si="3"/>
        <v>104d</v>
      </c>
      <c r="I35" s="65" t="str">
        <f>DEC2HEX(HEX2DEC(H35)+((HEX2DEC(K35)-HEX2DEC(H35))/3*1))</f>
        <v>16C4</v>
      </c>
      <c r="J35" s="65" t="str">
        <f>DEC2HEX(HEX2DEC(H35)+((HEX2DEC(K35)-HEX2DEC(H35))/3*2))</f>
        <v>1D3C</v>
      </c>
      <c r="K35" s="65" t="str">
        <f t="shared" si="5"/>
        <v>23B4</v>
      </c>
    </row>
    <row r="37" spans="2:11" x14ac:dyDescent="0.2">
      <c r="B37" s="51" t="s">
        <v>60</v>
      </c>
      <c r="C37" s="51"/>
      <c r="D37" s="45">
        <v>2</v>
      </c>
    </row>
    <row r="38" spans="2:11" x14ac:dyDescent="0.2">
      <c r="B38" s="51" t="s">
        <v>12</v>
      </c>
      <c r="C38" s="51"/>
      <c r="D38" s="45" t="s">
        <v>10</v>
      </c>
    </row>
    <row r="39" spans="2:11" x14ac:dyDescent="0.2">
      <c r="B39" s="52" t="s">
        <v>38</v>
      </c>
      <c r="C39" s="52"/>
      <c r="D39" s="46">
        <v>1</v>
      </c>
    </row>
    <row r="40" spans="2:11" ht="17" thickBot="1" x14ac:dyDescent="0.25"/>
    <row r="41" spans="2:11" ht="50" customHeight="1" thickBot="1" x14ac:dyDescent="0.25">
      <c r="B41" s="55" t="str">
        <f>"if self.CS.steer_config_index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self.CS.steer_config_index == 1: ret.lateralParams.torqueBP, ret.lateralParams.torqueV = [[0x0, 0x380, 0x800, 0xc00, 0xeb6, 0x10ae, 0x1200, 0x1B00, 0x2400], [0x0, 0xEC, 0x260, 0x424, 0x5F4, 0x7C8, 0xA04, 0xDF8, 0xF00]]</v>
      </c>
      <c r="C41" s="56"/>
      <c r="D41" s="56"/>
      <c r="E41" s="56"/>
      <c r="F41" s="56"/>
      <c r="G41" s="56"/>
      <c r="H41" s="56"/>
      <c r="I41" s="56"/>
      <c r="J41" s="56"/>
      <c r="K41" s="57"/>
    </row>
    <row r="42" spans="2:11" ht="50" customHeight="1" thickBot="1" x14ac:dyDescent="0.25">
      <c r="B42" s="55" t="str">
        <f>"elif self.CS.steer_config_index in [2, 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self.CS.steer_config_index in [2, 3, 4, 5, 6]: ret.lateralParams.torqueBP, ret.lateralParams.torqueV = [[0x0, 0x746, 0xB04, 0xCDF, 0xE19, 0x1008, 0x1200, 0x1B00, 0x2400], [0x0, 0x200, 0x300, 0x478, 0x5EC, 0x800, 0xA00, 0xE00, 0xF00]]</v>
      </c>
      <c r="C42" s="56"/>
      <c r="D42" s="56"/>
      <c r="E42" s="56"/>
      <c r="F42" s="56"/>
      <c r="G42" s="56"/>
      <c r="H42" s="56"/>
      <c r="I42" s="56"/>
      <c r="J42" s="56"/>
      <c r="K42" s="57"/>
    </row>
    <row r="43" spans="2:11" ht="50" customHeight="1" thickBot="1" x14ac:dyDescent="0.25">
      <c r="B43" s="55" t="str">
        <f>"elif self.CS.steer_config_index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self.CS.steer_config_index == 7: ret.lateralParams.torqueBP, ret.lateralParams.torqueV = [[0x0, 0x6b3, 0xb1a, 0xccd, 0xe9a, 0x104d, 0x16C4, 0x1D3C, 0x23B4], [0x0, 0x200, 0x400, 0x600, 0x800, 0xA00, 0xC00, 0xE00, 0xF00]]</v>
      </c>
      <c r="C43" s="56"/>
      <c r="D43" s="56"/>
      <c r="E43" s="56"/>
      <c r="F43" s="56"/>
      <c r="G43" s="56"/>
      <c r="H43" s="56"/>
      <c r="I43" s="56"/>
      <c r="J43" s="56"/>
      <c r="K43" s="57"/>
    </row>
    <row r="44" spans="2:11" ht="17" thickBot="1" x14ac:dyDescent="0.25">
      <c r="B44" s="54"/>
      <c r="C44" s="30"/>
      <c r="D44" s="54"/>
      <c r="E44" s="54"/>
      <c r="F44" s="54"/>
      <c r="G44" s="54"/>
      <c r="H44" s="54"/>
      <c r="I44" s="54"/>
      <c r="J44" s="54"/>
      <c r="K44" s="54"/>
    </row>
    <row r="45" spans="2:11" ht="52" customHeight="1" thickBot="1" x14ac:dyDescent="0.25">
      <c r="B45" s="55" t="str">
        <f>"if self.CS.steer_config_index == 1: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self.CS.steer_config_index == 1: ret.lateralParams.torqueBP, ret.lateralParams.torqueV = [[0x0, 0x380, 0x800, 0xc00, 0xeb6, 0x10ae, 0x1200], [0x0, 0xEC, 0x260, 0x424, 0x5F4, 0x7C8, 0xA04]]</v>
      </c>
      <c r="C45" s="56"/>
      <c r="D45" s="56"/>
      <c r="E45" s="56"/>
      <c r="F45" s="56"/>
      <c r="G45" s="56"/>
      <c r="H45" s="56"/>
      <c r="I45" s="56"/>
      <c r="J45" s="56"/>
      <c r="K45" s="57"/>
    </row>
    <row r="46" spans="2:11" ht="52" customHeight="1" x14ac:dyDescent="0.2">
      <c r="B46" s="59" t="str">
        <f>"elif self.CS.steer_config_index in [2, 3, 4, 5, 6]: ret.lateralParams.torqueBP, ret.lateralParams.torqueV = [[0x" &amp; C22 &amp; ", 0x" &amp; D22 &amp; ", 0x" &amp; E22 &amp; ", 0x" &amp;F22 &amp; ", 0x" &amp; G22 &amp; ", 0x" &amp; H22 &amp; ", 0x" &amp; I22 &amp; "], [0x" &amp; C14 &amp; ", 0x" &amp; D14 &amp; ", 0x" &amp; E14 &amp; ", 0x" &amp;F14 &amp; ", 0x" &amp; G14 &amp; ", 0x" &amp; H14 &amp; ", 0x" &amp; I14 &amp; "]]"</f>
        <v>elif self.CS.steer_config_index in [2, 3, 4, 5, 6]: ret.lateralParams.torqueBP, ret.lateralParams.torqueV = [[0x0, 0x746, 0xB04, 0xCDF, 0xE19, 0x1008, 0x1200], [0x0, 0x200, 0x300, 0x478, 0x5EC, 0x800, 0xA00]]</v>
      </c>
      <c r="C46" s="60"/>
      <c r="D46" s="60"/>
      <c r="E46" s="60"/>
      <c r="F46" s="60"/>
      <c r="G46" s="60"/>
      <c r="H46" s="60"/>
      <c r="I46" s="60"/>
      <c r="J46" s="60"/>
      <c r="K46" s="61"/>
    </row>
    <row r="47" spans="2:11" ht="52" customHeight="1" thickBot="1" x14ac:dyDescent="0.25">
      <c r="B47" s="62" t="str">
        <f>"elif self.CS.steer_config_index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self.CS.steer_config_index == 7: ret.lateralParams.torqueBP, ret.lateralParams.torqueV = [[0x0, 0x6b3, 0xb1a, 0xccd, 0xe9a, 0x104d, 0x119a, 0x11da], [0x0, 0x200, 0x400, 0x600, 0x800, 0xA00, 0xC00, 0xE00]]</v>
      </c>
      <c r="C47" s="63"/>
      <c r="D47" s="63"/>
      <c r="E47" s="63"/>
      <c r="F47" s="63"/>
      <c r="G47" s="63"/>
      <c r="H47" s="63"/>
      <c r="I47" s="63"/>
      <c r="J47" s="63"/>
      <c r="K47" s="64"/>
    </row>
    <row r="48" spans="2:11" ht="17" thickBot="1" x14ac:dyDescent="0.25"/>
    <row r="49" spans="2:11" ht="17" thickBot="1" x14ac:dyDescent="0.25">
      <c r="B49" s="48" t="str">
        <f>"'0x000" &amp; C21 &amp; ", 0x0" &amp; D21 &amp; ", 0x0" &amp; E21 &amp; ", 0x0" &amp;F21 &amp; ", 0x0" &amp; G21 &amp; ", 0x" &amp; H21 &amp; ", 0x" &amp; I21 &amp; ", 0x" &amp; J21 &amp; ", 0x" &amp; K21 &amp; "', # " &amp; B21</f>
        <v>'0x0000, 0x0380, 0x0800, 0x0c00, 0x0eb6, 0x10ae, 0x1200, 0x1200, 0x1200', # original torque_table row 1</v>
      </c>
      <c r="C49" s="49"/>
      <c r="D49" s="49"/>
      <c r="E49" s="49"/>
      <c r="F49" s="49"/>
      <c r="G49" s="49"/>
      <c r="H49" s="49"/>
      <c r="I49" s="49"/>
      <c r="J49" s="49"/>
      <c r="K49" s="50"/>
    </row>
    <row r="50" spans="2:11" ht="17" thickBot="1" x14ac:dyDescent="0.25">
      <c r="B50" s="48" t="str">
        <f t="shared" ref="B50:B55" si="6">"'0x000" &amp; C22 &amp; ", 0x0" &amp; D22 &amp; ", 0x0" &amp; E22 &amp; ", 0x0" &amp;F22 &amp; ", 0x0" &amp; G22 &amp; ", 0x" &amp; H22 &amp; ", 0x" &amp; I22 &amp; ", 0x" &amp; J22 &amp; ", 0x" &amp; K22 &amp; "', # " &amp; B22</f>
        <v>'0x0000, 0x0746, 0x0B04, 0x0CDF, 0x0E19, 0x1008, 0x1200, 0x1200, 0x1200', # original torque_table row 2</v>
      </c>
      <c r="C50" s="49"/>
      <c r="D50" s="49"/>
      <c r="E50" s="49"/>
      <c r="F50" s="49"/>
      <c r="G50" s="49"/>
      <c r="H50" s="49"/>
      <c r="I50" s="49"/>
      <c r="J50" s="49"/>
      <c r="K50" s="50"/>
    </row>
    <row r="51" spans="2:11" ht="17" thickBot="1" x14ac:dyDescent="0.25">
      <c r="B51" s="48" t="str">
        <f t="shared" si="6"/>
        <v>'0x0000, 0x0746, 0x0B04, 0x0CDF, 0x0E19, 0x1008, 0x1200, 0x1200, 0x1200', # original torque_table row 3</v>
      </c>
      <c r="C51" s="49"/>
      <c r="D51" s="49"/>
      <c r="E51" s="49"/>
      <c r="F51" s="49"/>
      <c r="G51" s="49"/>
      <c r="H51" s="49"/>
      <c r="I51" s="49"/>
      <c r="J51" s="49"/>
      <c r="K51" s="50"/>
    </row>
    <row r="52" spans="2:11" ht="17" thickBot="1" x14ac:dyDescent="0.25">
      <c r="B52" s="48" t="str">
        <f t="shared" si="6"/>
        <v>'0x0000, 0x0746, 0x0B04, 0x0CDF, 0x0E19, 0x1008, 0x1200, 0x1200, 0x1200', # original torque_table row 4</v>
      </c>
      <c r="C52" s="49"/>
      <c r="D52" s="49"/>
      <c r="E52" s="49"/>
      <c r="F52" s="49"/>
      <c r="G52" s="49"/>
      <c r="H52" s="49"/>
      <c r="I52" s="49"/>
      <c r="J52" s="49"/>
      <c r="K52" s="50"/>
    </row>
    <row r="53" spans="2:11" ht="17" thickBot="1" x14ac:dyDescent="0.25">
      <c r="B53" s="48" t="str">
        <f t="shared" si="6"/>
        <v>'0x0000, 0x0746, 0x0B04, 0x0CDF, 0x0E19, 0x1008, 0x1200, 0x1200, 0x1200', # original torque_table row 5</v>
      </c>
      <c r="C53" s="49"/>
      <c r="D53" s="49"/>
      <c r="E53" s="49"/>
      <c r="F53" s="49"/>
      <c r="G53" s="49"/>
      <c r="H53" s="49"/>
      <c r="I53" s="49"/>
      <c r="J53" s="49"/>
      <c r="K53" s="50"/>
    </row>
    <row r="54" spans="2:11" ht="17" thickBot="1" x14ac:dyDescent="0.25">
      <c r="B54" s="48" t="str">
        <f t="shared" si="6"/>
        <v>'0x0000, 0x0746, 0x0B04, 0x0CDF, 0x0E19, 0x1008, 0x1200, 0x1200, 0x1200', # original torque_table row 6</v>
      </c>
      <c r="C54" s="49"/>
      <c r="D54" s="49"/>
      <c r="E54" s="49"/>
      <c r="F54" s="49"/>
      <c r="G54" s="49"/>
      <c r="H54" s="49"/>
      <c r="I54" s="49"/>
      <c r="J54" s="49"/>
      <c r="K54" s="50"/>
    </row>
    <row r="55" spans="2:11" ht="17" thickBot="1" x14ac:dyDescent="0.25">
      <c r="B55" s="48" t="str">
        <f t="shared" si="6"/>
        <v>'0x0000, 0x06b3, 0x0b1a, 0x0ccd, 0x0e9a, 0x104d, 0x119a, 0x11da, 0x11da', # original torque_table row 7</v>
      </c>
      <c r="C55" s="49"/>
      <c r="D55" s="49"/>
      <c r="E55" s="49"/>
      <c r="F55" s="49"/>
      <c r="G55" s="49"/>
      <c r="H55" s="49"/>
      <c r="I55" s="49"/>
      <c r="J55" s="49"/>
      <c r="K55" s="50"/>
    </row>
    <row r="56" spans="2:11" ht="17" thickBot="1" x14ac:dyDescent="0.25"/>
    <row r="57" spans="2:11" ht="17" thickBot="1" x14ac:dyDescent="0.25">
      <c r="B57" s="48" t="str">
        <f>"'0x000" &amp; C29 &amp; ", 0x0" &amp; D29 &amp; ", 0x0" &amp; E29 &amp; ", 0x0" &amp;F29 &amp; ", 0x0" &amp; G29 &amp; ", 0x" &amp; H29 &amp; ", 0x" &amp; I29 &amp; ", 0x" &amp; J29 &amp; ", 0x" &amp; K29 &amp; "', # " &amp; B29</f>
        <v>'0x0000, 0x0380, 0x0800, 0x0c00, 0x0eb6, 0x10ae, 0x1200, 0x1B00, 0x2400', # new torque_table row 1</v>
      </c>
      <c r="C57" s="49"/>
      <c r="D57" s="49"/>
      <c r="E57" s="49"/>
      <c r="F57" s="49"/>
      <c r="G57" s="49"/>
      <c r="H57" s="49"/>
      <c r="I57" s="49"/>
      <c r="J57" s="49"/>
      <c r="K57" s="50"/>
    </row>
    <row r="58" spans="2:11" ht="17" thickBot="1" x14ac:dyDescent="0.25">
      <c r="B58" s="48" t="str">
        <f t="shared" ref="B58:B63" si="7">"'0x000" &amp; C30 &amp; ", 0x0" &amp; D30 &amp; ", 0x0" &amp; E30 &amp; ", 0x0" &amp;F30 &amp; ", 0x0" &amp; G30 &amp; ", 0x" &amp; H30 &amp; ", 0x" &amp; I30 &amp; ", 0x" &amp; J30 &amp; ", 0x" &amp; K30 &amp; "', # " &amp; B30</f>
        <v>'0x0000, 0x0746, 0x0B04, 0x0CDF, 0x0E19, 0x1008, 0x1200, 0x1B00, 0x2400', # new torque_table row 2</v>
      </c>
      <c r="C58" s="49"/>
      <c r="D58" s="49"/>
      <c r="E58" s="49"/>
      <c r="F58" s="49"/>
      <c r="G58" s="49"/>
      <c r="H58" s="49"/>
      <c r="I58" s="49"/>
      <c r="J58" s="49"/>
      <c r="K58" s="50"/>
    </row>
    <row r="59" spans="2:11" ht="17" thickBot="1" x14ac:dyDescent="0.25">
      <c r="B59" s="48" t="str">
        <f t="shared" si="7"/>
        <v>'0x0000, 0x0746, 0x0B04, 0x0CDF, 0x0E19, 0x1008, 0x1200, 0x1B00, 0x2400', # new torque_table row 3</v>
      </c>
      <c r="C59" s="49"/>
      <c r="D59" s="49"/>
      <c r="E59" s="49"/>
      <c r="F59" s="49"/>
      <c r="G59" s="49"/>
      <c r="H59" s="49"/>
      <c r="I59" s="49"/>
      <c r="J59" s="49"/>
      <c r="K59" s="50"/>
    </row>
    <row r="60" spans="2:11" ht="17" thickBot="1" x14ac:dyDescent="0.25">
      <c r="B60" s="48" t="str">
        <f t="shared" si="7"/>
        <v>'0x0000, 0x0746, 0x0B04, 0x0CDF, 0x0E19, 0x1008, 0x1200, 0x1B00, 0x2400', # new torque_table row 4</v>
      </c>
      <c r="C60" s="49"/>
      <c r="D60" s="49"/>
      <c r="E60" s="49"/>
      <c r="F60" s="49"/>
      <c r="G60" s="49"/>
      <c r="H60" s="49"/>
      <c r="I60" s="49"/>
      <c r="J60" s="49"/>
      <c r="K60" s="50"/>
    </row>
    <row r="61" spans="2:11" ht="17" thickBot="1" x14ac:dyDescent="0.25">
      <c r="B61" s="48" t="str">
        <f t="shared" si="7"/>
        <v>'0x0000, 0x0746, 0x0B04, 0x0CDF, 0x0E19, 0x1008, 0x1200, 0x1B00, 0x2400', # new torque_table row 5</v>
      </c>
      <c r="C61" s="49"/>
      <c r="D61" s="49"/>
      <c r="E61" s="49"/>
      <c r="F61" s="49"/>
      <c r="G61" s="49"/>
      <c r="H61" s="49"/>
      <c r="I61" s="49"/>
      <c r="J61" s="49"/>
      <c r="K61" s="50"/>
    </row>
    <row r="62" spans="2:11" ht="17" thickBot="1" x14ac:dyDescent="0.25">
      <c r="B62" s="48" t="str">
        <f t="shared" si="7"/>
        <v>'0x0000, 0x0746, 0x0B04, 0x0CDF, 0x0E19, 0x1008, 0x1200, 0x1B00, 0x2400', # new torque_table row 6</v>
      </c>
      <c r="C62" s="49"/>
      <c r="D62" s="49"/>
      <c r="E62" s="49"/>
      <c r="F62" s="49"/>
      <c r="G62" s="49"/>
      <c r="H62" s="49"/>
      <c r="I62" s="49"/>
      <c r="J62" s="49"/>
      <c r="K62" s="50"/>
    </row>
    <row r="63" spans="2:11" ht="17" thickBot="1" x14ac:dyDescent="0.25">
      <c r="B63" s="48" t="str">
        <f t="shared" si="7"/>
        <v>'0x0000, 0x06b3, 0x0b1a, 0x0ccd, 0x0e9a, 0x104d, 0x16C4, 0x1D3C, 0x23B4', # new torque_table row 7</v>
      </c>
      <c r="C63" s="49"/>
      <c r="D63" s="49"/>
      <c r="E63" s="49"/>
      <c r="F63" s="49"/>
      <c r="G63" s="49"/>
      <c r="H63" s="49"/>
      <c r="I63" s="49"/>
      <c r="J63" s="49"/>
      <c r="K63" s="50"/>
    </row>
  </sheetData>
  <mergeCells count="24">
    <mergeCell ref="B61:K61"/>
    <mergeCell ref="B62:K62"/>
    <mergeCell ref="B63:K63"/>
    <mergeCell ref="B54:K54"/>
    <mergeCell ref="B55:K55"/>
    <mergeCell ref="B57:K57"/>
    <mergeCell ref="B58:K58"/>
    <mergeCell ref="B59:K59"/>
    <mergeCell ref="B60:K60"/>
    <mergeCell ref="B49:K49"/>
    <mergeCell ref="B50:K50"/>
    <mergeCell ref="B51:K51"/>
    <mergeCell ref="B52:K52"/>
    <mergeCell ref="B53:K53"/>
    <mergeCell ref="B43:K43"/>
    <mergeCell ref="B45:K45"/>
    <mergeCell ref="B46:K46"/>
    <mergeCell ref="B47:K47"/>
    <mergeCell ref="B2:K3"/>
    <mergeCell ref="B37:C37"/>
    <mergeCell ref="B38:C38"/>
    <mergeCell ref="B39:C39"/>
    <mergeCell ref="B41:K41"/>
    <mergeCell ref="B42:K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54D8-158B-A84D-9075-87CE06A8021D}">
  <dimension ref="B1:K63"/>
  <sheetViews>
    <sheetView topLeftCell="A39" zoomScale="113" workbookViewId="0">
      <selection activeCell="B44" sqref="B44:K45"/>
    </sheetView>
  </sheetViews>
  <sheetFormatPr baseColWidth="10" defaultRowHeight="16" x14ac:dyDescent="0.2"/>
  <cols>
    <col min="1" max="1" width="7.33203125" style="27" customWidth="1"/>
    <col min="2" max="2" width="10.1640625" style="27" bestFit="1" customWidth="1"/>
    <col min="3" max="11" width="7" style="27" customWidth="1"/>
    <col min="12" max="16384" width="10.83203125" style="27"/>
  </cols>
  <sheetData>
    <row r="1" spans="2:11" x14ac:dyDescent="0.2">
      <c r="C1" s="44"/>
    </row>
    <row r="2" spans="2:11" ht="16" customHeight="1" x14ac:dyDescent="0.2">
      <c r="B2" s="53" t="s">
        <v>16</v>
      </c>
      <c r="C2" s="53"/>
      <c r="D2" s="53"/>
      <c r="E2" s="53"/>
      <c r="F2" s="53"/>
      <c r="G2" s="53"/>
      <c r="H2" s="53"/>
      <c r="I2" s="53"/>
      <c r="J2" s="53"/>
      <c r="K2" s="53"/>
    </row>
    <row r="3" spans="2:11" ht="17" customHeight="1" x14ac:dyDescent="0.2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2:11" x14ac:dyDescent="0.2">
      <c r="K4" s="27" t="s">
        <v>102</v>
      </c>
    </row>
    <row r="5" spans="2:11" x14ac:dyDescent="0.2">
      <c r="B5" s="27" t="s">
        <v>68</v>
      </c>
      <c r="C5" s="45">
        <v>0</v>
      </c>
      <c r="D5" s="45" t="s">
        <v>62</v>
      </c>
      <c r="E5" s="45" t="s">
        <v>28</v>
      </c>
      <c r="F5" s="45" t="s">
        <v>29</v>
      </c>
      <c r="G5" s="45">
        <v>290</v>
      </c>
      <c r="H5" s="45">
        <v>377</v>
      </c>
      <c r="I5" s="45">
        <v>454</v>
      </c>
      <c r="J5" s="45">
        <v>610</v>
      </c>
      <c r="K5" s="45" t="s">
        <v>77</v>
      </c>
    </row>
    <row r="6" spans="2:11" x14ac:dyDescent="0.2">
      <c r="B6" s="27" t="s">
        <v>80</v>
      </c>
      <c r="C6" s="45">
        <v>1</v>
      </c>
      <c r="D6" s="45" t="s">
        <v>62</v>
      </c>
      <c r="E6" s="45" t="s">
        <v>28</v>
      </c>
      <c r="F6" s="45" t="s">
        <v>29</v>
      </c>
      <c r="G6" s="45">
        <v>290</v>
      </c>
      <c r="H6" s="45">
        <v>377</v>
      </c>
      <c r="I6" s="45">
        <v>454</v>
      </c>
      <c r="J6" s="45">
        <v>610</v>
      </c>
      <c r="K6" s="45" t="s">
        <v>77</v>
      </c>
    </row>
    <row r="7" spans="2:11" x14ac:dyDescent="0.2">
      <c r="B7" s="27" t="s">
        <v>81</v>
      </c>
      <c r="C7" s="45">
        <v>2</v>
      </c>
      <c r="D7" s="45" t="s">
        <v>62</v>
      </c>
      <c r="E7" s="45" t="s">
        <v>28</v>
      </c>
      <c r="F7" s="45" t="s">
        <v>29</v>
      </c>
      <c r="G7" s="45">
        <v>290</v>
      </c>
      <c r="H7" s="45">
        <v>377</v>
      </c>
      <c r="I7" s="45">
        <v>454</v>
      </c>
      <c r="J7" s="45">
        <v>610</v>
      </c>
      <c r="K7" s="45" t="s">
        <v>77</v>
      </c>
    </row>
    <row r="8" spans="2:11" x14ac:dyDescent="0.2">
      <c r="B8" s="27" t="s">
        <v>82</v>
      </c>
      <c r="C8" s="45">
        <v>3</v>
      </c>
      <c r="D8" s="45" t="s">
        <v>62</v>
      </c>
      <c r="E8" s="45" t="s">
        <v>28</v>
      </c>
      <c r="F8" s="45" t="s">
        <v>29</v>
      </c>
      <c r="G8" s="45">
        <v>290</v>
      </c>
      <c r="H8" s="45">
        <v>377</v>
      </c>
      <c r="I8" s="45">
        <v>454</v>
      </c>
      <c r="J8" s="45">
        <v>610</v>
      </c>
      <c r="K8" s="45" t="s">
        <v>77</v>
      </c>
    </row>
    <row r="9" spans="2:11" x14ac:dyDescent="0.2">
      <c r="B9" s="27" t="s">
        <v>83</v>
      </c>
      <c r="C9" s="45">
        <v>4</v>
      </c>
      <c r="D9" s="45" t="s">
        <v>62</v>
      </c>
      <c r="E9" s="45" t="s">
        <v>28</v>
      </c>
      <c r="F9" s="45" t="s">
        <v>29</v>
      </c>
      <c r="G9" s="45">
        <v>290</v>
      </c>
      <c r="H9" s="45">
        <v>377</v>
      </c>
      <c r="I9" s="45">
        <v>454</v>
      </c>
      <c r="J9" s="45">
        <v>610</v>
      </c>
      <c r="K9" s="45" t="s">
        <v>77</v>
      </c>
    </row>
    <row r="10" spans="2:11" x14ac:dyDescent="0.2">
      <c r="B10" s="27" t="s">
        <v>84</v>
      </c>
      <c r="C10" s="45">
        <v>5</v>
      </c>
      <c r="D10" s="45" t="s">
        <v>62</v>
      </c>
      <c r="E10" s="45" t="s">
        <v>28</v>
      </c>
      <c r="F10" s="45" t="s">
        <v>29</v>
      </c>
      <c r="G10" s="45">
        <v>290</v>
      </c>
      <c r="H10" s="45">
        <v>377</v>
      </c>
      <c r="I10" s="45">
        <v>454</v>
      </c>
      <c r="J10" s="45">
        <v>610</v>
      </c>
      <c r="K10" s="45" t="s">
        <v>77</v>
      </c>
    </row>
    <row r="11" spans="2:11" x14ac:dyDescent="0.2">
      <c r="B11" s="27" t="s">
        <v>85</v>
      </c>
      <c r="C11" s="45">
        <v>6</v>
      </c>
      <c r="D11" s="45" t="s">
        <v>62</v>
      </c>
      <c r="E11" s="45" t="s">
        <v>63</v>
      </c>
      <c r="F11" s="45">
        <v>299</v>
      </c>
      <c r="G11" s="45">
        <v>377</v>
      </c>
      <c r="H11" s="45">
        <v>455</v>
      </c>
      <c r="I11" s="45">
        <v>532</v>
      </c>
      <c r="J11" s="45">
        <v>610</v>
      </c>
      <c r="K11" s="45" t="s">
        <v>77</v>
      </c>
    </row>
    <row r="13" spans="2:11" x14ac:dyDescent="0.2">
      <c r="B13" s="27" t="s">
        <v>86</v>
      </c>
      <c r="C13" s="27" t="str">
        <f>DEC2HEX(_xlfn.BITLSHIFT(ROUND(HEX2DEC(C5)/SQRT(3),0),2))</f>
        <v>0</v>
      </c>
      <c r="D13" s="27" t="str">
        <f t="shared" ref="D13:K19" si="0">DEC2HEX(_xlfn.BITLSHIFT(ROUND(HEX2DEC(D5)/SQRT(3),0),2))</f>
        <v>200</v>
      </c>
      <c r="E13" s="27" t="str">
        <f t="shared" si="0"/>
        <v>300</v>
      </c>
      <c r="F13" s="27" t="str">
        <f t="shared" si="0"/>
        <v>478</v>
      </c>
      <c r="G13" s="27" t="str">
        <f t="shared" si="0"/>
        <v>5EC</v>
      </c>
      <c r="H13" s="27" t="str">
        <f t="shared" si="0"/>
        <v>800</v>
      </c>
      <c r="I13" s="27" t="str">
        <f t="shared" si="0"/>
        <v>A00</v>
      </c>
      <c r="J13" s="27" t="str">
        <f t="shared" si="0"/>
        <v>E00</v>
      </c>
      <c r="K13" s="27" t="str">
        <f t="shared" si="0"/>
        <v>F00</v>
      </c>
    </row>
    <row r="14" spans="2:11" x14ac:dyDescent="0.2">
      <c r="B14" s="27" t="s">
        <v>87</v>
      </c>
      <c r="C14" s="27" t="str">
        <f t="shared" ref="C14:C19" si="1">DEC2HEX(_xlfn.BITLSHIFT(ROUND(HEX2DEC(C6)/SQRT(3),0),2))</f>
        <v>4</v>
      </c>
      <c r="D14" s="27" t="str">
        <f t="shared" si="0"/>
        <v>200</v>
      </c>
      <c r="E14" s="27" t="str">
        <f t="shared" si="0"/>
        <v>300</v>
      </c>
      <c r="F14" s="27" t="str">
        <f t="shared" si="0"/>
        <v>478</v>
      </c>
      <c r="G14" s="27" t="str">
        <f t="shared" si="0"/>
        <v>5EC</v>
      </c>
      <c r="H14" s="27" t="str">
        <f t="shared" si="0"/>
        <v>800</v>
      </c>
      <c r="I14" s="27" t="str">
        <f t="shared" si="0"/>
        <v>A00</v>
      </c>
      <c r="J14" s="27" t="str">
        <f t="shared" si="0"/>
        <v>E00</v>
      </c>
      <c r="K14" s="27" t="str">
        <f t="shared" si="0"/>
        <v>F00</v>
      </c>
    </row>
    <row r="15" spans="2:11" x14ac:dyDescent="0.2">
      <c r="B15" s="27" t="s">
        <v>88</v>
      </c>
      <c r="C15" s="27" t="str">
        <f t="shared" si="1"/>
        <v>4</v>
      </c>
      <c r="D15" s="27" t="str">
        <f t="shared" si="0"/>
        <v>200</v>
      </c>
      <c r="E15" s="27" t="str">
        <f t="shared" si="0"/>
        <v>300</v>
      </c>
      <c r="F15" s="27" t="str">
        <f t="shared" si="0"/>
        <v>478</v>
      </c>
      <c r="G15" s="27" t="str">
        <f t="shared" si="0"/>
        <v>5EC</v>
      </c>
      <c r="H15" s="27" t="str">
        <f t="shared" si="0"/>
        <v>800</v>
      </c>
      <c r="I15" s="27" t="str">
        <f t="shared" si="0"/>
        <v>A00</v>
      </c>
      <c r="J15" s="27" t="str">
        <f t="shared" si="0"/>
        <v>E00</v>
      </c>
      <c r="K15" s="27" t="str">
        <f t="shared" si="0"/>
        <v>F00</v>
      </c>
    </row>
    <row r="16" spans="2:11" x14ac:dyDescent="0.2">
      <c r="B16" s="27" t="s">
        <v>89</v>
      </c>
      <c r="C16" s="27" t="str">
        <f t="shared" si="1"/>
        <v>8</v>
      </c>
      <c r="D16" s="27" t="str">
        <f t="shared" si="0"/>
        <v>200</v>
      </c>
      <c r="E16" s="27" t="str">
        <f t="shared" si="0"/>
        <v>300</v>
      </c>
      <c r="F16" s="27" t="str">
        <f t="shared" si="0"/>
        <v>478</v>
      </c>
      <c r="G16" s="27" t="str">
        <f t="shared" si="0"/>
        <v>5EC</v>
      </c>
      <c r="H16" s="27" t="str">
        <f t="shared" si="0"/>
        <v>800</v>
      </c>
      <c r="I16" s="27" t="str">
        <f t="shared" si="0"/>
        <v>A00</v>
      </c>
      <c r="J16" s="27" t="str">
        <f t="shared" si="0"/>
        <v>E00</v>
      </c>
      <c r="K16" s="27" t="str">
        <f t="shared" si="0"/>
        <v>F00</v>
      </c>
    </row>
    <row r="17" spans="2:11" x14ac:dyDescent="0.2">
      <c r="B17" s="27" t="s">
        <v>90</v>
      </c>
      <c r="C17" s="27" t="str">
        <f t="shared" si="1"/>
        <v>8</v>
      </c>
      <c r="D17" s="27" t="str">
        <f t="shared" si="0"/>
        <v>200</v>
      </c>
      <c r="E17" s="27" t="str">
        <f t="shared" si="0"/>
        <v>300</v>
      </c>
      <c r="F17" s="27" t="str">
        <f t="shared" si="0"/>
        <v>478</v>
      </c>
      <c r="G17" s="27" t="str">
        <f t="shared" si="0"/>
        <v>5EC</v>
      </c>
      <c r="H17" s="27" t="str">
        <f t="shared" si="0"/>
        <v>800</v>
      </c>
      <c r="I17" s="27" t="str">
        <f t="shared" si="0"/>
        <v>A00</v>
      </c>
      <c r="J17" s="27" t="str">
        <f t="shared" si="0"/>
        <v>E00</v>
      </c>
      <c r="K17" s="27" t="str">
        <f t="shared" si="0"/>
        <v>F00</v>
      </c>
    </row>
    <row r="18" spans="2:11" x14ac:dyDescent="0.2">
      <c r="B18" s="27" t="s">
        <v>91</v>
      </c>
      <c r="C18" s="27" t="str">
        <f t="shared" si="1"/>
        <v>C</v>
      </c>
      <c r="D18" s="27" t="str">
        <f t="shared" si="0"/>
        <v>200</v>
      </c>
      <c r="E18" s="27" t="str">
        <f t="shared" si="0"/>
        <v>300</v>
      </c>
      <c r="F18" s="27" t="str">
        <f t="shared" si="0"/>
        <v>478</v>
      </c>
      <c r="G18" s="27" t="str">
        <f t="shared" si="0"/>
        <v>5EC</v>
      </c>
      <c r="H18" s="27" t="str">
        <f t="shared" si="0"/>
        <v>800</v>
      </c>
      <c r="I18" s="27" t="str">
        <f t="shared" si="0"/>
        <v>A00</v>
      </c>
      <c r="J18" s="27" t="str">
        <f t="shared" si="0"/>
        <v>E00</v>
      </c>
      <c r="K18" s="27" t="str">
        <f t="shared" si="0"/>
        <v>F00</v>
      </c>
    </row>
    <row r="19" spans="2:11" x14ac:dyDescent="0.2">
      <c r="B19" s="27" t="s">
        <v>92</v>
      </c>
      <c r="C19" s="27" t="str">
        <f t="shared" si="1"/>
        <v>C</v>
      </c>
      <c r="D19" s="27" t="str">
        <f t="shared" si="0"/>
        <v>200</v>
      </c>
      <c r="E19" s="27" t="str">
        <f t="shared" si="0"/>
        <v>400</v>
      </c>
      <c r="F19" s="27" t="str">
        <f t="shared" si="0"/>
        <v>600</v>
      </c>
      <c r="G19" s="27" t="str">
        <f t="shared" si="0"/>
        <v>800</v>
      </c>
      <c r="H19" s="27" t="str">
        <f t="shared" si="0"/>
        <v>A00</v>
      </c>
      <c r="I19" s="27" t="str">
        <f t="shared" si="0"/>
        <v>C00</v>
      </c>
      <c r="J19" s="27" t="str">
        <f t="shared" si="0"/>
        <v>E00</v>
      </c>
      <c r="K19" s="27" t="str">
        <f t="shared" si="0"/>
        <v>F00</v>
      </c>
    </row>
    <row r="21" spans="2:11" x14ac:dyDescent="0.2">
      <c r="B21" s="27" t="s">
        <v>109</v>
      </c>
      <c r="C21" s="46">
        <v>0</v>
      </c>
      <c r="D21" s="46">
        <v>917</v>
      </c>
      <c r="E21" s="46" t="s">
        <v>31</v>
      </c>
      <c r="F21" s="46">
        <v>1017</v>
      </c>
      <c r="G21" s="46" t="s">
        <v>32</v>
      </c>
      <c r="H21" s="46" t="s">
        <v>33</v>
      </c>
      <c r="I21" s="46">
        <v>1680</v>
      </c>
      <c r="J21" s="46">
        <v>1680</v>
      </c>
      <c r="K21" s="46">
        <v>1680</v>
      </c>
    </row>
    <row r="22" spans="2:11" x14ac:dyDescent="0.2">
      <c r="B22" s="27" t="s">
        <v>110</v>
      </c>
      <c r="C22" s="46">
        <v>0</v>
      </c>
      <c r="D22" s="46">
        <v>917</v>
      </c>
      <c r="E22" s="46" t="s">
        <v>31</v>
      </c>
      <c r="F22" s="46">
        <v>1017</v>
      </c>
      <c r="G22" s="46" t="s">
        <v>32</v>
      </c>
      <c r="H22" s="46" t="s">
        <v>33</v>
      </c>
      <c r="I22" s="46">
        <v>1680</v>
      </c>
      <c r="J22" s="46">
        <v>1680</v>
      </c>
      <c r="K22" s="46">
        <v>1680</v>
      </c>
    </row>
    <row r="23" spans="2:11" x14ac:dyDescent="0.2">
      <c r="B23" s="27" t="s">
        <v>111</v>
      </c>
      <c r="C23" s="46">
        <v>0</v>
      </c>
      <c r="D23" s="46">
        <v>917</v>
      </c>
      <c r="E23" s="46" t="s">
        <v>31</v>
      </c>
      <c r="F23" s="46">
        <v>1017</v>
      </c>
      <c r="G23" s="46" t="s">
        <v>32</v>
      </c>
      <c r="H23" s="46" t="s">
        <v>33</v>
      </c>
      <c r="I23" s="46">
        <v>1680</v>
      </c>
      <c r="J23" s="46">
        <v>1680</v>
      </c>
      <c r="K23" s="46">
        <v>1680</v>
      </c>
    </row>
    <row r="24" spans="2:11" x14ac:dyDescent="0.2">
      <c r="B24" s="27" t="s">
        <v>112</v>
      </c>
      <c r="C24" s="46">
        <v>0</v>
      </c>
      <c r="D24" s="46">
        <v>917</v>
      </c>
      <c r="E24" s="46" t="s">
        <v>31</v>
      </c>
      <c r="F24" s="46">
        <v>1017</v>
      </c>
      <c r="G24" s="46" t="s">
        <v>32</v>
      </c>
      <c r="H24" s="46" t="s">
        <v>33</v>
      </c>
      <c r="I24" s="46">
        <v>1680</v>
      </c>
      <c r="J24" s="46">
        <v>1680</v>
      </c>
      <c r="K24" s="46">
        <v>1680</v>
      </c>
    </row>
    <row r="25" spans="2:11" x14ac:dyDescent="0.2">
      <c r="B25" s="27" t="s">
        <v>113</v>
      </c>
      <c r="C25" s="46">
        <v>0</v>
      </c>
      <c r="D25" s="46">
        <v>917</v>
      </c>
      <c r="E25" s="46" t="s">
        <v>31</v>
      </c>
      <c r="F25" s="46">
        <v>1017</v>
      </c>
      <c r="G25" s="46" t="s">
        <v>32</v>
      </c>
      <c r="H25" s="46" t="s">
        <v>33</v>
      </c>
      <c r="I25" s="46">
        <v>1680</v>
      </c>
      <c r="J25" s="46">
        <v>1680</v>
      </c>
      <c r="K25" s="46">
        <v>1680</v>
      </c>
    </row>
    <row r="26" spans="2:11" x14ac:dyDescent="0.2">
      <c r="B26" s="27" t="s">
        <v>114</v>
      </c>
      <c r="C26" s="46">
        <v>0</v>
      </c>
      <c r="D26" s="46">
        <v>917</v>
      </c>
      <c r="E26" s="46" t="s">
        <v>31</v>
      </c>
      <c r="F26" s="46">
        <v>1017</v>
      </c>
      <c r="G26" s="46" t="s">
        <v>32</v>
      </c>
      <c r="H26" s="46" t="s">
        <v>33</v>
      </c>
      <c r="I26" s="46">
        <v>1680</v>
      </c>
      <c r="J26" s="46">
        <v>1680</v>
      </c>
      <c r="K26" s="46">
        <v>1680</v>
      </c>
    </row>
    <row r="27" spans="2:11" x14ac:dyDescent="0.2">
      <c r="B27" s="27" t="s">
        <v>115</v>
      </c>
      <c r="C27" s="45">
        <v>0</v>
      </c>
      <c r="D27" s="47" t="s">
        <v>97</v>
      </c>
      <c r="E27" s="45" t="s">
        <v>103</v>
      </c>
      <c r="F27" s="45" t="s">
        <v>104</v>
      </c>
      <c r="G27" s="45" t="s">
        <v>105</v>
      </c>
      <c r="H27" s="45" t="s">
        <v>106</v>
      </c>
      <c r="I27" s="45" t="s">
        <v>107</v>
      </c>
      <c r="J27" s="45" t="s">
        <v>108</v>
      </c>
      <c r="K27" s="45" t="s">
        <v>108</v>
      </c>
    </row>
    <row r="29" spans="2:11" x14ac:dyDescent="0.2">
      <c r="B29" s="27" t="s">
        <v>116</v>
      </c>
      <c r="C29" s="27">
        <f>C21</f>
        <v>0</v>
      </c>
      <c r="D29" s="27">
        <f t="shared" ref="D29:I29" si="2">D21</f>
        <v>917</v>
      </c>
      <c r="E29" s="27" t="str">
        <f t="shared" si="2"/>
        <v>DC5</v>
      </c>
      <c r="F29" s="27">
        <f t="shared" si="2"/>
        <v>1017</v>
      </c>
      <c r="G29" s="27" t="str">
        <f t="shared" si="2"/>
        <v>119f</v>
      </c>
      <c r="H29" s="27" t="str">
        <f t="shared" si="2"/>
        <v>140b</v>
      </c>
      <c r="I29" s="27">
        <f t="shared" si="2"/>
        <v>1680</v>
      </c>
      <c r="J29" s="65" t="str">
        <f>DEC2HEX(HEX2DEC(K29)-HEX2DEC(I29)/2)</f>
        <v>21C0</v>
      </c>
      <c r="K29" s="65" t="str">
        <f>DEC2HEX(HEX2DEC(K21)*D$37)</f>
        <v>2D00</v>
      </c>
    </row>
    <row r="30" spans="2:11" x14ac:dyDescent="0.2">
      <c r="B30" s="27" t="s">
        <v>117</v>
      </c>
      <c r="C30" s="27">
        <f t="shared" ref="C30:I35" si="3">C22</f>
        <v>0</v>
      </c>
      <c r="D30" s="27">
        <f t="shared" si="3"/>
        <v>917</v>
      </c>
      <c r="E30" s="27" t="str">
        <f t="shared" si="3"/>
        <v>DC5</v>
      </c>
      <c r="F30" s="27">
        <f t="shared" si="3"/>
        <v>1017</v>
      </c>
      <c r="G30" s="27" t="str">
        <f t="shared" si="3"/>
        <v>119f</v>
      </c>
      <c r="H30" s="27" t="str">
        <f t="shared" si="3"/>
        <v>140b</v>
      </c>
      <c r="I30" s="27">
        <f t="shared" si="3"/>
        <v>1680</v>
      </c>
      <c r="J30" s="65" t="str">
        <f t="shared" ref="J30:J35" si="4">DEC2HEX(HEX2DEC(K30)-HEX2DEC(I30)/2)</f>
        <v>21C0</v>
      </c>
      <c r="K30" s="65" t="str">
        <f t="shared" ref="K30:K35" si="5">DEC2HEX(HEX2DEC(K22)*D$37)</f>
        <v>2D00</v>
      </c>
    </row>
    <row r="31" spans="2:11" x14ac:dyDescent="0.2">
      <c r="B31" s="27" t="s">
        <v>118</v>
      </c>
      <c r="C31" s="27">
        <f t="shared" si="3"/>
        <v>0</v>
      </c>
      <c r="D31" s="27">
        <f t="shared" si="3"/>
        <v>917</v>
      </c>
      <c r="E31" s="27" t="str">
        <f t="shared" si="3"/>
        <v>DC5</v>
      </c>
      <c r="F31" s="27">
        <f t="shared" si="3"/>
        <v>1017</v>
      </c>
      <c r="G31" s="27" t="str">
        <f t="shared" si="3"/>
        <v>119f</v>
      </c>
      <c r="H31" s="27" t="str">
        <f t="shared" si="3"/>
        <v>140b</v>
      </c>
      <c r="I31" s="27">
        <f t="shared" si="3"/>
        <v>1680</v>
      </c>
      <c r="J31" s="65" t="str">
        <f t="shared" si="4"/>
        <v>21C0</v>
      </c>
      <c r="K31" s="65" t="str">
        <f t="shared" si="5"/>
        <v>2D00</v>
      </c>
    </row>
    <row r="32" spans="2:11" x14ac:dyDescent="0.2">
      <c r="B32" s="27" t="s">
        <v>119</v>
      </c>
      <c r="C32" s="27">
        <f t="shared" si="3"/>
        <v>0</v>
      </c>
      <c r="D32" s="27">
        <f t="shared" si="3"/>
        <v>917</v>
      </c>
      <c r="E32" s="27" t="str">
        <f t="shared" si="3"/>
        <v>DC5</v>
      </c>
      <c r="F32" s="27">
        <f t="shared" si="3"/>
        <v>1017</v>
      </c>
      <c r="G32" s="27" t="str">
        <f t="shared" si="3"/>
        <v>119f</v>
      </c>
      <c r="H32" s="27" t="str">
        <f t="shared" si="3"/>
        <v>140b</v>
      </c>
      <c r="I32" s="27">
        <f t="shared" si="3"/>
        <v>1680</v>
      </c>
      <c r="J32" s="65" t="str">
        <f t="shared" si="4"/>
        <v>21C0</v>
      </c>
      <c r="K32" s="65" t="str">
        <f t="shared" si="5"/>
        <v>2D00</v>
      </c>
    </row>
    <row r="33" spans="2:11" x14ac:dyDescent="0.2">
      <c r="B33" s="27" t="s">
        <v>120</v>
      </c>
      <c r="C33" s="27">
        <f t="shared" si="3"/>
        <v>0</v>
      </c>
      <c r="D33" s="27">
        <f t="shared" si="3"/>
        <v>917</v>
      </c>
      <c r="E33" s="27" t="str">
        <f t="shared" si="3"/>
        <v>DC5</v>
      </c>
      <c r="F33" s="27">
        <f t="shared" si="3"/>
        <v>1017</v>
      </c>
      <c r="G33" s="27" t="str">
        <f t="shared" si="3"/>
        <v>119f</v>
      </c>
      <c r="H33" s="27" t="str">
        <f t="shared" si="3"/>
        <v>140b</v>
      </c>
      <c r="I33" s="27">
        <f t="shared" si="3"/>
        <v>1680</v>
      </c>
      <c r="J33" s="65" t="str">
        <f t="shared" si="4"/>
        <v>21C0</v>
      </c>
      <c r="K33" s="65" t="str">
        <f t="shared" si="5"/>
        <v>2D00</v>
      </c>
    </row>
    <row r="34" spans="2:11" x14ac:dyDescent="0.2">
      <c r="B34" s="27" t="s">
        <v>121</v>
      </c>
      <c r="C34" s="27">
        <f t="shared" si="3"/>
        <v>0</v>
      </c>
      <c r="D34" s="27">
        <f t="shared" si="3"/>
        <v>917</v>
      </c>
      <c r="E34" s="27" t="str">
        <f t="shared" si="3"/>
        <v>DC5</v>
      </c>
      <c r="F34" s="27">
        <f t="shared" si="3"/>
        <v>1017</v>
      </c>
      <c r="G34" s="27" t="str">
        <f t="shared" si="3"/>
        <v>119f</v>
      </c>
      <c r="H34" s="27" t="str">
        <f t="shared" si="3"/>
        <v>140b</v>
      </c>
      <c r="I34" s="27">
        <f t="shared" si="3"/>
        <v>1680</v>
      </c>
      <c r="J34" s="65" t="str">
        <f t="shared" si="4"/>
        <v>21C0</v>
      </c>
      <c r="K34" s="65" t="str">
        <f t="shared" si="5"/>
        <v>2D00</v>
      </c>
    </row>
    <row r="35" spans="2:11" x14ac:dyDescent="0.2">
      <c r="B35" s="27" t="s">
        <v>122</v>
      </c>
      <c r="C35" s="27">
        <f t="shared" si="3"/>
        <v>0</v>
      </c>
      <c r="D35" s="27" t="str">
        <f t="shared" si="3"/>
        <v>6b3</v>
      </c>
      <c r="E35" s="27" t="str">
        <f t="shared" si="3"/>
        <v>b1a</v>
      </c>
      <c r="F35" s="27" t="str">
        <f t="shared" si="3"/>
        <v>ccd</v>
      </c>
      <c r="G35" s="27" t="str">
        <f t="shared" si="3"/>
        <v>e9a</v>
      </c>
      <c r="H35" s="27" t="str">
        <f t="shared" si="3"/>
        <v>104d</v>
      </c>
      <c r="I35" s="65" t="str">
        <f>DEC2HEX(HEX2DEC(H35)+((HEX2DEC(K35)-HEX2DEC(H35))/3*1))</f>
        <v>16C4</v>
      </c>
      <c r="J35" s="65" t="str">
        <f>DEC2HEX(HEX2DEC(H35)+((HEX2DEC(K35)-HEX2DEC(H35))/3*2))</f>
        <v>1D3C</v>
      </c>
      <c r="K35" s="65" t="str">
        <f t="shared" si="5"/>
        <v>23B4</v>
      </c>
    </row>
    <row r="37" spans="2:11" x14ac:dyDescent="0.2">
      <c r="B37" s="51" t="s">
        <v>60</v>
      </c>
      <c r="C37" s="51"/>
      <c r="D37" s="45">
        <v>2</v>
      </c>
    </row>
    <row r="38" spans="2:11" x14ac:dyDescent="0.2">
      <c r="B38" s="51" t="s">
        <v>12</v>
      </c>
      <c r="C38" s="51"/>
      <c r="D38" s="45" t="s">
        <v>10</v>
      </c>
    </row>
    <row r="39" spans="2:11" x14ac:dyDescent="0.2">
      <c r="B39" s="52" t="s">
        <v>38</v>
      </c>
      <c r="C39" s="52"/>
      <c r="D39" s="46">
        <v>1</v>
      </c>
    </row>
    <row r="40" spans="2:11" ht="17" thickBot="1" x14ac:dyDescent="0.25"/>
    <row r="41" spans="2:11" ht="50" customHeight="1" thickBot="1" x14ac:dyDescent="0.25">
      <c r="B41" s="55" t="str">
        <f>"if self.CS.steer_config_index in [1, 2, 3, 4, 5, 6]: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self.CS.steer_config_index in [1, 2, 3, 4, 5, 6]: ret.lateralParams.torqueBP, ret.lateralParams.torqueV = [[0x0, 0x917, 0xDC5, 0x1017, 0x119f, 0x140b, 0x1680, 0x21C0, 0x2D00], [0x0, 0x200, 0x300, 0x478, 0x5EC, 0x800, 0xA00, 0xE00, 0xF00]]</v>
      </c>
      <c r="C41" s="56"/>
      <c r="D41" s="56"/>
      <c r="E41" s="56"/>
      <c r="F41" s="56"/>
      <c r="G41" s="56"/>
      <c r="H41" s="56"/>
      <c r="I41" s="56"/>
      <c r="J41" s="56"/>
      <c r="K41" s="57"/>
    </row>
    <row r="42" spans="2:11" ht="50" customHeight="1" thickBot="1" x14ac:dyDescent="0.25">
      <c r="B42" s="55" t="str">
        <f>"elif self.CS.steer_config_index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self.CS.steer_config_index == 7: ret.lateralParams.torqueBP, ret.lateralParams.torqueV = [[0x0, 0x6b3, 0xb1a, 0xccd, 0xe9a, 0x104d, 0x16C4, 0x1D3C, 0x23B4], [0xC, 0x200, 0x400, 0x600, 0x800, 0xA00, 0xC00, 0xE00, 0xF00]]</v>
      </c>
      <c r="C42" s="56"/>
      <c r="D42" s="56"/>
      <c r="E42" s="56"/>
      <c r="F42" s="56"/>
      <c r="G42" s="56"/>
      <c r="H42" s="56"/>
      <c r="I42" s="56"/>
      <c r="J42" s="56"/>
      <c r="K42" s="57"/>
    </row>
    <row r="43" spans="2:11" ht="17" thickBot="1" x14ac:dyDescent="0.25">
      <c r="B43" s="54"/>
      <c r="C43" s="30"/>
      <c r="D43" s="54"/>
      <c r="E43" s="54"/>
      <c r="F43" s="54"/>
      <c r="G43" s="54"/>
      <c r="H43" s="54"/>
      <c r="I43" s="54"/>
      <c r="J43" s="54"/>
      <c r="K43" s="54"/>
    </row>
    <row r="44" spans="2:11" ht="52" customHeight="1" thickBot="1" x14ac:dyDescent="0.25">
      <c r="B44" s="55" t="str">
        <f>"if self.CS.steer_config_index in [1, 2, 3, 4, 5, 6]: ret.lateralParams.torqueBP, ret.lateralParams.torqueV = [[0x" &amp; C21 &amp; ", 0x" &amp; D21 &amp; ", 0x" &amp; E21 &amp; ", 0x" &amp;F21 &amp; ", 0x" &amp; G21 &amp; ", 0x" &amp; H21 &amp; ", 0x" &amp; I21 &amp; "], [0x" &amp; C13 &amp; ", 0x" &amp; D13 &amp; ", 0x" &amp; E13 &amp; ", 0x" &amp;F13 &amp; ", 0x" &amp; G13 &amp; ", 0x" &amp; H13 &amp; ", 0x" &amp; I13 &amp;"]]"</f>
        <v>if self.CS.steer_config_index in [1, 2, 3, 4, 5, 6]: ret.lateralParams.torqueBP, ret.lateralParams.torqueV = [[0x0, 0x917, 0xDC5, 0x1017, 0x119f, 0x140b, 0x1680], [0x0, 0x200, 0x300, 0x478, 0x5EC, 0x800, 0xA00]]</v>
      </c>
      <c r="C44" s="56"/>
      <c r="D44" s="56"/>
      <c r="E44" s="56"/>
      <c r="F44" s="56"/>
      <c r="G44" s="56"/>
      <c r="H44" s="56"/>
      <c r="I44" s="56"/>
      <c r="J44" s="56"/>
      <c r="K44" s="57"/>
    </row>
    <row r="45" spans="2:11" ht="52" customHeight="1" thickBot="1" x14ac:dyDescent="0.25">
      <c r="B45" s="62" t="str">
        <f>"elif self.CS.steer_config_index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self.CS.steer_config_index == 7: ret.lateralParams.torqueBP, ret.lateralParams.torqueV = [[0x0, 0x6b3, 0xb1a, 0xccd, 0xe9a, 0x104d, 0x119a, 0x11da], [0xC, 0x200, 0x400, 0x600, 0x800, 0xA00, 0xC00, 0xE00]]</v>
      </c>
      <c r="C45" s="63"/>
      <c r="D45" s="63"/>
      <c r="E45" s="63"/>
      <c r="F45" s="63"/>
      <c r="G45" s="63"/>
      <c r="H45" s="63"/>
      <c r="I45" s="63"/>
      <c r="J45" s="63"/>
      <c r="K45" s="64"/>
    </row>
    <row r="46" spans="2:11" x14ac:dyDescent="0.2"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2:11" x14ac:dyDescent="0.2"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2:11" ht="17" thickBot="1" x14ac:dyDescent="0.25"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2:11" ht="17" thickBot="1" x14ac:dyDescent="0.25">
      <c r="B49" s="48" t="str">
        <f>"'0x000" &amp; C21 &amp; ", 0x0" &amp; D21 &amp; ", 0x0" &amp; E21 &amp; ", 0x" &amp;F21 &amp; ", 0x" &amp; G21 &amp; ", 0x" &amp; H21 &amp; ", 0x" &amp; I21 &amp; ", 0x" &amp; J21 &amp; ", 0x" &amp; K21 &amp; "', # " &amp; B21</f>
        <v>'0x0000, 0x0917, 0x0DC5, 0x1017, 0x119f, 0x140b, 0x1680, 0x1680, 0x1680', # original torque_table row 1</v>
      </c>
      <c r="C49" s="49"/>
      <c r="D49" s="49"/>
      <c r="E49" s="49"/>
      <c r="F49" s="49"/>
      <c r="G49" s="49"/>
      <c r="H49" s="49"/>
      <c r="I49" s="49"/>
      <c r="J49" s="49"/>
      <c r="K49" s="50"/>
    </row>
    <row r="50" spans="2:11" ht="17" thickBot="1" x14ac:dyDescent="0.25">
      <c r="B50" s="48" t="str">
        <f t="shared" ref="B50:B55" si="6">"'0x000" &amp; C22 &amp; ", 0x0" &amp; D22 &amp; ", 0x0" &amp; E22 &amp; ", 0x" &amp;F22 &amp; ", 0x" &amp; G22 &amp; ", 0x" &amp; H22 &amp; ", 0x" &amp; I22 &amp; ", 0x" &amp; J22 &amp; ", 0x" &amp; K22 &amp; "', # " &amp; B22</f>
        <v>'0x0000, 0x0917, 0x0DC5, 0x1017, 0x119f, 0x140b, 0x1680, 0x1680, 0x1680', # original torque_table row 2</v>
      </c>
      <c r="C50" s="49"/>
      <c r="D50" s="49"/>
      <c r="E50" s="49"/>
      <c r="F50" s="49"/>
      <c r="G50" s="49"/>
      <c r="H50" s="49"/>
      <c r="I50" s="49"/>
      <c r="J50" s="49"/>
      <c r="K50" s="50"/>
    </row>
    <row r="51" spans="2:11" ht="17" thickBot="1" x14ac:dyDescent="0.25">
      <c r="B51" s="48" t="str">
        <f t="shared" si="6"/>
        <v>'0x0000, 0x0917, 0x0DC5, 0x1017, 0x119f, 0x140b, 0x1680, 0x1680, 0x1680', # original torque_table row 3</v>
      </c>
      <c r="C51" s="49"/>
      <c r="D51" s="49"/>
      <c r="E51" s="49"/>
      <c r="F51" s="49"/>
      <c r="G51" s="49"/>
      <c r="H51" s="49"/>
      <c r="I51" s="49"/>
      <c r="J51" s="49"/>
      <c r="K51" s="50"/>
    </row>
    <row r="52" spans="2:11" ht="17" thickBot="1" x14ac:dyDescent="0.25">
      <c r="B52" s="48" t="str">
        <f t="shared" si="6"/>
        <v>'0x0000, 0x0917, 0x0DC5, 0x1017, 0x119f, 0x140b, 0x1680, 0x1680, 0x1680', # original torque_table row 4</v>
      </c>
      <c r="C52" s="49"/>
      <c r="D52" s="49"/>
      <c r="E52" s="49"/>
      <c r="F52" s="49"/>
      <c r="G52" s="49"/>
      <c r="H52" s="49"/>
      <c r="I52" s="49"/>
      <c r="J52" s="49"/>
      <c r="K52" s="50"/>
    </row>
    <row r="53" spans="2:11" ht="17" thickBot="1" x14ac:dyDescent="0.25">
      <c r="B53" s="48" t="str">
        <f t="shared" si="6"/>
        <v>'0x0000, 0x0917, 0x0DC5, 0x1017, 0x119f, 0x140b, 0x1680, 0x1680, 0x1680', # original torque_table row 5</v>
      </c>
      <c r="C53" s="49"/>
      <c r="D53" s="49"/>
      <c r="E53" s="49"/>
      <c r="F53" s="49"/>
      <c r="G53" s="49"/>
      <c r="H53" s="49"/>
      <c r="I53" s="49"/>
      <c r="J53" s="49"/>
      <c r="K53" s="50"/>
    </row>
    <row r="54" spans="2:11" ht="17" thickBot="1" x14ac:dyDescent="0.25">
      <c r="B54" s="48" t="str">
        <f t="shared" si="6"/>
        <v>'0x0000, 0x0917, 0x0DC5, 0x1017, 0x119f, 0x140b, 0x1680, 0x1680, 0x1680', # original torque_table row 6</v>
      </c>
      <c r="C54" s="49"/>
      <c r="D54" s="49"/>
      <c r="E54" s="49"/>
      <c r="F54" s="49"/>
      <c r="G54" s="49"/>
      <c r="H54" s="49"/>
      <c r="I54" s="49"/>
      <c r="J54" s="49"/>
      <c r="K54" s="50"/>
    </row>
    <row r="55" spans="2:11" ht="17" thickBot="1" x14ac:dyDescent="0.25">
      <c r="B55" s="48" t="str">
        <f>"'0x000" &amp; C27 &amp; ", 0x0" &amp; D27 &amp; ", 0x0" &amp; E27 &amp; ", 0x0" &amp;F27 &amp; ", 0x0" &amp; G27 &amp; ", 0x" &amp; H27 &amp; ", 0x" &amp; I27 &amp; ", 0x" &amp; J27 &amp; ", 0x" &amp; K27 &amp; "', # " &amp; B27</f>
        <v>'0x0000, 0x06b3, 0x0b1a, 0x0ccd, 0x0e9a, 0x104d, 0x119a, 0x11da, 0x11da', # original torque_table row 7</v>
      </c>
      <c r="C55" s="49"/>
      <c r="D55" s="49"/>
      <c r="E55" s="49"/>
      <c r="F55" s="49"/>
      <c r="G55" s="49"/>
      <c r="H55" s="49"/>
      <c r="I55" s="49"/>
      <c r="J55" s="49"/>
      <c r="K55" s="50"/>
    </row>
    <row r="56" spans="2:11" ht="17" thickBot="1" x14ac:dyDescent="0.25"/>
    <row r="57" spans="2:11" ht="17" thickBot="1" x14ac:dyDescent="0.25">
      <c r="B57" s="48" t="str">
        <f>"'0x000" &amp; C29 &amp; ", 0x0" &amp; D29 &amp; ", 0x0" &amp; E29 &amp; ", 0x" &amp;F29 &amp; ", 0x" &amp; G29 &amp; ", 0x" &amp; H29 &amp; ", 0x" &amp; I29 &amp; ", 0x" &amp; J29 &amp; ", 0x" &amp; K29 &amp; "', # " &amp; B29</f>
        <v>'0x0000, 0x0917, 0x0DC5, 0x1017, 0x119f, 0x140b, 0x1680, 0x21C0, 0x2D00', # new torque_table row 1</v>
      </c>
      <c r="C57" s="49"/>
      <c r="D57" s="49"/>
      <c r="E57" s="49"/>
      <c r="F57" s="49"/>
      <c r="G57" s="49"/>
      <c r="H57" s="49"/>
      <c r="I57" s="49"/>
      <c r="J57" s="49"/>
      <c r="K57" s="50"/>
    </row>
    <row r="58" spans="2:11" ht="17" thickBot="1" x14ac:dyDescent="0.25">
      <c r="B58" s="48" t="str">
        <f t="shared" ref="B58:B62" si="7">"'0x000" &amp; C30 &amp; ", 0x0" &amp; D30 &amp; ", 0x0" &amp; E30 &amp; ", 0x" &amp;F30 &amp; ", 0x" &amp; G30 &amp; ", 0x" &amp; H30 &amp; ", 0x" &amp; I30 &amp; ", 0x" &amp; J30 &amp; ", 0x" &amp; K30 &amp; "', # " &amp; B30</f>
        <v>'0x0000, 0x0917, 0x0DC5, 0x1017, 0x119f, 0x140b, 0x1680, 0x21C0, 0x2D00', # new torque_table row 2</v>
      </c>
      <c r="C58" s="49"/>
      <c r="D58" s="49"/>
      <c r="E58" s="49"/>
      <c r="F58" s="49"/>
      <c r="G58" s="49"/>
      <c r="H58" s="49"/>
      <c r="I58" s="49"/>
      <c r="J58" s="49"/>
      <c r="K58" s="50"/>
    </row>
    <row r="59" spans="2:11" ht="17" thickBot="1" x14ac:dyDescent="0.25">
      <c r="B59" s="48" t="str">
        <f t="shared" si="7"/>
        <v>'0x0000, 0x0917, 0x0DC5, 0x1017, 0x119f, 0x140b, 0x1680, 0x21C0, 0x2D00', # new torque_table row 3</v>
      </c>
      <c r="C59" s="49"/>
      <c r="D59" s="49"/>
      <c r="E59" s="49"/>
      <c r="F59" s="49"/>
      <c r="G59" s="49"/>
      <c r="H59" s="49"/>
      <c r="I59" s="49"/>
      <c r="J59" s="49"/>
      <c r="K59" s="50"/>
    </row>
    <row r="60" spans="2:11" ht="17" thickBot="1" x14ac:dyDescent="0.25">
      <c r="B60" s="48" t="str">
        <f t="shared" si="7"/>
        <v>'0x0000, 0x0917, 0x0DC5, 0x1017, 0x119f, 0x140b, 0x1680, 0x21C0, 0x2D00', # new torque_table row 4</v>
      </c>
      <c r="C60" s="49"/>
      <c r="D60" s="49"/>
      <c r="E60" s="49"/>
      <c r="F60" s="49"/>
      <c r="G60" s="49"/>
      <c r="H60" s="49"/>
      <c r="I60" s="49"/>
      <c r="J60" s="49"/>
      <c r="K60" s="50"/>
    </row>
    <row r="61" spans="2:11" ht="17" thickBot="1" x14ac:dyDescent="0.25">
      <c r="B61" s="48" t="str">
        <f t="shared" si="7"/>
        <v>'0x0000, 0x0917, 0x0DC5, 0x1017, 0x119f, 0x140b, 0x1680, 0x21C0, 0x2D00', # new torque_table row 5</v>
      </c>
      <c r="C61" s="49"/>
      <c r="D61" s="49"/>
      <c r="E61" s="49"/>
      <c r="F61" s="49"/>
      <c r="G61" s="49"/>
      <c r="H61" s="49"/>
      <c r="I61" s="49"/>
      <c r="J61" s="49"/>
      <c r="K61" s="50"/>
    </row>
    <row r="62" spans="2:11" ht="17" thickBot="1" x14ac:dyDescent="0.25">
      <c r="B62" s="48" t="str">
        <f t="shared" si="7"/>
        <v>'0x0000, 0x0917, 0x0DC5, 0x1017, 0x119f, 0x140b, 0x1680, 0x21C0, 0x2D00', # new torque_table row 6</v>
      </c>
      <c r="C62" s="49"/>
      <c r="D62" s="49"/>
      <c r="E62" s="49"/>
      <c r="F62" s="49"/>
      <c r="G62" s="49"/>
      <c r="H62" s="49"/>
      <c r="I62" s="49"/>
      <c r="J62" s="49"/>
      <c r="K62" s="50"/>
    </row>
    <row r="63" spans="2:11" ht="17" thickBot="1" x14ac:dyDescent="0.25">
      <c r="B63" s="48" t="str">
        <f>"'0x000" &amp; C35 &amp; ", 0x0" &amp; D35 &amp; ", 0x0" &amp; E35 &amp; ", 0x0" &amp;F35 &amp; ", 0x0" &amp; G35 &amp; ", 0x" &amp; H35 &amp; ", 0x" &amp; I35 &amp; ", 0x" &amp; J35 &amp; ", 0x" &amp; K35 &amp; "', # " &amp; B35</f>
        <v>'0x0000, 0x06b3, 0x0b1a, 0x0ccd, 0x0e9a, 0x104d, 0x16C4, 0x1D3C, 0x23B4', # new torque_table row 7</v>
      </c>
      <c r="C63" s="49"/>
      <c r="D63" s="49"/>
      <c r="E63" s="49"/>
      <c r="F63" s="49"/>
      <c r="G63" s="49"/>
      <c r="H63" s="49"/>
      <c r="I63" s="49"/>
      <c r="J63" s="49"/>
      <c r="K63" s="50"/>
    </row>
  </sheetData>
  <mergeCells count="22">
    <mergeCell ref="B62:K62"/>
    <mergeCell ref="B63:K63"/>
    <mergeCell ref="B49:K49"/>
    <mergeCell ref="B50:K50"/>
    <mergeCell ref="B51:K51"/>
    <mergeCell ref="B52:K52"/>
    <mergeCell ref="B53:K53"/>
    <mergeCell ref="B54:K54"/>
    <mergeCell ref="B55:K55"/>
    <mergeCell ref="B57:K57"/>
    <mergeCell ref="B58:K58"/>
    <mergeCell ref="B59:K59"/>
    <mergeCell ref="B60:K60"/>
    <mergeCell ref="B61:K61"/>
    <mergeCell ref="B42:K42"/>
    <mergeCell ref="B44:K44"/>
    <mergeCell ref="B45:K45"/>
    <mergeCell ref="B2:K3"/>
    <mergeCell ref="B37:C37"/>
    <mergeCell ref="B38:C38"/>
    <mergeCell ref="B39:C39"/>
    <mergeCell ref="B41:K4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12C9-493C-3E4D-A48D-9C2232202CED}">
  <dimension ref="B1:K67"/>
  <sheetViews>
    <sheetView topLeftCell="A36" zoomScale="113" workbookViewId="0">
      <selection activeCell="B46" sqref="B46:K49"/>
    </sheetView>
  </sheetViews>
  <sheetFormatPr baseColWidth="10" defaultRowHeight="16" x14ac:dyDescent="0.2"/>
  <cols>
    <col min="1" max="1" width="7.33203125" style="27" customWidth="1"/>
    <col min="2" max="2" width="10.1640625" style="27" bestFit="1" customWidth="1"/>
    <col min="3" max="11" width="7" style="27" customWidth="1"/>
    <col min="12" max="16384" width="10.83203125" style="27"/>
  </cols>
  <sheetData>
    <row r="1" spans="2:11" x14ac:dyDescent="0.2">
      <c r="C1" s="44"/>
    </row>
    <row r="2" spans="2:11" ht="16" customHeight="1" x14ac:dyDescent="0.2">
      <c r="B2" s="53" t="s">
        <v>34</v>
      </c>
      <c r="C2" s="53"/>
      <c r="D2" s="53"/>
      <c r="E2" s="53"/>
      <c r="F2" s="53"/>
      <c r="G2" s="53"/>
      <c r="H2" s="53"/>
      <c r="I2" s="53"/>
      <c r="J2" s="53"/>
      <c r="K2" s="53"/>
    </row>
    <row r="3" spans="2:11" ht="17" customHeight="1" x14ac:dyDescent="0.2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2:11" x14ac:dyDescent="0.2">
      <c r="K4" s="27" t="s">
        <v>102</v>
      </c>
    </row>
    <row r="5" spans="2:11" x14ac:dyDescent="0.2">
      <c r="B5" s="27" t="s">
        <v>68</v>
      </c>
      <c r="C5" s="45">
        <v>0</v>
      </c>
      <c r="D5" s="45" t="s">
        <v>61</v>
      </c>
      <c r="E5" s="45" t="s">
        <v>62</v>
      </c>
      <c r="F5" s="45" t="s">
        <v>28</v>
      </c>
      <c r="G5" s="45" t="s">
        <v>63</v>
      </c>
      <c r="H5" s="45">
        <v>299</v>
      </c>
      <c r="I5" s="45">
        <v>377</v>
      </c>
      <c r="J5" s="45">
        <v>454</v>
      </c>
      <c r="K5" s="45" t="s">
        <v>77</v>
      </c>
    </row>
    <row r="6" spans="2:11" x14ac:dyDescent="0.2">
      <c r="B6" s="27" t="s">
        <v>80</v>
      </c>
      <c r="C6" s="45">
        <v>0</v>
      </c>
      <c r="D6" s="45" t="s">
        <v>61</v>
      </c>
      <c r="E6" s="45" t="s">
        <v>62</v>
      </c>
      <c r="F6" s="45" t="s">
        <v>28</v>
      </c>
      <c r="G6" s="45" t="s">
        <v>63</v>
      </c>
      <c r="H6" s="45">
        <v>299</v>
      </c>
      <c r="I6" s="45">
        <v>377</v>
      </c>
      <c r="J6" s="45">
        <v>454</v>
      </c>
      <c r="K6" s="45" t="s">
        <v>77</v>
      </c>
    </row>
    <row r="7" spans="2:11" x14ac:dyDescent="0.2">
      <c r="B7" s="27" t="s">
        <v>81</v>
      </c>
      <c r="C7" s="45">
        <v>0</v>
      </c>
      <c r="D7" s="45" t="s">
        <v>62</v>
      </c>
      <c r="E7" s="45" t="s">
        <v>28</v>
      </c>
      <c r="F7" s="45" t="s">
        <v>29</v>
      </c>
      <c r="G7" s="45">
        <v>290</v>
      </c>
      <c r="H7" s="45">
        <v>377</v>
      </c>
      <c r="I7" s="45">
        <v>454</v>
      </c>
      <c r="J7" s="45">
        <v>610</v>
      </c>
      <c r="K7" s="45" t="s">
        <v>77</v>
      </c>
    </row>
    <row r="8" spans="2:11" x14ac:dyDescent="0.2">
      <c r="B8" s="27" t="s">
        <v>82</v>
      </c>
      <c r="C8" s="45">
        <v>0</v>
      </c>
      <c r="D8" s="45" t="s">
        <v>62</v>
      </c>
      <c r="E8" s="45" t="s">
        <v>28</v>
      </c>
      <c r="F8" s="45" t="s">
        <v>29</v>
      </c>
      <c r="G8" s="45">
        <v>290</v>
      </c>
      <c r="H8" s="45">
        <v>377</v>
      </c>
      <c r="I8" s="45">
        <v>454</v>
      </c>
      <c r="J8" s="45">
        <v>610</v>
      </c>
      <c r="K8" s="45" t="s">
        <v>77</v>
      </c>
    </row>
    <row r="9" spans="2:11" x14ac:dyDescent="0.2">
      <c r="B9" s="27" t="s">
        <v>83</v>
      </c>
      <c r="C9" s="45">
        <v>0</v>
      </c>
      <c r="D9" s="45" t="s">
        <v>62</v>
      </c>
      <c r="E9" s="45" t="s">
        <v>28</v>
      </c>
      <c r="F9" s="45" t="s">
        <v>29</v>
      </c>
      <c r="G9" s="45">
        <v>290</v>
      </c>
      <c r="H9" s="45">
        <v>377</v>
      </c>
      <c r="I9" s="45">
        <v>454</v>
      </c>
      <c r="J9" s="45">
        <v>610</v>
      </c>
      <c r="K9" s="45" t="s">
        <v>77</v>
      </c>
    </row>
    <row r="10" spans="2:11" x14ac:dyDescent="0.2">
      <c r="B10" s="27" t="s">
        <v>84</v>
      </c>
      <c r="C10" s="45">
        <v>0</v>
      </c>
      <c r="D10" s="45" t="s">
        <v>62</v>
      </c>
      <c r="E10" s="45" t="s">
        <v>28</v>
      </c>
      <c r="F10" s="45" t="s">
        <v>29</v>
      </c>
      <c r="G10" s="45">
        <v>290</v>
      </c>
      <c r="H10" s="45">
        <v>377</v>
      </c>
      <c r="I10" s="45">
        <v>454</v>
      </c>
      <c r="J10" s="45">
        <v>610</v>
      </c>
      <c r="K10" s="45" t="s">
        <v>77</v>
      </c>
    </row>
    <row r="11" spans="2:11" x14ac:dyDescent="0.2">
      <c r="B11" s="27" t="s">
        <v>85</v>
      </c>
      <c r="C11" s="45">
        <v>0</v>
      </c>
      <c r="D11" s="45" t="s">
        <v>62</v>
      </c>
      <c r="E11" s="45" t="s">
        <v>63</v>
      </c>
      <c r="F11" s="45">
        <v>299</v>
      </c>
      <c r="G11" s="45">
        <v>377</v>
      </c>
      <c r="H11" s="45">
        <v>455</v>
      </c>
      <c r="I11" s="45">
        <v>532</v>
      </c>
      <c r="J11" s="45">
        <v>610</v>
      </c>
      <c r="K11" s="45" t="s">
        <v>77</v>
      </c>
    </row>
    <row r="13" spans="2:11" x14ac:dyDescent="0.2">
      <c r="B13" s="27" t="s">
        <v>86</v>
      </c>
      <c r="C13" s="27" t="str">
        <f>DEC2HEX(_xlfn.BITLSHIFT(ROUND(HEX2DEC(C5)/SQRT(3),0),2))</f>
        <v>0</v>
      </c>
      <c r="D13" s="27" t="str">
        <f t="shared" ref="D13:K19" si="0">DEC2HEX(_xlfn.BITLSHIFT(ROUND(HEX2DEC(D5)/SQRT(3),0),2))</f>
        <v>100</v>
      </c>
      <c r="E13" s="27" t="str">
        <f t="shared" si="0"/>
        <v>200</v>
      </c>
      <c r="F13" s="27" t="str">
        <f t="shared" si="0"/>
        <v>300</v>
      </c>
      <c r="G13" s="27" t="str">
        <f t="shared" si="0"/>
        <v>400</v>
      </c>
      <c r="H13" s="27" t="str">
        <f t="shared" si="0"/>
        <v>600</v>
      </c>
      <c r="I13" s="27" t="str">
        <f t="shared" si="0"/>
        <v>800</v>
      </c>
      <c r="J13" s="27" t="str">
        <f t="shared" si="0"/>
        <v>A00</v>
      </c>
      <c r="K13" s="27" t="str">
        <f t="shared" si="0"/>
        <v>F00</v>
      </c>
    </row>
    <row r="14" spans="2:11" x14ac:dyDescent="0.2">
      <c r="B14" s="27" t="s">
        <v>87</v>
      </c>
      <c r="C14" s="27" t="str">
        <f t="shared" ref="C14:C19" si="1">DEC2HEX(_xlfn.BITLSHIFT(ROUND(HEX2DEC(C6)/SQRT(3),0),2))</f>
        <v>0</v>
      </c>
      <c r="D14" s="27" t="str">
        <f t="shared" si="0"/>
        <v>100</v>
      </c>
      <c r="E14" s="27" t="str">
        <f t="shared" si="0"/>
        <v>200</v>
      </c>
      <c r="F14" s="27" t="str">
        <f t="shared" si="0"/>
        <v>300</v>
      </c>
      <c r="G14" s="27" t="str">
        <f t="shared" si="0"/>
        <v>400</v>
      </c>
      <c r="H14" s="27" t="str">
        <f t="shared" si="0"/>
        <v>600</v>
      </c>
      <c r="I14" s="27" t="str">
        <f t="shared" si="0"/>
        <v>800</v>
      </c>
      <c r="J14" s="27" t="str">
        <f t="shared" si="0"/>
        <v>A00</v>
      </c>
      <c r="K14" s="27" t="str">
        <f t="shared" si="0"/>
        <v>F00</v>
      </c>
    </row>
    <row r="15" spans="2:11" x14ac:dyDescent="0.2">
      <c r="B15" s="27" t="s">
        <v>88</v>
      </c>
      <c r="C15" s="27" t="str">
        <f t="shared" si="1"/>
        <v>0</v>
      </c>
      <c r="D15" s="27" t="str">
        <f t="shared" si="0"/>
        <v>200</v>
      </c>
      <c r="E15" s="27" t="str">
        <f t="shared" si="0"/>
        <v>300</v>
      </c>
      <c r="F15" s="27" t="str">
        <f t="shared" si="0"/>
        <v>478</v>
      </c>
      <c r="G15" s="27" t="str">
        <f t="shared" si="0"/>
        <v>5EC</v>
      </c>
      <c r="H15" s="27" t="str">
        <f t="shared" si="0"/>
        <v>800</v>
      </c>
      <c r="I15" s="27" t="str">
        <f t="shared" si="0"/>
        <v>A00</v>
      </c>
      <c r="J15" s="27" t="str">
        <f t="shared" si="0"/>
        <v>E00</v>
      </c>
      <c r="K15" s="27" t="str">
        <f t="shared" si="0"/>
        <v>F00</v>
      </c>
    </row>
    <row r="16" spans="2:11" x14ac:dyDescent="0.2">
      <c r="B16" s="27" t="s">
        <v>89</v>
      </c>
      <c r="C16" s="27" t="str">
        <f t="shared" si="1"/>
        <v>0</v>
      </c>
      <c r="D16" s="27" t="str">
        <f t="shared" si="0"/>
        <v>200</v>
      </c>
      <c r="E16" s="27" t="str">
        <f t="shared" si="0"/>
        <v>300</v>
      </c>
      <c r="F16" s="27" t="str">
        <f t="shared" si="0"/>
        <v>478</v>
      </c>
      <c r="G16" s="27" t="str">
        <f t="shared" si="0"/>
        <v>5EC</v>
      </c>
      <c r="H16" s="27" t="str">
        <f t="shared" si="0"/>
        <v>800</v>
      </c>
      <c r="I16" s="27" t="str">
        <f t="shared" si="0"/>
        <v>A00</v>
      </c>
      <c r="J16" s="27" t="str">
        <f t="shared" si="0"/>
        <v>E00</v>
      </c>
      <c r="K16" s="27" t="str">
        <f t="shared" si="0"/>
        <v>F00</v>
      </c>
    </row>
    <row r="17" spans="2:11" x14ac:dyDescent="0.2">
      <c r="B17" s="27" t="s">
        <v>90</v>
      </c>
      <c r="C17" s="27" t="str">
        <f t="shared" si="1"/>
        <v>0</v>
      </c>
      <c r="D17" s="27" t="str">
        <f t="shared" si="0"/>
        <v>200</v>
      </c>
      <c r="E17" s="27" t="str">
        <f t="shared" si="0"/>
        <v>300</v>
      </c>
      <c r="F17" s="27" t="str">
        <f t="shared" si="0"/>
        <v>478</v>
      </c>
      <c r="G17" s="27" t="str">
        <f t="shared" si="0"/>
        <v>5EC</v>
      </c>
      <c r="H17" s="27" t="str">
        <f t="shared" si="0"/>
        <v>800</v>
      </c>
      <c r="I17" s="27" t="str">
        <f t="shared" si="0"/>
        <v>A00</v>
      </c>
      <c r="J17" s="27" t="str">
        <f t="shared" si="0"/>
        <v>E00</v>
      </c>
      <c r="K17" s="27" t="str">
        <f t="shared" si="0"/>
        <v>F00</v>
      </c>
    </row>
    <row r="18" spans="2:11" x14ac:dyDescent="0.2">
      <c r="B18" s="27" t="s">
        <v>91</v>
      </c>
      <c r="C18" s="27" t="str">
        <f t="shared" si="1"/>
        <v>0</v>
      </c>
      <c r="D18" s="27" t="str">
        <f t="shared" si="0"/>
        <v>200</v>
      </c>
      <c r="E18" s="27" t="str">
        <f t="shared" si="0"/>
        <v>300</v>
      </c>
      <c r="F18" s="27" t="str">
        <f t="shared" si="0"/>
        <v>478</v>
      </c>
      <c r="G18" s="27" t="str">
        <f t="shared" si="0"/>
        <v>5EC</v>
      </c>
      <c r="H18" s="27" t="str">
        <f t="shared" si="0"/>
        <v>800</v>
      </c>
      <c r="I18" s="27" t="str">
        <f t="shared" si="0"/>
        <v>A00</v>
      </c>
      <c r="J18" s="27" t="str">
        <f t="shared" si="0"/>
        <v>E00</v>
      </c>
      <c r="K18" s="27" t="str">
        <f t="shared" si="0"/>
        <v>F00</v>
      </c>
    </row>
    <row r="19" spans="2:11" x14ac:dyDescent="0.2">
      <c r="B19" s="27" t="s">
        <v>92</v>
      </c>
      <c r="C19" s="27" t="str">
        <f t="shared" si="1"/>
        <v>0</v>
      </c>
      <c r="D19" s="27" t="str">
        <f t="shared" si="0"/>
        <v>200</v>
      </c>
      <c r="E19" s="27" t="str">
        <f t="shared" si="0"/>
        <v>400</v>
      </c>
      <c r="F19" s="27" t="str">
        <f t="shared" si="0"/>
        <v>600</v>
      </c>
      <c r="G19" s="27" t="str">
        <f t="shared" si="0"/>
        <v>800</v>
      </c>
      <c r="H19" s="27" t="str">
        <f t="shared" si="0"/>
        <v>A00</v>
      </c>
      <c r="I19" s="27" t="str">
        <f t="shared" si="0"/>
        <v>C00</v>
      </c>
      <c r="J19" s="27" t="str">
        <f t="shared" si="0"/>
        <v>E00</v>
      </c>
      <c r="K19" s="27" t="str">
        <f t="shared" si="0"/>
        <v>F00</v>
      </c>
    </row>
    <row r="21" spans="2:11" x14ac:dyDescent="0.2">
      <c r="B21" s="27" t="s">
        <v>109</v>
      </c>
      <c r="C21" s="46">
        <v>0</v>
      </c>
      <c r="D21" s="46">
        <v>580</v>
      </c>
      <c r="E21" s="46" t="s">
        <v>123</v>
      </c>
      <c r="F21" s="46" t="s">
        <v>124</v>
      </c>
      <c r="G21" s="46" t="s">
        <v>10</v>
      </c>
      <c r="H21" s="46" t="s">
        <v>125</v>
      </c>
      <c r="I21" s="46" t="s">
        <v>126</v>
      </c>
      <c r="J21" s="46">
        <v>1300</v>
      </c>
      <c r="K21" s="46">
        <v>1400</v>
      </c>
    </row>
    <row r="22" spans="2:11" x14ac:dyDescent="0.2">
      <c r="B22" s="27" t="s">
        <v>110</v>
      </c>
      <c r="C22" s="46">
        <v>0</v>
      </c>
      <c r="D22" s="46">
        <v>500</v>
      </c>
      <c r="E22" s="46">
        <v>800</v>
      </c>
      <c r="F22" s="46" t="s">
        <v>123</v>
      </c>
      <c r="G22" s="46" t="s">
        <v>69</v>
      </c>
      <c r="H22" s="46" t="s">
        <v>127</v>
      </c>
      <c r="I22" s="46">
        <v>1000</v>
      </c>
      <c r="J22" s="46">
        <v>1180</v>
      </c>
      <c r="K22" s="46">
        <v>1400</v>
      </c>
    </row>
    <row r="23" spans="2:11" x14ac:dyDescent="0.2">
      <c r="B23" s="27" t="s">
        <v>111</v>
      </c>
      <c r="C23" s="46">
        <v>0</v>
      </c>
      <c r="D23" s="46">
        <v>746</v>
      </c>
      <c r="E23" s="46" t="s">
        <v>128</v>
      </c>
      <c r="F23" s="46" t="s">
        <v>129</v>
      </c>
      <c r="G23" s="46" t="s">
        <v>130</v>
      </c>
      <c r="H23" s="46">
        <v>1008</v>
      </c>
      <c r="I23" s="46">
        <v>1200</v>
      </c>
      <c r="J23" s="46">
        <v>1200</v>
      </c>
      <c r="K23" s="46">
        <v>1200</v>
      </c>
    </row>
    <row r="24" spans="2:11" x14ac:dyDescent="0.2">
      <c r="B24" s="27" t="s">
        <v>112</v>
      </c>
      <c r="C24" s="46">
        <v>0</v>
      </c>
      <c r="D24" s="46">
        <v>746</v>
      </c>
      <c r="E24" s="46" t="s">
        <v>128</v>
      </c>
      <c r="F24" s="46" t="s">
        <v>129</v>
      </c>
      <c r="G24" s="46" t="s">
        <v>130</v>
      </c>
      <c r="H24" s="46">
        <v>1008</v>
      </c>
      <c r="I24" s="46">
        <v>1200</v>
      </c>
      <c r="J24" s="46">
        <v>1200</v>
      </c>
      <c r="K24" s="46">
        <v>1200</v>
      </c>
    </row>
    <row r="25" spans="2:11" x14ac:dyDescent="0.2">
      <c r="B25" s="27" t="s">
        <v>113</v>
      </c>
      <c r="C25" s="46">
        <v>0</v>
      </c>
      <c r="D25" s="46">
        <v>746</v>
      </c>
      <c r="E25" s="46" t="s">
        <v>128</v>
      </c>
      <c r="F25" s="46" t="s">
        <v>129</v>
      </c>
      <c r="G25" s="46" t="s">
        <v>130</v>
      </c>
      <c r="H25" s="46">
        <v>1008</v>
      </c>
      <c r="I25" s="46">
        <v>1200</v>
      </c>
      <c r="J25" s="46">
        <v>1200</v>
      </c>
      <c r="K25" s="46">
        <v>1200</v>
      </c>
    </row>
    <row r="26" spans="2:11" x14ac:dyDescent="0.2">
      <c r="B26" s="27" t="s">
        <v>114</v>
      </c>
      <c r="C26" s="46">
        <v>0</v>
      </c>
      <c r="D26" s="46">
        <v>746</v>
      </c>
      <c r="E26" s="46" t="s">
        <v>128</v>
      </c>
      <c r="F26" s="46" t="s">
        <v>129</v>
      </c>
      <c r="G26" s="46" t="s">
        <v>130</v>
      </c>
      <c r="H26" s="46">
        <v>1008</v>
      </c>
      <c r="I26" s="46">
        <v>1200</v>
      </c>
      <c r="J26" s="46">
        <v>1200</v>
      </c>
      <c r="K26" s="46">
        <v>1200</v>
      </c>
    </row>
    <row r="27" spans="2:11" x14ac:dyDescent="0.2">
      <c r="B27" s="27" t="s">
        <v>115</v>
      </c>
      <c r="C27" s="45">
        <v>0</v>
      </c>
      <c r="D27" s="47" t="s">
        <v>97</v>
      </c>
      <c r="E27" s="45" t="s">
        <v>103</v>
      </c>
      <c r="F27" s="45" t="s">
        <v>104</v>
      </c>
      <c r="G27" s="45" t="s">
        <v>105</v>
      </c>
      <c r="H27" s="45" t="s">
        <v>106</v>
      </c>
      <c r="I27" s="45" t="s">
        <v>107</v>
      </c>
      <c r="J27" s="45" t="s">
        <v>108</v>
      </c>
      <c r="K27" s="45" t="s">
        <v>108</v>
      </c>
    </row>
    <row r="29" spans="2:11" x14ac:dyDescent="0.2">
      <c r="B29" s="27" t="s">
        <v>116</v>
      </c>
      <c r="C29" s="27">
        <f>C21</f>
        <v>0</v>
      </c>
      <c r="D29" s="27">
        <f t="shared" ref="D29:J30" si="2">D21</f>
        <v>580</v>
      </c>
      <c r="E29" s="27" t="str">
        <f t="shared" si="2"/>
        <v>a00</v>
      </c>
      <c r="F29" s="27" t="str">
        <f t="shared" si="2"/>
        <v>d00</v>
      </c>
      <c r="G29" s="27" t="str">
        <f t="shared" si="2"/>
        <v>f00</v>
      </c>
      <c r="H29" s="27" t="str">
        <f t="shared" si="2"/>
        <v>10c0</v>
      </c>
      <c r="I29" s="27" t="str">
        <f t="shared" si="2"/>
        <v>11ff</v>
      </c>
      <c r="J29" s="27">
        <f t="shared" si="2"/>
        <v>1300</v>
      </c>
      <c r="K29" s="65" t="str">
        <f>DEC2HEX(HEX2DEC(K21)*D$37)</f>
        <v>2800</v>
      </c>
    </row>
    <row r="30" spans="2:11" x14ac:dyDescent="0.2">
      <c r="B30" s="27" t="s">
        <v>117</v>
      </c>
      <c r="C30" s="27">
        <f t="shared" ref="C30:I35" si="3">C22</f>
        <v>0</v>
      </c>
      <c r="D30" s="27">
        <f t="shared" si="3"/>
        <v>500</v>
      </c>
      <c r="E30" s="27">
        <f t="shared" si="3"/>
        <v>800</v>
      </c>
      <c r="F30" s="27" t="str">
        <f t="shared" si="3"/>
        <v>a00</v>
      </c>
      <c r="G30" s="27" t="str">
        <f t="shared" si="3"/>
        <v>c00</v>
      </c>
      <c r="H30" s="27" t="str">
        <f t="shared" si="3"/>
        <v>e00</v>
      </c>
      <c r="I30" s="27">
        <f t="shared" si="2"/>
        <v>1000</v>
      </c>
      <c r="J30" s="27">
        <f t="shared" si="2"/>
        <v>1180</v>
      </c>
      <c r="K30" s="65" t="str">
        <f t="shared" ref="K30:K35" si="4">DEC2HEX(HEX2DEC(K22)*D$37)</f>
        <v>2800</v>
      </c>
    </row>
    <row r="31" spans="2:11" x14ac:dyDescent="0.2">
      <c r="B31" s="27" t="s">
        <v>118</v>
      </c>
      <c r="C31" s="27">
        <f t="shared" si="3"/>
        <v>0</v>
      </c>
      <c r="D31" s="27">
        <f t="shared" si="3"/>
        <v>746</v>
      </c>
      <c r="E31" s="27" t="str">
        <f t="shared" si="3"/>
        <v>b04</v>
      </c>
      <c r="F31" s="27" t="str">
        <f t="shared" si="3"/>
        <v>cdf</v>
      </c>
      <c r="G31" s="27" t="str">
        <f t="shared" si="3"/>
        <v>e19</v>
      </c>
      <c r="H31" s="27">
        <f t="shared" si="3"/>
        <v>1008</v>
      </c>
      <c r="I31" s="27">
        <f t="shared" si="3"/>
        <v>1200</v>
      </c>
      <c r="J31" s="65" t="str">
        <f t="shared" ref="J30:J35" si="5">DEC2HEX(HEX2DEC(K31)-HEX2DEC(I31)/2)</f>
        <v>1B00</v>
      </c>
      <c r="K31" s="65" t="str">
        <f t="shared" si="4"/>
        <v>2400</v>
      </c>
    </row>
    <row r="32" spans="2:11" x14ac:dyDescent="0.2">
      <c r="B32" s="27" t="s">
        <v>119</v>
      </c>
      <c r="C32" s="27">
        <f t="shared" si="3"/>
        <v>0</v>
      </c>
      <c r="D32" s="27">
        <f t="shared" si="3"/>
        <v>746</v>
      </c>
      <c r="E32" s="27" t="str">
        <f t="shared" si="3"/>
        <v>b04</v>
      </c>
      <c r="F32" s="27" t="str">
        <f t="shared" si="3"/>
        <v>cdf</v>
      </c>
      <c r="G32" s="27" t="str">
        <f t="shared" si="3"/>
        <v>e19</v>
      </c>
      <c r="H32" s="27">
        <f t="shared" si="3"/>
        <v>1008</v>
      </c>
      <c r="I32" s="27">
        <f t="shared" si="3"/>
        <v>1200</v>
      </c>
      <c r="J32" s="65" t="str">
        <f t="shared" si="5"/>
        <v>1B00</v>
      </c>
      <c r="K32" s="65" t="str">
        <f t="shared" si="4"/>
        <v>2400</v>
      </c>
    </row>
    <row r="33" spans="2:11" x14ac:dyDescent="0.2">
      <c r="B33" s="27" t="s">
        <v>120</v>
      </c>
      <c r="C33" s="27">
        <f t="shared" si="3"/>
        <v>0</v>
      </c>
      <c r="D33" s="27">
        <f t="shared" si="3"/>
        <v>746</v>
      </c>
      <c r="E33" s="27" t="str">
        <f t="shared" si="3"/>
        <v>b04</v>
      </c>
      <c r="F33" s="27" t="str">
        <f t="shared" si="3"/>
        <v>cdf</v>
      </c>
      <c r="G33" s="27" t="str">
        <f t="shared" si="3"/>
        <v>e19</v>
      </c>
      <c r="H33" s="27">
        <f t="shared" si="3"/>
        <v>1008</v>
      </c>
      <c r="I33" s="27">
        <f t="shared" si="3"/>
        <v>1200</v>
      </c>
      <c r="J33" s="65" t="str">
        <f t="shared" si="5"/>
        <v>1B00</v>
      </c>
      <c r="K33" s="65" t="str">
        <f t="shared" si="4"/>
        <v>2400</v>
      </c>
    </row>
    <row r="34" spans="2:11" x14ac:dyDescent="0.2">
      <c r="B34" s="27" t="s">
        <v>121</v>
      </c>
      <c r="C34" s="27">
        <f t="shared" si="3"/>
        <v>0</v>
      </c>
      <c r="D34" s="27">
        <f t="shared" si="3"/>
        <v>746</v>
      </c>
      <c r="E34" s="27" t="str">
        <f t="shared" si="3"/>
        <v>b04</v>
      </c>
      <c r="F34" s="27" t="str">
        <f t="shared" si="3"/>
        <v>cdf</v>
      </c>
      <c r="G34" s="27" t="str">
        <f t="shared" si="3"/>
        <v>e19</v>
      </c>
      <c r="H34" s="27">
        <f t="shared" si="3"/>
        <v>1008</v>
      </c>
      <c r="I34" s="27">
        <f t="shared" si="3"/>
        <v>1200</v>
      </c>
      <c r="J34" s="65" t="str">
        <f t="shared" si="5"/>
        <v>1B00</v>
      </c>
      <c r="K34" s="65" t="str">
        <f t="shared" si="4"/>
        <v>2400</v>
      </c>
    </row>
    <row r="35" spans="2:11" x14ac:dyDescent="0.2">
      <c r="B35" s="27" t="s">
        <v>122</v>
      </c>
      <c r="C35" s="27">
        <f t="shared" si="3"/>
        <v>0</v>
      </c>
      <c r="D35" s="27" t="str">
        <f t="shared" si="3"/>
        <v>6b3</v>
      </c>
      <c r="E35" s="27" t="str">
        <f t="shared" si="3"/>
        <v>b1a</v>
      </c>
      <c r="F35" s="27" t="str">
        <f t="shared" si="3"/>
        <v>ccd</v>
      </c>
      <c r="G35" s="27" t="str">
        <f t="shared" si="3"/>
        <v>e9a</v>
      </c>
      <c r="H35" s="27" t="str">
        <f t="shared" si="3"/>
        <v>104d</v>
      </c>
      <c r="I35" s="65" t="str">
        <f t="shared" si="3"/>
        <v>119a</v>
      </c>
      <c r="J35" s="65" t="str">
        <f t="shared" si="5"/>
        <v>1AE7</v>
      </c>
      <c r="K35" s="65" t="str">
        <f t="shared" si="4"/>
        <v>23B4</v>
      </c>
    </row>
    <row r="37" spans="2:11" x14ac:dyDescent="0.2">
      <c r="B37" s="51" t="s">
        <v>60</v>
      </c>
      <c r="C37" s="51"/>
      <c r="D37" s="45">
        <v>2</v>
      </c>
    </row>
    <row r="38" spans="2:11" x14ac:dyDescent="0.2">
      <c r="B38" s="51" t="s">
        <v>12</v>
      </c>
      <c r="C38" s="51"/>
      <c r="D38" s="45" t="s">
        <v>10</v>
      </c>
    </row>
    <row r="39" spans="2:11" x14ac:dyDescent="0.2">
      <c r="B39" s="52" t="s">
        <v>38</v>
      </c>
      <c r="C39" s="52"/>
      <c r="D39" s="46">
        <v>1</v>
      </c>
    </row>
    <row r="40" spans="2:11" ht="17" thickBot="1" x14ac:dyDescent="0.25"/>
    <row r="41" spans="2:11" ht="50" customHeight="1" thickBot="1" x14ac:dyDescent="0.25">
      <c r="B41" s="55" t="str">
        <f>"if self.CS.steer_config_index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self.CS.steer_config_index == 1: ret.lateralParams.torqueBP, ret.lateralParams.torqueV = [[0x0, 0x580, 0xa00, 0xd00, 0xf00, 0x10c0, 0x11ff, 0x1300, 0x2800], [0x0, 0x100, 0x200, 0x300, 0x400, 0x600, 0x800, 0xA00, 0xF00]]</v>
      </c>
      <c r="C41" s="56"/>
      <c r="D41" s="56"/>
      <c r="E41" s="56"/>
      <c r="F41" s="56"/>
      <c r="G41" s="56"/>
      <c r="H41" s="56"/>
      <c r="I41" s="56"/>
      <c r="J41" s="56"/>
      <c r="K41" s="57"/>
    </row>
    <row r="42" spans="2:11" ht="50" customHeight="1" thickBot="1" x14ac:dyDescent="0.25">
      <c r="B42" s="55" t="str">
        <f>"elif self.CS.steer_config_index == 2: ret.lateralParams.torqueBP, ret.lateralParams.torqueV = [[0x" &amp; C30 &amp; ", 0x" &amp; D30 &amp; ", 0x" &amp; E30 &amp; ", 0x" &amp;F30 &amp; ", 0x" &amp; G30 &amp; ", 0x" &amp; H30 &amp; ", 0x" &amp; I30 &amp; ", 0x" &amp; J30 &amp; ", 0x" &amp; K30 &amp; "], [0x" &amp; C14 &amp; ", 0x" &amp; D14 &amp; ", 0x" &amp; E14 &amp; ", 0x" &amp;F14 &amp; ", 0x" &amp; G14 &amp; ", 0x" &amp; H14 &amp; ", 0x" &amp; I14 &amp; ", 0x" &amp; J14 &amp; ", 0x" &amp; K14 &amp; "]]"</f>
        <v>elif self.CS.steer_config_index == 2: ret.lateralParams.torqueBP, ret.lateralParams.torqueV = [[0x0, 0x500, 0x800, 0xa00, 0xc00, 0xe00, 0x1000, 0x1180, 0x2800], [0x0, 0x100, 0x200, 0x300, 0x400, 0x600, 0x800, 0xA00, 0xF00]]</v>
      </c>
      <c r="C42" s="56"/>
      <c r="D42" s="56"/>
      <c r="E42" s="56"/>
      <c r="F42" s="56"/>
      <c r="G42" s="56"/>
      <c r="H42" s="56"/>
      <c r="I42" s="56"/>
      <c r="J42" s="56"/>
      <c r="K42" s="57"/>
    </row>
    <row r="43" spans="2:11" ht="50" customHeight="1" thickBot="1" x14ac:dyDescent="0.25">
      <c r="B43" s="55" t="str">
        <f>"elif self.CS.steer_config_index in [3, 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self.CS.steer_config_index in [3, 4, 5, 6]: ret.lateralParams.torqueBP, ret.lateralParams.torqueV = [[0x0, 0x746, 0xb04, 0xcdf, 0xe19, 0x1008, 0x1200, 0x1B00, 0x2400], [0x0, 0x200, 0x300, 0x478, 0x5EC, 0x800, 0xA00, 0xE00, 0xF00]]</v>
      </c>
      <c r="C43" s="56"/>
      <c r="D43" s="56"/>
      <c r="E43" s="56"/>
      <c r="F43" s="56"/>
      <c r="G43" s="56"/>
      <c r="H43" s="56"/>
      <c r="I43" s="56"/>
      <c r="J43" s="56"/>
      <c r="K43" s="57"/>
    </row>
    <row r="44" spans="2:11" ht="50" customHeight="1" thickBot="1" x14ac:dyDescent="0.25">
      <c r="B44" s="55" t="str">
        <f>"elif self.CS.steer_config_index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self.CS.steer_config_index == 7: ret.lateralParams.torqueBP, ret.lateralParams.torqueV = [[0x0, 0x6b3, 0xb1a, 0xccd, 0xe9a, 0x104d, 0x119a, 0x1AE7, 0x23B4], [0x0, 0x200, 0x400, 0x600, 0x800, 0xA00, 0xC00, 0xE00, 0xF00]]</v>
      </c>
      <c r="C44" s="56"/>
      <c r="D44" s="56"/>
      <c r="E44" s="56"/>
      <c r="F44" s="56"/>
      <c r="G44" s="56"/>
      <c r="H44" s="56"/>
      <c r="I44" s="56"/>
      <c r="J44" s="56"/>
      <c r="K44" s="57"/>
    </row>
    <row r="45" spans="2:11" ht="17" thickBot="1" x14ac:dyDescent="0.25">
      <c r="B45" s="54"/>
      <c r="C45" s="30"/>
      <c r="D45" s="54"/>
      <c r="E45" s="54"/>
      <c r="F45" s="54"/>
      <c r="G45" s="54"/>
      <c r="H45" s="54"/>
      <c r="I45" s="54"/>
      <c r="J45" s="54"/>
      <c r="K45" s="54"/>
    </row>
    <row r="46" spans="2:11" ht="52" customHeight="1" thickBot="1" x14ac:dyDescent="0.25">
      <c r="B46" s="55" t="str">
        <f>"if self.CS.steer_config_index == 1: ret.lateralParams.torqueBP, ret.lateralParams.torqueV = [[0x" &amp; C21 &amp; ", 0x" &amp; D21 &amp; ", 0x" &amp; E21 &amp; ", 0x" &amp;F21 &amp; ", 0x" &amp; G21 &amp; ", 0x" &amp; H21 &amp; ", 0x" &amp; I21 &amp; ", 0x" &amp; J21 &amp; ", 0x" &amp; K21 &amp; "], [0x" &amp; C13 &amp; ", 0x" &amp; D13 &amp; ", 0x" &amp; E13 &amp; ", 0x" &amp;F13 &amp; ", 0x" &amp; G13 &amp; ", 0x" &amp; H13 &amp; ", 0x" &amp; I13 &amp; ", 0x" &amp; J13 &amp; ", 0x" &amp; K13 &amp; "]]"</f>
        <v>if self.CS.steer_config_index == 1: ret.lateralParams.torqueBP, ret.lateralParams.torqueV = [[0x0, 0x580, 0xa00, 0xd00, 0xf00, 0x10c0, 0x11ff, 0x1300, 0x1400], [0x0, 0x100, 0x200, 0x300, 0x400, 0x600, 0x800, 0xA00, 0xF00]]</v>
      </c>
      <c r="C46" s="56"/>
      <c r="D46" s="56"/>
      <c r="E46" s="56"/>
      <c r="F46" s="56"/>
      <c r="G46" s="56"/>
      <c r="H46" s="56"/>
      <c r="I46" s="56"/>
      <c r="J46" s="56"/>
      <c r="K46" s="57"/>
    </row>
    <row r="47" spans="2:11" ht="52" customHeight="1" thickBot="1" x14ac:dyDescent="0.25">
      <c r="B47" s="55" t="str">
        <f>"elif self.CS.steer_config_index == 2: ret.lateralParams.torqueBP, ret.lateralParams.torqueV = [[0x" &amp; C22 &amp; ", 0x" &amp; D22 &amp; ", 0x" &amp; E22 &amp; ", 0x" &amp;F22 &amp; ", 0x" &amp; G22 &amp; ", 0x" &amp; H22 &amp; ", 0x" &amp; I22 &amp; ", 0x" &amp; J22 &amp; ", 0x" &amp; K22 &amp; "], [0x" &amp; C14 &amp; ", 0x" &amp; D14 &amp; ", 0x" &amp; E14 &amp; ", 0x" &amp;F14 &amp; ", 0x" &amp; G14 &amp; ", 0x" &amp; H14 &amp; ", 0x" &amp; I14 &amp; ", 0x" &amp; J14 &amp; ", 0x" &amp; K14 &amp; "]]"</f>
        <v>elif self.CS.steer_config_index == 2: ret.lateralParams.torqueBP, ret.lateralParams.torqueV = [[0x0, 0x500, 0x800, 0xa00, 0xc00, 0xe00, 0x1000, 0x1180, 0x1400], [0x0, 0x100, 0x200, 0x300, 0x400, 0x600, 0x800, 0xA00, 0xF00]]</v>
      </c>
      <c r="C47" s="56"/>
      <c r="D47" s="56"/>
      <c r="E47" s="56"/>
      <c r="F47" s="56"/>
      <c r="G47" s="56"/>
      <c r="H47" s="56"/>
      <c r="I47" s="56"/>
      <c r="J47" s="56"/>
      <c r="K47" s="57"/>
    </row>
    <row r="48" spans="2:11" ht="52" customHeight="1" thickBot="1" x14ac:dyDescent="0.25">
      <c r="B48" s="55" t="str">
        <f>"elif self.CS.steer_config_index in [3, 4, 5, 6]: ret.lateralParams.torqueBP, ret.lateralParams.torqueV = [[0x" &amp; C23 &amp; ", 0x" &amp; D23 &amp; ", 0x" &amp; E23 &amp; ", 0x" &amp;F23 &amp; ", 0x" &amp; G23 &amp; ", 0x" &amp; H23 &amp; ", 0x" &amp; I23 &amp; "], [0x" &amp; C15 &amp; ", 0x" &amp; D15 &amp; ", 0x" &amp; E15 &amp; ", 0x" &amp;F15 &amp; ", 0x" &amp; G15 &amp; ", 0x" &amp; H15 &amp; ", 0x" &amp; I15 &amp; "]]"</f>
        <v>elif self.CS.steer_config_index in [3, 4, 5, 6]: ret.lateralParams.torqueBP, ret.lateralParams.torqueV = [[0x0, 0x746, 0xb04, 0xcdf, 0xe19, 0x1008, 0x1200], [0x0, 0x200, 0x300, 0x478, 0x5EC, 0x800, 0xA00]]</v>
      </c>
      <c r="C48" s="56"/>
      <c r="D48" s="56"/>
      <c r="E48" s="56"/>
      <c r="F48" s="56"/>
      <c r="G48" s="56"/>
      <c r="H48" s="56"/>
      <c r="I48" s="56"/>
      <c r="J48" s="56"/>
      <c r="K48" s="57"/>
    </row>
    <row r="49" spans="2:11" ht="52" customHeight="1" thickBot="1" x14ac:dyDescent="0.25">
      <c r="B49" s="62" t="str">
        <f>"elif self.CS.steer_config_index == 7: ret.lateralParams.torqueBP, ret.lateralParams.torqueV = [[0x" &amp; C27 &amp; ", 0x" &amp; D27 &amp; ", 0x" &amp; E27 &amp; ", 0x" &amp;F27 &amp; ", 0x" &amp; G27 &amp; ", 0x" &amp; H27 &amp; ", 0x" &amp; I27 &amp; ", 0x" &amp; J27 &amp; "], [0x" &amp; C19 &amp; ", 0x" &amp; D19 &amp; ", 0x" &amp; E19 &amp; ", 0x" &amp;F19 &amp; ", 0x" &amp; G19 &amp; ", 0x" &amp; H19 &amp; ", 0x" &amp; I19 &amp; ", 0x" &amp; J19 &amp; "]]"</f>
        <v>elif self.CS.steer_config_index == 7: ret.lateralParams.torqueBP, ret.lateralParams.torqueV = [[0x0, 0x6b3, 0xb1a, 0xccd, 0xe9a, 0x104d, 0x119a, 0x11da], [0x0, 0x200, 0x400, 0x600, 0x800, 0xA00, 0xC00, 0xE00]]</v>
      </c>
      <c r="C49" s="63"/>
      <c r="D49" s="63"/>
      <c r="E49" s="63"/>
      <c r="F49" s="63"/>
      <c r="G49" s="63"/>
      <c r="H49" s="63"/>
      <c r="I49" s="63"/>
      <c r="J49" s="63"/>
      <c r="K49" s="64"/>
    </row>
    <row r="50" spans="2:11" x14ac:dyDescent="0.2"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2:11" x14ac:dyDescent="0.2"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2:11" ht="17" thickBot="1" x14ac:dyDescent="0.25"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2:11" ht="17" thickBot="1" x14ac:dyDescent="0.25">
      <c r="B53" s="48" t="str">
        <f>"'0x000" &amp; C21 &amp; ", 0x0" &amp; D21 &amp; ", 0x0" &amp; E21 &amp; ", 0x0" &amp;F21 &amp; ", 0x0" &amp; G21 &amp; ", 0x" &amp; H21 &amp; ", 0x" &amp; I21 &amp; ", 0x" &amp; J21 &amp; ", 0x" &amp; K21 &amp; "', # " &amp; B21</f>
        <v>'0x0000, 0x0580, 0x0a00, 0x0d00, 0x0f00, 0x10c0, 0x11ff, 0x1300, 0x1400', # original torque_table row 1</v>
      </c>
      <c r="C53" s="49"/>
      <c r="D53" s="49"/>
      <c r="E53" s="49"/>
      <c r="F53" s="49"/>
      <c r="G53" s="49"/>
      <c r="H53" s="49"/>
      <c r="I53" s="49"/>
      <c r="J53" s="49"/>
      <c r="K53" s="50"/>
    </row>
    <row r="54" spans="2:11" ht="17" thickBot="1" x14ac:dyDescent="0.25">
      <c r="B54" s="48" t="str">
        <f t="shared" ref="B54:B59" si="6">"'0x000" &amp; C22 &amp; ", 0x0" &amp; D22 &amp; ", 0x0" &amp; E22 &amp; ", 0x0" &amp;F22 &amp; ", 0x0" &amp; G22 &amp; ", 0x" &amp; H22 &amp; ", 0x" &amp; I22 &amp; ", 0x" &amp; J22 &amp; ", 0x" &amp; K22 &amp; "', # " &amp; B22</f>
        <v>'0x0000, 0x0500, 0x0800, 0x0a00, 0x0c00, 0xe00, 0x1000, 0x1180, 0x1400', # original torque_table row 2</v>
      </c>
      <c r="C54" s="49"/>
      <c r="D54" s="49"/>
      <c r="E54" s="49"/>
      <c r="F54" s="49"/>
      <c r="G54" s="49"/>
      <c r="H54" s="49"/>
      <c r="I54" s="49"/>
      <c r="J54" s="49"/>
      <c r="K54" s="50"/>
    </row>
    <row r="55" spans="2:11" ht="17" thickBot="1" x14ac:dyDescent="0.25">
      <c r="B55" s="48" t="str">
        <f t="shared" si="6"/>
        <v>'0x0000, 0x0746, 0x0b04, 0x0cdf, 0x0e19, 0x1008, 0x1200, 0x1200, 0x1200', # original torque_table row 3</v>
      </c>
      <c r="C55" s="49"/>
      <c r="D55" s="49"/>
      <c r="E55" s="49"/>
      <c r="F55" s="49"/>
      <c r="G55" s="49"/>
      <c r="H55" s="49"/>
      <c r="I55" s="49"/>
      <c r="J55" s="49"/>
      <c r="K55" s="50"/>
    </row>
    <row r="56" spans="2:11" ht="17" thickBot="1" x14ac:dyDescent="0.25">
      <c r="B56" s="48" t="str">
        <f t="shared" si="6"/>
        <v>'0x0000, 0x0746, 0x0b04, 0x0cdf, 0x0e19, 0x1008, 0x1200, 0x1200, 0x1200', # original torque_table row 4</v>
      </c>
      <c r="C56" s="49"/>
      <c r="D56" s="49"/>
      <c r="E56" s="49"/>
      <c r="F56" s="49"/>
      <c r="G56" s="49"/>
      <c r="H56" s="49"/>
      <c r="I56" s="49"/>
      <c r="J56" s="49"/>
      <c r="K56" s="50"/>
    </row>
    <row r="57" spans="2:11" ht="17" thickBot="1" x14ac:dyDescent="0.25">
      <c r="B57" s="48" t="str">
        <f t="shared" si="6"/>
        <v>'0x0000, 0x0746, 0x0b04, 0x0cdf, 0x0e19, 0x1008, 0x1200, 0x1200, 0x1200', # original torque_table row 5</v>
      </c>
      <c r="C57" s="49"/>
      <c r="D57" s="49"/>
      <c r="E57" s="49"/>
      <c r="F57" s="49"/>
      <c r="G57" s="49"/>
      <c r="H57" s="49"/>
      <c r="I57" s="49"/>
      <c r="J57" s="49"/>
      <c r="K57" s="50"/>
    </row>
    <row r="58" spans="2:11" ht="17" thickBot="1" x14ac:dyDescent="0.25">
      <c r="B58" s="48" t="str">
        <f t="shared" si="6"/>
        <v>'0x0000, 0x0746, 0x0b04, 0x0cdf, 0x0e19, 0x1008, 0x1200, 0x1200, 0x1200', # original torque_table row 6</v>
      </c>
      <c r="C58" s="49"/>
      <c r="D58" s="49"/>
      <c r="E58" s="49"/>
      <c r="F58" s="49"/>
      <c r="G58" s="49"/>
      <c r="H58" s="49"/>
      <c r="I58" s="49"/>
      <c r="J58" s="49"/>
      <c r="K58" s="50"/>
    </row>
    <row r="59" spans="2:11" ht="17" thickBot="1" x14ac:dyDescent="0.25">
      <c r="B59" s="48" t="str">
        <f t="shared" si="6"/>
        <v>'0x0000, 0x06b3, 0x0b1a, 0x0ccd, 0x0e9a, 0x104d, 0x119a, 0x11da, 0x11da', # original torque_table row 7</v>
      </c>
      <c r="C59" s="49"/>
      <c r="D59" s="49"/>
      <c r="E59" s="49"/>
      <c r="F59" s="49"/>
      <c r="G59" s="49"/>
      <c r="H59" s="49"/>
      <c r="I59" s="49"/>
      <c r="J59" s="49"/>
      <c r="K59" s="50"/>
    </row>
    <row r="60" spans="2:11" ht="17" thickBot="1" x14ac:dyDescent="0.25"/>
    <row r="61" spans="2:11" ht="17" thickBot="1" x14ac:dyDescent="0.25">
      <c r="B61" s="48" t="str">
        <f>"'0x000" &amp; C29 &amp; ", 0x0" &amp; D29 &amp; ", 0x0" &amp; E29 &amp; ", 0x0" &amp;F29 &amp; ", 0x0" &amp; G29 &amp; ", 0x" &amp; H29 &amp; ", 0x" &amp; I29 &amp; ", 0x" &amp; J29 &amp; ", 0x" &amp; K29 &amp; "', # " &amp; B29</f>
        <v>'0x0000, 0x0580, 0x0a00, 0x0d00, 0x0f00, 0x10c0, 0x11ff, 0x1300, 0x2800', # new torque_table row 1</v>
      </c>
      <c r="C61" s="49"/>
      <c r="D61" s="49"/>
      <c r="E61" s="49"/>
      <c r="F61" s="49"/>
      <c r="G61" s="49"/>
      <c r="H61" s="49"/>
      <c r="I61" s="49"/>
      <c r="J61" s="49"/>
      <c r="K61" s="50"/>
    </row>
    <row r="62" spans="2:11" ht="17" thickBot="1" x14ac:dyDescent="0.25">
      <c r="B62" s="48" t="str">
        <f t="shared" ref="B62:B67" si="7">"'0x000" &amp; C30 &amp; ", 0x0" &amp; D30 &amp; ", 0x0" &amp; E30 &amp; ", 0x0" &amp;F30 &amp; ", 0x0" &amp; G30 &amp; ", 0x" &amp; H30 &amp; ", 0x" &amp; I30 &amp; ", 0x" &amp; J30 &amp; ", 0x" &amp; K30 &amp; "', # " &amp; B30</f>
        <v>'0x0000, 0x0500, 0x0800, 0x0a00, 0x0c00, 0xe00, 0x1000, 0x1180, 0x2800', # new torque_table row 2</v>
      </c>
      <c r="C62" s="49"/>
      <c r="D62" s="49"/>
      <c r="E62" s="49"/>
      <c r="F62" s="49"/>
      <c r="G62" s="49"/>
      <c r="H62" s="49"/>
      <c r="I62" s="49"/>
      <c r="J62" s="49"/>
      <c r="K62" s="50"/>
    </row>
    <row r="63" spans="2:11" ht="17" thickBot="1" x14ac:dyDescent="0.25">
      <c r="B63" s="48" t="str">
        <f t="shared" si="7"/>
        <v>'0x0000, 0x0746, 0x0b04, 0x0cdf, 0x0e19, 0x1008, 0x1200, 0x1B00, 0x2400', # new torque_table row 3</v>
      </c>
      <c r="C63" s="49"/>
      <c r="D63" s="49"/>
      <c r="E63" s="49"/>
      <c r="F63" s="49"/>
      <c r="G63" s="49"/>
      <c r="H63" s="49"/>
      <c r="I63" s="49"/>
      <c r="J63" s="49"/>
      <c r="K63" s="50"/>
    </row>
    <row r="64" spans="2:11" ht="17" thickBot="1" x14ac:dyDescent="0.25">
      <c r="B64" s="48" t="str">
        <f t="shared" si="7"/>
        <v>'0x0000, 0x0746, 0x0b04, 0x0cdf, 0x0e19, 0x1008, 0x1200, 0x1B00, 0x2400', # new torque_table row 4</v>
      </c>
      <c r="C64" s="49"/>
      <c r="D64" s="49"/>
      <c r="E64" s="49"/>
      <c r="F64" s="49"/>
      <c r="G64" s="49"/>
      <c r="H64" s="49"/>
      <c r="I64" s="49"/>
      <c r="J64" s="49"/>
      <c r="K64" s="50"/>
    </row>
    <row r="65" spans="2:11" ht="17" thickBot="1" x14ac:dyDescent="0.25">
      <c r="B65" s="48" t="str">
        <f t="shared" si="7"/>
        <v>'0x0000, 0x0746, 0x0b04, 0x0cdf, 0x0e19, 0x1008, 0x1200, 0x1B00, 0x2400', # new torque_table row 5</v>
      </c>
      <c r="C65" s="49"/>
      <c r="D65" s="49"/>
      <c r="E65" s="49"/>
      <c r="F65" s="49"/>
      <c r="G65" s="49"/>
      <c r="H65" s="49"/>
      <c r="I65" s="49"/>
      <c r="J65" s="49"/>
      <c r="K65" s="50"/>
    </row>
    <row r="66" spans="2:11" ht="17" thickBot="1" x14ac:dyDescent="0.25">
      <c r="B66" s="48" t="str">
        <f t="shared" si="7"/>
        <v>'0x0000, 0x0746, 0x0b04, 0x0cdf, 0x0e19, 0x1008, 0x1200, 0x1B00, 0x2400', # new torque_table row 6</v>
      </c>
      <c r="C66" s="49"/>
      <c r="D66" s="49"/>
      <c r="E66" s="49"/>
      <c r="F66" s="49"/>
      <c r="G66" s="49"/>
      <c r="H66" s="49"/>
      <c r="I66" s="49"/>
      <c r="J66" s="49"/>
      <c r="K66" s="50"/>
    </row>
    <row r="67" spans="2:11" ht="17" thickBot="1" x14ac:dyDescent="0.25">
      <c r="B67" s="48" t="str">
        <f t="shared" si="7"/>
        <v>'0x0000, 0x06b3, 0x0b1a, 0x0ccd, 0x0e9a, 0x104d, 0x119a, 0x1AE7, 0x23B4', # new torque_table row 7</v>
      </c>
      <c r="C67" s="49"/>
      <c r="D67" s="49"/>
      <c r="E67" s="49"/>
      <c r="F67" s="49"/>
      <c r="G67" s="49"/>
      <c r="H67" s="49"/>
      <c r="I67" s="49"/>
      <c r="J67" s="49"/>
      <c r="K67" s="50"/>
    </row>
  </sheetData>
  <mergeCells count="26">
    <mergeCell ref="B64:K64"/>
    <mergeCell ref="B65:K65"/>
    <mergeCell ref="B66:K66"/>
    <mergeCell ref="B67:K67"/>
    <mergeCell ref="B42:K42"/>
    <mergeCell ref="B43:K43"/>
    <mergeCell ref="B47:K47"/>
    <mergeCell ref="B48:K48"/>
    <mergeCell ref="B57:K57"/>
    <mergeCell ref="B58:K58"/>
    <mergeCell ref="B59:K59"/>
    <mergeCell ref="B61:K61"/>
    <mergeCell ref="B62:K62"/>
    <mergeCell ref="B63:K63"/>
    <mergeCell ref="B46:K46"/>
    <mergeCell ref="B49:K49"/>
    <mergeCell ref="B53:K53"/>
    <mergeCell ref="B54:K54"/>
    <mergeCell ref="B55:K55"/>
    <mergeCell ref="B56:K56"/>
    <mergeCell ref="B2:K3"/>
    <mergeCell ref="B37:C37"/>
    <mergeCell ref="B38:C38"/>
    <mergeCell ref="B39:C39"/>
    <mergeCell ref="B41:K41"/>
    <mergeCell ref="B44:K4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189E-B93F-0747-A700-5C1FD7159384}">
  <dimension ref="B1:K69"/>
  <sheetViews>
    <sheetView topLeftCell="A52" zoomScale="113" workbookViewId="0">
      <selection activeCell="D78" sqref="D78"/>
    </sheetView>
  </sheetViews>
  <sheetFormatPr baseColWidth="10" defaultRowHeight="16" x14ac:dyDescent="0.2"/>
  <cols>
    <col min="1" max="1" width="7.33203125" style="27" customWidth="1"/>
    <col min="2" max="2" width="10.1640625" style="27" bestFit="1" customWidth="1"/>
    <col min="3" max="3" width="7" style="27" customWidth="1"/>
    <col min="4" max="4" width="8.83203125" style="27" bestFit="1" customWidth="1"/>
    <col min="5" max="11" width="7" style="27" customWidth="1"/>
    <col min="12" max="16384" width="10.83203125" style="27"/>
  </cols>
  <sheetData>
    <row r="1" spans="2:11" x14ac:dyDescent="0.2">
      <c r="C1" s="44"/>
    </row>
    <row r="2" spans="2:11" ht="16" customHeight="1" x14ac:dyDescent="0.2">
      <c r="B2" s="53" t="s">
        <v>59</v>
      </c>
      <c r="C2" s="53"/>
      <c r="D2" s="53"/>
      <c r="E2" s="53"/>
      <c r="F2" s="53"/>
      <c r="G2" s="53"/>
      <c r="H2" s="53"/>
      <c r="I2" s="53"/>
      <c r="J2" s="53"/>
      <c r="K2" s="53"/>
    </row>
    <row r="3" spans="2:11" ht="17" customHeight="1" x14ac:dyDescent="0.2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2:11" x14ac:dyDescent="0.2">
      <c r="K4" s="27" t="s">
        <v>102</v>
      </c>
    </row>
    <row r="5" spans="2:11" x14ac:dyDescent="0.2">
      <c r="B5" s="27" t="s">
        <v>68</v>
      </c>
      <c r="C5" s="45">
        <v>0</v>
      </c>
      <c r="D5" s="45" t="s">
        <v>61</v>
      </c>
      <c r="E5" s="45" t="s">
        <v>62</v>
      </c>
      <c r="F5" s="45" t="s">
        <v>28</v>
      </c>
      <c r="G5" s="45" t="s">
        <v>63</v>
      </c>
      <c r="H5" s="45">
        <v>299</v>
      </c>
      <c r="I5" s="45">
        <v>377</v>
      </c>
      <c r="J5" s="45">
        <v>454</v>
      </c>
      <c r="K5" s="45" t="s">
        <v>77</v>
      </c>
    </row>
    <row r="6" spans="2:11" x14ac:dyDescent="0.2">
      <c r="B6" s="27" t="s">
        <v>80</v>
      </c>
      <c r="C6" s="45">
        <v>0</v>
      </c>
      <c r="D6" s="45" t="s">
        <v>61</v>
      </c>
      <c r="E6" s="45" t="s">
        <v>62</v>
      </c>
      <c r="F6" s="45" t="s">
        <v>28</v>
      </c>
      <c r="G6" s="45" t="s">
        <v>63</v>
      </c>
      <c r="H6" s="45">
        <v>299</v>
      </c>
      <c r="I6" s="45">
        <v>377</v>
      </c>
      <c r="J6" s="45">
        <v>454</v>
      </c>
      <c r="K6" s="45" t="s">
        <v>77</v>
      </c>
    </row>
    <row r="7" spans="2:11" x14ac:dyDescent="0.2">
      <c r="B7" s="27" t="s">
        <v>81</v>
      </c>
      <c r="C7" s="45">
        <v>0</v>
      </c>
      <c r="D7" s="45" t="s">
        <v>62</v>
      </c>
      <c r="E7" s="45" t="s">
        <v>78</v>
      </c>
      <c r="F7" s="45">
        <v>275</v>
      </c>
      <c r="G7" s="45">
        <v>356</v>
      </c>
      <c r="H7" s="45">
        <v>454</v>
      </c>
      <c r="I7" s="45" t="s">
        <v>79</v>
      </c>
      <c r="J7" s="45">
        <v>610</v>
      </c>
      <c r="K7" s="45" t="s">
        <v>77</v>
      </c>
    </row>
    <row r="8" spans="2:11" x14ac:dyDescent="0.2">
      <c r="B8" s="27" t="s">
        <v>82</v>
      </c>
      <c r="C8" s="45">
        <v>0</v>
      </c>
      <c r="D8" s="45" t="s">
        <v>62</v>
      </c>
      <c r="E8" s="45" t="s">
        <v>28</v>
      </c>
      <c r="F8" s="45" t="s">
        <v>29</v>
      </c>
      <c r="G8" s="45">
        <v>290</v>
      </c>
      <c r="H8" s="45">
        <v>377</v>
      </c>
      <c r="I8" s="45">
        <v>454</v>
      </c>
      <c r="J8" s="45">
        <v>610</v>
      </c>
      <c r="K8" s="45" t="s">
        <v>77</v>
      </c>
    </row>
    <row r="9" spans="2:11" x14ac:dyDescent="0.2">
      <c r="B9" s="27" t="s">
        <v>83</v>
      </c>
      <c r="C9" s="45">
        <v>0</v>
      </c>
      <c r="D9" s="45" t="s">
        <v>62</v>
      </c>
      <c r="E9" s="45" t="s">
        <v>28</v>
      </c>
      <c r="F9" s="45" t="s">
        <v>29</v>
      </c>
      <c r="G9" s="45">
        <v>290</v>
      </c>
      <c r="H9" s="45">
        <v>377</v>
      </c>
      <c r="I9" s="45">
        <v>454</v>
      </c>
      <c r="J9" s="45">
        <v>610</v>
      </c>
      <c r="K9" s="45" t="s">
        <v>77</v>
      </c>
    </row>
    <row r="10" spans="2:11" x14ac:dyDescent="0.2">
      <c r="B10" s="27" t="s">
        <v>84</v>
      </c>
      <c r="C10" s="45">
        <v>0</v>
      </c>
      <c r="D10" s="45" t="s">
        <v>62</v>
      </c>
      <c r="E10" s="45" t="s">
        <v>28</v>
      </c>
      <c r="F10" s="45" t="s">
        <v>29</v>
      </c>
      <c r="G10" s="45">
        <v>290</v>
      </c>
      <c r="H10" s="45">
        <v>377</v>
      </c>
      <c r="I10" s="45">
        <v>454</v>
      </c>
      <c r="J10" s="45">
        <v>610</v>
      </c>
      <c r="K10" s="45" t="s">
        <v>77</v>
      </c>
    </row>
    <row r="11" spans="2:11" x14ac:dyDescent="0.2">
      <c r="B11" s="27" t="s">
        <v>85</v>
      </c>
      <c r="C11" s="45">
        <v>0</v>
      </c>
      <c r="D11" s="45" t="s">
        <v>62</v>
      </c>
      <c r="E11" s="45" t="s">
        <v>28</v>
      </c>
      <c r="F11" s="45" t="s">
        <v>29</v>
      </c>
      <c r="G11" s="45">
        <v>290</v>
      </c>
      <c r="H11" s="45">
        <v>377</v>
      </c>
      <c r="I11" s="45">
        <v>454</v>
      </c>
      <c r="J11" s="45">
        <v>610</v>
      </c>
      <c r="K11" s="45" t="s">
        <v>77</v>
      </c>
    </row>
    <row r="13" spans="2:11" x14ac:dyDescent="0.2">
      <c r="B13" s="27" t="s">
        <v>86</v>
      </c>
      <c r="C13" s="27" t="str">
        <f>DEC2HEX(_xlfn.BITLSHIFT(ROUND(HEX2DEC(C5)/SQRT(3),0),2))</f>
        <v>0</v>
      </c>
      <c r="D13" s="27" t="str">
        <f t="shared" ref="D13:K19" si="0">DEC2HEX(_xlfn.BITLSHIFT(ROUND(HEX2DEC(D5)/SQRT(3),0),2))</f>
        <v>100</v>
      </c>
      <c r="E13" s="27" t="str">
        <f t="shared" si="0"/>
        <v>200</v>
      </c>
      <c r="F13" s="27" t="str">
        <f t="shared" si="0"/>
        <v>300</v>
      </c>
      <c r="G13" s="27" t="str">
        <f t="shared" si="0"/>
        <v>400</v>
      </c>
      <c r="H13" s="27" t="str">
        <f t="shared" si="0"/>
        <v>600</v>
      </c>
      <c r="I13" s="27" t="str">
        <f t="shared" si="0"/>
        <v>800</v>
      </c>
      <c r="J13" s="27" t="str">
        <f t="shared" si="0"/>
        <v>A00</v>
      </c>
      <c r="K13" s="27" t="str">
        <f t="shared" si="0"/>
        <v>F00</v>
      </c>
    </row>
    <row r="14" spans="2:11" x14ac:dyDescent="0.2">
      <c r="B14" s="27" t="s">
        <v>87</v>
      </c>
      <c r="C14" s="27" t="str">
        <f t="shared" ref="C14:C19" si="1">DEC2HEX(_xlfn.BITLSHIFT(ROUND(HEX2DEC(C6)/SQRT(3),0),2))</f>
        <v>0</v>
      </c>
      <c r="D14" s="27" t="str">
        <f t="shared" si="0"/>
        <v>100</v>
      </c>
      <c r="E14" s="27" t="str">
        <f t="shared" si="0"/>
        <v>200</v>
      </c>
      <c r="F14" s="27" t="str">
        <f t="shared" si="0"/>
        <v>300</v>
      </c>
      <c r="G14" s="27" t="str">
        <f t="shared" si="0"/>
        <v>400</v>
      </c>
      <c r="H14" s="27" t="str">
        <f t="shared" si="0"/>
        <v>600</v>
      </c>
      <c r="I14" s="27" t="str">
        <f t="shared" si="0"/>
        <v>800</v>
      </c>
      <c r="J14" s="27" t="str">
        <f t="shared" si="0"/>
        <v>A00</v>
      </c>
      <c r="K14" s="27" t="str">
        <f t="shared" si="0"/>
        <v>F00</v>
      </c>
    </row>
    <row r="15" spans="2:11" x14ac:dyDescent="0.2">
      <c r="B15" s="27" t="s">
        <v>88</v>
      </c>
      <c r="C15" s="27" t="str">
        <f t="shared" si="1"/>
        <v>0</v>
      </c>
      <c r="D15" s="27" t="str">
        <f t="shared" si="0"/>
        <v>200</v>
      </c>
      <c r="E15" s="27" t="str">
        <f t="shared" si="0"/>
        <v>3F0</v>
      </c>
      <c r="F15" s="27" t="str">
        <f t="shared" si="0"/>
        <v>5AC</v>
      </c>
      <c r="G15" s="27" t="str">
        <f t="shared" si="0"/>
        <v>7B4</v>
      </c>
      <c r="H15" s="27" t="str">
        <f t="shared" si="0"/>
        <v>A00</v>
      </c>
      <c r="I15" s="27" t="str">
        <f t="shared" si="0"/>
        <v>BCC</v>
      </c>
      <c r="J15" s="27" t="str">
        <f t="shared" si="0"/>
        <v>E00</v>
      </c>
      <c r="K15" s="27" t="str">
        <f t="shared" si="0"/>
        <v>F00</v>
      </c>
    </row>
    <row r="16" spans="2:11" x14ac:dyDescent="0.2">
      <c r="B16" s="27" t="s">
        <v>89</v>
      </c>
      <c r="C16" s="27" t="str">
        <f t="shared" si="1"/>
        <v>0</v>
      </c>
      <c r="D16" s="27" t="str">
        <f t="shared" si="0"/>
        <v>200</v>
      </c>
      <c r="E16" s="27" t="str">
        <f t="shared" si="0"/>
        <v>300</v>
      </c>
      <c r="F16" s="27" t="str">
        <f t="shared" si="0"/>
        <v>478</v>
      </c>
      <c r="G16" s="27" t="str">
        <f t="shared" si="0"/>
        <v>5EC</v>
      </c>
      <c r="H16" s="27" t="str">
        <f t="shared" si="0"/>
        <v>800</v>
      </c>
      <c r="I16" s="27" t="str">
        <f t="shared" si="0"/>
        <v>A00</v>
      </c>
      <c r="J16" s="27" t="str">
        <f t="shared" si="0"/>
        <v>E00</v>
      </c>
      <c r="K16" s="27" t="str">
        <f t="shared" si="0"/>
        <v>F00</v>
      </c>
    </row>
    <row r="17" spans="2:11" x14ac:dyDescent="0.2">
      <c r="B17" s="27" t="s">
        <v>90</v>
      </c>
      <c r="C17" s="27" t="str">
        <f t="shared" si="1"/>
        <v>0</v>
      </c>
      <c r="D17" s="27" t="str">
        <f t="shared" si="0"/>
        <v>200</v>
      </c>
      <c r="E17" s="27" t="str">
        <f t="shared" si="0"/>
        <v>300</v>
      </c>
      <c r="F17" s="27" t="str">
        <f t="shared" si="0"/>
        <v>478</v>
      </c>
      <c r="G17" s="27" t="str">
        <f t="shared" si="0"/>
        <v>5EC</v>
      </c>
      <c r="H17" s="27" t="str">
        <f t="shared" si="0"/>
        <v>800</v>
      </c>
      <c r="I17" s="27" t="str">
        <f t="shared" si="0"/>
        <v>A00</v>
      </c>
      <c r="J17" s="27" t="str">
        <f t="shared" si="0"/>
        <v>E00</v>
      </c>
      <c r="K17" s="27" t="str">
        <f t="shared" si="0"/>
        <v>F00</v>
      </c>
    </row>
    <row r="18" spans="2:11" x14ac:dyDescent="0.2">
      <c r="B18" s="27" t="s">
        <v>91</v>
      </c>
      <c r="C18" s="27" t="str">
        <f t="shared" si="1"/>
        <v>0</v>
      </c>
      <c r="D18" s="27" t="str">
        <f t="shared" si="0"/>
        <v>200</v>
      </c>
      <c r="E18" s="27" t="str">
        <f t="shared" si="0"/>
        <v>300</v>
      </c>
      <c r="F18" s="27" t="str">
        <f t="shared" si="0"/>
        <v>478</v>
      </c>
      <c r="G18" s="27" t="str">
        <f t="shared" si="0"/>
        <v>5EC</v>
      </c>
      <c r="H18" s="27" t="str">
        <f t="shared" si="0"/>
        <v>800</v>
      </c>
      <c r="I18" s="27" t="str">
        <f t="shared" si="0"/>
        <v>A00</v>
      </c>
      <c r="J18" s="27" t="str">
        <f t="shared" si="0"/>
        <v>E00</v>
      </c>
      <c r="K18" s="27" t="str">
        <f t="shared" si="0"/>
        <v>F00</v>
      </c>
    </row>
    <row r="19" spans="2:11" x14ac:dyDescent="0.2">
      <c r="B19" s="27" t="s">
        <v>92</v>
      </c>
      <c r="C19" s="27" t="str">
        <f t="shared" si="1"/>
        <v>0</v>
      </c>
      <c r="D19" s="27" t="str">
        <f t="shared" si="0"/>
        <v>200</v>
      </c>
      <c r="E19" s="27" t="str">
        <f t="shared" si="0"/>
        <v>300</v>
      </c>
      <c r="F19" s="27" t="str">
        <f t="shared" si="0"/>
        <v>478</v>
      </c>
      <c r="G19" s="27" t="str">
        <f t="shared" si="0"/>
        <v>5EC</v>
      </c>
      <c r="H19" s="27" t="str">
        <f t="shared" si="0"/>
        <v>800</v>
      </c>
      <c r="I19" s="27" t="str">
        <f t="shared" si="0"/>
        <v>A00</v>
      </c>
      <c r="J19" s="27" t="str">
        <f t="shared" si="0"/>
        <v>E00</v>
      </c>
      <c r="K19" s="27" t="str">
        <f t="shared" si="0"/>
        <v>F00</v>
      </c>
    </row>
    <row r="21" spans="2:11" x14ac:dyDescent="0.2">
      <c r="B21" s="27" t="s">
        <v>109</v>
      </c>
      <c r="C21" s="46">
        <v>0</v>
      </c>
      <c r="D21" s="46">
        <v>500</v>
      </c>
      <c r="E21" s="46">
        <v>800</v>
      </c>
      <c r="F21" s="46" t="s">
        <v>66</v>
      </c>
      <c r="G21" s="46" t="s">
        <v>67</v>
      </c>
      <c r="H21" s="46">
        <v>1000</v>
      </c>
      <c r="I21" s="46">
        <v>1180</v>
      </c>
      <c r="J21" s="46">
        <v>1200</v>
      </c>
      <c r="K21" s="46">
        <v>1300</v>
      </c>
    </row>
    <row r="22" spans="2:11" x14ac:dyDescent="0.2">
      <c r="B22" s="27" t="s">
        <v>110</v>
      </c>
      <c r="C22" s="46">
        <v>0</v>
      </c>
      <c r="D22" s="46">
        <v>500</v>
      </c>
      <c r="E22" s="46">
        <v>800</v>
      </c>
      <c r="F22" s="46" t="s">
        <v>66</v>
      </c>
      <c r="G22" s="46" t="s">
        <v>67</v>
      </c>
      <c r="H22" s="46">
        <v>1100</v>
      </c>
      <c r="I22" s="46" t="s">
        <v>136</v>
      </c>
      <c r="J22" s="46">
        <v>1600</v>
      </c>
      <c r="K22" s="46">
        <v>1600</v>
      </c>
    </row>
    <row r="23" spans="2:11" x14ac:dyDescent="0.2">
      <c r="B23" s="27" t="s">
        <v>111</v>
      </c>
      <c r="C23" s="46">
        <v>0</v>
      </c>
      <c r="D23" s="46" t="s">
        <v>97</v>
      </c>
      <c r="E23" s="46" t="s">
        <v>98</v>
      </c>
      <c r="F23" s="46" t="s">
        <v>99</v>
      </c>
      <c r="G23" s="46">
        <v>1078</v>
      </c>
      <c r="H23" s="46">
        <v>1200</v>
      </c>
      <c r="I23" s="46">
        <v>1317</v>
      </c>
      <c r="J23" s="46">
        <v>1400</v>
      </c>
      <c r="K23" s="46">
        <v>1400</v>
      </c>
    </row>
    <row r="24" spans="2:11" x14ac:dyDescent="0.2">
      <c r="B24" s="27" t="s">
        <v>112</v>
      </c>
      <c r="C24" s="46">
        <v>0</v>
      </c>
      <c r="D24" s="46" t="s">
        <v>97</v>
      </c>
      <c r="E24" s="46" t="s">
        <v>98</v>
      </c>
      <c r="F24" s="46" t="s">
        <v>99</v>
      </c>
      <c r="G24" s="46">
        <v>1078</v>
      </c>
      <c r="H24" s="46">
        <v>1200</v>
      </c>
      <c r="I24" s="46">
        <v>1317</v>
      </c>
      <c r="J24" s="46">
        <v>1400</v>
      </c>
      <c r="K24" s="46">
        <v>1400</v>
      </c>
    </row>
    <row r="25" spans="2:11" x14ac:dyDescent="0.2">
      <c r="B25" s="27" t="s">
        <v>113</v>
      </c>
      <c r="C25" s="46">
        <v>0</v>
      </c>
      <c r="D25" s="46" t="s">
        <v>97</v>
      </c>
      <c r="E25" s="46" t="s">
        <v>98</v>
      </c>
      <c r="F25" s="46" t="s">
        <v>99</v>
      </c>
      <c r="G25" s="46">
        <v>1078</v>
      </c>
      <c r="H25" s="46">
        <v>1200</v>
      </c>
      <c r="I25" s="46">
        <v>1317</v>
      </c>
      <c r="J25" s="46">
        <v>1400</v>
      </c>
      <c r="K25" s="46">
        <v>1400</v>
      </c>
    </row>
    <row r="26" spans="2:11" x14ac:dyDescent="0.2">
      <c r="B26" s="27" t="s">
        <v>114</v>
      </c>
      <c r="C26" s="46">
        <v>0</v>
      </c>
      <c r="D26" s="46" t="s">
        <v>97</v>
      </c>
      <c r="E26" s="46" t="s">
        <v>98</v>
      </c>
      <c r="F26" s="46" t="s">
        <v>99</v>
      </c>
      <c r="G26" s="46">
        <v>1078</v>
      </c>
      <c r="H26" s="46">
        <v>1200</v>
      </c>
      <c r="I26" s="46">
        <v>1317</v>
      </c>
      <c r="J26" s="46">
        <v>1400</v>
      </c>
      <c r="K26" s="46">
        <v>1400</v>
      </c>
    </row>
    <row r="27" spans="2:11" x14ac:dyDescent="0.2">
      <c r="B27" s="27" t="s">
        <v>115</v>
      </c>
      <c r="C27" s="45">
        <v>0</v>
      </c>
      <c r="D27" s="47" t="s">
        <v>131</v>
      </c>
      <c r="E27" s="45" t="s">
        <v>132</v>
      </c>
      <c r="F27" s="45">
        <v>1017</v>
      </c>
      <c r="G27" s="45" t="s">
        <v>32</v>
      </c>
      <c r="H27" s="45" t="s">
        <v>133</v>
      </c>
      <c r="I27" s="45">
        <v>1680</v>
      </c>
      <c r="J27" s="45">
        <v>1680</v>
      </c>
      <c r="K27" s="45">
        <v>1680</v>
      </c>
    </row>
    <row r="29" spans="2:11" x14ac:dyDescent="0.2">
      <c r="B29" s="27" t="s">
        <v>116</v>
      </c>
      <c r="C29" s="27">
        <f>C21</f>
        <v>0</v>
      </c>
      <c r="D29" s="27">
        <f t="shared" ref="D29:J30" si="2">D21</f>
        <v>500</v>
      </c>
      <c r="E29" s="27">
        <f t="shared" si="2"/>
        <v>800</v>
      </c>
      <c r="F29" s="27" t="str">
        <f t="shared" si="2"/>
        <v>a80</v>
      </c>
      <c r="G29" s="27" t="str">
        <f t="shared" si="2"/>
        <v>ce6</v>
      </c>
      <c r="H29" s="27">
        <f t="shared" si="2"/>
        <v>1000</v>
      </c>
      <c r="I29" s="27">
        <f t="shared" si="2"/>
        <v>1180</v>
      </c>
      <c r="J29" s="27">
        <f t="shared" si="2"/>
        <v>1200</v>
      </c>
      <c r="K29" s="65" t="str">
        <f>DEC2HEX(HEX2DEC(K21)*D$37)</f>
        <v>2600</v>
      </c>
    </row>
    <row r="30" spans="2:11" x14ac:dyDescent="0.2">
      <c r="B30" s="27" t="s">
        <v>117</v>
      </c>
      <c r="C30" s="27">
        <f t="shared" ref="C30:I35" si="3">C22</f>
        <v>0</v>
      </c>
      <c r="D30" s="27">
        <f t="shared" si="3"/>
        <v>500</v>
      </c>
      <c r="E30" s="27">
        <f t="shared" si="3"/>
        <v>800</v>
      </c>
      <c r="F30" s="27" t="str">
        <f t="shared" si="3"/>
        <v>a80</v>
      </c>
      <c r="G30" s="27" t="str">
        <f t="shared" si="3"/>
        <v>ce6</v>
      </c>
      <c r="H30" s="27">
        <f t="shared" si="3"/>
        <v>1100</v>
      </c>
      <c r="I30" s="27" t="str">
        <f t="shared" si="2"/>
        <v>141a</v>
      </c>
      <c r="J30" s="27">
        <f>J22</f>
        <v>1600</v>
      </c>
      <c r="K30" s="65" t="str">
        <f>DEC2HEX(HEX2DEC(K22)*D$37)</f>
        <v>2C00</v>
      </c>
    </row>
    <row r="31" spans="2:11" x14ac:dyDescent="0.2">
      <c r="B31" s="27" t="s">
        <v>118</v>
      </c>
      <c r="C31" s="27">
        <f t="shared" si="3"/>
        <v>0</v>
      </c>
      <c r="D31" s="27" t="str">
        <f t="shared" si="3"/>
        <v>6b3</v>
      </c>
      <c r="E31" s="27" t="str">
        <f t="shared" si="3"/>
        <v>bf8</v>
      </c>
      <c r="F31" s="27" t="str">
        <f t="shared" si="3"/>
        <v>ebb</v>
      </c>
      <c r="G31" s="27">
        <f t="shared" si="3"/>
        <v>1078</v>
      </c>
      <c r="H31" s="27">
        <f t="shared" si="3"/>
        <v>1200</v>
      </c>
      <c r="I31" s="65" t="str">
        <f t="shared" ref="I31" si="4">DEC2HEX(HEX2DEC(H31)+(HEX2DEC(K31)-HEX2DEC(H31))/3*1)</f>
        <v>1955</v>
      </c>
      <c r="J31" s="65" t="str">
        <f t="shared" ref="J31" si="5">DEC2HEX(HEX2DEC(H31)+((HEX2DEC(K31)-HEX2DEC(H31))/3*2))</f>
        <v>20AA</v>
      </c>
      <c r="K31" s="65" t="str">
        <f t="shared" ref="K31:K35" si="6">DEC2HEX(HEX2DEC(K23)*D$37)</f>
        <v>2800</v>
      </c>
    </row>
    <row r="32" spans="2:11" x14ac:dyDescent="0.2">
      <c r="B32" s="27" t="s">
        <v>119</v>
      </c>
      <c r="C32" s="27">
        <f t="shared" si="3"/>
        <v>0</v>
      </c>
      <c r="D32" s="27" t="str">
        <f t="shared" si="3"/>
        <v>6b3</v>
      </c>
      <c r="E32" s="27" t="str">
        <f t="shared" si="3"/>
        <v>bf8</v>
      </c>
      <c r="F32" s="27" t="str">
        <f t="shared" si="3"/>
        <v>ebb</v>
      </c>
      <c r="G32" s="27">
        <f t="shared" si="3"/>
        <v>1078</v>
      </c>
      <c r="H32" s="27">
        <f t="shared" si="3"/>
        <v>1200</v>
      </c>
      <c r="I32" s="27">
        <f t="shared" si="3"/>
        <v>1317</v>
      </c>
      <c r="J32" s="65" t="str">
        <f t="shared" ref="J32:J35" si="7">DEC2HEX(HEX2DEC(K32)-HEX2DEC(I32)/2)</f>
        <v>1E74</v>
      </c>
      <c r="K32" s="65" t="str">
        <f t="shared" si="6"/>
        <v>2800</v>
      </c>
    </row>
    <row r="33" spans="2:11" x14ac:dyDescent="0.2">
      <c r="B33" s="27" t="s">
        <v>120</v>
      </c>
      <c r="C33" s="27">
        <f t="shared" si="3"/>
        <v>0</v>
      </c>
      <c r="D33" s="27" t="str">
        <f t="shared" si="3"/>
        <v>6b3</v>
      </c>
      <c r="E33" s="27" t="str">
        <f t="shared" si="3"/>
        <v>bf8</v>
      </c>
      <c r="F33" s="27" t="str">
        <f t="shared" si="3"/>
        <v>ebb</v>
      </c>
      <c r="G33" s="27">
        <f t="shared" si="3"/>
        <v>1078</v>
      </c>
      <c r="H33" s="27">
        <f t="shared" si="3"/>
        <v>1200</v>
      </c>
      <c r="I33" s="27">
        <f t="shared" si="3"/>
        <v>1317</v>
      </c>
      <c r="J33" s="65" t="str">
        <f t="shared" si="7"/>
        <v>1E74</v>
      </c>
      <c r="K33" s="65" t="str">
        <f t="shared" si="6"/>
        <v>2800</v>
      </c>
    </row>
    <row r="34" spans="2:11" x14ac:dyDescent="0.2">
      <c r="B34" s="27" t="s">
        <v>121</v>
      </c>
      <c r="C34" s="27">
        <f t="shared" si="3"/>
        <v>0</v>
      </c>
      <c r="D34" s="27" t="str">
        <f t="shared" si="3"/>
        <v>6b3</v>
      </c>
      <c r="E34" s="27" t="str">
        <f t="shared" si="3"/>
        <v>bf8</v>
      </c>
      <c r="F34" s="27" t="str">
        <f t="shared" si="3"/>
        <v>ebb</v>
      </c>
      <c r="G34" s="27">
        <f t="shared" si="3"/>
        <v>1078</v>
      </c>
      <c r="H34" s="27">
        <f t="shared" si="3"/>
        <v>1200</v>
      </c>
      <c r="I34" s="27">
        <f t="shared" si="3"/>
        <v>1317</v>
      </c>
      <c r="J34" s="65" t="str">
        <f t="shared" si="7"/>
        <v>1E74</v>
      </c>
      <c r="K34" s="65" t="str">
        <f t="shared" si="6"/>
        <v>2800</v>
      </c>
    </row>
    <row r="35" spans="2:11" x14ac:dyDescent="0.2">
      <c r="B35" s="27" t="s">
        <v>122</v>
      </c>
      <c r="C35" s="27">
        <f t="shared" si="3"/>
        <v>0</v>
      </c>
      <c r="D35" s="27" t="str">
        <f t="shared" si="3"/>
        <v>917</v>
      </c>
      <c r="E35" s="27" t="str">
        <f t="shared" si="3"/>
        <v>dc5</v>
      </c>
      <c r="F35" s="27">
        <f t="shared" si="3"/>
        <v>1017</v>
      </c>
      <c r="G35" s="27" t="str">
        <f t="shared" si="3"/>
        <v>119f</v>
      </c>
      <c r="H35" s="27" t="str">
        <f t="shared" si="3"/>
        <v>140a</v>
      </c>
      <c r="I35" s="27">
        <f t="shared" si="3"/>
        <v>1680</v>
      </c>
      <c r="J35" s="65" t="str">
        <f t="shared" si="7"/>
        <v>21C0</v>
      </c>
      <c r="K35" s="65" t="str">
        <f t="shared" si="6"/>
        <v>2D00</v>
      </c>
    </row>
    <row r="37" spans="2:11" x14ac:dyDescent="0.2">
      <c r="B37" s="51" t="s">
        <v>60</v>
      </c>
      <c r="C37" s="51"/>
      <c r="D37" s="45">
        <v>2</v>
      </c>
    </row>
    <row r="38" spans="2:11" x14ac:dyDescent="0.2">
      <c r="B38" s="51" t="s">
        <v>12</v>
      </c>
      <c r="C38" s="51"/>
      <c r="D38" s="45" t="s">
        <v>10</v>
      </c>
    </row>
    <row r="39" spans="2:11" x14ac:dyDescent="0.2">
      <c r="B39" s="52" t="s">
        <v>38</v>
      </c>
      <c r="C39" s="52"/>
      <c r="D39" s="46">
        <v>1</v>
      </c>
    </row>
    <row r="40" spans="2:11" ht="17" thickBot="1" x14ac:dyDescent="0.25"/>
    <row r="41" spans="2:11" ht="50" customHeight="1" thickBot="1" x14ac:dyDescent="0.25">
      <c r="B41" s="55" t="str">
        <f>"if self.CS.steer_config_index == 1: ret.lateralParams.torqueBP, ret.lateralParams.torqueV = [[0x" &amp; C29 &amp; ", 0x" &amp; D29 &amp; ", 0x" &amp; E29 &amp; ", 0x" &amp;F29 &amp; ", 0x" &amp; G29 &amp; ", 0x" &amp; H29 &amp; ", 0x" &amp; I29 &amp; ", 0x" &amp; J29 &amp; ", 0x" &amp; K29 &amp; "], [0x" &amp; C13 &amp; ", 0x" &amp; D13 &amp; ", 0x" &amp; E13 &amp; ", 0x" &amp;F13 &amp; ", 0x" &amp; G13 &amp; ", 0x" &amp; H13 &amp; ", 0x" &amp; I13 &amp; ", 0x" &amp; J13 &amp; ", 0x" &amp; K13 &amp; "]]"</f>
        <v>if self.CS.steer_config_index == 1: ret.lateralParams.torqueBP, ret.lateralParams.torqueV = [[0x0, 0x500, 0x800, 0xa80, 0xce6, 0x1000, 0x1180, 0x1200, 0x2600], [0x0, 0x100, 0x200, 0x300, 0x400, 0x600, 0x800, 0xA00, 0xF00]]</v>
      </c>
      <c r="C41" s="56"/>
      <c r="D41" s="56"/>
      <c r="E41" s="56"/>
      <c r="F41" s="56"/>
      <c r="G41" s="56"/>
      <c r="H41" s="56"/>
      <c r="I41" s="56"/>
      <c r="J41" s="56"/>
      <c r="K41" s="57"/>
    </row>
    <row r="42" spans="2:11" ht="50" customHeight="1" thickBot="1" x14ac:dyDescent="0.25">
      <c r="B42" s="55" t="str">
        <f>"elif self.CS.steer_config_index == 2: ret.lateralParams.torqueBP, ret.lateralParams.torqueV = [[0x" &amp; C30 &amp; ", 0x" &amp; D30 &amp; ", 0x" &amp; E30 &amp; ", 0x" &amp;F30 &amp; ", 0x" &amp; G30 &amp; ", 0x" &amp; H30 &amp; ", 0x" &amp; I30 &amp; ", 0x" &amp; J30 &amp; ", 0x" &amp; K30 &amp; "], [0x" &amp; C14 &amp; ", 0x" &amp; D14 &amp; ", 0x" &amp; E14 &amp; ", 0x" &amp;F14 &amp; ", 0x" &amp; G14 &amp; ", 0x" &amp; H14 &amp; ", 0x" &amp; I14 &amp; ", 0x" &amp; J14 &amp; ", 0x" &amp; K14 &amp; "]]"</f>
        <v>elif self.CS.steer_config_index == 2: ret.lateralParams.torqueBP, ret.lateralParams.torqueV = [[0x0, 0x500, 0x800, 0xa80, 0xce6, 0x1100, 0x141a, 0x1600, 0x2C00], [0x0, 0x100, 0x200, 0x300, 0x400, 0x600, 0x800, 0xA00, 0xF00]]</v>
      </c>
      <c r="C42" s="56"/>
      <c r="D42" s="56"/>
      <c r="E42" s="56"/>
      <c r="F42" s="56"/>
      <c r="G42" s="56"/>
      <c r="H42" s="56"/>
      <c r="I42" s="56"/>
      <c r="J42" s="56"/>
      <c r="K42" s="57"/>
    </row>
    <row r="43" spans="2:11" ht="50" customHeight="1" thickBot="1" x14ac:dyDescent="0.25">
      <c r="B43" s="55" t="str">
        <f>"elif self.CS.steer_config_index == 3: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self.CS.steer_config_index == 3: ret.lateralParams.torqueBP, ret.lateralParams.torqueV = [[0x0, 0x6b3, 0xbf8, 0xebb, 0x1078, 0x1200, 0x1955, 0x20AA, 0x2800], [0x0, 0x200, 0x3F0, 0x5AC, 0x7B4, 0xA00, 0xBCC, 0xE00, 0xF00]]</v>
      </c>
      <c r="C43" s="56"/>
      <c r="D43" s="56"/>
      <c r="E43" s="56"/>
      <c r="F43" s="56"/>
      <c r="G43" s="56"/>
      <c r="H43" s="56"/>
      <c r="I43" s="56"/>
      <c r="J43" s="56"/>
      <c r="K43" s="57"/>
    </row>
    <row r="44" spans="2:11" ht="50" customHeight="1" thickBot="1" x14ac:dyDescent="0.25">
      <c r="B44" s="55" t="str">
        <f>"elif self.CS.steer_config_index in [4, 5, 6]: ret.lateralParams.torqueBP, ret.lateralParams.torqueV = [[0x" &amp; C31 &amp; ", 0x" &amp; D31 &amp; ", 0x" &amp; E31 &amp; ", 0x" &amp;F31 &amp; ", 0x" &amp; G31 &amp; ", 0x" &amp; H31 &amp; ", 0x" &amp; I31 &amp; ", 0x" &amp; J31 &amp; ", 0x" &amp; K31 &amp; "], [0x" &amp; C15 &amp; ", 0x" &amp; D15 &amp; ", 0x" &amp; E15 &amp; ", 0x" &amp;F15 &amp; ", 0x" &amp; G15 &amp; ", 0x" &amp; H15 &amp; ", 0x" &amp; I15 &amp; ", 0x" &amp; J15 &amp; ", 0x" &amp; K15 &amp; "]]"</f>
        <v>elif self.CS.steer_config_index in [4, 5, 6]: ret.lateralParams.torqueBP, ret.lateralParams.torqueV = [[0x0, 0x6b3, 0xbf8, 0xebb, 0x1078, 0x1200, 0x1955, 0x20AA, 0x2800], [0x0, 0x200, 0x3F0, 0x5AC, 0x7B4, 0xA00, 0xBCC, 0xE00, 0xF00]]</v>
      </c>
      <c r="C44" s="56"/>
      <c r="D44" s="56"/>
      <c r="E44" s="56"/>
      <c r="F44" s="56"/>
      <c r="G44" s="56"/>
      <c r="H44" s="56"/>
      <c r="I44" s="56"/>
      <c r="J44" s="56"/>
      <c r="K44" s="57"/>
    </row>
    <row r="45" spans="2:11" ht="50" customHeight="1" thickBot="1" x14ac:dyDescent="0.25">
      <c r="B45" s="55" t="str">
        <f>"elif self.CS.steer_config_index == 7: ret.lateralParams.torqueBP, ret.lateralParams.torqueV = [[0x" &amp; C35 &amp; ", 0x" &amp; D35 &amp; ", 0x" &amp; E35 &amp; ", 0x" &amp;F35 &amp; ", 0x" &amp; G35 &amp; ", 0x" &amp; H35 &amp; ", 0x" &amp; I35 &amp; ", 0x" &amp; J35 &amp; ", 0x" &amp; K35 &amp; "], [0x" &amp; C19 &amp; ", 0x" &amp; D19 &amp; ", 0x" &amp; E19 &amp; ", 0x" &amp;F19 &amp; ", 0x" &amp; G19 &amp; ", 0x" &amp; H19 &amp; ", 0x" &amp; I19 &amp; ", 0x" &amp; J19 &amp; ", 0x" &amp; K19 &amp; "]]"</f>
        <v>elif self.CS.steer_config_index == 7: ret.lateralParams.torqueBP, ret.lateralParams.torqueV = [[0x0, 0x917, 0xdc5, 0x1017, 0x119f, 0x140a, 0x1680, 0x21C0, 0x2D00], [0x0, 0x200, 0x300, 0x478, 0x5EC, 0x800, 0xA00, 0xE00, 0xF00]]</v>
      </c>
      <c r="C45" s="56"/>
      <c r="D45" s="56"/>
      <c r="E45" s="56"/>
      <c r="F45" s="56"/>
      <c r="G45" s="56"/>
      <c r="H45" s="56"/>
      <c r="I45" s="56"/>
      <c r="J45" s="56"/>
      <c r="K45" s="57"/>
    </row>
    <row r="46" spans="2:11" ht="17" thickBot="1" x14ac:dyDescent="0.25">
      <c r="B46" s="54"/>
      <c r="C46" s="30"/>
      <c r="D46" s="54"/>
      <c r="E46" s="54"/>
      <c r="F46" s="54"/>
      <c r="G46" s="54"/>
      <c r="H46" s="54"/>
      <c r="I46" s="54"/>
      <c r="J46" s="54"/>
      <c r="K46" s="54"/>
    </row>
    <row r="47" spans="2:11" ht="52" customHeight="1" thickBot="1" x14ac:dyDescent="0.25">
      <c r="B47" s="55" t="str">
        <f>"if self.CS.steer_config_index == 1: ret.lateralParams.torqueBP, ret.lateralParams.torqueV = [[0x" &amp; C21 &amp; ", 0x" &amp; D21 &amp; ", 0x" &amp; E21 &amp; ", 0x" &amp;F21 &amp; ", 0x" &amp; G21 &amp; ", 0x" &amp; H21 &amp; ", 0x" &amp; I21 &amp; ", 0x" &amp; J21 &amp; ", 0x" &amp; K21 &amp; "], [0x" &amp; C13 &amp; ", 0x" &amp; D13 &amp; ", 0x" &amp; E13 &amp; ", 0x" &amp;F13 &amp; ", 0x" &amp; G13 &amp; ", 0x" &amp; H13 &amp; ", 0x" &amp; I13 &amp; ", 0x" &amp; J13 &amp; ", 0x" &amp; K13 &amp; "]]"</f>
        <v>if self.CS.steer_config_index == 1: ret.lateralParams.torqueBP, ret.lateralParams.torqueV = [[0x0, 0x500, 0x800, 0xa80, 0xce6, 0x1000, 0x1180, 0x1200, 0x1300], [0x0, 0x100, 0x200, 0x300, 0x400, 0x600, 0x800, 0xA00, 0xF00]]</v>
      </c>
      <c r="C47" s="56"/>
      <c r="D47" s="56"/>
      <c r="E47" s="56"/>
      <c r="F47" s="56"/>
      <c r="G47" s="56"/>
      <c r="H47" s="56"/>
      <c r="I47" s="56"/>
      <c r="J47" s="56"/>
      <c r="K47" s="57"/>
    </row>
    <row r="48" spans="2:11" ht="52" customHeight="1" thickBot="1" x14ac:dyDescent="0.25">
      <c r="B48" s="55" t="str">
        <f>"elif self.CS.steer_config_index == 2: ret.lateralParams.torqueBP, ret.lateralParams.torqueV = [[0x" &amp; C22 &amp; ", 0x" &amp; D22 &amp; ", 0x" &amp; E22 &amp; ", 0x" &amp;F22 &amp; ", 0x" &amp; G22 &amp; ", 0x" &amp; H22 &amp; ", 0x" &amp; I22 &amp; ", 0x" &amp; J22 &amp; "], [0x" &amp; C14 &amp; ", 0x" &amp; D14 &amp; ", 0x" &amp; E14 &amp; ", 0x" &amp;F14 &amp; ", 0x" &amp; G14 &amp; ", 0x" &amp; H14 &amp; ", 0x" &amp; I14 &amp; ", 0x" &amp; J14 &amp; "]]"</f>
        <v>elif self.CS.steer_config_index == 2: ret.lateralParams.torqueBP, ret.lateralParams.torqueV = [[0x0, 0x500, 0x800, 0xa80, 0xce6, 0x1100, 0x141a, 0x1600], [0x0, 0x100, 0x200, 0x300, 0x400, 0x600, 0x800, 0xA00]]</v>
      </c>
      <c r="C48" s="56"/>
      <c r="D48" s="56"/>
      <c r="E48" s="56"/>
      <c r="F48" s="56"/>
      <c r="G48" s="56"/>
      <c r="H48" s="56"/>
      <c r="I48" s="56"/>
      <c r="J48" s="56"/>
      <c r="K48" s="57"/>
    </row>
    <row r="49" spans="2:11" ht="52" customHeight="1" thickBot="1" x14ac:dyDescent="0.25">
      <c r="B49" s="55" t="str">
        <f>"elif self.CS.steer_config_index == 3: ret.lateralParams.torqueBP, ret.lateralParams.torqueV = [[0x" &amp; C23 &amp; ", 0x" &amp; D23 &amp; ", 0x" &amp; E23 &amp; ", 0x" &amp;F23 &amp; ", 0x" &amp; G23 &amp; ", 0x" &amp; H23 &amp; ", 0x" &amp; I23 &amp; ", 0x" &amp; J23 &amp; "], [0x" &amp; C15 &amp; ", 0x" &amp; D15 &amp; ", 0x" &amp; E15 &amp; ", 0x" &amp;F15 &amp; ", 0x" &amp; G15 &amp; ", 0x" &amp; H15 &amp; ", 0x" &amp; I15 &amp; ", 0x" &amp; J15 &amp; "]]"</f>
        <v>elif self.CS.steer_config_index == 3: ret.lateralParams.torqueBP, ret.lateralParams.torqueV = [[0x0, 0x6b3, 0xbf8, 0xebb, 0x1078, 0x1200, 0x1317, 0x1400], [0x0, 0x200, 0x3F0, 0x5AC, 0x7B4, 0xA00, 0xBCC, 0xE00]]</v>
      </c>
      <c r="C49" s="56"/>
      <c r="D49" s="56"/>
      <c r="E49" s="56"/>
      <c r="F49" s="56"/>
      <c r="G49" s="56"/>
      <c r="H49" s="56"/>
      <c r="I49" s="56"/>
      <c r="J49" s="56"/>
      <c r="K49" s="57"/>
    </row>
    <row r="50" spans="2:11" ht="52" customHeight="1" thickBot="1" x14ac:dyDescent="0.25">
      <c r="B50" s="55" t="str">
        <f>"elif self.CS.steer_config_index in [4, 5, 6]: ret.lateralParams.torqueBP, ret.lateralParams.torqueV = [[0x" &amp; C24 &amp; ", 0x" &amp; D24 &amp; ", 0x" &amp; E24 &amp; ", 0x" &amp;F24 &amp; ", 0x" &amp; G24 &amp; ", 0x" &amp; H24 &amp; ", 0x" &amp; I24 &amp; ", 0x" &amp; J24 &amp; "], [0x" &amp; C16 &amp; ", 0x" &amp; D16 &amp; ", 0x" &amp; E16 &amp; ", 0x" &amp;F16 &amp; ", 0x" &amp; G16 &amp; ", 0x" &amp; H16 &amp; ", 0x" &amp; I16 &amp; ", 0x" &amp; J16 &amp; "]]"</f>
        <v>elif self.CS.steer_config_index in [4, 5, 6]: ret.lateralParams.torqueBP, ret.lateralParams.torqueV = [[0x0, 0x6b3, 0xbf8, 0xebb, 0x1078, 0x1200, 0x1317, 0x1400], [0x0, 0x200, 0x300, 0x478, 0x5EC, 0x800, 0xA00, 0xE00]]</v>
      </c>
      <c r="C50" s="56"/>
      <c r="D50" s="56"/>
      <c r="E50" s="56"/>
      <c r="F50" s="56"/>
      <c r="G50" s="56"/>
      <c r="H50" s="56"/>
      <c r="I50" s="56"/>
      <c r="J50" s="56"/>
      <c r="K50" s="57"/>
    </row>
    <row r="51" spans="2:11" ht="52" customHeight="1" thickBot="1" x14ac:dyDescent="0.25">
      <c r="B51" s="62" t="str">
        <f>"elif self.CS.steer_config_index == 7: ret.lateralParams.torqueBP, ret.lateralParams.torqueV = [[0x" &amp; C27 &amp; ", 0x" &amp; D27 &amp; ", 0x" &amp; E27 &amp; ", 0x" &amp;F27 &amp; ", 0x" &amp; G27 &amp; ", 0x" &amp; H27 &amp; ", 0x" &amp; I27 &amp; "], [0x" &amp; C19 &amp; ", 0x" &amp; D19 &amp; ", 0x" &amp; E19 &amp; ", 0x" &amp;F19 &amp; ", 0x" &amp; G19 &amp; ", 0x" &amp; H19 &amp; ", 0x" &amp; I19 &amp; "]]"</f>
        <v>elif self.CS.steer_config_index == 7: ret.lateralParams.torqueBP, ret.lateralParams.torqueV = [[0x0, 0x917, 0xdc5, 0x1017, 0x119f, 0x140a, 0x1680], [0x0, 0x200, 0x300, 0x478, 0x5EC, 0x800, 0xA00]]</v>
      </c>
      <c r="C51" s="63"/>
      <c r="D51" s="63"/>
      <c r="E51" s="63"/>
      <c r="F51" s="63"/>
      <c r="G51" s="63"/>
      <c r="H51" s="63"/>
      <c r="I51" s="63"/>
      <c r="J51" s="63"/>
      <c r="K51" s="64"/>
    </row>
    <row r="52" spans="2:11" x14ac:dyDescent="0.2"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2:11" x14ac:dyDescent="0.2">
      <c r="B53" s="58"/>
      <c r="C53" s="58"/>
      <c r="D53" s="58"/>
      <c r="E53" s="58"/>
      <c r="F53" s="58"/>
      <c r="G53" s="58"/>
      <c r="H53" s="58"/>
      <c r="I53" s="58"/>
      <c r="J53" s="58"/>
      <c r="K53" s="58"/>
    </row>
    <row r="54" spans="2:11" ht="17" thickBot="1" x14ac:dyDescent="0.25">
      <c r="B54" s="58"/>
      <c r="C54" s="58"/>
      <c r="D54" s="58"/>
      <c r="E54" s="58"/>
      <c r="F54" s="58"/>
      <c r="G54" s="58"/>
      <c r="H54" s="58"/>
      <c r="I54" s="58"/>
      <c r="J54" s="58"/>
      <c r="K54" s="58"/>
    </row>
    <row r="55" spans="2:11" ht="17" thickBot="1" x14ac:dyDescent="0.25">
      <c r="B55" s="48" t="str">
        <f>"'0x000" &amp; C21 &amp; ", 0x0" &amp; D21 &amp; ", 0x0" &amp; E21 &amp; ", 0x0" &amp;F21 &amp; ", 0x0" &amp; G21 &amp; ", 0x" &amp; H21 &amp; ", 0x" &amp; I21 &amp; ", 0x" &amp; J21 &amp; ", 0x" &amp; K21 &amp; "', # " &amp; B21</f>
        <v>'0x0000, 0x0500, 0x0800, 0x0a80, 0x0ce6, 0x1000, 0x1180, 0x1200, 0x1300', # original torque_table row 1</v>
      </c>
      <c r="C55" s="49"/>
      <c r="D55" s="49"/>
      <c r="E55" s="49"/>
      <c r="F55" s="49"/>
      <c r="G55" s="49"/>
      <c r="H55" s="49"/>
      <c r="I55" s="49"/>
      <c r="J55" s="49"/>
      <c r="K55" s="50"/>
    </row>
    <row r="56" spans="2:11" ht="17" thickBot="1" x14ac:dyDescent="0.25">
      <c r="B56" s="48" t="str">
        <f t="shared" ref="B56:B61" si="8">"'0x000" &amp; C22 &amp; ", 0x0" &amp; D22 &amp; ", 0x0" &amp; E22 &amp; ", 0x0" &amp;F22 &amp; ", 0x0" &amp; G22 &amp; ", 0x" &amp; H22 &amp; ", 0x" &amp; I22 &amp; ", 0x" &amp; J22 &amp; ", 0x" &amp; K22 &amp; "', # " &amp; B22</f>
        <v>'0x0000, 0x0500, 0x0800, 0x0a80, 0x0ce6, 0x1100, 0x141a, 0x1600, 0x1600', # original torque_table row 2</v>
      </c>
      <c r="C56" s="49"/>
      <c r="D56" s="49"/>
      <c r="E56" s="49"/>
      <c r="F56" s="49"/>
      <c r="G56" s="49"/>
      <c r="H56" s="49"/>
      <c r="I56" s="49"/>
      <c r="J56" s="49"/>
      <c r="K56" s="50"/>
    </row>
    <row r="57" spans="2:11" ht="17" thickBot="1" x14ac:dyDescent="0.25">
      <c r="B57" s="48" t="str">
        <f t="shared" si="8"/>
        <v>'0x0000, 0x06b3, 0x0bf8, 0x0ebb, 0x01078, 0x1200, 0x1317, 0x1400, 0x1400', # original torque_table row 3</v>
      </c>
      <c r="C57" s="49"/>
      <c r="D57" s="49"/>
      <c r="E57" s="49"/>
      <c r="F57" s="49"/>
      <c r="G57" s="49"/>
      <c r="H57" s="49"/>
      <c r="I57" s="49"/>
      <c r="J57" s="49"/>
      <c r="K57" s="50"/>
    </row>
    <row r="58" spans="2:11" ht="17" thickBot="1" x14ac:dyDescent="0.25">
      <c r="B58" s="48" t="str">
        <f t="shared" si="8"/>
        <v>'0x0000, 0x06b3, 0x0bf8, 0x0ebb, 0x01078, 0x1200, 0x1317, 0x1400, 0x1400', # original torque_table row 4</v>
      </c>
      <c r="C58" s="49"/>
      <c r="D58" s="49"/>
      <c r="E58" s="49"/>
      <c r="F58" s="49"/>
      <c r="G58" s="49"/>
      <c r="H58" s="49"/>
      <c r="I58" s="49"/>
      <c r="J58" s="49"/>
      <c r="K58" s="50"/>
    </row>
    <row r="59" spans="2:11" ht="17" thickBot="1" x14ac:dyDescent="0.25">
      <c r="B59" s="48" t="str">
        <f t="shared" si="8"/>
        <v>'0x0000, 0x06b3, 0x0bf8, 0x0ebb, 0x01078, 0x1200, 0x1317, 0x1400, 0x1400', # original torque_table row 5</v>
      </c>
      <c r="C59" s="49"/>
      <c r="D59" s="49"/>
      <c r="E59" s="49"/>
      <c r="F59" s="49"/>
      <c r="G59" s="49"/>
      <c r="H59" s="49"/>
      <c r="I59" s="49"/>
      <c r="J59" s="49"/>
      <c r="K59" s="50"/>
    </row>
    <row r="60" spans="2:11" ht="17" thickBot="1" x14ac:dyDescent="0.25">
      <c r="B60" s="48" t="str">
        <f t="shared" si="8"/>
        <v>'0x0000, 0x06b3, 0x0bf8, 0x0ebb, 0x01078, 0x1200, 0x1317, 0x1400, 0x1400', # original torque_table row 6</v>
      </c>
      <c r="C60" s="49"/>
      <c r="D60" s="49"/>
      <c r="E60" s="49"/>
      <c r="F60" s="49"/>
      <c r="G60" s="49"/>
      <c r="H60" s="49"/>
      <c r="I60" s="49"/>
      <c r="J60" s="49"/>
      <c r="K60" s="50"/>
    </row>
    <row r="61" spans="2:11" ht="17" thickBot="1" x14ac:dyDescent="0.25">
      <c r="B61" s="48" t="str">
        <f t="shared" si="8"/>
        <v>'0x0000, 0x0917, 0x0dc5, 0x01017, 0x0119f, 0x140a, 0x1680, 0x1680, 0x1680', # original torque_table row 7</v>
      </c>
      <c r="C61" s="49"/>
      <c r="D61" s="49"/>
      <c r="E61" s="49"/>
      <c r="F61" s="49"/>
      <c r="G61" s="49"/>
      <c r="H61" s="49"/>
      <c r="I61" s="49"/>
      <c r="J61" s="49"/>
      <c r="K61" s="50"/>
    </row>
    <row r="62" spans="2:11" ht="17" thickBot="1" x14ac:dyDescent="0.25"/>
    <row r="63" spans="2:11" ht="17" thickBot="1" x14ac:dyDescent="0.25">
      <c r="B63" s="48" t="str">
        <f>"'0x000" &amp; C29 &amp; ", 0x0" &amp; D29 &amp; ", 0x0" &amp; E29 &amp; ", 0x0" &amp;F29 &amp; ", 0x0" &amp; G29 &amp; ", 0x" &amp; H29 &amp; ", 0x" &amp; I29 &amp; ", 0x" &amp; J29 &amp; ", 0x" &amp; K29 &amp; "', # " &amp; B29</f>
        <v>'0x0000, 0x0500, 0x0800, 0x0a80, 0x0ce6, 0x1000, 0x1180, 0x1200, 0x2600', # new torque_table row 1</v>
      </c>
      <c r="C63" s="49"/>
      <c r="D63" s="49"/>
      <c r="E63" s="49"/>
      <c r="F63" s="49"/>
      <c r="G63" s="49"/>
      <c r="H63" s="49"/>
      <c r="I63" s="49"/>
      <c r="J63" s="49"/>
      <c r="K63" s="50"/>
    </row>
    <row r="64" spans="2:11" ht="17" thickBot="1" x14ac:dyDescent="0.25">
      <c r="B64" s="48" t="str">
        <f t="shared" ref="B64:B69" si="9">"'0x000" &amp; C30 &amp; ", 0x0" &amp; D30 &amp; ", 0x0" &amp; E30 &amp; ", 0x0" &amp;F30 &amp; ", 0x0" &amp; G30 &amp; ", 0x" &amp; H30 &amp; ", 0x" &amp; I30 &amp; ", 0x" &amp; J30 &amp; ", 0x" &amp; K30 &amp; "', # " &amp; B30</f>
        <v>'0x0000, 0x0500, 0x0800, 0x0a80, 0x0ce6, 0x1100, 0x141a, 0x1600, 0x2C00', # new torque_table row 2</v>
      </c>
      <c r="C64" s="49"/>
      <c r="D64" s="49"/>
      <c r="E64" s="49"/>
      <c r="F64" s="49"/>
      <c r="G64" s="49"/>
      <c r="H64" s="49"/>
      <c r="I64" s="49"/>
      <c r="J64" s="49"/>
      <c r="K64" s="50"/>
    </row>
    <row r="65" spans="2:11" ht="17" thickBot="1" x14ac:dyDescent="0.25">
      <c r="B65" s="48" t="str">
        <f t="shared" si="9"/>
        <v>'0x0000, 0x06b3, 0x0bf8, 0x0ebb, 0x01078, 0x1200, 0x1955, 0x20AA, 0x2800', # new torque_table row 3</v>
      </c>
      <c r="C65" s="49"/>
      <c r="D65" s="49"/>
      <c r="E65" s="49"/>
      <c r="F65" s="49"/>
      <c r="G65" s="49"/>
      <c r="H65" s="49"/>
      <c r="I65" s="49"/>
      <c r="J65" s="49"/>
      <c r="K65" s="50"/>
    </row>
    <row r="66" spans="2:11" ht="17" thickBot="1" x14ac:dyDescent="0.25">
      <c r="B66" s="48" t="str">
        <f t="shared" si="9"/>
        <v>'0x0000, 0x06b3, 0x0bf8, 0x0ebb, 0x01078, 0x1200, 0x1317, 0x1E74, 0x2800', # new torque_table row 4</v>
      </c>
      <c r="C66" s="49"/>
      <c r="D66" s="49"/>
      <c r="E66" s="49"/>
      <c r="F66" s="49"/>
      <c r="G66" s="49"/>
      <c r="H66" s="49"/>
      <c r="I66" s="49"/>
      <c r="J66" s="49"/>
      <c r="K66" s="50"/>
    </row>
    <row r="67" spans="2:11" ht="17" thickBot="1" x14ac:dyDescent="0.25">
      <c r="B67" s="48" t="str">
        <f t="shared" si="9"/>
        <v>'0x0000, 0x06b3, 0x0bf8, 0x0ebb, 0x01078, 0x1200, 0x1317, 0x1E74, 0x2800', # new torque_table row 5</v>
      </c>
      <c r="C67" s="49"/>
      <c r="D67" s="49"/>
      <c r="E67" s="49"/>
      <c r="F67" s="49"/>
      <c r="G67" s="49"/>
      <c r="H67" s="49"/>
      <c r="I67" s="49"/>
      <c r="J67" s="49"/>
      <c r="K67" s="50"/>
    </row>
    <row r="68" spans="2:11" ht="17" thickBot="1" x14ac:dyDescent="0.25">
      <c r="B68" s="48" t="str">
        <f t="shared" si="9"/>
        <v>'0x0000, 0x06b3, 0x0bf8, 0x0ebb, 0x01078, 0x1200, 0x1317, 0x1E74, 0x2800', # new torque_table row 6</v>
      </c>
      <c r="C68" s="49"/>
      <c r="D68" s="49"/>
      <c r="E68" s="49"/>
      <c r="F68" s="49"/>
      <c r="G68" s="49"/>
      <c r="H68" s="49"/>
      <c r="I68" s="49"/>
      <c r="J68" s="49"/>
      <c r="K68" s="50"/>
    </row>
    <row r="69" spans="2:11" ht="17" thickBot="1" x14ac:dyDescent="0.25">
      <c r="B69" s="48" t="str">
        <f t="shared" si="9"/>
        <v>'0x0000, 0x0917, 0x0dc5, 0x01017, 0x0119f, 0x140a, 0x1680, 0x21C0, 0x2D00', # new torque_table row 7</v>
      </c>
      <c r="C69" s="49"/>
      <c r="D69" s="49"/>
      <c r="E69" s="49"/>
      <c r="F69" s="49"/>
      <c r="G69" s="49"/>
      <c r="H69" s="49"/>
      <c r="I69" s="49"/>
      <c r="J69" s="49"/>
      <c r="K69" s="50"/>
    </row>
  </sheetData>
  <mergeCells count="28">
    <mergeCell ref="B68:K68"/>
    <mergeCell ref="B69:K69"/>
    <mergeCell ref="B42:K42"/>
    <mergeCell ref="B48:K48"/>
    <mergeCell ref="B61:K61"/>
    <mergeCell ref="B63:K63"/>
    <mergeCell ref="B64:K64"/>
    <mergeCell ref="B65:K65"/>
    <mergeCell ref="B66:K66"/>
    <mergeCell ref="B67:K67"/>
    <mergeCell ref="B55:K55"/>
    <mergeCell ref="B56:K56"/>
    <mergeCell ref="B57:K57"/>
    <mergeCell ref="B58:K58"/>
    <mergeCell ref="B59:K59"/>
    <mergeCell ref="B60:K60"/>
    <mergeCell ref="B44:K44"/>
    <mergeCell ref="B45:K45"/>
    <mergeCell ref="B47:K47"/>
    <mergeCell ref="B49:K49"/>
    <mergeCell ref="B50:K50"/>
    <mergeCell ref="B51:K51"/>
    <mergeCell ref="B2:K3"/>
    <mergeCell ref="B37:C37"/>
    <mergeCell ref="B38:C38"/>
    <mergeCell ref="B39:C39"/>
    <mergeCell ref="B41:K41"/>
    <mergeCell ref="B43:K43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CR-V</vt:lpstr>
      <vt:lpstr>Civic Hatch (au)</vt:lpstr>
      <vt:lpstr>Civic Hatch</vt:lpstr>
      <vt:lpstr>Civic Sedan</vt:lpstr>
      <vt:lpstr>Clarity</vt:lpstr>
      <vt:lpstr>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2020-01-08T14:05:30Z</dcterms:created>
  <dcterms:modified xsi:type="dcterms:W3CDTF">2020-02-17T09:08:04Z</dcterms:modified>
</cp:coreProperties>
</file>