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4"/>
  </bookViews>
  <sheets>
    <sheet name="Goalies" sheetId="1" r:id="rId1"/>
    <sheet name="Legend" sheetId="2" r:id="rId2"/>
    <sheet name="ABOUT" sheetId="3" r:id="rId3"/>
  </sheets>
  <definedNames>
    <definedName name="GA">#REF!</definedName>
    <definedName name="GoalieName">#REF!</definedName>
    <definedName name="GS">#REF!</definedName>
    <definedName name="Loss">#REF!</definedName>
    <definedName name="minutes">#REF!</definedName>
    <definedName name="OTL">#REF!</definedName>
    <definedName name="SA">#REF!</definedName>
    <definedName name="SO">#REF!</definedName>
    <definedName name="SV">#REF!</definedName>
    <definedName name="Win">#REF!</definedName>
  </definedNames>
  <calcPr calcId="145621"/>
</workbook>
</file>

<file path=xl/calcChain.xml><?xml version="1.0" encoding="utf-8"?>
<calcChain xmlns="http://schemas.openxmlformats.org/spreadsheetml/2006/main">
  <c r="W2" i="1" l="1"/>
  <c r="AA2" i="1"/>
  <c r="V2" i="1" s="1"/>
  <c r="AJ2" i="1"/>
  <c r="AK2" i="1"/>
  <c r="AL2" i="1"/>
  <c r="BB2" i="1"/>
  <c r="BK2" i="1"/>
  <c r="BM2" i="1"/>
  <c r="BW2" i="1"/>
  <c r="CH2" i="1"/>
  <c r="CX2" i="1"/>
  <c r="W3" i="1"/>
  <c r="AA3" i="1"/>
  <c r="V3" i="1" s="1"/>
  <c r="AJ3" i="1"/>
  <c r="AK3" i="1"/>
  <c r="AL3" i="1"/>
  <c r="AQ3" i="1"/>
  <c r="AR3" i="1"/>
  <c r="BB3" i="1"/>
  <c r="BK3" i="1"/>
  <c r="BM3" i="1"/>
  <c r="BW3" i="1"/>
  <c r="CH3" i="1"/>
  <c r="CX3" i="1"/>
  <c r="V4" i="1"/>
  <c r="W4" i="1"/>
  <c r="AA4" i="1"/>
  <c r="AJ4" i="1"/>
  <c r="AK4" i="1"/>
  <c r="AL4" i="1"/>
  <c r="BB4" i="1"/>
  <c r="BK4" i="1"/>
  <c r="BM4" i="1"/>
  <c r="BW4" i="1"/>
  <c r="CH4" i="1"/>
  <c r="CX4" i="1"/>
  <c r="V5" i="1"/>
  <c r="W5" i="1"/>
  <c r="AA5" i="1"/>
  <c r="AJ5" i="1"/>
  <c r="AK5" i="1"/>
  <c r="AL5" i="1"/>
  <c r="AQ5" i="1"/>
  <c r="AR5" i="1"/>
  <c r="BB5" i="1"/>
  <c r="BK5" i="1"/>
  <c r="BM5" i="1"/>
  <c r="BW5" i="1"/>
  <c r="CH5" i="1"/>
  <c r="CX5" i="1"/>
  <c r="W6" i="1"/>
  <c r="AA6" i="1"/>
  <c r="V6" i="1" s="1"/>
  <c r="AJ6" i="1"/>
  <c r="AK6" i="1"/>
  <c r="AL6" i="1"/>
  <c r="AQ6" i="1"/>
  <c r="AR6" i="1"/>
  <c r="BB6" i="1"/>
  <c r="BK6" i="1"/>
  <c r="BM6" i="1"/>
  <c r="BW6" i="1"/>
  <c r="CH6" i="1"/>
  <c r="CX6" i="1"/>
  <c r="V7" i="1"/>
  <c r="W7" i="1"/>
  <c r="AA7" i="1"/>
  <c r="AJ7" i="1"/>
  <c r="AK7" i="1"/>
  <c r="AL7" i="1"/>
  <c r="AQ7" i="1"/>
  <c r="AR7" i="1"/>
  <c r="BB7" i="1"/>
  <c r="BK7" i="1"/>
  <c r="BM7" i="1"/>
  <c r="BW7" i="1"/>
  <c r="CH7" i="1"/>
  <c r="CX7" i="1"/>
  <c r="W8" i="1"/>
  <c r="AA8" i="1"/>
  <c r="V8" i="1" s="1"/>
  <c r="AJ8" i="1"/>
  <c r="AK8" i="1"/>
  <c r="AL8" i="1"/>
  <c r="AQ8" i="1"/>
  <c r="AR8" i="1"/>
  <c r="BB8" i="1"/>
  <c r="BK8" i="1"/>
  <c r="BM8" i="1"/>
  <c r="BW8" i="1"/>
  <c r="CH8" i="1"/>
  <c r="CX8" i="1"/>
  <c r="V9" i="1"/>
  <c r="W9" i="1"/>
  <c r="AA9" i="1"/>
  <c r="AJ9" i="1"/>
  <c r="AK9" i="1"/>
  <c r="AL9" i="1"/>
  <c r="AQ9" i="1"/>
  <c r="AR9" i="1"/>
  <c r="BB9" i="1"/>
  <c r="BK9" i="1"/>
  <c r="BM9" i="1"/>
  <c r="BW9" i="1"/>
  <c r="CH9" i="1"/>
  <c r="CX9" i="1"/>
  <c r="W10" i="1"/>
  <c r="AA10" i="1"/>
  <c r="V10" i="1" s="1"/>
  <c r="AJ10" i="1"/>
  <c r="AK10" i="1"/>
  <c r="AL10" i="1"/>
  <c r="AQ10" i="1"/>
  <c r="AR10" i="1"/>
  <c r="BB10" i="1"/>
  <c r="BK10" i="1"/>
  <c r="BM10" i="1"/>
  <c r="BW10" i="1"/>
  <c r="CH10" i="1"/>
  <c r="CX10" i="1"/>
  <c r="V11" i="1"/>
  <c r="W11" i="1"/>
  <c r="AA11" i="1"/>
  <c r="AJ11" i="1"/>
  <c r="AK11" i="1"/>
  <c r="AL11" i="1"/>
  <c r="AQ11" i="1"/>
  <c r="AR11" i="1"/>
  <c r="BB11" i="1"/>
  <c r="BK11" i="1"/>
  <c r="BM11" i="1"/>
  <c r="BW11" i="1"/>
  <c r="CH11" i="1"/>
  <c r="CX11" i="1"/>
  <c r="W12" i="1"/>
  <c r="AA12" i="1"/>
  <c r="V12" i="1" s="1"/>
  <c r="AJ12" i="1"/>
  <c r="AK12" i="1"/>
  <c r="AL12" i="1"/>
  <c r="BB12" i="1"/>
  <c r="BK12" i="1"/>
  <c r="BM12" i="1"/>
  <c r="BW12" i="1"/>
  <c r="CH12" i="1"/>
  <c r="CX12" i="1"/>
  <c r="W13" i="1"/>
  <c r="AA13" i="1"/>
  <c r="V13" i="1" s="1"/>
  <c r="AJ13" i="1"/>
  <c r="AK13" i="1"/>
  <c r="AL13" i="1"/>
  <c r="BB13" i="1"/>
  <c r="BK13" i="1"/>
  <c r="BM13" i="1"/>
  <c r="BW13" i="1"/>
  <c r="CH13" i="1"/>
  <c r="CX13" i="1"/>
  <c r="W14" i="1"/>
  <c r="AA14" i="1"/>
  <c r="V14" i="1" s="1"/>
  <c r="AJ14" i="1"/>
  <c r="AK14" i="1"/>
  <c r="AL14" i="1"/>
  <c r="AQ14" i="1"/>
  <c r="AR14" i="1"/>
  <c r="BB14" i="1"/>
  <c r="BK14" i="1"/>
  <c r="BM14" i="1"/>
  <c r="BW14" i="1"/>
  <c r="CH14" i="1"/>
  <c r="CX14" i="1"/>
  <c r="V15" i="1"/>
  <c r="W15" i="1"/>
  <c r="AA15" i="1"/>
  <c r="AJ15" i="1"/>
  <c r="AK15" i="1"/>
  <c r="AL15" i="1"/>
  <c r="AQ15" i="1"/>
  <c r="AR15" i="1"/>
  <c r="BB15" i="1"/>
  <c r="BK15" i="1"/>
  <c r="BM15" i="1"/>
  <c r="BW15" i="1"/>
  <c r="CH15" i="1"/>
  <c r="CX15" i="1"/>
  <c r="W16" i="1"/>
  <c r="AA16" i="1"/>
  <c r="V16" i="1" s="1"/>
  <c r="AJ16" i="1"/>
  <c r="AK16" i="1"/>
  <c r="AL16" i="1"/>
  <c r="AQ16" i="1"/>
  <c r="AR16" i="1"/>
  <c r="BB16" i="1"/>
  <c r="BK16" i="1"/>
  <c r="BM16" i="1"/>
  <c r="BW16" i="1"/>
  <c r="CH16" i="1"/>
  <c r="CX16" i="1"/>
  <c r="V17" i="1"/>
  <c r="W17" i="1"/>
  <c r="AA17" i="1"/>
  <c r="AL17" i="1"/>
  <c r="AQ17" i="1"/>
  <c r="AR17" i="1"/>
  <c r="BB17" i="1"/>
  <c r="BK17" i="1"/>
  <c r="BM17" i="1"/>
  <c r="BW17" i="1"/>
  <c r="CH17" i="1"/>
  <c r="CX17" i="1"/>
  <c r="V18" i="1"/>
  <c r="W18" i="1"/>
  <c r="AA18" i="1"/>
  <c r="AJ18" i="1"/>
  <c r="AK18" i="1"/>
  <c r="AL18" i="1"/>
  <c r="AQ18" i="1"/>
  <c r="AR18" i="1"/>
  <c r="BB18" i="1"/>
  <c r="BK18" i="1"/>
  <c r="BM18" i="1"/>
  <c r="BW18" i="1"/>
  <c r="CH18" i="1"/>
  <c r="CX18" i="1"/>
  <c r="W19" i="1"/>
  <c r="AA19" i="1"/>
  <c r="V19" i="1" s="1"/>
  <c r="AJ19" i="1"/>
  <c r="AK19" i="1"/>
  <c r="AL19" i="1"/>
  <c r="BB19" i="1"/>
  <c r="BK19" i="1"/>
  <c r="BM19" i="1"/>
  <c r="BW19" i="1"/>
  <c r="CH19" i="1"/>
  <c r="CX19" i="1"/>
  <c r="W20" i="1"/>
  <c r="AA20" i="1"/>
  <c r="V20" i="1" s="1"/>
  <c r="AJ20" i="1"/>
  <c r="AK20" i="1"/>
  <c r="AL20" i="1"/>
  <c r="AQ20" i="1"/>
  <c r="AR20" i="1"/>
  <c r="BB20" i="1"/>
  <c r="BK20" i="1"/>
  <c r="BM20" i="1"/>
  <c r="BW20" i="1"/>
  <c r="CH20" i="1"/>
  <c r="CX20" i="1"/>
  <c r="W21" i="1"/>
  <c r="AA21" i="1"/>
  <c r="V21" i="1" s="1"/>
  <c r="AJ21" i="1"/>
  <c r="AK21" i="1"/>
  <c r="AL21" i="1"/>
  <c r="AQ21" i="1"/>
  <c r="AR21" i="1"/>
  <c r="BB21" i="1"/>
  <c r="BK21" i="1"/>
  <c r="BM21" i="1"/>
  <c r="BW21" i="1"/>
  <c r="CH21" i="1"/>
  <c r="CX21" i="1"/>
  <c r="W22" i="1"/>
  <c r="AA22" i="1"/>
  <c r="V22" i="1" s="1"/>
  <c r="AJ22" i="1"/>
  <c r="AK22" i="1"/>
  <c r="AL22" i="1"/>
  <c r="AQ22" i="1"/>
  <c r="AR22" i="1"/>
  <c r="BB22" i="1"/>
  <c r="BK22" i="1"/>
  <c r="BM22" i="1"/>
  <c r="BW22" i="1"/>
  <c r="CH22" i="1"/>
  <c r="CX22" i="1"/>
  <c r="V23" i="1"/>
  <c r="W23" i="1"/>
  <c r="AA23" i="1"/>
  <c r="AJ23" i="1"/>
  <c r="AK23" i="1"/>
  <c r="AL23" i="1"/>
  <c r="AQ23" i="1"/>
  <c r="AR23" i="1"/>
  <c r="BB23" i="1"/>
  <c r="BK23" i="1"/>
  <c r="BM23" i="1"/>
  <c r="BW23" i="1"/>
  <c r="CH23" i="1"/>
  <c r="CX23" i="1"/>
  <c r="W24" i="1"/>
  <c r="AA24" i="1"/>
  <c r="V24" i="1" s="1"/>
  <c r="AJ24" i="1"/>
  <c r="AK24" i="1"/>
  <c r="AL24" i="1"/>
  <c r="AQ24" i="1"/>
  <c r="AR24" i="1"/>
  <c r="BB24" i="1"/>
  <c r="BK24" i="1"/>
  <c r="BM24" i="1"/>
  <c r="BW24" i="1"/>
  <c r="CH24" i="1"/>
  <c r="CX24" i="1"/>
  <c r="V25" i="1"/>
  <c r="W25" i="1"/>
  <c r="AA25" i="1"/>
  <c r="AJ25" i="1"/>
  <c r="AK25" i="1"/>
  <c r="AL25" i="1"/>
  <c r="AQ25" i="1"/>
  <c r="AR25" i="1"/>
  <c r="BB25" i="1"/>
  <c r="BK25" i="1"/>
  <c r="BM25" i="1"/>
  <c r="BW25" i="1"/>
  <c r="CH25" i="1"/>
  <c r="CX25" i="1"/>
  <c r="W26" i="1"/>
  <c r="AA26" i="1"/>
  <c r="V26" i="1" s="1"/>
  <c r="AJ26" i="1"/>
  <c r="AK26" i="1"/>
  <c r="AL26" i="1"/>
  <c r="AQ26" i="1"/>
  <c r="AR26" i="1"/>
  <c r="BB26" i="1"/>
  <c r="BK26" i="1"/>
  <c r="BM26" i="1"/>
  <c r="BW26" i="1"/>
  <c r="CH26" i="1"/>
  <c r="CX26" i="1"/>
  <c r="V27" i="1"/>
  <c r="W27" i="1"/>
  <c r="AA27" i="1"/>
  <c r="AL27" i="1"/>
  <c r="AQ27" i="1"/>
  <c r="AR27" i="1"/>
  <c r="BB27" i="1"/>
  <c r="BK27" i="1"/>
  <c r="BM27" i="1"/>
  <c r="BW27" i="1"/>
  <c r="CH27" i="1"/>
  <c r="CX27" i="1"/>
  <c r="V28" i="1"/>
  <c r="W28" i="1"/>
  <c r="AA28" i="1"/>
  <c r="AJ28" i="1"/>
  <c r="AK28" i="1"/>
  <c r="AL28" i="1"/>
  <c r="AQ28" i="1"/>
  <c r="AR28" i="1"/>
  <c r="BB28" i="1"/>
  <c r="BK28" i="1"/>
  <c r="BM28" i="1"/>
  <c r="BW28" i="1"/>
  <c r="CH28" i="1"/>
  <c r="CX28" i="1"/>
  <c r="W29" i="1"/>
  <c r="AA29" i="1"/>
  <c r="V29" i="1" s="1"/>
  <c r="AJ29" i="1"/>
  <c r="AK29" i="1"/>
  <c r="AL29" i="1"/>
  <c r="AQ29" i="1"/>
  <c r="AR29" i="1"/>
  <c r="BB29" i="1"/>
  <c r="BK29" i="1"/>
  <c r="BM29" i="1"/>
  <c r="BW29" i="1"/>
  <c r="CH29" i="1"/>
  <c r="CX29" i="1"/>
  <c r="V30" i="1"/>
  <c r="W30" i="1"/>
  <c r="AA30" i="1"/>
  <c r="AJ30" i="1"/>
  <c r="AK30" i="1"/>
  <c r="AL30" i="1"/>
  <c r="AQ30" i="1"/>
  <c r="AR30" i="1"/>
  <c r="BB30" i="1"/>
  <c r="BK30" i="1"/>
  <c r="BM30" i="1"/>
  <c r="BW30" i="1"/>
  <c r="CH30" i="1"/>
  <c r="CX30" i="1"/>
  <c r="W31" i="1"/>
  <c r="AA31" i="1"/>
  <c r="V31" i="1" s="1"/>
  <c r="AJ31" i="1"/>
  <c r="AK31" i="1"/>
  <c r="AL31" i="1"/>
  <c r="AQ31" i="1"/>
  <c r="AR31" i="1"/>
  <c r="BB31" i="1"/>
  <c r="BK31" i="1"/>
  <c r="BM31" i="1"/>
  <c r="BW31" i="1"/>
  <c r="CH31" i="1"/>
  <c r="CX31" i="1"/>
  <c r="V32" i="1"/>
  <c r="W32" i="1"/>
  <c r="AA32" i="1"/>
  <c r="AJ32" i="1"/>
  <c r="AK32" i="1"/>
  <c r="AL32" i="1"/>
  <c r="AQ32" i="1"/>
  <c r="AR32" i="1"/>
  <c r="BB32" i="1"/>
  <c r="BK32" i="1"/>
  <c r="BM32" i="1"/>
  <c r="BW32" i="1"/>
  <c r="CH32" i="1"/>
  <c r="CX32" i="1"/>
  <c r="W33" i="1"/>
  <c r="AA33" i="1"/>
  <c r="V33" i="1" s="1"/>
  <c r="AJ33" i="1"/>
  <c r="AK33" i="1"/>
  <c r="AL33" i="1"/>
  <c r="BB33" i="1"/>
  <c r="BK33" i="1"/>
  <c r="BM33" i="1"/>
  <c r="BW33" i="1"/>
  <c r="CH33" i="1"/>
  <c r="CX33" i="1"/>
  <c r="W34" i="1"/>
  <c r="AA34" i="1"/>
  <c r="V34" i="1" s="1"/>
  <c r="AJ34" i="1"/>
  <c r="AK34" i="1"/>
  <c r="AL34" i="1"/>
  <c r="AQ34" i="1"/>
  <c r="AR34" i="1"/>
  <c r="BB34" i="1"/>
  <c r="BK34" i="1"/>
  <c r="BM34" i="1"/>
  <c r="BW34" i="1"/>
  <c r="CH34" i="1"/>
  <c r="CX34" i="1"/>
  <c r="V35" i="1"/>
  <c r="W35" i="1"/>
  <c r="AA35" i="1"/>
  <c r="AJ35" i="1"/>
  <c r="AK35" i="1"/>
  <c r="AL35" i="1"/>
  <c r="AQ35" i="1"/>
  <c r="AR35" i="1"/>
  <c r="BB35" i="1"/>
  <c r="BK35" i="1"/>
  <c r="BM35" i="1"/>
  <c r="BW35" i="1"/>
  <c r="CH35" i="1"/>
  <c r="CX35" i="1"/>
  <c r="W36" i="1"/>
  <c r="AA36" i="1"/>
  <c r="V36" i="1" s="1"/>
  <c r="AJ36" i="1"/>
  <c r="AK36" i="1"/>
  <c r="AL36" i="1"/>
  <c r="BB36" i="1"/>
  <c r="BK36" i="1"/>
  <c r="BM36" i="1"/>
  <c r="BW36" i="1"/>
  <c r="CH36" i="1"/>
  <c r="CX36" i="1"/>
  <c r="W37" i="1"/>
  <c r="AA37" i="1"/>
  <c r="V37" i="1" s="1"/>
  <c r="AJ37" i="1"/>
  <c r="AK37" i="1"/>
  <c r="AL37" i="1"/>
  <c r="AQ37" i="1"/>
  <c r="AR37" i="1"/>
  <c r="BB37" i="1"/>
  <c r="BK37" i="1"/>
  <c r="BM37" i="1"/>
  <c r="BW37" i="1"/>
  <c r="CH37" i="1"/>
  <c r="CX37" i="1"/>
  <c r="V38" i="1"/>
  <c r="W38" i="1"/>
  <c r="AA38" i="1"/>
  <c r="AJ38" i="1"/>
  <c r="AK38" i="1"/>
  <c r="AL38" i="1"/>
  <c r="AQ38" i="1"/>
  <c r="AR38" i="1"/>
  <c r="BB38" i="1"/>
  <c r="BK38" i="1"/>
  <c r="BM38" i="1"/>
  <c r="BW38" i="1"/>
  <c r="CH38" i="1"/>
  <c r="CX38" i="1"/>
  <c r="W39" i="1"/>
  <c r="AA39" i="1"/>
  <c r="V39" i="1" s="1"/>
  <c r="AJ39" i="1"/>
  <c r="AK39" i="1"/>
  <c r="AL39" i="1"/>
  <c r="BB39" i="1"/>
  <c r="BK39" i="1"/>
  <c r="BM39" i="1"/>
  <c r="BW39" i="1"/>
  <c r="CH39" i="1"/>
  <c r="CX39" i="1"/>
  <c r="W40" i="1"/>
  <c r="AA40" i="1"/>
  <c r="V40" i="1" s="1"/>
  <c r="AJ40" i="1"/>
  <c r="AK40" i="1"/>
  <c r="AL40" i="1"/>
  <c r="BB40" i="1"/>
  <c r="BK40" i="1"/>
  <c r="BM40" i="1"/>
  <c r="BW40" i="1"/>
  <c r="CH40" i="1"/>
  <c r="CX40" i="1"/>
  <c r="W41" i="1"/>
  <c r="AA41" i="1"/>
  <c r="V41" i="1" s="1"/>
  <c r="AJ41" i="1"/>
  <c r="AK41" i="1"/>
  <c r="AL41" i="1"/>
  <c r="AQ41" i="1"/>
  <c r="AR41" i="1"/>
  <c r="BB41" i="1"/>
  <c r="BK41" i="1"/>
  <c r="BM41" i="1"/>
  <c r="BW41" i="1"/>
  <c r="CH41" i="1"/>
  <c r="CX41" i="1"/>
  <c r="V42" i="1"/>
  <c r="W42" i="1"/>
  <c r="AA42" i="1"/>
  <c r="AJ42" i="1"/>
  <c r="AK42" i="1"/>
  <c r="AL42" i="1"/>
  <c r="BB42" i="1"/>
  <c r="BK42" i="1"/>
  <c r="BM42" i="1"/>
  <c r="BW42" i="1"/>
  <c r="CH42" i="1"/>
  <c r="CX42" i="1"/>
  <c r="V43" i="1"/>
  <c r="W43" i="1"/>
  <c r="AA43" i="1"/>
  <c r="AJ43" i="1"/>
  <c r="AK43" i="1"/>
  <c r="AL43" i="1"/>
  <c r="AQ43" i="1"/>
  <c r="AR43" i="1"/>
  <c r="BB43" i="1"/>
  <c r="BK43" i="1"/>
  <c r="BM43" i="1"/>
  <c r="BW43" i="1"/>
  <c r="CH43" i="1"/>
  <c r="CX43" i="1"/>
  <c r="V44" i="1"/>
  <c r="W44" i="1"/>
  <c r="AJ44" i="1"/>
  <c r="AK44" i="1"/>
  <c r="AL44" i="1"/>
  <c r="BB44" i="1"/>
  <c r="BK44" i="1"/>
  <c r="BM44" i="1"/>
  <c r="BW44" i="1"/>
  <c r="CH44" i="1"/>
  <c r="CX44" i="1"/>
  <c r="V45" i="1"/>
  <c r="W45" i="1"/>
  <c r="AA45" i="1"/>
  <c r="AL45" i="1"/>
  <c r="AQ45" i="1"/>
  <c r="AR45" i="1"/>
  <c r="BB45" i="1"/>
  <c r="BK45" i="1"/>
  <c r="BM45" i="1"/>
  <c r="BW45" i="1"/>
  <c r="CH45" i="1"/>
  <c r="CX45" i="1"/>
  <c r="V46" i="1"/>
  <c r="W46" i="1"/>
  <c r="AA46" i="1"/>
  <c r="AJ46" i="1"/>
  <c r="AK46" i="1"/>
  <c r="AL46" i="1"/>
  <c r="BB46" i="1"/>
  <c r="BK46" i="1"/>
  <c r="BM46" i="1"/>
  <c r="BW46" i="1"/>
  <c r="CH46" i="1"/>
  <c r="CX46" i="1"/>
  <c r="V47" i="1"/>
  <c r="W47" i="1"/>
  <c r="AA47" i="1"/>
  <c r="AJ47" i="1"/>
  <c r="AK47" i="1"/>
  <c r="AL47" i="1"/>
  <c r="AQ47" i="1"/>
  <c r="AR47" i="1"/>
  <c r="BB47" i="1"/>
  <c r="BK47" i="1"/>
  <c r="BM47" i="1"/>
  <c r="BW47" i="1"/>
  <c r="CH47" i="1"/>
  <c r="CX47" i="1"/>
  <c r="W48" i="1"/>
  <c r="AA48" i="1"/>
  <c r="V48" i="1" s="1"/>
  <c r="AJ48" i="1"/>
  <c r="AK48" i="1"/>
  <c r="AL48" i="1"/>
  <c r="AQ48" i="1"/>
  <c r="AR48" i="1"/>
  <c r="BB48" i="1"/>
  <c r="BK48" i="1"/>
  <c r="BM48" i="1"/>
  <c r="BW48" i="1"/>
  <c r="CH48" i="1"/>
  <c r="CX48" i="1"/>
  <c r="V49" i="1"/>
  <c r="W49" i="1"/>
  <c r="AA49" i="1"/>
  <c r="AJ49" i="1"/>
  <c r="AK49" i="1"/>
  <c r="AL49" i="1"/>
  <c r="BB49" i="1"/>
  <c r="BK49" i="1"/>
  <c r="BM49" i="1"/>
  <c r="BW49" i="1"/>
  <c r="CH49" i="1"/>
  <c r="CX49" i="1"/>
  <c r="V50" i="1"/>
  <c r="W50" i="1"/>
  <c r="AA50" i="1"/>
  <c r="AJ50" i="1"/>
  <c r="AK50" i="1"/>
  <c r="AL50" i="1"/>
  <c r="AQ50" i="1"/>
  <c r="AR50" i="1"/>
  <c r="BB50" i="1"/>
  <c r="BK50" i="1"/>
  <c r="BM50" i="1"/>
  <c r="BW50" i="1"/>
  <c r="CH50" i="1"/>
  <c r="CX50" i="1"/>
  <c r="W51" i="1"/>
  <c r="AA51" i="1"/>
  <c r="V51" i="1" s="1"/>
  <c r="AJ51" i="1"/>
  <c r="AK51" i="1"/>
  <c r="AL51" i="1"/>
  <c r="BB51" i="1"/>
  <c r="BK51" i="1"/>
  <c r="BM51" i="1"/>
  <c r="BW51" i="1"/>
  <c r="CH51" i="1"/>
  <c r="CX51" i="1"/>
  <c r="W52" i="1"/>
  <c r="AA52" i="1"/>
  <c r="V52" i="1" s="1"/>
  <c r="AJ52" i="1"/>
  <c r="AK52" i="1"/>
  <c r="AL52" i="1"/>
  <c r="AQ52" i="1"/>
  <c r="AR52" i="1"/>
  <c r="BB52" i="1"/>
  <c r="BK52" i="1"/>
  <c r="BM52" i="1"/>
  <c r="BW52" i="1"/>
  <c r="CH52" i="1"/>
  <c r="CX52" i="1"/>
  <c r="V53" i="1"/>
  <c r="W53" i="1"/>
  <c r="AA53" i="1"/>
  <c r="AJ53" i="1"/>
  <c r="AK53" i="1"/>
  <c r="AL53" i="1"/>
  <c r="BB53" i="1"/>
  <c r="BK53" i="1"/>
  <c r="BM53" i="1"/>
  <c r="BW53" i="1"/>
  <c r="CH53" i="1"/>
  <c r="CX53" i="1"/>
  <c r="V54" i="1"/>
  <c r="W54" i="1"/>
  <c r="AA54" i="1"/>
  <c r="AJ54" i="1"/>
  <c r="AK54" i="1"/>
  <c r="AL54" i="1"/>
  <c r="AQ54" i="1"/>
  <c r="AR54" i="1"/>
  <c r="BB54" i="1"/>
  <c r="BK54" i="1"/>
  <c r="BM54" i="1"/>
  <c r="BW54" i="1"/>
  <c r="CH54" i="1"/>
  <c r="CX54" i="1"/>
  <c r="W55" i="1"/>
  <c r="AA55" i="1"/>
  <c r="V55" i="1" s="1"/>
  <c r="AJ55" i="1"/>
  <c r="AK55" i="1"/>
  <c r="AL55" i="1"/>
  <c r="AQ55" i="1"/>
  <c r="AR55" i="1"/>
  <c r="BB55" i="1"/>
  <c r="BK55" i="1"/>
  <c r="BM55" i="1"/>
  <c r="BW55" i="1"/>
  <c r="CH55" i="1"/>
  <c r="CX55" i="1"/>
  <c r="V56" i="1"/>
  <c r="W56" i="1"/>
  <c r="AA56" i="1"/>
  <c r="AJ56" i="1"/>
  <c r="AK56" i="1"/>
  <c r="AL56" i="1"/>
  <c r="BB56" i="1"/>
  <c r="BK56" i="1"/>
  <c r="BM56" i="1"/>
  <c r="BW56" i="1"/>
  <c r="CH56" i="1"/>
  <c r="CX56" i="1"/>
  <c r="V57" i="1"/>
  <c r="W57" i="1"/>
  <c r="AA57" i="1"/>
  <c r="AJ57" i="1"/>
  <c r="AK57" i="1"/>
  <c r="AL57" i="1"/>
  <c r="AQ57" i="1"/>
  <c r="AR57" i="1"/>
  <c r="BB57" i="1"/>
  <c r="BK57" i="1"/>
  <c r="BM57" i="1"/>
  <c r="BW57" i="1"/>
  <c r="CH57" i="1"/>
  <c r="CX57" i="1"/>
  <c r="W58" i="1"/>
  <c r="AA58" i="1"/>
  <c r="V58" i="1" s="1"/>
  <c r="AJ58" i="1"/>
  <c r="AK58" i="1"/>
  <c r="AL58" i="1"/>
  <c r="AQ58" i="1"/>
  <c r="AR58" i="1"/>
  <c r="BB58" i="1"/>
  <c r="BK58" i="1"/>
  <c r="BM58" i="1"/>
  <c r="BW58" i="1"/>
  <c r="CH58" i="1"/>
  <c r="CX58" i="1"/>
  <c r="V59" i="1"/>
  <c r="W59" i="1"/>
  <c r="AA59" i="1"/>
  <c r="AJ59" i="1"/>
  <c r="AK59" i="1"/>
  <c r="AL59" i="1"/>
  <c r="AQ59" i="1"/>
  <c r="AR59" i="1"/>
  <c r="BB59" i="1"/>
  <c r="BK59" i="1"/>
  <c r="BM59" i="1"/>
  <c r="BW59" i="1"/>
  <c r="CH59" i="1"/>
  <c r="CX59" i="1"/>
  <c r="W60" i="1"/>
  <c r="AA60" i="1"/>
  <c r="V60" i="1" s="1"/>
  <c r="AJ60" i="1"/>
  <c r="AK60" i="1"/>
  <c r="AL60" i="1"/>
  <c r="AQ60" i="1"/>
  <c r="AR60" i="1"/>
  <c r="BB60" i="1"/>
  <c r="BK60" i="1"/>
  <c r="BM60" i="1"/>
  <c r="BW60" i="1"/>
  <c r="CH60" i="1"/>
  <c r="CX60" i="1"/>
  <c r="V61" i="1"/>
  <c r="W61" i="1"/>
  <c r="AA61" i="1"/>
  <c r="AJ61" i="1"/>
  <c r="AK61" i="1"/>
  <c r="AL61" i="1"/>
  <c r="BB61" i="1"/>
  <c r="BK61" i="1"/>
  <c r="BM61" i="1"/>
  <c r="BW61" i="1"/>
  <c r="CH61" i="1"/>
  <c r="CX61" i="1"/>
  <c r="V62" i="1"/>
  <c r="W62" i="1"/>
  <c r="AA62" i="1"/>
  <c r="AJ62" i="1"/>
  <c r="AK62" i="1"/>
  <c r="AL62" i="1"/>
  <c r="BB62" i="1"/>
  <c r="BK62" i="1"/>
  <c r="BM62" i="1"/>
  <c r="BW62" i="1"/>
  <c r="CH62" i="1"/>
  <c r="CX62" i="1"/>
  <c r="V63" i="1"/>
  <c r="W63" i="1"/>
  <c r="AA63" i="1"/>
  <c r="AJ63" i="1"/>
  <c r="AK63" i="1"/>
  <c r="AL63" i="1"/>
  <c r="AQ63" i="1"/>
  <c r="AR63" i="1"/>
  <c r="BB63" i="1"/>
  <c r="BK63" i="1"/>
  <c r="BM63" i="1"/>
  <c r="BW63" i="1"/>
  <c r="CH63" i="1"/>
  <c r="CX63" i="1"/>
  <c r="W64" i="1"/>
  <c r="AA64" i="1"/>
  <c r="V64" i="1" s="1"/>
  <c r="AJ64" i="1"/>
  <c r="AK64" i="1"/>
  <c r="AL64" i="1"/>
  <c r="BB64" i="1"/>
  <c r="BK64" i="1"/>
  <c r="BM64" i="1"/>
  <c r="BW64" i="1"/>
  <c r="CH64" i="1"/>
  <c r="CX64" i="1"/>
  <c r="W65" i="1"/>
  <c r="AA65" i="1"/>
  <c r="V65" i="1" s="1"/>
  <c r="AJ65" i="1"/>
  <c r="AK65" i="1"/>
  <c r="AL65" i="1"/>
  <c r="BB65" i="1"/>
  <c r="BK65" i="1"/>
  <c r="BM65" i="1"/>
  <c r="BW65" i="1"/>
  <c r="CH65" i="1"/>
  <c r="CX65" i="1"/>
  <c r="W66" i="1"/>
  <c r="AA66" i="1"/>
  <c r="V66" i="1" s="1"/>
  <c r="AJ66" i="1"/>
  <c r="AK66" i="1"/>
  <c r="AL66" i="1"/>
  <c r="AQ66" i="1"/>
  <c r="AR66" i="1"/>
  <c r="BB66" i="1"/>
  <c r="BK66" i="1"/>
  <c r="BM66" i="1"/>
  <c r="BW66" i="1"/>
  <c r="CH66" i="1"/>
  <c r="CX66" i="1"/>
  <c r="V67" i="1"/>
  <c r="W67" i="1"/>
  <c r="AA67" i="1"/>
  <c r="AJ67" i="1"/>
  <c r="AK67" i="1"/>
  <c r="AL67" i="1"/>
  <c r="AQ67" i="1"/>
  <c r="AR67" i="1"/>
  <c r="BB67" i="1"/>
  <c r="BK67" i="1"/>
  <c r="BM67" i="1"/>
  <c r="BW67" i="1"/>
  <c r="CH67" i="1"/>
  <c r="CX67" i="1"/>
  <c r="W68" i="1"/>
  <c r="AA68" i="1"/>
  <c r="V68" i="1" s="1"/>
  <c r="AJ68" i="1"/>
  <c r="AK68" i="1"/>
  <c r="AL68" i="1"/>
  <c r="AQ68" i="1"/>
  <c r="AR68" i="1"/>
  <c r="BB68" i="1"/>
  <c r="BK68" i="1"/>
  <c r="BM68" i="1"/>
  <c r="BW68" i="1"/>
  <c r="CH68" i="1"/>
  <c r="CX68" i="1"/>
  <c r="V69" i="1"/>
  <c r="W69" i="1"/>
  <c r="AA69" i="1"/>
  <c r="AJ69" i="1"/>
  <c r="AK69" i="1"/>
  <c r="AL69" i="1"/>
  <c r="AQ69" i="1"/>
  <c r="AR69" i="1"/>
  <c r="BB69" i="1"/>
  <c r="BK69" i="1"/>
  <c r="BM69" i="1"/>
  <c r="BW69" i="1"/>
  <c r="CH69" i="1"/>
  <c r="CX69" i="1"/>
  <c r="W70" i="1"/>
  <c r="AA70" i="1"/>
  <c r="V70" i="1" s="1"/>
  <c r="AJ70" i="1"/>
  <c r="AK70" i="1"/>
  <c r="AL70" i="1"/>
  <c r="AQ70" i="1"/>
  <c r="AR70" i="1"/>
  <c r="BB70" i="1"/>
  <c r="BK70" i="1"/>
  <c r="BM70" i="1"/>
  <c r="BW70" i="1"/>
  <c r="CH70" i="1"/>
  <c r="CX70" i="1"/>
  <c r="V71" i="1"/>
  <c r="W71" i="1"/>
  <c r="AA71" i="1"/>
  <c r="AJ71" i="1"/>
  <c r="AK71" i="1"/>
  <c r="AL71" i="1"/>
  <c r="AQ71" i="1"/>
  <c r="AR71" i="1"/>
  <c r="BB71" i="1"/>
  <c r="BK71" i="1"/>
  <c r="BM71" i="1"/>
  <c r="BW71" i="1"/>
  <c r="CH71" i="1"/>
  <c r="CX71" i="1"/>
  <c r="W72" i="1"/>
  <c r="AA72" i="1"/>
  <c r="V72" i="1" s="1"/>
  <c r="AJ72" i="1"/>
  <c r="AK72" i="1"/>
  <c r="AL72" i="1"/>
  <c r="AQ72" i="1"/>
  <c r="AR72" i="1"/>
  <c r="BB72" i="1"/>
  <c r="BK72" i="1"/>
  <c r="BM72" i="1"/>
  <c r="BW72" i="1"/>
  <c r="CH72" i="1"/>
  <c r="CX72" i="1"/>
  <c r="V73" i="1"/>
  <c r="W73" i="1"/>
  <c r="AA73" i="1"/>
  <c r="AJ73" i="1"/>
  <c r="AK73" i="1"/>
  <c r="AL73" i="1"/>
  <c r="AQ73" i="1"/>
  <c r="AR73" i="1"/>
  <c r="BB73" i="1"/>
  <c r="BK73" i="1"/>
  <c r="BM73" i="1"/>
  <c r="BW73" i="1"/>
  <c r="CH73" i="1"/>
  <c r="CX73" i="1"/>
  <c r="W74" i="1"/>
  <c r="AA74" i="1"/>
  <c r="V74" i="1" s="1"/>
  <c r="AL74" i="1"/>
  <c r="AQ74" i="1"/>
  <c r="AR74" i="1"/>
  <c r="BB74" i="1"/>
  <c r="BK74" i="1"/>
  <c r="BM74" i="1"/>
  <c r="BW74" i="1"/>
  <c r="CH74" i="1"/>
  <c r="CX74" i="1"/>
  <c r="W75" i="1"/>
  <c r="AA75" i="1"/>
  <c r="V75" i="1" s="1"/>
  <c r="AJ75" i="1"/>
  <c r="AK75" i="1"/>
  <c r="AL75" i="1"/>
  <c r="BB75" i="1"/>
  <c r="BK75" i="1"/>
  <c r="BM75" i="1"/>
  <c r="BW75" i="1"/>
  <c r="CH75" i="1"/>
  <c r="CX75" i="1"/>
  <c r="W76" i="1"/>
  <c r="AA76" i="1"/>
  <c r="V76" i="1" s="1"/>
  <c r="AJ76" i="1"/>
  <c r="AK76" i="1"/>
  <c r="AL76" i="1"/>
  <c r="AQ76" i="1"/>
  <c r="AR76" i="1"/>
  <c r="BB76" i="1"/>
  <c r="BK76" i="1"/>
  <c r="BM76" i="1"/>
  <c r="BW76" i="1"/>
  <c r="CH76" i="1"/>
  <c r="CX76" i="1"/>
  <c r="V77" i="1"/>
  <c r="W77" i="1"/>
  <c r="AA77" i="1"/>
  <c r="AJ77" i="1"/>
  <c r="AK77" i="1"/>
  <c r="AL77" i="1"/>
  <c r="BB77" i="1"/>
  <c r="BK77" i="1"/>
  <c r="BM77" i="1"/>
  <c r="BW77" i="1"/>
  <c r="CH77" i="1"/>
  <c r="CX77" i="1"/>
  <c r="V78" i="1"/>
  <c r="W78" i="1"/>
  <c r="AA78" i="1"/>
  <c r="AL78" i="1"/>
  <c r="AQ78" i="1"/>
  <c r="AR78" i="1"/>
  <c r="BB78" i="1"/>
  <c r="BK78" i="1"/>
  <c r="BM78" i="1"/>
  <c r="BW78" i="1"/>
  <c r="CH78" i="1"/>
  <c r="CX78" i="1"/>
  <c r="V79" i="1"/>
  <c r="W79" i="1"/>
  <c r="AA79" i="1"/>
  <c r="AJ79" i="1"/>
  <c r="AK79" i="1"/>
  <c r="AL79" i="1"/>
  <c r="BB79" i="1"/>
  <c r="BK79" i="1"/>
  <c r="BM79" i="1"/>
  <c r="BW79" i="1"/>
  <c r="CH79" i="1"/>
  <c r="CX79" i="1"/>
  <c r="V80" i="1"/>
  <c r="W80" i="1"/>
  <c r="AA80" i="1"/>
  <c r="AJ80" i="1"/>
  <c r="AK80" i="1"/>
  <c r="AL80" i="1"/>
  <c r="AQ80" i="1"/>
  <c r="AR80" i="1"/>
  <c r="BB80" i="1"/>
  <c r="BK80" i="1"/>
  <c r="BM80" i="1"/>
  <c r="BW80" i="1"/>
  <c r="CH80" i="1"/>
  <c r="CX80" i="1"/>
  <c r="W81" i="1"/>
  <c r="AA81" i="1"/>
  <c r="V81" i="1" s="1"/>
  <c r="AJ81" i="1"/>
  <c r="AK81" i="1"/>
  <c r="AL81" i="1"/>
  <c r="AQ81" i="1"/>
  <c r="AR81" i="1"/>
  <c r="BB81" i="1"/>
  <c r="BK81" i="1"/>
  <c r="BM81" i="1"/>
  <c r="BW81" i="1"/>
  <c r="CH81" i="1"/>
  <c r="CX81" i="1"/>
  <c r="V82" i="1"/>
  <c r="W82" i="1"/>
  <c r="AA82" i="1"/>
  <c r="AJ82" i="1"/>
  <c r="AK82" i="1"/>
  <c r="AL82" i="1"/>
  <c r="AQ82" i="1"/>
  <c r="AR82" i="1"/>
  <c r="BB82" i="1"/>
  <c r="BK82" i="1"/>
  <c r="BM82" i="1"/>
  <c r="BW82" i="1"/>
  <c r="CH82" i="1"/>
  <c r="CX82" i="1"/>
  <c r="W83" i="1"/>
  <c r="AA83" i="1"/>
  <c r="V83" i="1" s="1"/>
  <c r="AJ83" i="1"/>
  <c r="AK83" i="1"/>
  <c r="AL83" i="1"/>
  <c r="AQ83" i="1"/>
  <c r="AR83" i="1"/>
  <c r="BB83" i="1"/>
  <c r="BK83" i="1"/>
  <c r="BM83" i="1"/>
  <c r="BW83" i="1"/>
  <c r="CH83" i="1"/>
  <c r="CX83" i="1"/>
</calcChain>
</file>

<file path=xl/sharedStrings.xml><?xml version="1.0" encoding="utf-8"?>
<sst xmlns="http://schemas.openxmlformats.org/spreadsheetml/2006/main" count="1155" uniqueCount="629">
  <si>
    <t>#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</si>
  <si>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</si>
  <si>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</si>
  <si>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</si>
  <si>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</si>
  <si>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</si>
  <si>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</si>
  <si>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</si>
  <si>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</si>
  <si>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>Age</t>
  </si>
  <si>
    <t>Last Name</t>
  </si>
  <si>
    <t>First Name</t>
  </si>
  <si>
    <t>Team</t>
  </si>
  <si>
    <t xml:space="preserve">GP </t>
  </si>
  <si>
    <t>GS</t>
  </si>
  <si>
    <t xml:space="preserve">W </t>
  </si>
  <si>
    <t xml:space="preserve">L </t>
  </si>
  <si>
    <t xml:space="preserve">OT </t>
  </si>
  <si>
    <t>SA</t>
  </si>
  <si>
    <t>GA</t>
  </si>
  <si>
    <t>SV</t>
  </si>
  <si>
    <t>GAA</t>
  </si>
  <si>
    <t>SV%</t>
  </si>
  <si>
    <t>G</t>
  </si>
  <si>
    <t>A</t>
  </si>
  <si>
    <t>PIM</t>
  </si>
  <si>
    <t>MIN</t>
  </si>
  <si>
    <t xml:space="preserve">SO </t>
  </si>
  <si>
    <t>PSA</t>
  </si>
  <si>
    <t>PSGA</t>
  </si>
  <si>
    <t>StGA</t>
  </si>
  <si>
    <t>StSV</t>
  </si>
  <si>
    <t>StMIN</t>
  </si>
  <si>
    <t>QS</t>
  </si>
  <si>
    <t>RBS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</si>
  <si>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</si>
  <si>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</si>
  <si>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</si>
  <si>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</si>
  <si>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</si>
  <si>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</si>
  <si>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</si>
  <si>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</si>
  <si>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</si>
  <si>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Type</t>
  </si>
  <si>
    <t>Status</t>
  </si>
  <si>
    <t>Expiry</t>
  </si>
  <si>
    <t>Salary</t>
  </si>
  <si>
    <t>Cap Hit</t>
  </si>
  <si>
    <t>GGVT</t>
  </si>
  <si>
    <t>DGVT</t>
  </si>
  <si>
    <t>SGVT</t>
  </si>
  <si>
    <t>GVT</t>
  </si>
  <si>
    <t>GVS</t>
  </si>
  <si>
    <t>GPS</t>
  </si>
  <si>
    <t>55TOI</t>
  </si>
  <si>
    <t>ESA</t>
  </si>
  <si>
    <t>EGA</t>
  </si>
  <si>
    <t>55GA</t>
  </si>
  <si>
    <t>ESV</t>
  </si>
  <si>
    <t>55SV</t>
  </si>
  <si>
    <t>55MS</t>
  </si>
  <si>
    <t>ESSV%</t>
  </si>
  <si>
    <t>55GF</t>
  </si>
  <si>
    <t>55GFA</t>
  </si>
  <si>
    <t>TmESSVA</t>
  </si>
  <si>
    <t>TmESMS</t>
  </si>
  <si>
    <t>45TOI</t>
  </si>
  <si>
    <t>SHSA</t>
  </si>
  <si>
    <t>SHGA</t>
  </si>
  <si>
    <t>45GA</t>
  </si>
  <si>
    <t>SHSV</t>
  </si>
  <si>
    <t>45SV</t>
  </si>
  <si>
    <t>45MS</t>
  </si>
  <si>
    <t>SHSV%</t>
  </si>
  <si>
    <t>45GF</t>
  </si>
  <si>
    <t>TmSHSVA</t>
  </si>
  <si>
    <t>TmSHMS</t>
  </si>
  <si>
    <t>54TOI</t>
  </si>
  <si>
    <t>PPSA</t>
  </si>
  <si>
    <t>PPGA</t>
  </si>
  <si>
    <t>54GA</t>
  </si>
  <si>
    <t>PPSV</t>
  </si>
  <si>
    <t>54SV</t>
  </si>
  <si>
    <t>54MS</t>
  </si>
  <si>
    <t>PPSV%</t>
  </si>
  <si>
    <t>54GF</t>
  </si>
  <si>
    <t>TmPPSVA</t>
  </si>
  <si>
    <t>TmPPMS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</si>
  <si>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</si>
  <si>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</si>
  <si>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</si>
  <si>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</si>
  <si>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</si>
  <si>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</si>
  <si>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</si>
  <si>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</si>
  <si>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</si>
  <si>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</si>
  <si>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</si>
  <si>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SGA</t>
  </si>
  <si>
    <t>SOSV%</t>
  </si>
  <si>
    <t>Ginj</t>
  </si>
  <si>
    <t>Injury</t>
  </si>
  <si>
    <t>Aug 06 '92</t>
  </si>
  <si>
    <t>Tampere</t>
  </si>
  <si>
    <t>FIN</t>
  </si>
  <si>
    <t>L</t>
  </si>
  <si>
    <t>Y</t>
  </si>
  <si>
    <t>Aittokallio</t>
  </si>
  <si>
    <t>Sami</t>
  </si>
  <si>
    <t>COL</t>
  </si>
  <si>
    <t>Entry Level</t>
  </si>
  <si>
    <t>RFA</t>
  </si>
  <si>
    <t>Aug 07 '90</t>
  </si>
  <si>
    <t>Fredericton</t>
  </si>
  <si>
    <t>NB</t>
  </si>
  <si>
    <t>CAN</t>
  </si>
  <si>
    <t>Allen</t>
  </si>
  <si>
    <t>Jake</t>
  </si>
  <si>
    <t>STL</t>
  </si>
  <si>
    <t>May 21 '81</t>
  </si>
  <si>
    <t>Park Ridge</t>
  </si>
  <si>
    <t>IL</t>
  </si>
  <si>
    <t>USA</t>
  </si>
  <si>
    <t>Anderson</t>
  </si>
  <si>
    <t>Craig</t>
  </si>
  <si>
    <t>OTT</t>
  </si>
  <si>
    <t>Standard</t>
  </si>
  <si>
    <t>UFA</t>
  </si>
  <si>
    <t>Ankle</t>
  </si>
  <si>
    <t>Jul 25 '87</t>
  </si>
  <si>
    <t>Salt Lake City</t>
  </si>
  <si>
    <t>UT</t>
  </si>
  <si>
    <t>Bachman</t>
  </si>
  <si>
    <t>Richard</t>
  </si>
  <si>
    <t>DAL</t>
  </si>
  <si>
    <t>Feb 13 '78</t>
  </si>
  <si>
    <t>Helsinki</t>
  </si>
  <si>
    <t>Backstrom</t>
  </si>
  <si>
    <t>Niklas</t>
  </si>
  <si>
    <t>Aug 07 '88</t>
  </si>
  <si>
    <t>Laval</t>
  </si>
  <si>
    <t>QC</t>
  </si>
  <si>
    <t>Bernier</t>
  </si>
  <si>
    <t>Jonathan</t>
  </si>
  <si>
    <t>LAK</t>
  </si>
  <si>
    <t>Aug 15 '77</t>
  </si>
  <si>
    <t>Lac St. Charles</t>
  </si>
  <si>
    <t>Biron</t>
  </si>
  <si>
    <t>Martin</t>
  </si>
  <si>
    <t>NYR</t>
  </si>
  <si>
    <t>Nov 21 '86</t>
  </si>
  <si>
    <t>Denver</t>
  </si>
  <si>
    <t>CO</t>
  </si>
  <si>
    <t>Bishop</t>
  </si>
  <si>
    <t>Ben</t>
  </si>
  <si>
    <t>OTT, TBL</t>
  </si>
  <si>
    <t>Sep 20 '88</t>
  </si>
  <si>
    <t>Novokuznetsk</t>
  </si>
  <si>
    <t>RUS</t>
  </si>
  <si>
    <t>Bobrovsky</t>
  </si>
  <si>
    <t>Sergei</t>
  </si>
  <si>
    <t>CBJ</t>
  </si>
  <si>
    <t>Jan 02 '77</t>
  </si>
  <si>
    <t>Woonsocket</t>
  </si>
  <si>
    <t>RI</t>
  </si>
  <si>
    <t>Boucher</t>
  </si>
  <si>
    <t>Brian</t>
  </si>
  <si>
    <t>PHI</t>
  </si>
  <si>
    <t>May 06 '72</t>
  </si>
  <si>
    <t>Montreal</t>
  </si>
  <si>
    <t>Brodeur</t>
  </si>
  <si>
    <t>NJD</t>
  </si>
  <si>
    <t>Back</t>
  </si>
  <si>
    <t>Jun 22 '80</t>
  </si>
  <si>
    <t>Togliatti</t>
  </si>
  <si>
    <t>Bryzgalov</t>
  </si>
  <si>
    <t>Ilya</t>
  </si>
  <si>
    <t>Sep 18 '82</t>
  </si>
  <si>
    <t>Banská Bystrica</t>
  </si>
  <si>
    <t>SVK</t>
  </si>
  <si>
    <t>Budaj</t>
  </si>
  <si>
    <t>Peter</t>
  </si>
  <si>
    <t>MTL</t>
  </si>
  <si>
    <t>Jul 23 '77</t>
  </si>
  <si>
    <t>Des Moines</t>
  </si>
  <si>
    <t>IA</t>
  </si>
  <si>
    <t>Clemmensen</t>
  </si>
  <si>
    <t>Scott</t>
  </si>
  <si>
    <t>FLA</t>
  </si>
  <si>
    <t>Dec 31 '84</t>
  </si>
  <si>
    <t>Crawford</t>
  </si>
  <si>
    <t>Corey</t>
  </si>
  <si>
    <t>CHI</t>
  </si>
  <si>
    <t>Upper body</t>
  </si>
  <si>
    <t>Jun 21 '81</t>
  </si>
  <si>
    <t>Lafontaine</t>
  </si>
  <si>
    <t>Danis</t>
  </si>
  <si>
    <t>Yann</t>
  </si>
  <si>
    <t>EDM</t>
  </si>
  <si>
    <t>Sep 30 '85</t>
  </si>
  <si>
    <t>Edmundston</t>
  </si>
  <si>
    <t>R</t>
  </si>
  <si>
    <t>Desjardins</t>
  </si>
  <si>
    <t>Cedrick</t>
  </si>
  <si>
    <t>TBL</t>
  </si>
  <si>
    <t>Sep 19 '81</t>
  </si>
  <si>
    <t>Winthrop</t>
  </si>
  <si>
    <t>MA</t>
  </si>
  <si>
    <t>DiPietro</t>
  </si>
  <si>
    <t>Rick</t>
  </si>
  <si>
    <t>NYI</t>
  </si>
  <si>
    <t>May 04 '86</t>
  </si>
  <si>
    <t>Regina</t>
  </si>
  <si>
    <t>SK</t>
  </si>
  <si>
    <t>Dubnyk</t>
  </si>
  <si>
    <t>Devan</t>
  </si>
  <si>
    <t>Apr 09 '85</t>
  </si>
  <si>
    <t>Newmarket</t>
  </si>
  <si>
    <t>ON</t>
  </si>
  <si>
    <t>Elliott</t>
  </si>
  <si>
    <t>Jun 19 '80</t>
  </si>
  <si>
    <t>Saskatoon</t>
  </si>
  <si>
    <t>Ellis</t>
  </si>
  <si>
    <t>Dan</t>
  </si>
  <si>
    <t>CAR</t>
  </si>
  <si>
    <t>Leg</t>
  </si>
  <si>
    <t>Sep 28 '82</t>
  </si>
  <si>
    <t>Hamilton</t>
  </si>
  <si>
    <t>Emery</t>
  </si>
  <si>
    <t>Ray</t>
  </si>
  <si>
    <t>Lower body</t>
  </si>
  <si>
    <t>Jun 25 '88</t>
  </si>
  <si>
    <t>Stockholm</t>
  </si>
  <si>
    <t>SWE</t>
  </si>
  <si>
    <t>Enroth</t>
  </si>
  <si>
    <t>Jhonas</t>
  </si>
  <si>
    <t>BUF</t>
  </si>
  <si>
    <t>Aug 08 '82</t>
  </si>
  <si>
    <t>Kalix</t>
  </si>
  <si>
    <t>Fasth</t>
  </si>
  <si>
    <t>Viktor</t>
  </si>
  <si>
    <t>ANA</t>
  </si>
  <si>
    <t>Upper body, Lower body</t>
  </si>
  <si>
    <t>Nov 28 '84</t>
  </si>
  <si>
    <t>Sorel</t>
  </si>
  <si>
    <t>Fleury</t>
  </si>
  <si>
    <t>Marc-Andre</t>
  </si>
  <si>
    <t>PIT</t>
  </si>
  <si>
    <t>Undisclosed</t>
  </si>
  <si>
    <t>May 13 '87</t>
  </si>
  <si>
    <t>Edina</t>
  </si>
  <si>
    <t>MN</t>
  </si>
  <si>
    <t>Frazee</t>
  </si>
  <si>
    <t>Jeff</t>
  </si>
  <si>
    <t>-</t>
  </si>
  <si>
    <t>Jan 09 '78</t>
  </si>
  <si>
    <t>Chandler</t>
  </si>
  <si>
    <t>Garon</t>
  </si>
  <si>
    <t>Mathieu</t>
  </si>
  <si>
    <t>May 16 '77</t>
  </si>
  <si>
    <t>Giguere</t>
  </si>
  <si>
    <t>Jean-Sebastien</t>
  </si>
  <si>
    <t>Jan 29 '86</t>
  </si>
  <si>
    <t>Fussen</t>
  </si>
  <si>
    <t>DEU</t>
  </si>
  <si>
    <t>Greiss</t>
  </si>
  <si>
    <t>Thomas</t>
  </si>
  <si>
    <t>SJS</t>
  </si>
  <si>
    <t>Neck</t>
  </si>
  <si>
    <t>Nov 25 '91</t>
  </si>
  <si>
    <t>Rosenheim</t>
  </si>
  <si>
    <t>Grubauer</t>
  </si>
  <si>
    <t>Philipp</t>
  </si>
  <si>
    <t>WSH</t>
  </si>
  <si>
    <t>Oct 24 '84</t>
  </si>
  <si>
    <t>Danderyd</t>
  </si>
  <si>
    <t>Gustavsson</t>
  </si>
  <si>
    <t>Jonas</t>
  </si>
  <si>
    <t>DET</t>
  </si>
  <si>
    <t>Groin</t>
  </si>
  <si>
    <t>Mar 07 '90</t>
  </si>
  <si>
    <t>London</t>
  </si>
  <si>
    <t>Hackett</t>
  </si>
  <si>
    <t>Matt</t>
  </si>
  <si>
    <t>May 13 '85</t>
  </si>
  <si>
    <t>Bratislava</t>
  </si>
  <si>
    <t>Halak</t>
  </si>
  <si>
    <t>Jaroslav</t>
  </si>
  <si>
    <t>Lower body, Groin</t>
  </si>
  <si>
    <t>Jun 18 '84</t>
  </si>
  <si>
    <t>Harding</t>
  </si>
  <si>
    <t>Josh</t>
  </si>
  <si>
    <t>Illness</t>
  </si>
  <si>
    <t>May 05 '73</t>
  </si>
  <si>
    <t>Leksand</t>
  </si>
  <si>
    <t>Hedberg</t>
  </si>
  <si>
    <t>Johan</t>
  </si>
  <si>
    <t>Feb 12 '82</t>
  </si>
  <si>
    <t>Felben Wellhausen</t>
  </si>
  <si>
    <t>CHE</t>
  </si>
  <si>
    <t>Hiller</t>
  </si>
  <si>
    <t>Lower body, Illness</t>
  </si>
  <si>
    <t>Sep 16 '89</t>
  </si>
  <si>
    <t>Lloydminster</t>
  </si>
  <si>
    <t>Holtby</t>
  </si>
  <si>
    <t>Braden</t>
  </si>
  <si>
    <t>Mar 26 '84</t>
  </si>
  <si>
    <t>Syracuse</t>
  </si>
  <si>
    <t>NY</t>
  </si>
  <si>
    <t>Howard</t>
  </si>
  <si>
    <t>Jimmy</t>
  </si>
  <si>
    <t>Dec 19 '85</t>
  </si>
  <si>
    <t>Thunder Bay</t>
  </si>
  <si>
    <t>Hutton</t>
  </si>
  <si>
    <t>Carter</t>
  </si>
  <si>
    <t>Apr 11 '88</t>
  </si>
  <si>
    <t>Barrhead</t>
  </si>
  <si>
    <t>AB</t>
  </si>
  <si>
    <t>Irving</t>
  </si>
  <si>
    <t>Leland</t>
  </si>
  <si>
    <t>CGY</t>
  </si>
  <si>
    <t>Jun 10 '86</t>
  </si>
  <si>
    <t>Calgary</t>
  </si>
  <si>
    <t>Johnson</t>
  </si>
  <si>
    <t>Chad</t>
  </si>
  <si>
    <t>PHX</t>
  </si>
  <si>
    <t>Jan 13 '73</t>
  </si>
  <si>
    <t>Sverdlovsk</t>
  </si>
  <si>
    <t>Khabibulin</t>
  </si>
  <si>
    <t>Nikolai</t>
  </si>
  <si>
    <t>Hip, Groin</t>
  </si>
  <si>
    <t>May 07 '86</t>
  </si>
  <si>
    <t>Ust-Kamenogorsk</t>
  </si>
  <si>
    <t>KAZ</t>
  </si>
  <si>
    <t>Khudobin</t>
  </si>
  <si>
    <t>Anton</t>
  </si>
  <si>
    <t>BOS</t>
  </si>
  <si>
    <t>Jul 04 '89</t>
  </si>
  <si>
    <t>Farmingville</t>
  </si>
  <si>
    <t>Kinkaid</t>
  </si>
  <si>
    <t>Keith</t>
  </si>
  <si>
    <t>Oct 26 '76</t>
  </si>
  <si>
    <t>Turku</t>
  </si>
  <si>
    <t>Kiprusoff</t>
  </si>
  <si>
    <t>Miikka</t>
  </si>
  <si>
    <t>Knee</t>
  </si>
  <si>
    <t>May 05 '90</t>
  </si>
  <si>
    <t>Kuemper</t>
  </si>
  <si>
    <t>Darcy</t>
  </si>
  <si>
    <t>Jan 18 '80</t>
  </si>
  <si>
    <t>Burnaby</t>
  </si>
  <si>
    <t>BC</t>
  </si>
  <si>
    <t>LaBarbera</t>
  </si>
  <si>
    <t>Jason</t>
  </si>
  <si>
    <t>Jul 24 '91</t>
  </si>
  <si>
    <t>Gothenburg</t>
  </si>
  <si>
    <t>Lehner</t>
  </si>
  <si>
    <t>Robin</t>
  </si>
  <si>
    <t>Nov 16 '83</t>
  </si>
  <si>
    <t>Lehtonen</t>
  </si>
  <si>
    <t>Kari</t>
  </si>
  <si>
    <t>May 19 '81</t>
  </si>
  <si>
    <t>Petrolia</t>
  </si>
  <si>
    <t>Leighton</t>
  </si>
  <si>
    <t>Michael</t>
  </si>
  <si>
    <t>Finger</t>
  </si>
  <si>
    <t>May 03 '88</t>
  </si>
  <si>
    <t>Gavle</t>
  </si>
  <si>
    <t>Lindback</t>
  </si>
  <si>
    <t>Anders</t>
  </si>
  <si>
    <t>Mar 02 '82</t>
  </si>
  <si>
    <t>Are</t>
  </si>
  <si>
    <t>Lundqvist</t>
  </si>
  <si>
    <t>Henrik</t>
  </si>
  <si>
    <t>Apr 04 '79</t>
  </si>
  <si>
    <t>Luongo</t>
  </si>
  <si>
    <t>Roberto</t>
  </si>
  <si>
    <t>VAN</t>
  </si>
  <si>
    <t>Feb 07 '80</t>
  </si>
  <si>
    <t>Pictou</t>
  </si>
  <si>
    <t>NS</t>
  </si>
  <si>
    <t>MacDonald</t>
  </si>
  <si>
    <t>Joey</t>
  </si>
  <si>
    <t>Jan 31 '90</t>
  </si>
  <si>
    <t>Markstrom</t>
  </si>
  <si>
    <t>Jacob</t>
  </si>
  <si>
    <t>Apr 20 '76</t>
  </si>
  <si>
    <t>Red Deer</t>
  </si>
  <si>
    <t>Mason</t>
  </si>
  <si>
    <t>Chris</t>
  </si>
  <si>
    <t>NSH</t>
  </si>
  <si>
    <t>May 29 '88</t>
  </si>
  <si>
    <t>Oakville</t>
  </si>
  <si>
    <t>Steve</t>
  </si>
  <si>
    <t>CBJ, PHI</t>
  </si>
  <si>
    <t>Jul 17 '80</t>
  </si>
  <si>
    <t>East Lansing</t>
  </si>
  <si>
    <t>MI</t>
  </si>
  <si>
    <t>Miller</t>
  </si>
  <si>
    <t>Ryan</t>
  </si>
  <si>
    <t>Feb 13 '85</t>
  </si>
  <si>
    <t>Chicago</t>
  </si>
  <si>
    <t>Montoya</t>
  </si>
  <si>
    <t>Al</t>
  </si>
  <si>
    <t>WPG</t>
  </si>
  <si>
    <t>Feb 14 '92</t>
  </si>
  <si>
    <t>Ostrava</t>
  </si>
  <si>
    <t>CZE</t>
  </si>
  <si>
    <t>Mrazek</t>
  </si>
  <si>
    <t>Petr</t>
  </si>
  <si>
    <t>Jul 25 '75</t>
  </si>
  <si>
    <t>Kamenogorsk</t>
  </si>
  <si>
    <t>Nabokov</t>
  </si>
  <si>
    <t>Evgeni</t>
  </si>
  <si>
    <t>Mar 23 '88</t>
  </si>
  <si>
    <t>Ústí nad Labem</t>
  </si>
  <si>
    <t>Neuvirth</t>
  </si>
  <si>
    <t>Michal</t>
  </si>
  <si>
    <t>Illness, Head</t>
  </si>
  <si>
    <t>Aug 29 '83</t>
  </si>
  <si>
    <t>Vantaa</t>
  </si>
  <si>
    <t>Niemi</t>
  </si>
  <si>
    <t>Antti</t>
  </si>
  <si>
    <t>Feb 16 '84</t>
  </si>
  <si>
    <t>Malmö</t>
  </si>
  <si>
    <t>Nilstorp</t>
  </si>
  <si>
    <t>Cristopher</t>
  </si>
  <si>
    <t>Aug 31 '87</t>
  </si>
  <si>
    <t>Kladno</t>
  </si>
  <si>
    <t>Pavelec</t>
  </si>
  <si>
    <t>Ondrej</t>
  </si>
  <si>
    <t>Flu</t>
  </si>
  <si>
    <t>Aug 30 '86</t>
  </si>
  <si>
    <t>Blyth</t>
  </si>
  <si>
    <t>Peters</t>
  </si>
  <si>
    <t>Justin</t>
  </si>
  <si>
    <t>Apr 12 '90</t>
  </si>
  <si>
    <t>Poulin</t>
  </si>
  <si>
    <t>Kevin</t>
  </si>
  <si>
    <t>Aug 16 '87</t>
  </si>
  <si>
    <t>Anahim Lake</t>
  </si>
  <si>
    <t>Price</t>
  </si>
  <si>
    <t>Carey</t>
  </si>
  <si>
    <t>Jan 21 '86</t>
  </si>
  <si>
    <t>Milford</t>
  </si>
  <si>
    <t>CT</t>
  </si>
  <si>
    <t>Quick</t>
  </si>
  <si>
    <t>Mar 10 '87</t>
  </si>
  <si>
    <t>Savonlinna</t>
  </si>
  <si>
    <t>Rask</t>
  </si>
  <si>
    <t>Tuukka</t>
  </si>
  <si>
    <t>Mar 15 '88</t>
  </si>
  <si>
    <t>Morweena</t>
  </si>
  <si>
    <t>MB</t>
  </si>
  <si>
    <t>Reimer</t>
  </si>
  <si>
    <t>James</t>
  </si>
  <si>
    <t>TOR</t>
  </si>
  <si>
    <t>Nov 03 '82</t>
  </si>
  <si>
    <t>Kempele</t>
  </si>
  <si>
    <t>Rinne</t>
  </si>
  <si>
    <t>Pekka</t>
  </si>
  <si>
    <t>May 22 '87</t>
  </si>
  <si>
    <t>Pori</t>
  </si>
  <si>
    <t>Rynnas</t>
  </si>
  <si>
    <t>Jussi</t>
  </si>
  <si>
    <t>Mar 18 '86</t>
  </si>
  <si>
    <t>Marblehead</t>
  </si>
  <si>
    <t>Schneider</t>
  </si>
  <si>
    <t>Cory</t>
  </si>
  <si>
    <t>Flu, Lower body</t>
  </si>
  <si>
    <t>Sep 11 '86</t>
  </si>
  <si>
    <t>Spruce Grove</t>
  </si>
  <si>
    <t>Scrivens</t>
  </si>
  <si>
    <t>Mar 22 '82</t>
  </si>
  <si>
    <t>Kingston</t>
  </si>
  <si>
    <t>Smith</t>
  </si>
  <si>
    <t>Mike</t>
  </si>
  <si>
    <t>Groin, Upper body, Lower body</t>
  </si>
  <si>
    <t>Jul 28 '87</t>
  </si>
  <si>
    <t>St. Paul</t>
  </si>
  <si>
    <t>Stalock</t>
  </si>
  <si>
    <t>Alex</t>
  </si>
  <si>
    <t>Apr 28 '86</t>
  </si>
  <si>
    <t>Plymouth</t>
  </si>
  <si>
    <t>GBR</t>
  </si>
  <si>
    <t>Taylor</t>
  </si>
  <si>
    <t>Danny</t>
  </si>
  <si>
    <t>Sep 13 '76</t>
  </si>
  <si>
    <t>Theodore</t>
  </si>
  <si>
    <t>Jose</t>
  </si>
  <si>
    <t>Apr 27 '88</t>
  </si>
  <si>
    <t>Samara</t>
  </si>
  <si>
    <t>Varlamov</t>
  </si>
  <si>
    <t>Semyon</t>
  </si>
  <si>
    <t>Hip</t>
  </si>
  <si>
    <t>Jul 02 '76</t>
  </si>
  <si>
    <t>Karlovy Vary</t>
  </si>
  <si>
    <t>Vokoun</t>
  </si>
  <si>
    <t>Tomas</t>
  </si>
  <si>
    <t>Feb 29 '84</t>
  </si>
  <si>
    <t>Ward</t>
  </si>
  <si>
    <t>Cam</t>
  </si>
  <si>
    <t>Jersey Number</t>
  </si>
  <si>
    <t>Goals against while 4-on-5 shorthanded</t>
  </si>
  <si>
    <t>Goals for while 4-on-5 shorthanded</t>
  </si>
  <si>
    <t>Missed shots (against) while 4-on-5 shorthanded</t>
  </si>
  <si>
    <t>Saves made while 4-on-5 shorthanded</t>
  </si>
  <si>
    <t>Minutes played while 4-on-5 shorthanded</t>
  </si>
  <si>
    <t>Goals against while 5-on-4 power play</t>
  </si>
  <si>
    <t>Goals for while 5-on-4 power play</t>
  </si>
  <si>
    <t>Missed shots (against) while 5-on-4 power play</t>
  </si>
  <si>
    <t>Saves made while 5-on-4 power play</t>
  </si>
  <si>
    <t>Minutes played while 5-on-4 power play</t>
  </si>
  <si>
    <t>Goals against while 5-on-5 even-strength</t>
  </si>
  <si>
    <t>Goals for while 5-on-5 even strength</t>
  </si>
  <si>
    <t>Team's goal support per 60 minutes while 5-on-5 even strength</t>
  </si>
  <si>
    <t>Missed shots (against) while 5-on-5 even-strength</t>
  </si>
  <si>
    <t>Saves made while 5-on-5 even-strength</t>
  </si>
  <si>
    <t>Minutes played while 5-on-5 even-strength</t>
  </si>
  <si>
    <t>Birth City</t>
  </si>
  <si>
    <t>Where their fathers got one past the goalie</t>
  </si>
  <si>
    <t>Bonus</t>
  </si>
  <si>
    <t>When you find another french fry in the bag</t>
  </si>
  <si>
    <t>C</t>
  </si>
  <si>
    <t>Catches</t>
  </si>
  <si>
    <t>Ctry</t>
  </si>
  <si>
    <t>Country</t>
  </si>
  <si>
    <t>Defensive GVT</t>
  </si>
  <si>
    <t>DOB</t>
  </si>
  <si>
    <t>Doing Our Best</t>
  </si>
  <si>
    <t>Even-strength goals against</t>
  </si>
  <si>
    <t>Even-strength shots against</t>
  </si>
  <si>
    <t>Even-strength Save Percentage</t>
  </si>
  <si>
    <t>Even-strength saves</t>
  </si>
  <si>
    <t>What year Brodeur and Roloson will finally be done</t>
  </si>
  <si>
    <t>Goals, yes Cam Ward got one</t>
  </si>
  <si>
    <t>Goals against</t>
  </si>
  <si>
    <t>Goals-Against Average</t>
  </si>
  <si>
    <t>Goaltending GVT</t>
  </si>
  <si>
    <t>Games Injured</t>
  </si>
  <si>
    <t>GP</t>
  </si>
  <si>
    <t>Games Played</t>
  </si>
  <si>
    <t>Goalie Point Shares</t>
  </si>
  <si>
    <t>Games Relieved</t>
  </si>
  <si>
    <t>Games started</t>
  </si>
  <si>
    <t>Goals Versus Salary</t>
  </si>
  <si>
    <t>Total GVT</t>
  </si>
  <si>
    <t>Home Shoot-out goals against</t>
  </si>
  <si>
    <t>Home Shoot-out Losses</t>
  </si>
  <si>
    <t>Home Shoot-out Wins</t>
  </si>
  <si>
    <t>Home Shoot-out shots against</t>
  </si>
  <si>
    <t>HT</t>
  </si>
  <si>
    <t>Height</t>
  </si>
  <si>
    <t>Injuries suffered</t>
  </si>
  <si>
    <t>Losses</t>
  </si>
  <si>
    <t>Minutes Played</t>
  </si>
  <si>
    <t>OT</t>
  </si>
  <si>
    <t>Overtime Losses</t>
  </si>
  <si>
    <t>Penalties in Minutes</t>
  </si>
  <si>
    <t>Power play goals against</t>
  </si>
  <si>
    <t>Power play shots against</t>
  </si>
  <si>
    <t>Power play saves</t>
  </si>
  <si>
    <t>Power play Save Percentage</t>
  </si>
  <si>
    <t>Penalty shots against</t>
  </si>
  <si>
    <t>Penalty shots goals allowed</t>
  </si>
  <si>
    <t>Quality Starts</t>
  </si>
  <si>
    <t>Percentage of Starts that were Quality Starts</t>
  </si>
  <si>
    <t>Really Bad Starts, stopped less than 85% of shots</t>
  </si>
  <si>
    <t>Goals against in relief</t>
  </si>
  <si>
    <t>Goals-Against Average in relief</t>
  </si>
  <si>
    <t>Minutes played in relief</t>
  </si>
  <si>
    <t>Saves in relief</t>
  </si>
  <si>
    <t>Save Percentage in relief</t>
  </si>
  <si>
    <t>Rk</t>
  </si>
  <si>
    <t>Rookie</t>
  </si>
  <si>
    <t>Road Shoot-out goals against</t>
  </si>
  <si>
    <t>Road Shoot-out Losses</t>
  </si>
  <si>
    <t>Road Shoot-out Wins</t>
  </si>
  <si>
    <t>Road Shoot-out shots against</t>
  </si>
  <si>
    <t>S/P</t>
  </si>
  <si>
    <t>State/Province</t>
  </si>
  <si>
    <t>Shots against</t>
  </si>
  <si>
    <t>Shoot-out goals against</t>
  </si>
  <si>
    <t>Shoot-out GVT</t>
  </si>
  <si>
    <t>Short-handed goals against</t>
  </si>
  <si>
    <t>Short-handed shots against</t>
  </si>
  <si>
    <t>Short-handed saves</t>
  </si>
  <si>
    <t>Short-handed Save Percentage</t>
  </si>
  <si>
    <t>SO</t>
  </si>
  <si>
    <t>Shut-outs that weren't jinxed by someone saying it</t>
  </si>
  <si>
    <t>Shoot-out Losses</t>
  </si>
  <si>
    <t>Shoot-out Save Percentage</t>
  </si>
  <si>
    <t>Shoot-out Wins</t>
  </si>
  <si>
    <t>Shoot-out shots against</t>
  </si>
  <si>
    <t>Free Agent Status</t>
  </si>
  <si>
    <t>Goals against as starter</t>
  </si>
  <si>
    <t>Goals-Against Average as a Starter</t>
  </si>
  <si>
    <t>Minutes played as starter</t>
  </si>
  <si>
    <t>Shots faced as starter</t>
  </si>
  <si>
    <t>Save percentage when starting</t>
  </si>
  <si>
    <t>Saves</t>
  </si>
  <si>
    <t xml:space="preserve">Save Percentage </t>
  </si>
  <si>
    <t>Team's 5-on-5 missed shots, while goalie was in nets</t>
  </si>
  <si>
    <t>Team's 5-on-5 shots that were saved, while goalie was in nets</t>
  </si>
  <si>
    <t>Team's 5-on-4 missed shots, while goalie was in nets</t>
  </si>
  <si>
    <t>Team's 5-on-4 shots that were saved, while goalie was in nets</t>
  </si>
  <si>
    <t>Team's 4-on-5 missed shots, while goalie was in nets</t>
  </si>
  <si>
    <t>Team's 4-on-5 shots that were saved, while goalie was in nets</t>
  </si>
  <si>
    <t>Entry-Level or Standard contract</t>
  </si>
  <si>
    <t>W</t>
  </si>
  <si>
    <t>Wins</t>
  </si>
  <si>
    <t>Wt</t>
  </si>
  <si>
    <t>Weight</t>
  </si>
  <si>
    <t>DO NOT REMOVE THIS MESSAGE</t>
  </si>
  <si>
    <t>This spreadsheet is free for distribution</t>
  </si>
  <si>
    <t>Stats compiled by Robert Vollman, http://www.hockeyabstract.com</t>
  </si>
  <si>
    <t>Yes, both skater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</si>
  <si>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</si>
  <si>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</si>
  <si>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</si>
  <si>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</si>
  <si>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</si>
  <si>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Gabriel Desjardins and Behind the Net http://www.behindthenet.ca</t>
  </si>
  <si>
    <t>Note: Please support Gabe's favourite charity http://educationinneed.org/</t>
  </si>
  <si>
    <t>LW3H of Springing Malik http://springingmalik.blogspot.ca</t>
  </si>
  <si>
    <t>Tom Awad and Hockey Prospectus http://www.hockeyprospectus.com</t>
  </si>
  <si>
    <t>Robert Vollman and Hockey Abstract http://www.hockeyabstract.com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</si>
</sst>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[$$-409]#,##0;[Red]\-[$$-409]#,##0"/>
    <numFmt numFmtId="167" formatCode="0.0000"/>
    <numFmt numFmtId="168" formatCode="#.000"/>
    <numFmt numFmtId="169" formatCode="0.0%"/>
  </numFmts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pringingmalik.blogspot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90"/>
  <sheetViews>
    <sheetView tabSelected="1" workbookViewId="0">
      <pane ySplit="555" activePane="bottomLeft"/>
      <selection pane="bottomLeft" activeCell="A2" sqref="A2"/>
    </sheetView>
  </sheetViews>
  <sheetFormatPr defaultColWidth="11.5703125" defaultRowHeight="15" x14ac:dyDescent="0.25"/>
  <cols>
    <col min="1" max="1" width="3.42578125" customWidth="1"/>
    <col min="2" max="2" width="10" customWidth="1"/>
    <col min="3" max="3" width="18.42578125" customWidth="1"/>
    <col min="4" max="4" width="4.42578125" customWidth="1"/>
    <col min="5" max="5" width="5" customWidth="1"/>
    <col min="6" max="6" width="3.7109375" customWidth="1"/>
    <col min="7" max="7" width="4.140625" customWidth="1"/>
    <col min="8" max="8" width="2.5703125" customWidth="1"/>
    <col min="9" max="9" width="3.5703125" customWidth="1"/>
    <col min="10" max="10" width="4.42578125" customWidth="1"/>
    <col min="11" max="11" width="12.7109375" customWidth="1"/>
    <col min="12" max="12" width="14.5703125" customWidth="1"/>
    <col min="13" max="13" width="8.5703125" customWidth="1"/>
    <col min="14" max="14" width="4" style="1" customWidth="1"/>
    <col min="15" max="16" width="3.42578125" style="1" customWidth="1"/>
    <col min="17" max="17" width="3" style="1" customWidth="1"/>
    <col min="18" max="18" width="3.85546875" style="1" customWidth="1"/>
    <col min="19" max="19" width="5" style="1" customWidth="1"/>
    <col min="20" max="20" width="4" style="1" customWidth="1"/>
    <col min="21" max="21" width="5" style="1" customWidth="1"/>
    <col min="22" max="22" width="5" style="2" customWidth="1"/>
    <col min="23" max="23" width="7.7109375" style="3" customWidth="1"/>
    <col min="24" max="24" width="2.42578125" style="1" customWidth="1"/>
    <col min="25" max="25" width="2.28515625" style="1" customWidth="1"/>
    <col min="26" max="26" width="4.5703125" style="1" customWidth="1"/>
    <col min="27" max="27" width="7" style="4" customWidth="1"/>
    <col min="28" max="28" width="3.85546875" style="1" customWidth="1"/>
    <col min="29" max="29" width="4.42578125" style="1" customWidth="1"/>
    <col min="30" max="30" width="5.85546875" style="1" customWidth="1"/>
    <col min="31" max="31" width="5.42578125" style="1" customWidth="1"/>
    <col min="32" max="32" width="5" style="1" customWidth="1"/>
    <col min="33" max="33" width="6.5703125" style="1" customWidth="1"/>
    <col min="34" max="34" width="3.42578125" style="1" customWidth="1"/>
    <col min="35" max="35" width="4.7109375" style="1" customWidth="1"/>
    <col min="36" max="37" width="7" style="1" customWidth="1"/>
    <col min="38" max="38" width="8.5703125" style="1" customWidth="1"/>
    <col min="39" max="39" width="3.5703125" style="1" customWidth="1"/>
    <col min="40" max="40" width="6" style="1" customWidth="1"/>
    <col min="41" max="41" width="5.5703125" style="1" customWidth="1"/>
    <col min="42" max="42" width="7.140625" style="1" customWidth="1"/>
    <col min="43" max="43" width="7.28515625" style="2" customWidth="1"/>
    <col min="44" max="44" width="7.140625" style="3" customWidth="1"/>
    <col min="45" max="45" width="10.7109375" style="1" customWidth="1"/>
    <col min="46" max="47" width="6.7109375" style="1" customWidth="1"/>
    <col min="48" max="49" width="10.140625" style="5" customWidth="1"/>
    <col min="50" max="50" width="7.5703125" style="1" customWidth="1"/>
    <col min="51" max="51" width="6" style="1" customWidth="1"/>
    <col min="52" max="53" width="5.7109375" style="1" customWidth="1"/>
    <col min="54" max="54" width="5.28515625" style="1" customWidth="1"/>
    <col min="55" max="55" width="5" style="4" customWidth="1"/>
    <col min="56" max="56" width="6.85546875" style="6" customWidth="1"/>
    <col min="57" max="57" width="5" style="1" customWidth="1"/>
    <col min="58" max="58" width="4.7109375" style="1" customWidth="1"/>
    <col min="59" max="59" width="5.85546875" customWidth="1"/>
    <col min="60" max="60" width="5" style="1" customWidth="1"/>
    <col min="61" max="61" width="5.5703125" customWidth="1"/>
    <col min="62" max="62" width="6" customWidth="1"/>
    <col min="63" max="63" width="6.85546875" style="1" customWidth="1"/>
    <col min="64" max="64" width="5.5703125" customWidth="1"/>
    <col min="65" max="65" width="7" customWidth="1"/>
    <col min="66" max="66" width="9.42578125" customWidth="1"/>
    <col min="67" max="67" width="8.5703125" customWidth="1"/>
    <col min="68" max="68" width="8.5703125" style="6" customWidth="1"/>
    <col min="69" max="69" width="5.5703125" style="1" customWidth="1"/>
    <col min="70" max="70" width="6" style="1" customWidth="1"/>
    <col min="71" max="71" width="6.140625" customWidth="1"/>
    <col min="72" max="72" width="5.5703125" style="1" customWidth="1"/>
    <col min="73" max="73" width="5.85546875" customWidth="1"/>
    <col min="74" max="74" width="6.28515625" customWidth="1"/>
    <col min="75" max="75" width="7.140625" style="1" customWidth="1"/>
    <col min="76" max="76" width="5.85546875" customWidth="1"/>
    <col min="77" max="77" width="9.7109375" customWidth="1"/>
    <col min="78" max="78" width="8.85546875" customWidth="1"/>
    <col min="79" max="79" width="8.5703125" style="6" customWidth="1"/>
    <col min="80" max="80" width="5.5703125" style="1" customWidth="1"/>
    <col min="81" max="81" width="6" style="1" customWidth="1"/>
    <col min="82" max="82" width="6.140625" customWidth="1"/>
    <col min="83" max="83" width="5.5703125" style="1" customWidth="1"/>
    <col min="84" max="84" width="5.85546875" customWidth="1"/>
    <col min="85" max="85" width="6.28515625" customWidth="1"/>
    <col min="86" max="86" width="7.140625" style="1" customWidth="1"/>
    <col min="87" max="87" width="5.85546875" customWidth="1"/>
    <col min="88" max="88" width="9.7109375" customWidth="1"/>
    <col min="89" max="89" width="8.85546875" customWidth="1"/>
    <col min="90" max="90" width="6.7109375" style="1" customWidth="1"/>
    <col min="91" max="92" width="5.5703125" style="1" customWidth="1"/>
    <col min="93" max="93" width="6" style="1" customWidth="1"/>
    <col min="94" max="94" width="6.5703125" style="1" customWidth="1"/>
    <col min="95" max="96" width="5.42578125" style="1" customWidth="1"/>
    <col min="97" max="97" width="5.85546875" style="1" customWidth="1"/>
    <col min="98" max="98" width="5.42578125" style="1" customWidth="1"/>
    <col min="99" max="100" width="4.28515625" style="1" customWidth="1"/>
    <col min="101" max="101" width="4.7109375" style="1" customWidth="1"/>
    <col min="102" max="102" width="7.28515625" style="1" customWidth="1"/>
    <col min="103" max="103" width="5" customWidth="1"/>
    <col min="104" max="104" width="27.42578125" customWidth="1"/>
    <col min="105" max="105" width="9.42578125" customWidth="1"/>
    <col min="106" max="107" width="8.5703125" customWidth="1"/>
    <col min="108" max="108" width="6.140625" customWidth="1"/>
    <col min="109" max="110" width="5.85546875" customWidth="1"/>
    <col min="111" max="111" width="9.7109375" customWidth="1"/>
    <col min="112" max="112" width="8.85546875" customWidth="1"/>
    <col min="113" max="113" width="6.28515625" customWidth="1"/>
    <col min="114" max="114" width="8.5703125" customWidth="1"/>
    <col min="115" max="115" width="6.140625" customWidth="1"/>
    <col min="116" max="117" width="5.85546875" customWidth="1"/>
    <col min="118" max="118" width="9.7109375" customWidth="1"/>
    <col min="119" max="119" width="8.85546875" customWidth="1"/>
    <col min="120" max="120" width="6.28515625" customWidth="1"/>
  </cols>
  <sheetData>
    <row r="1" spans="1:120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1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8" t="s">
        <v>42</v>
      </c>
      <c r="AR1" s="9" t="s">
        <v>43</v>
      </c>
      <c r="AS1" s="7" t="s">
        <v>44</v>
      </c>
      <c r="AT1" s="7" t="s">
        <v>45</v>
      </c>
      <c r="AU1" s="7" t="s">
        <v>46</v>
      </c>
      <c r="AV1" s="12" t="s">
        <v>47</v>
      </c>
      <c r="AW1" s="12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10" t="s">
        <v>54</v>
      </c>
      <c r="BD1" s="10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10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10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</row>
    <row r="2" spans="1:120" x14ac:dyDescent="0.25">
      <c r="A2" s="13">
        <v>30</v>
      </c>
      <c r="B2" s="13" t="s">
        <v>104</v>
      </c>
      <c r="C2" s="13" t="s">
        <v>105</v>
      </c>
      <c r="D2" s="13"/>
      <c r="E2" s="13" t="s">
        <v>106</v>
      </c>
      <c r="F2" s="13">
        <v>73</v>
      </c>
      <c r="G2" s="13">
        <v>174</v>
      </c>
      <c r="H2" s="13" t="s">
        <v>107</v>
      </c>
      <c r="I2" s="13" t="s">
        <v>108</v>
      </c>
      <c r="J2">
        <v>21</v>
      </c>
      <c r="K2" t="s">
        <v>109</v>
      </c>
      <c r="L2" t="s">
        <v>110</v>
      </c>
      <c r="M2" s="14" t="s">
        <v>111</v>
      </c>
      <c r="N2" s="15">
        <v>1</v>
      </c>
      <c r="O2" s="1">
        <v>1</v>
      </c>
      <c r="P2" s="15">
        <v>0</v>
      </c>
      <c r="Q2" s="15">
        <v>0</v>
      </c>
      <c r="R2" s="15">
        <v>0</v>
      </c>
      <c r="S2" s="15">
        <v>25</v>
      </c>
      <c r="T2" s="15">
        <v>2</v>
      </c>
      <c r="U2" s="15">
        <v>23</v>
      </c>
      <c r="V2" s="2">
        <f t="shared" ref="V2:V33" si="0">T2/AA2*60</f>
        <v>2.432432432432432</v>
      </c>
      <c r="W2" s="16">
        <f t="shared" ref="W2:W33" si="1">U2/S2</f>
        <v>0.92</v>
      </c>
      <c r="X2" s="15">
        <v>0</v>
      </c>
      <c r="Y2" s="15">
        <v>0</v>
      </c>
      <c r="Z2" s="15">
        <v>0</v>
      </c>
      <c r="AA2" s="17">
        <f>49+20/60</f>
        <v>49.333333333333336</v>
      </c>
      <c r="AB2" s="1">
        <v>0</v>
      </c>
      <c r="AC2" s="15">
        <v>0</v>
      </c>
      <c r="AD2" s="15">
        <v>0</v>
      </c>
      <c r="AE2" s="1">
        <v>2</v>
      </c>
      <c r="AF2" s="1">
        <v>23</v>
      </c>
      <c r="AG2" s="1">
        <v>49</v>
      </c>
      <c r="AH2" s="1">
        <v>0</v>
      </c>
      <c r="AI2" s="1">
        <v>0</v>
      </c>
      <c r="AJ2" s="16">
        <f t="shared" ref="AJ2:AJ16" si="2">AF2/(AE2+AF2)</f>
        <v>0.92</v>
      </c>
      <c r="AK2" s="2">
        <f t="shared" ref="AK2:AK16" si="3">AE2/AG2*60</f>
        <v>2.4489795918367343</v>
      </c>
      <c r="AL2" s="18">
        <f t="shared" ref="AL2:AL16" si="4">IF(O2&gt;0,AH2/O2,"0_")</f>
        <v>0</v>
      </c>
      <c r="AM2" s="1">
        <v>0</v>
      </c>
      <c r="AN2" s="1">
        <v>0</v>
      </c>
      <c r="AO2" s="1">
        <v>0</v>
      </c>
      <c r="AP2" s="1">
        <v>0</v>
      </c>
      <c r="AQ2" s="2">
        <v>0</v>
      </c>
      <c r="AR2" s="16">
        <v>0</v>
      </c>
      <c r="AS2" s="1" t="s">
        <v>112</v>
      </c>
      <c r="AT2" s="1" t="s">
        <v>113</v>
      </c>
      <c r="AU2" s="1">
        <v>2015</v>
      </c>
      <c r="AV2" s="19">
        <v>590000</v>
      </c>
      <c r="AW2" s="5">
        <v>900000</v>
      </c>
      <c r="AX2">
        <v>0.4</v>
      </c>
      <c r="AY2">
        <v>0</v>
      </c>
      <c r="AZ2">
        <v>0</v>
      </c>
      <c r="BA2">
        <v>0.4</v>
      </c>
      <c r="BB2" s="4">
        <f t="shared" ref="BB2:BB33" si="5">BA2-(48/82)*3*(AW2-500000)/1000000</f>
        <v>-0.30243902439024384</v>
      </c>
      <c r="BC2" s="4">
        <v>0.2</v>
      </c>
      <c r="BD2" s="6">
        <v>41.95</v>
      </c>
      <c r="BE2" s="15">
        <v>18</v>
      </c>
      <c r="BF2" s="15">
        <v>1</v>
      </c>
      <c r="BG2" s="20">
        <v>1</v>
      </c>
      <c r="BH2" s="15">
        <v>17</v>
      </c>
      <c r="BI2" s="21">
        <v>17</v>
      </c>
      <c r="BJ2" s="21">
        <v>10</v>
      </c>
      <c r="BK2" s="16">
        <f t="shared" ref="BK2:BK33" si="6">IF(BE2&gt;0,BH2/BE2,0)</f>
        <v>0.94444444444444442</v>
      </c>
      <c r="BL2" s="20">
        <v>2</v>
      </c>
      <c r="BM2" s="22">
        <f t="shared" ref="BM2:BM33" si="7">BL2/BD2*60</f>
        <v>2.8605482717520858</v>
      </c>
      <c r="BN2" s="21">
        <v>21</v>
      </c>
      <c r="BO2" s="21">
        <v>7</v>
      </c>
      <c r="BP2" s="23">
        <v>4.58</v>
      </c>
      <c r="BQ2" s="15">
        <v>6</v>
      </c>
      <c r="BR2" s="15">
        <v>1</v>
      </c>
      <c r="BS2" s="20">
        <v>1</v>
      </c>
      <c r="BT2" s="15">
        <v>5</v>
      </c>
      <c r="BU2" s="21">
        <v>5</v>
      </c>
      <c r="BV2" s="21">
        <v>3</v>
      </c>
      <c r="BW2" s="16">
        <f t="shared" ref="BW2:BW33" si="8">IF(BQ2&gt;0,BT2/BQ2,0)</f>
        <v>0.83333333333333337</v>
      </c>
      <c r="BX2" s="20">
        <v>0</v>
      </c>
      <c r="BY2" s="21">
        <v>0</v>
      </c>
      <c r="BZ2" s="21">
        <v>0</v>
      </c>
      <c r="CA2" s="23">
        <v>2.8</v>
      </c>
      <c r="CB2" s="15">
        <v>1</v>
      </c>
      <c r="CC2" s="15">
        <v>0</v>
      </c>
      <c r="CD2" s="20">
        <v>0</v>
      </c>
      <c r="CE2" s="15">
        <v>1</v>
      </c>
      <c r="CF2" s="21">
        <v>1</v>
      </c>
      <c r="CG2" s="21">
        <v>1</v>
      </c>
      <c r="CH2" s="16">
        <f t="shared" ref="CH2:CH33" si="9">IF(CB2&gt;0,CE2/CB2,0)</f>
        <v>1</v>
      </c>
      <c r="CI2" s="20">
        <v>0</v>
      </c>
      <c r="CJ2" s="21">
        <v>2</v>
      </c>
      <c r="CK2" s="21">
        <v>2</v>
      </c>
      <c r="CX2" s="16" t="str">
        <f t="shared" ref="CX2:CX33" si="10">IF(CV2&gt;0,1-CW2/CV2," ")</f>
        <v xml:space="preserve"> </v>
      </c>
    </row>
    <row r="3" spans="1:120" x14ac:dyDescent="0.25">
      <c r="A3" s="13">
        <v>34</v>
      </c>
      <c r="B3" s="13" t="s">
        <v>114</v>
      </c>
      <c r="C3" s="13" t="s">
        <v>115</v>
      </c>
      <c r="D3" s="13" t="s">
        <v>116</v>
      </c>
      <c r="E3" s="13" t="s">
        <v>117</v>
      </c>
      <c r="F3" s="13">
        <v>74</v>
      </c>
      <c r="G3" s="13">
        <v>195</v>
      </c>
      <c r="H3" s="13" t="s">
        <v>107</v>
      </c>
      <c r="I3" s="13" t="s">
        <v>108</v>
      </c>
      <c r="J3">
        <v>23</v>
      </c>
      <c r="K3" t="s">
        <v>118</v>
      </c>
      <c r="L3" t="s">
        <v>119</v>
      </c>
      <c r="M3" s="14" t="s">
        <v>120</v>
      </c>
      <c r="N3" s="15">
        <v>15</v>
      </c>
      <c r="O3" s="1">
        <v>13</v>
      </c>
      <c r="P3" s="15">
        <v>9</v>
      </c>
      <c r="Q3" s="15">
        <v>4</v>
      </c>
      <c r="R3" s="15">
        <v>0</v>
      </c>
      <c r="S3" s="15">
        <v>346</v>
      </c>
      <c r="T3" s="15">
        <v>33</v>
      </c>
      <c r="U3" s="15">
        <v>313</v>
      </c>
      <c r="V3" s="2">
        <f t="shared" si="0"/>
        <v>2.4630439740426677</v>
      </c>
      <c r="W3" s="16">
        <f t="shared" si="1"/>
        <v>0.90462427745664742</v>
      </c>
      <c r="X3" s="15">
        <v>0</v>
      </c>
      <c r="Y3" s="15">
        <v>0</v>
      </c>
      <c r="Z3" s="15">
        <v>0</v>
      </c>
      <c r="AA3" s="17">
        <f>803+53/60</f>
        <v>803.88333333333333</v>
      </c>
      <c r="AB3" s="1">
        <v>1</v>
      </c>
      <c r="AC3" s="15">
        <v>0</v>
      </c>
      <c r="AD3" s="15">
        <v>0</v>
      </c>
      <c r="AE3" s="1">
        <v>30</v>
      </c>
      <c r="AF3" s="1">
        <v>296</v>
      </c>
      <c r="AG3" s="1">
        <v>750</v>
      </c>
      <c r="AH3" s="1">
        <v>6</v>
      </c>
      <c r="AI3" s="1">
        <v>4</v>
      </c>
      <c r="AJ3" s="16">
        <f t="shared" si="2"/>
        <v>0.90797546012269936</v>
      </c>
      <c r="AK3" s="2">
        <f t="shared" si="3"/>
        <v>2.4</v>
      </c>
      <c r="AL3" s="18">
        <f t="shared" si="4"/>
        <v>0.46153846153846156</v>
      </c>
      <c r="AM3" s="1">
        <v>2</v>
      </c>
      <c r="AN3" s="1">
        <v>3</v>
      </c>
      <c r="AO3" s="1">
        <v>17</v>
      </c>
      <c r="AP3" s="1">
        <v>54</v>
      </c>
      <c r="AQ3" s="2">
        <f>IF(AP3&gt;0,AN3/AP3*60," ")</f>
        <v>3.333333333333333</v>
      </c>
      <c r="AR3" s="16">
        <f>IF(AP3&gt;0,AO3/(AN3+AO3)," ")</f>
        <v>0.85</v>
      </c>
      <c r="AS3" s="1" t="s">
        <v>112</v>
      </c>
      <c r="AT3" s="1" t="s">
        <v>113</v>
      </c>
      <c r="AU3" s="1">
        <v>2013</v>
      </c>
      <c r="AV3" s="19">
        <v>787500</v>
      </c>
      <c r="AW3" s="5">
        <v>816666</v>
      </c>
      <c r="AX3">
        <v>0.2</v>
      </c>
      <c r="AY3">
        <v>0.5</v>
      </c>
      <c r="AZ3">
        <v>0.7</v>
      </c>
      <c r="BA3">
        <v>1.4</v>
      </c>
      <c r="BB3" s="4">
        <f t="shared" si="5"/>
        <v>0.84390360975609757</v>
      </c>
      <c r="BC3" s="4">
        <v>1.8</v>
      </c>
      <c r="BD3" s="6">
        <v>632.4</v>
      </c>
      <c r="BE3" s="15">
        <v>291</v>
      </c>
      <c r="BF3" s="15">
        <v>26</v>
      </c>
      <c r="BG3" s="20">
        <v>26</v>
      </c>
      <c r="BH3" s="15">
        <v>265</v>
      </c>
      <c r="BI3" s="21">
        <v>255</v>
      </c>
      <c r="BJ3" s="21">
        <v>109</v>
      </c>
      <c r="BK3" s="16">
        <f t="shared" si="6"/>
        <v>0.9106529209621993</v>
      </c>
      <c r="BL3" s="20">
        <v>27</v>
      </c>
      <c r="BM3" s="22">
        <f t="shared" si="7"/>
        <v>2.5616698292220113</v>
      </c>
      <c r="BN3" s="21">
        <v>253</v>
      </c>
      <c r="BO3" s="21">
        <v>112</v>
      </c>
      <c r="BP3" s="23">
        <v>65.099999999999994</v>
      </c>
      <c r="BQ3" s="15">
        <v>46</v>
      </c>
      <c r="BR3" s="15">
        <v>6</v>
      </c>
      <c r="BS3" s="20">
        <v>5</v>
      </c>
      <c r="BT3" s="15">
        <v>40</v>
      </c>
      <c r="BU3" s="21">
        <v>39</v>
      </c>
      <c r="BV3" s="21">
        <v>26</v>
      </c>
      <c r="BW3" s="16">
        <f t="shared" si="8"/>
        <v>0.86956521739130432</v>
      </c>
      <c r="BX3" s="20">
        <v>2</v>
      </c>
      <c r="BY3" s="21">
        <v>3</v>
      </c>
      <c r="BZ3" s="21">
        <v>1</v>
      </c>
      <c r="CA3" s="23">
        <v>84.6</v>
      </c>
      <c r="CB3" s="15">
        <v>9</v>
      </c>
      <c r="CC3" s="15">
        <v>1</v>
      </c>
      <c r="CD3" s="20">
        <v>1</v>
      </c>
      <c r="CE3" s="15">
        <v>8</v>
      </c>
      <c r="CF3" s="21">
        <v>8</v>
      </c>
      <c r="CG3" s="21">
        <v>2</v>
      </c>
      <c r="CH3" s="16">
        <f t="shared" si="9"/>
        <v>0.88888888888888884</v>
      </c>
      <c r="CI3" s="20">
        <v>7</v>
      </c>
      <c r="CJ3" s="21">
        <v>58</v>
      </c>
      <c r="CK3" s="21">
        <v>31</v>
      </c>
      <c r="CL3" s="15">
        <v>0</v>
      </c>
      <c r="CM3" s="15">
        <v>0</v>
      </c>
      <c r="CN3" s="15">
        <v>0</v>
      </c>
      <c r="CO3" s="15">
        <v>0</v>
      </c>
      <c r="CP3" s="15">
        <v>1</v>
      </c>
      <c r="CQ3" s="15">
        <v>0</v>
      </c>
      <c r="CR3" s="15">
        <v>2</v>
      </c>
      <c r="CS3" s="15">
        <v>0</v>
      </c>
      <c r="CT3" s="15">
        <v>1</v>
      </c>
      <c r="CU3" s="15">
        <v>0</v>
      </c>
      <c r="CV3" s="15">
        <v>2</v>
      </c>
      <c r="CW3" s="15">
        <v>0</v>
      </c>
      <c r="CX3" s="16">
        <f t="shared" si="10"/>
        <v>1</v>
      </c>
    </row>
    <row r="4" spans="1:120" x14ac:dyDescent="0.25">
      <c r="A4" s="13">
        <v>41</v>
      </c>
      <c r="B4" s="13" t="s">
        <v>121</v>
      </c>
      <c r="C4" s="13" t="s">
        <v>122</v>
      </c>
      <c r="D4" s="13" t="s">
        <v>123</v>
      </c>
      <c r="E4" s="13" t="s">
        <v>124</v>
      </c>
      <c r="F4" s="13">
        <v>74</v>
      </c>
      <c r="G4" s="13">
        <v>180</v>
      </c>
      <c r="H4" s="13" t="s">
        <v>107</v>
      </c>
      <c r="I4" s="13"/>
      <c r="J4">
        <v>32</v>
      </c>
      <c r="K4" t="s">
        <v>125</v>
      </c>
      <c r="L4" t="s">
        <v>126</v>
      </c>
      <c r="M4" s="14" t="s">
        <v>127</v>
      </c>
      <c r="N4" s="15">
        <v>24</v>
      </c>
      <c r="O4" s="1">
        <v>24</v>
      </c>
      <c r="P4" s="15">
        <v>12</v>
      </c>
      <c r="Q4" s="15">
        <v>9</v>
      </c>
      <c r="R4" s="15">
        <v>2</v>
      </c>
      <c r="S4" s="15">
        <v>677</v>
      </c>
      <c r="T4" s="15">
        <v>40</v>
      </c>
      <c r="U4" s="15">
        <v>637</v>
      </c>
      <c r="V4" s="2">
        <f t="shared" si="0"/>
        <v>1.6894270026749263</v>
      </c>
      <c r="W4" s="16">
        <f t="shared" si="1"/>
        <v>0.94091580502215655</v>
      </c>
      <c r="X4" s="15">
        <v>0</v>
      </c>
      <c r="Y4" s="15">
        <v>0</v>
      </c>
      <c r="Z4" s="15">
        <v>0</v>
      </c>
      <c r="AA4" s="17">
        <f>1420+36/60</f>
        <v>1420.6</v>
      </c>
      <c r="AB4" s="1">
        <v>3</v>
      </c>
      <c r="AC4" s="15">
        <v>0</v>
      </c>
      <c r="AD4" s="15">
        <v>0</v>
      </c>
      <c r="AE4" s="1">
        <v>40</v>
      </c>
      <c r="AF4" s="1">
        <v>637</v>
      </c>
      <c r="AG4" s="1">
        <v>1423</v>
      </c>
      <c r="AH4" s="1">
        <v>16</v>
      </c>
      <c r="AI4" s="1">
        <v>1</v>
      </c>
      <c r="AJ4" s="16">
        <f t="shared" si="2"/>
        <v>0.94091580502215655</v>
      </c>
      <c r="AK4" s="2">
        <f t="shared" si="3"/>
        <v>1.6865776528460996</v>
      </c>
      <c r="AL4" s="18">
        <f t="shared" si="4"/>
        <v>0.66666666666666663</v>
      </c>
      <c r="AM4" s="1">
        <v>0</v>
      </c>
      <c r="AN4" s="1">
        <v>0</v>
      </c>
      <c r="AO4" s="1">
        <v>0</v>
      </c>
      <c r="AP4" s="1">
        <v>0</v>
      </c>
      <c r="AQ4" s="2">
        <v>0</v>
      </c>
      <c r="AR4" s="16">
        <v>0</v>
      </c>
      <c r="AS4" s="1" t="s">
        <v>128</v>
      </c>
      <c r="AT4" s="1" t="s">
        <v>129</v>
      </c>
      <c r="AU4" s="1">
        <v>2015</v>
      </c>
      <c r="AV4" s="19">
        <v>3000000</v>
      </c>
      <c r="AW4" s="5">
        <v>3187500</v>
      </c>
      <c r="AX4">
        <v>24.9</v>
      </c>
      <c r="AY4">
        <v>0</v>
      </c>
      <c r="AZ4">
        <v>-1.8</v>
      </c>
      <c r="BA4">
        <v>23.1</v>
      </c>
      <c r="BB4" s="4">
        <f t="shared" si="5"/>
        <v>18.380487804878051</v>
      </c>
      <c r="BC4" s="4">
        <v>6.5</v>
      </c>
      <c r="BD4" s="6">
        <v>1095.8399999999999</v>
      </c>
      <c r="BE4" s="15">
        <v>528</v>
      </c>
      <c r="BF4" s="15">
        <v>30</v>
      </c>
      <c r="BG4" s="20">
        <v>29</v>
      </c>
      <c r="BH4" s="15">
        <v>498</v>
      </c>
      <c r="BI4" s="21">
        <v>479</v>
      </c>
      <c r="BJ4" s="21">
        <v>184</v>
      </c>
      <c r="BK4" s="16">
        <f t="shared" si="6"/>
        <v>0.94318181818181823</v>
      </c>
      <c r="BL4" s="20">
        <v>36</v>
      </c>
      <c r="BM4" s="22">
        <f t="shared" si="7"/>
        <v>1.971090670170828</v>
      </c>
      <c r="BN4" s="21">
        <v>573</v>
      </c>
      <c r="BO4" s="21">
        <v>226</v>
      </c>
      <c r="BP4" s="23">
        <v>140.63999999999999</v>
      </c>
      <c r="BQ4" s="15">
        <v>133</v>
      </c>
      <c r="BR4" s="15">
        <v>10</v>
      </c>
      <c r="BS4" s="20">
        <v>8</v>
      </c>
      <c r="BT4" s="15">
        <v>123</v>
      </c>
      <c r="BU4" s="21">
        <v>112</v>
      </c>
      <c r="BV4" s="21">
        <v>40</v>
      </c>
      <c r="BW4" s="16">
        <f t="shared" si="8"/>
        <v>0.92481203007518797</v>
      </c>
      <c r="BX4" s="20">
        <v>2</v>
      </c>
      <c r="BY4" s="21">
        <v>23</v>
      </c>
      <c r="BZ4" s="21">
        <v>10</v>
      </c>
      <c r="CA4" s="23">
        <v>138.72</v>
      </c>
      <c r="CB4" s="15">
        <v>16</v>
      </c>
      <c r="CC4" s="15">
        <v>0</v>
      </c>
      <c r="CD4" s="20">
        <v>0</v>
      </c>
      <c r="CE4" s="15">
        <v>16</v>
      </c>
      <c r="CF4" s="21">
        <v>16</v>
      </c>
      <c r="CG4" s="21">
        <v>5</v>
      </c>
      <c r="CH4" s="16">
        <f t="shared" si="9"/>
        <v>1</v>
      </c>
      <c r="CI4" s="20">
        <v>12</v>
      </c>
      <c r="CJ4" s="21">
        <v>116</v>
      </c>
      <c r="CK4" s="21">
        <v>46</v>
      </c>
      <c r="CL4" s="15">
        <v>0</v>
      </c>
      <c r="CM4" s="15">
        <v>1</v>
      </c>
      <c r="CN4" s="15">
        <v>3</v>
      </c>
      <c r="CO4" s="15">
        <v>3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1</v>
      </c>
      <c r="CV4" s="15">
        <v>3</v>
      </c>
      <c r="CW4" s="15">
        <v>3</v>
      </c>
      <c r="CX4" s="16">
        <f t="shared" si="10"/>
        <v>0</v>
      </c>
      <c r="CY4">
        <v>18</v>
      </c>
      <c r="CZ4" t="s">
        <v>130</v>
      </c>
    </row>
    <row r="5" spans="1:120" x14ac:dyDescent="0.25">
      <c r="A5" s="13">
        <v>31</v>
      </c>
      <c r="B5" s="13" t="s">
        <v>131</v>
      </c>
      <c r="C5" s="13" t="s">
        <v>132</v>
      </c>
      <c r="D5" s="13" t="s">
        <v>133</v>
      </c>
      <c r="E5" s="13" t="s">
        <v>124</v>
      </c>
      <c r="F5" s="13">
        <v>70</v>
      </c>
      <c r="G5" s="13">
        <v>175</v>
      </c>
      <c r="H5" s="13" t="s">
        <v>107</v>
      </c>
      <c r="I5" s="13" t="s">
        <v>108</v>
      </c>
      <c r="J5">
        <v>26</v>
      </c>
      <c r="K5" t="s">
        <v>134</v>
      </c>
      <c r="L5" t="s">
        <v>135</v>
      </c>
      <c r="M5" s="14" t="s">
        <v>136</v>
      </c>
      <c r="N5" s="15">
        <v>13</v>
      </c>
      <c r="O5" s="1">
        <v>8</v>
      </c>
      <c r="P5" s="15">
        <v>6</v>
      </c>
      <c r="Q5" s="15">
        <v>5</v>
      </c>
      <c r="R5" s="15">
        <v>0</v>
      </c>
      <c r="S5" s="15">
        <v>288</v>
      </c>
      <c r="T5" s="15">
        <v>33</v>
      </c>
      <c r="U5" s="15">
        <v>255</v>
      </c>
      <c r="V5" s="2">
        <f t="shared" si="0"/>
        <v>3.2521215439364903</v>
      </c>
      <c r="W5" s="16">
        <f t="shared" si="1"/>
        <v>0.88541666666666663</v>
      </c>
      <c r="X5" s="15">
        <v>0</v>
      </c>
      <c r="Y5" s="15">
        <v>0</v>
      </c>
      <c r="Z5" s="15">
        <v>0</v>
      </c>
      <c r="AA5" s="17">
        <f>608+50/60</f>
        <v>608.83333333333337</v>
      </c>
      <c r="AB5" s="1">
        <v>0</v>
      </c>
      <c r="AC5" s="15">
        <v>0</v>
      </c>
      <c r="AD5" s="15">
        <v>0</v>
      </c>
      <c r="AE5" s="1">
        <v>26</v>
      </c>
      <c r="AF5" s="1">
        <v>200</v>
      </c>
      <c r="AG5" s="1">
        <v>478</v>
      </c>
      <c r="AH5" s="1">
        <v>4</v>
      </c>
      <c r="AI5" s="1">
        <v>3</v>
      </c>
      <c r="AJ5" s="16">
        <f t="shared" si="2"/>
        <v>0.88495575221238942</v>
      </c>
      <c r="AK5" s="2">
        <f t="shared" si="3"/>
        <v>3.2635983263598329</v>
      </c>
      <c r="AL5" s="18">
        <f t="shared" si="4"/>
        <v>0.5</v>
      </c>
      <c r="AM5" s="1">
        <v>5</v>
      </c>
      <c r="AN5" s="1">
        <v>7</v>
      </c>
      <c r="AO5" s="1">
        <v>55</v>
      </c>
      <c r="AP5" s="1">
        <v>132</v>
      </c>
      <c r="AQ5" s="2">
        <f t="shared" ref="AQ5:AQ11" si="11">IF(AP5&gt;0,AN5/AP5*60," ")</f>
        <v>3.1818181818181821</v>
      </c>
      <c r="AR5" s="16">
        <f t="shared" ref="AR5:AR11" si="12">IF(AP5&gt;0,AO5/(AN5+AO5)," ")</f>
        <v>0.88709677419354838</v>
      </c>
      <c r="AS5" s="1" t="s">
        <v>128</v>
      </c>
      <c r="AT5" s="1" t="s">
        <v>113</v>
      </c>
      <c r="AU5" s="1">
        <v>2013</v>
      </c>
      <c r="AV5" s="19">
        <v>625000</v>
      </c>
      <c r="AW5" s="5">
        <v>625000</v>
      </c>
      <c r="AX5">
        <v>-5.0999999999999996</v>
      </c>
      <c r="AY5">
        <v>0</v>
      </c>
      <c r="AZ5">
        <v>0</v>
      </c>
      <c r="BA5">
        <v>-5</v>
      </c>
      <c r="BB5" s="4">
        <f t="shared" si="5"/>
        <v>-5.2195121951219514</v>
      </c>
      <c r="BC5" s="4">
        <v>0.9</v>
      </c>
      <c r="BD5" s="6">
        <v>483.99</v>
      </c>
      <c r="BE5" s="15">
        <v>228</v>
      </c>
      <c r="BF5" s="15">
        <v>24</v>
      </c>
      <c r="BG5" s="20">
        <v>23</v>
      </c>
      <c r="BH5" s="15">
        <v>204</v>
      </c>
      <c r="BI5" s="21">
        <v>201</v>
      </c>
      <c r="BJ5" s="21">
        <v>110</v>
      </c>
      <c r="BK5" s="16">
        <f t="shared" si="6"/>
        <v>0.89473684210526316</v>
      </c>
      <c r="BL5" s="20">
        <v>24</v>
      </c>
      <c r="BM5" s="22">
        <f t="shared" si="7"/>
        <v>2.9752680840513235</v>
      </c>
      <c r="BN5" s="21">
        <v>176</v>
      </c>
      <c r="BO5" s="21">
        <v>74</v>
      </c>
      <c r="BP5" s="23">
        <v>60.19</v>
      </c>
      <c r="BQ5" s="15">
        <v>56</v>
      </c>
      <c r="BR5" s="15">
        <v>8</v>
      </c>
      <c r="BS5" s="20">
        <v>7</v>
      </c>
      <c r="BT5" s="15">
        <v>48</v>
      </c>
      <c r="BU5" s="21">
        <v>48</v>
      </c>
      <c r="BV5" s="21">
        <v>27</v>
      </c>
      <c r="BW5" s="16">
        <f t="shared" si="8"/>
        <v>0.8571428571428571</v>
      </c>
      <c r="BX5" s="20">
        <v>0</v>
      </c>
      <c r="BY5" s="21">
        <v>6</v>
      </c>
      <c r="BZ5" s="21">
        <v>3</v>
      </c>
      <c r="CA5" s="23">
        <v>46.28</v>
      </c>
      <c r="CB5" s="15">
        <v>4</v>
      </c>
      <c r="CC5" s="15">
        <v>1</v>
      </c>
      <c r="CD5" s="20">
        <v>1</v>
      </c>
      <c r="CE5" s="15">
        <v>3</v>
      </c>
      <c r="CF5" s="21">
        <v>3</v>
      </c>
      <c r="CG5" s="21">
        <v>3</v>
      </c>
      <c r="CH5" s="16">
        <f t="shared" si="9"/>
        <v>0.75</v>
      </c>
      <c r="CI5" s="20">
        <v>5</v>
      </c>
      <c r="CJ5" s="21">
        <v>33</v>
      </c>
      <c r="CK5" s="21">
        <v>12</v>
      </c>
      <c r="CX5" s="16" t="str">
        <f t="shared" si="10"/>
        <v xml:space="preserve"> </v>
      </c>
    </row>
    <row r="6" spans="1:120" x14ac:dyDescent="0.25">
      <c r="A6" s="13">
        <v>32</v>
      </c>
      <c r="B6" s="13" t="s">
        <v>137</v>
      </c>
      <c r="C6" s="13" t="s">
        <v>138</v>
      </c>
      <c r="D6" s="13"/>
      <c r="E6" s="13" t="s">
        <v>106</v>
      </c>
      <c r="F6" s="13">
        <v>71</v>
      </c>
      <c r="G6" s="13">
        <v>194</v>
      </c>
      <c r="H6" s="13" t="s">
        <v>107</v>
      </c>
      <c r="I6" s="13"/>
      <c r="J6">
        <v>35</v>
      </c>
      <c r="K6" t="s">
        <v>139</v>
      </c>
      <c r="L6" t="s">
        <v>140</v>
      </c>
      <c r="M6" s="14" t="s">
        <v>26</v>
      </c>
      <c r="N6" s="15">
        <v>42</v>
      </c>
      <c r="O6" s="1">
        <v>41</v>
      </c>
      <c r="P6" s="15">
        <v>24</v>
      </c>
      <c r="Q6" s="15">
        <v>15</v>
      </c>
      <c r="R6" s="15">
        <v>3</v>
      </c>
      <c r="S6" s="15">
        <v>1072</v>
      </c>
      <c r="T6" s="15">
        <v>98</v>
      </c>
      <c r="U6" s="15">
        <v>974</v>
      </c>
      <c r="V6" s="2">
        <f t="shared" si="0"/>
        <v>2.4829683013343842</v>
      </c>
      <c r="W6" s="16">
        <f t="shared" si="1"/>
        <v>0.90858208955223885</v>
      </c>
      <c r="X6" s="15">
        <v>0</v>
      </c>
      <c r="Y6" s="15">
        <v>0</v>
      </c>
      <c r="Z6" s="15">
        <v>2</v>
      </c>
      <c r="AA6" s="17">
        <f>2368+8/60</f>
        <v>2368.1333333333332</v>
      </c>
      <c r="AB6" s="1">
        <v>2</v>
      </c>
      <c r="AC6" s="15">
        <v>1</v>
      </c>
      <c r="AD6" s="15">
        <v>0</v>
      </c>
      <c r="AE6" s="1">
        <v>98</v>
      </c>
      <c r="AF6" s="1">
        <v>946</v>
      </c>
      <c r="AG6" s="1">
        <v>2311</v>
      </c>
      <c r="AH6" s="1">
        <v>21</v>
      </c>
      <c r="AI6" s="1">
        <v>8</v>
      </c>
      <c r="AJ6" s="16">
        <f t="shared" si="2"/>
        <v>0.9061302681992337</v>
      </c>
      <c r="AK6" s="2">
        <f t="shared" si="3"/>
        <v>2.5443530938987453</v>
      </c>
      <c r="AL6" s="18">
        <f t="shared" si="4"/>
        <v>0.51219512195121952</v>
      </c>
      <c r="AM6" s="1">
        <v>1</v>
      </c>
      <c r="AN6" s="1">
        <v>0</v>
      </c>
      <c r="AO6" s="1">
        <v>28</v>
      </c>
      <c r="AP6" s="1">
        <v>58</v>
      </c>
      <c r="AQ6" s="2">
        <f t="shared" si="11"/>
        <v>0</v>
      </c>
      <c r="AR6" s="16">
        <f t="shared" si="12"/>
        <v>1</v>
      </c>
      <c r="AS6" s="1" t="s">
        <v>128</v>
      </c>
      <c r="AT6" s="1" t="s">
        <v>129</v>
      </c>
      <c r="AU6" s="1">
        <v>2013</v>
      </c>
      <c r="AV6" s="19">
        <v>6000000</v>
      </c>
      <c r="AW6" s="19">
        <v>6000000</v>
      </c>
      <c r="AX6">
        <v>3.6</v>
      </c>
      <c r="AY6">
        <v>1</v>
      </c>
      <c r="AZ6">
        <v>-2.5</v>
      </c>
      <c r="BA6">
        <v>2.1</v>
      </c>
      <c r="BB6" s="4">
        <f t="shared" si="5"/>
        <v>-7.5585365853658519</v>
      </c>
      <c r="BC6" s="4">
        <v>6.2</v>
      </c>
      <c r="BD6" s="6">
        <v>1908.48</v>
      </c>
      <c r="BE6" s="15">
        <v>917</v>
      </c>
      <c r="BF6" s="15">
        <v>79</v>
      </c>
      <c r="BG6" s="20">
        <v>73</v>
      </c>
      <c r="BH6" s="15">
        <v>838</v>
      </c>
      <c r="BI6" s="21">
        <v>802</v>
      </c>
      <c r="BJ6" s="21">
        <v>344</v>
      </c>
      <c r="BK6" s="16">
        <f t="shared" si="6"/>
        <v>0.9138495092693566</v>
      </c>
      <c r="BL6" s="20">
        <v>70</v>
      </c>
      <c r="BM6" s="22">
        <f t="shared" si="7"/>
        <v>2.200704225352113</v>
      </c>
      <c r="BN6" s="21">
        <v>782</v>
      </c>
      <c r="BO6" s="21">
        <v>305</v>
      </c>
      <c r="BP6" s="23">
        <v>179.76</v>
      </c>
      <c r="BQ6" s="15">
        <v>139</v>
      </c>
      <c r="BR6" s="15">
        <v>19</v>
      </c>
      <c r="BS6" s="20">
        <v>19</v>
      </c>
      <c r="BT6" s="15">
        <v>120</v>
      </c>
      <c r="BU6" s="21">
        <v>119</v>
      </c>
      <c r="BV6" s="21">
        <v>40</v>
      </c>
      <c r="BW6" s="16">
        <f t="shared" si="8"/>
        <v>0.86330935251798557</v>
      </c>
      <c r="BX6" s="20">
        <v>1</v>
      </c>
      <c r="BY6" s="21">
        <v>18</v>
      </c>
      <c r="BZ6" s="21">
        <v>12</v>
      </c>
      <c r="CA6" s="23">
        <v>194.88</v>
      </c>
      <c r="CB6" s="15">
        <v>16</v>
      </c>
      <c r="CC6" s="15">
        <v>0</v>
      </c>
      <c r="CD6" s="20">
        <v>0</v>
      </c>
      <c r="CE6" s="15">
        <v>16</v>
      </c>
      <c r="CF6" s="21">
        <v>16</v>
      </c>
      <c r="CG6" s="21">
        <v>9</v>
      </c>
      <c r="CH6" s="16">
        <f t="shared" si="9"/>
        <v>1</v>
      </c>
      <c r="CI6" s="20">
        <v>21</v>
      </c>
      <c r="CJ6" s="21">
        <v>150</v>
      </c>
      <c r="CK6" s="21">
        <v>59</v>
      </c>
      <c r="CL6" s="15">
        <v>2</v>
      </c>
      <c r="CM6" s="15">
        <v>2</v>
      </c>
      <c r="CN6" s="15">
        <v>9</v>
      </c>
      <c r="CO6" s="15">
        <v>6</v>
      </c>
      <c r="CP6" s="15">
        <v>2</v>
      </c>
      <c r="CQ6" s="15">
        <v>0</v>
      </c>
      <c r="CR6" s="15">
        <v>6</v>
      </c>
      <c r="CS6" s="15">
        <v>2</v>
      </c>
      <c r="CT6" s="15">
        <v>4</v>
      </c>
      <c r="CU6" s="15">
        <v>2</v>
      </c>
      <c r="CV6" s="15">
        <v>15</v>
      </c>
      <c r="CW6" s="15">
        <v>8</v>
      </c>
      <c r="CX6" s="16">
        <f t="shared" si="10"/>
        <v>0.46666666666666667</v>
      </c>
    </row>
    <row r="7" spans="1:120" x14ac:dyDescent="0.25">
      <c r="A7" s="13">
        <v>45</v>
      </c>
      <c r="B7" s="13" t="s">
        <v>141</v>
      </c>
      <c r="C7" s="13" t="s">
        <v>142</v>
      </c>
      <c r="D7" s="13" t="s">
        <v>143</v>
      </c>
      <c r="E7" s="13" t="s">
        <v>117</v>
      </c>
      <c r="F7" s="13">
        <v>72</v>
      </c>
      <c r="G7" s="13">
        <v>185</v>
      </c>
      <c r="H7" s="13" t="s">
        <v>107</v>
      </c>
      <c r="I7" s="13"/>
      <c r="J7">
        <v>25</v>
      </c>
      <c r="K7" t="s">
        <v>144</v>
      </c>
      <c r="L7" t="s">
        <v>145</v>
      </c>
      <c r="M7" s="14" t="s">
        <v>146</v>
      </c>
      <c r="N7" s="15">
        <v>14</v>
      </c>
      <c r="O7" s="1">
        <v>12</v>
      </c>
      <c r="P7" s="15">
        <v>9</v>
      </c>
      <c r="Q7" s="15">
        <v>3</v>
      </c>
      <c r="R7" s="15">
        <v>1</v>
      </c>
      <c r="S7" s="15">
        <v>306</v>
      </c>
      <c r="T7" s="15">
        <v>24</v>
      </c>
      <c r="U7" s="15">
        <v>282</v>
      </c>
      <c r="V7" s="2">
        <f t="shared" si="0"/>
        <v>1.8741458970521245</v>
      </c>
      <c r="W7" s="16">
        <f t="shared" si="1"/>
        <v>0.92156862745098034</v>
      </c>
      <c r="X7" s="15">
        <v>0</v>
      </c>
      <c r="Y7" s="15">
        <v>1</v>
      </c>
      <c r="Z7" s="15">
        <v>0</v>
      </c>
      <c r="AA7" s="17">
        <f>768+21/60</f>
        <v>768.35</v>
      </c>
      <c r="AB7" s="1">
        <v>1</v>
      </c>
      <c r="AC7" s="15">
        <v>1</v>
      </c>
      <c r="AD7" s="15">
        <v>0</v>
      </c>
      <c r="AE7" s="1">
        <v>19</v>
      </c>
      <c r="AF7" s="1">
        <v>252</v>
      </c>
      <c r="AG7" s="1">
        <v>684</v>
      </c>
      <c r="AH7" s="1">
        <v>9</v>
      </c>
      <c r="AI7" s="1">
        <v>1</v>
      </c>
      <c r="AJ7" s="16">
        <f t="shared" si="2"/>
        <v>0.92988929889298888</v>
      </c>
      <c r="AK7" s="2">
        <f t="shared" si="3"/>
        <v>1.6666666666666665</v>
      </c>
      <c r="AL7" s="18">
        <f t="shared" si="4"/>
        <v>0.75</v>
      </c>
      <c r="AM7" s="1">
        <v>2</v>
      </c>
      <c r="AN7" s="1">
        <v>5</v>
      </c>
      <c r="AO7" s="1">
        <v>30</v>
      </c>
      <c r="AP7" s="1">
        <v>83</v>
      </c>
      <c r="AQ7" s="2">
        <f t="shared" si="11"/>
        <v>3.6144578313253013</v>
      </c>
      <c r="AR7" s="16">
        <f t="shared" si="12"/>
        <v>0.8571428571428571</v>
      </c>
      <c r="AS7" s="1" t="s">
        <v>128</v>
      </c>
      <c r="AT7" s="1" t="s">
        <v>113</v>
      </c>
      <c r="AU7" s="1">
        <v>2013</v>
      </c>
      <c r="AV7" s="19">
        <v>1525000</v>
      </c>
      <c r="AW7" s="5">
        <v>1250000</v>
      </c>
      <c r="AX7">
        <v>5.8</v>
      </c>
      <c r="AY7">
        <v>0.7</v>
      </c>
      <c r="AZ7">
        <v>-1.8</v>
      </c>
      <c r="BA7">
        <v>4.7</v>
      </c>
      <c r="BB7" s="4">
        <f t="shared" si="5"/>
        <v>3.382926829268293</v>
      </c>
      <c r="BC7" s="4">
        <v>2.2000000000000002</v>
      </c>
      <c r="BD7" s="6">
        <v>635.17999999999995</v>
      </c>
      <c r="BE7" s="15">
        <v>250</v>
      </c>
      <c r="BF7" s="15">
        <v>17</v>
      </c>
      <c r="BG7" s="20">
        <v>16</v>
      </c>
      <c r="BH7" s="15">
        <v>233</v>
      </c>
      <c r="BI7" s="21">
        <v>228</v>
      </c>
      <c r="BJ7" s="21">
        <v>118</v>
      </c>
      <c r="BK7" s="16">
        <f t="shared" si="6"/>
        <v>0.93200000000000005</v>
      </c>
      <c r="BL7" s="20">
        <v>31</v>
      </c>
      <c r="BM7" s="22">
        <f t="shared" si="7"/>
        <v>2.9283037879026419</v>
      </c>
      <c r="BN7" s="21">
        <v>261</v>
      </c>
      <c r="BO7" s="21">
        <v>134</v>
      </c>
      <c r="BP7" s="23">
        <v>61.74</v>
      </c>
      <c r="BQ7" s="15">
        <v>53</v>
      </c>
      <c r="BR7" s="15">
        <v>7</v>
      </c>
      <c r="BS7" s="20">
        <v>7</v>
      </c>
      <c r="BT7" s="15">
        <v>46</v>
      </c>
      <c r="BU7" s="21">
        <v>46</v>
      </c>
      <c r="BV7" s="21">
        <v>27</v>
      </c>
      <c r="BW7" s="16">
        <f t="shared" si="8"/>
        <v>0.86792452830188682</v>
      </c>
      <c r="BX7" s="20">
        <v>0</v>
      </c>
      <c r="BY7" s="21">
        <v>3</v>
      </c>
      <c r="BZ7" s="21">
        <v>4</v>
      </c>
      <c r="CA7" s="23">
        <v>48.86</v>
      </c>
      <c r="CB7" s="15">
        <v>3</v>
      </c>
      <c r="CC7" s="15">
        <v>0</v>
      </c>
      <c r="CD7" s="20">
        <v>0</v>
      </c>
      <c r="CE7" s="15">
        <v>3</v>
      </c>
      <c r="CF7" s="21">
        <v>3</v>
      </c>
      <c r="CG7" s="21">
        <v>3</v>
      </c>
      <c r="CH7" s="16">
        <f t="shared" si="9"/>
        <v>1</v>
      </c>
      <c r="CI7" s="20">
        <v>8</v>
      </c>
      <c r="CJ7" s="21">
        <v>29</v>
      </c>
      <c r="CK7" s="21">
        <v>19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1</v>
      </c>
      <c r="CR7" s="15">
        <v>3</v>
      </c>
      <c r="CS7" s="15">
        <v>3</v>
      </c>
      <c r="CT7" s="15">
        <v>0</v>
      </c>
      <c r="CU7" s="15">
        <v>1</v>
      </c>
      <c r="CV7" s="15">
        <v>3</v>
      </c>
      <c r="CW7" s="15">
        <v>3</v>
      </c>
      <c r="CX7" s="16">
        <f t="shared" si="10"/>
        <v>0</v>
      </c>
    </row>
    <row r="8" spans="1:120" x14ac:dyDescent="0.25">
      <c r="A8" s="13">
        <v>43</v>
      </c>
      <c r="B8" s="13" t="s">
        <v>147</v>
      </c>
      <c r="C8" s="13" t="s">
        <v>148</v>
      </c>
      <c r="D8" s="13" t="s">
        <v>143</v>
      </c>
      <c r="E8" s="13" t="s">
        <v>117</v>
      </c>
      <c r="F8" s="13">
        <v>74</v>
      </c>
      <c r="G8" s="13">
        <v>186</v>
      </c>
      <c r="H8" s="13" t="s">
        <v>107</v>
      </c>
      <c r="I8" s="13"/>
      <c r="J8">
        <v>36</v>
      </c>
      <c r="K8" t="s">
        <v>149</v>
      </c>
      <c r="L8" t="s">
        <v>150</v>
      </c>
      <c r="M8" s="14" t="s">
        <v>151</v>
      </c>
      <c r="N8" s="15">
        <v>6</v>
      </c>
      <c r="O8" s="1">
        <v>5</v>
      </c>
      <c r="P8" s="15">
        <v>2</v>
      </c>
      <c r="Q8" s="15">
        <v>2</v>
      </c>
      <c r="R8" s="15">
        <v>1</v>
      </c>
      <c r="S8" s="15">
        <v>156</v>
      </c>
      <c r="T8" s="15">
        <v>13</v>
      </c>
      <c r="U8" s="15">
        <v>143</v>
      </c>
      <c r="V8" s="2">
        <f t="shared" si="0"/>
        <v>2.3235031277926721</v>
      </c>
      <c r="W8" s="16">
        <f t="shared" si="1"/>
        <v>0.91666666666666663</v>
      </c>
      <c r="X8" s="15">
        <v>0</v>
      </c>
      <c r="Y8" s="15">
        <v>0</v>
      </c>
      <c r="Z8" s="15">
        <v>0</v>
      </c>
      <c r="AA8" s="17">
        <f>335+42/60</f>
        <v>335.7</v>
      </c>
      <c r="AB8" s="1">
        <v>0</v>
      </c>
      <c r="AC8" s="15">
        <v>0</v>
      </c>
      <c r="AD8" s="15">
        <v>0</v>
      </c>
      <c r="AE8" s="1">
        <v>12</v>
      </c>
      <c r="AF8" s="1">
        <v>124</v>
      </c>
      <c r="AG8" s="1">
        <v>305</v>
      </c>
      <c r="AH8" s="1">
        <v>2</v>
      </c>
      <c r="AI8" s="1">
        <v>1</v>
      </c>
      <c r="AJ8" s="16">
        <f t="shared" si="2"/>
        <v>0.91176470588235292</v>
      </c>
      <c r="AK8" s="2">
        <f t="shared" si="3"/>
        <v>2.3606557377049184</v>
      </c>
      <c r="AL8" s="18">
        <f t="shared" si="4"/>
        <v>0.4</v>
      </c>
      <c r="AM8" s="1">
        <v>1</v>
      </c>
      <c r="AN8" s="1">
        <v>1</v>
      </c>
      <c r="AO8" s="1">
        <v>19</v>
      </c>
      <c r="AP8" s="1">
        <v>31</v>
      </c>
      <c r="AQ8" s="2">
        <f t="shared" si="11"/>
        <v>1.935483870967742</v>
      </c>
      <c r="AR8" s="16">
        <f t="shared" si="12"/>
        <v>0.95</v>
      </c>
      <c r="AS8" s="1" t="s">
        <v>128</v>
      </c>
      <c r="AT8" s="1" t="s">
        <v>129</v>
      </c>
      <c r="AU8" s="1">
        <v>2014</v>
      </c>
      <c r="AV8" s="19">
        <v>1300000</v>
      </c>
      <c r="AW8" s="19">
        <v>1300000</v>
      </c>
      <c r="AX8">
        <v>1.9</v>
      </c>
      <c r="AY8">
        <v>0.1</v>
      </c>
      <c r="AZ8">
        <v>-1.2</v>
      </c>
      <c r="BA8">
        <v>0.7</v>
      </c>
      <c r="BB8" s="4">
        <f t="shared" si="5"/>
        <v>-0.70487804878048776</v>
      </c>
      <c r="BC8" s="4">
        <v>1</v>
      </c>
      <c r="BD8" s="6">
        <v>284.27999999999997</v>
      </c>
      <c r="BE8" s="15">
        <v>133</v>
      </c>
      <c r="BF8" s="15">
        <v>10</v>
      </c>
      <c r="BG8" s="20">
        <v>10</v>
      </c>
      <c r="BH8" s="15">
        <v>123</v>
      </c>
      <c r="BI8" s="21">
        <v>117</v>
      </c>
      <c r="BJ8" s="21">
        <v>57</v>
      </c>
      <c r="BK8" s="16">
        <f t="shared" si="6"/>
        <v>0.92481203007518797</v>
      </c>
      <c r="BL8" s="20">
        <v>9</v>
      </c>
      <c r="BM8" s="22">
        <f t="shared" si="7"/>
        <v>1.8995356690586749</v>
      </c>
      <c r="BN8" s="21">
        <v>137</v>
      </c>
      <c r="BO8" s="21">
        <v>62</v>
      </c>
      <c r="BP8" s="23">
        <v>16.8</v>
      </c>
      <c r="BQ8" s="15">
        <v>19</v>
      </c>
      <c r="BR8" s="15">
        <v>3</v>
      </c>
      <c r="BS8" s="20">
        <v>3</v>
      </c>
      <c r="BT8" s="15">
        <v>16</v>
      </c>
      <c r="BU8" s="21">
        <v>13</v>
      </c>
      <c r="BV8" s="21">
        <v>11</v>
      </c>
      <c r="BW8" s="16">
        <f t="shared" si="8"/>
        <v>0.84210526315789469</v>
      </c>
      <c r="BX8" s="20">
        <v>1</v>
      </c>
      <c r="BY8" s="21">
        <v>0</v>
      </c>
      <c r="BZ8" s="21">
        <v>0</v>
      </c>
      <c r="CA8" s="23">
        <v>21.12</v>
      </c>
      <c r="CB8" s="15">
        <v>4</v>
      </c>
      <c r="CC8" s="15">
        <v>0</v>
      </c>
      <c r="CD8" s="20">
        <v>0</v>
      </c>
      <c r="CE8" s="15">
        <v>4</v>
      </c>
      <c r="CF8" s="21">
        <v>4</v>
      </c>
      <c r="CG8" s="21">
        <v>2</v>
      </c>
      <c r="CH8" s="16">
        <f t="shared" si="9"/>
        <v>1</v>
      </c>
      <c r="CI8" s="20">
        <v>2</v>
      </c>
      <c r="CJ8" s="21">
        <v>11</v>
      </c>
      <c r="CK8" s="21">
        <v>9</v>
      </c>
      <c r="CL8" s="15">
        <v>0</v>
      </c>
      <c r="CM8" s="15">
        <v>1</v>
      </c>
      <c r="CN8" s="15">
        <v>2</v>
      </c>
      <c r="CO8" s="15">
        <v>2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1</v>
      </c>
      <c r="CV8" s="15">
        <v>2</v>
      </c>
      <c r="CW8" s="15">
        <v>2</v>
      </c>
      <c r="CX8" s="16">
        <f t="shared" si="10"/>
        <v>0</v>
      </c>
    </row>
    <row r="9" spans="1:120" x14ac:dyDescent="0.25">
      <c r="A9" s="13">
        <v>30</v>
      </c>
      <c r="B9" s="13" t="s">
        <v>152</v>
      </c>
      <c r="C9" s="13" t="s">
        <v>153</v>
      </c>
      <c r="D9" s="13" t="s">
        <v>154</v>
      </c>
      <c r="E9" s="13" t="s">
        <v>124</v>
      </c>
      <c r="F9" s="13">
        <v>79</v>
      </c>
      <c r="G9" s="13">
        <v>214</v>
      </c>
      <c r="H9" s="13" t="s">
        <v>107</v>
      </c>
      <c r="I9" s="13"/>
      <c r="J9">
        <v>27</v>
      </c>
      <c r="K9" t="s">
        <v>155</v>
      </c>
      <c r="L9" t="s">
        <v>156</v>
      </c>
      <c r="M9" s="14" t="s">
        <v>157</v>
      </c>
      <c r="N9" s="15">
        <v>22</v>
      </c>
      <c r="O9" s="1">
        <v>21</v>
      </c>
      <c r="P9" s="15">
        <v>11</v>
      </c>
      <c r="Q9" s="15">
        <v>9</v>
      </c>
      <c r="R9" s="15">
        <v>1</v>
      </c>
      <c r="S9" s="15">
        <v>701</v>
      </c>
      <c r="T9" s="15">
        <v>56</v>
      </c>
      <c r="U9" s="15">
        <v>645</v>
      </c>
      <c r="V9" s="2">
        <f t="shared" si="0"/>
        <v>2.6653269520611333</v>
      </c>
      <c r="W9" s="16">
        <f t="shared" si="1"/>
        <v>0.92011412268188297</v>
      </c>
      <c r="X9" s="15">
        <v>0</v>
      </c>
      <c r="Y9" s="15">
        <v>0</v>
      </c>
      <c r="Z9" s="15">
        <v>2</v>
      </c>
      <c r="AA9" s="17">
        <f>1260+38/60</f>
        <v>1260.6333333333334</v>
      </c>
      <c r="AB9" s="1">
        <v>2</v>
      </c>
      <c r="AC9" s="15">
        <v>0</v>
      </c>
      <c r="AD9" s="15">
        <v>0</v>
      </c>
      <c r="AE9" s="1">
        <v>54</v>
      </c>
      <c r="AF9" s="1">
        <v>634</v>
      </c>
      <c r="AG9" s="1">
        <v>1238</v>
      </c>
      <c r="AH9" s="1">
        <v>14</v>
      </c>
      <c r="AI9" s="1">
        <v>3</v>
      </c>
      <c r="AJ9" s="16">
        <f t="shared" si="2"/>
        <v>0.92151162790697672</v>
      </c>
      <c r="AK9" s="2">
        <f t="shared" si="3"/>
        <v>2.6171243941841684</v>
      </c>
      <c r="AL9" s="18">
        <f t="shared" si="4"/>
        <v>0.66666666666666663</v>
      </c>
      <c r="AM9" s="1">
        <v>1</v>
      </c>
      <c r="AN9" s="1">
        <v>2</v>
      </c>
      <c r="AO9" s="1">
        <v>11</v>
      </c>
      <c r="AP9" s="1">
        <v>23</v>
      </c>
      <c r="AQ9" s="2">
        <f t="shared" si="11"/>
        <v>5.2173913043478262</v>
      </c>
      <c r="AR9" s="16">
        <f t="shared" si="12"/>
        <v>0.84615384615384615</v>
      </c>
      <c r="AS9" s="1" t="s">
        <v>128</v>
      </c>
      <c r="AT9" s="1" t="s">
        <v>113</v>
      </c>
      <c r="AU9" s="1">
        <v>2013</v>
      </c>
      <c r="AV9" s="19">
        <v>650000</v>
      </c>
      <c r="AW9" s="5">
        <v>650000</v>
      </c>
      <c r="AX9">
        <v>10.4</v>
      </c>
      <c r="AY9">
        <v>-1.1000000000000001</v>
      </c>
      <c r="AZ9">
        <v>2.7</v>
      </c>
      <c r="BA9">
        <v>11.9</v>
      </c>
      <c r="BB9" s="4">
        <f t="shared" si="5"/>
        <v>11.636585365853659</v>
      </c>
      <c r="BC9" s="4">
        <v>5</v>
      </c>
      <c r="BD9" s="6">
        <v>1009.36</v>
      </c>
      <c r="BE9" s="15">
        <v>579</v>
      </c>
      <c r="BF9" s="15">
        <v>42</v>
      </c>
      <c r="BG9" s="20">
        <v>41</v>
      </c>
      <c r="BH9" s="15">
        <v>537</v>
      </c>
      <c r="BI9" s="21">
        <v>506</v>
      </c>
      <c r="BJ9" s="21">
        <v>209</v>
      </c>
      <c r="BK9" s="16">
        <f t="shared" si="6"/>
        <v>0.92746113989637302</v>
      </c>
      <c r="BL9" s="20">
        <v>39</v>
      </c>
      <c r="BM9" s="22">
        <f t="shared" si="7"/>
        <v>2.3183007053974793</v>
      </c>
      <c r="BN9" s="21">
        <v>442</v>
      </c>
      <c r="BO9" s="21">
        <v>214</v>
      </c>
      <c r="BP9" s="23">
        <v>119.24</v>
      </c>
      <c r="BQ9" s="15">
        <v>108</v>
      </c>
      <c r="BR9" s="15">
        <v>14</v>
      </c>
      <c r="BS9" s="20">
        <v>13</v>
      </c>
      <c r="BT9" s="15">
        <v>94</v>
      </c>
      <c r="BU9" s="21">
        <v>84</v>
      </c>
      <c r="BV9" s="21">
        <v>38</v>
      </c>
      <c r="BW9" s="16">
        <f t="shared" si="8"/>
        <v>0.87037037037037035</v>
      </c>
      <c r="BX9" s="20">
        <v>0</v>
      </c>
      <c r="BY9" s="21">
        <v>16</v>
      </c>
      <c r="BZ9" s="21">
        <v>5</v>
      </c>
      <c r="CA9" s="23">
        <v>79.86</v>
      </c>
      <c r="CB9" s="15">
        <v>14</v>
      </c>
      <c r="CC9" s="15">
        <v>0</v>
      </c>
      <c r="CD9" s="20">
        <v>0</v>
      </c>
      <c r="CE9" s="15">
        <v>14</v>
      </c>
      <c r="CF9" s="21">
        <v>14</v>
      </c>
      <c r="CG9" s="21">
        <v>6</v>
      </c>
      <c r="CH9" s="16">
        <f t="shared" si="9"/>
        <v>1</v>
      </c>
      <c r="CI9" s="20">
        <v>8</v>
      </c>
      <c r="CJ9" s="21">
        <v>48</v>
      </c>
      <c r="CK9" s="21">
        <v>25</v>
      </c>
      <c r="CL9" s="15">
        <v>3</v>
      </c>
      <c r="CM9" s="15">
        <v>0</v>
      </c>
      <c r="CN9" s="15">
        <v>16</v>
      </c>
      <c r="CO9" s="15">
        <v>3</v>
      </c>
      <c r="CP9" s="15">
        <v>1</v>
      </c>
      <c r="CQ9" s="15">
        <v>1</v>
      </c>
      <c r="CR9" s="15">
        <v>6</v>
      </c>
      <c r="CS9" s="15">
        <v>2</v>
      </c>
      <c r="CT9" s="15">
        <v>4</v>
      </c>
      <c r="CU9" s="15">
        <v>1</v>
      </c>
      <c r="CV9" s="15">
        <v>22</v>
      </c>
      <c r="CW9" s="15">
        <v>5</v>
      </c>
      <c r="CX9" s="16">
        <f t="shared" si="10"/>
        <v>0.77272727272727271</v>
      </c>
    </row>
    <row r="10" spans="1:120" x14ac:dyDescent="0.25">
      <c r="A10" s="13">
        <v>72</v>
      </c>
      <c r="B10" s="13" t="s">
        <v>158</v>
      </c>
      <c r="C10" s="13" t="s">
        <v>159</v>
      </c>
      <c r="D10" s="13"/>
      <c r="E10" s="13" t="s">
        <v>160</v>
      </c>
      <c r="F10" s="13">
        <v>74</v>
      </c>
      <c r="G10" s="13">
        <v>190</v>
      </c>
      <c r="H10" s="13" t="s">
        <v>107</v>
      </c>
      <c r="I10" s="13"/>
      <c r="J10">
        <v>25</v>
      </c>
      <c r="K10" t="s">
        <v>161</v>
      </c>
      <c r="L10" t="s">
        <v>162</v>
      </c>
      <c r="M10" s="14" t="s">
        <v>163</v>
      </c>
      <c r="N10" s="15">
        <v>38</v>
      </c>
      <c r="O10" s="1">
        <v>37</v>
      </c>
      <c r="P10" s="15">
        <v>21</v>
      </c>
      <c r="Q10" s="15">
        <v>11</v>
      </c>
      <c r="R10" s="15">
        <v>6</v>
      </c>
      <c r="S10" s="15">
        <v>1084</v>
      </c>
      <c r="T10" s="15">
        <v>74</v>
      </c>
      <c r="U10" s="15">
        <v>1010</v>
      </c>
      <c r="V10" s="2">
        <f t="shared" si="0"/>
        <v>2.000946393564524</v>
      </c>
      <c r="W10" s="16">
        <f t="shared" si="1"/>
        <v>0.93173431734317347</v>
      </c>
      <c r="X10" s="15">
        <v>0</v>
      </c>
      <c r="Y10" s="15">
        <v>0</v>
      </c>
      <c r="Z10" s="15">
        <v>0</v>
      </c>
      <c r="AA10" s="17">
        <f>2218+57/60</f>
        <v>2218.9499999999998</v>
      </c>
      <c r="AB10" s="1">
        <v>4</v>
      </c>
      <c r="AC10" s="15">
        <v>0</v>
      </c>
      <c r="AD10" s="15">
        <v>0</v>
      </c>
      <c r="AE10" s="1">
        <v>74</v>
      </c>
      <c r="AF10" s="1">
        <v>989</v>
      </c>
      <c r="AG10" s="1">
        <v>2175</v>
      </c>
      <c r="AH10" s="1">
        <v>27</v>
      </c>
      <c r="AI10" s="1">
        <v>4</v>
      </c>
      <c r="AJ10" s="16">
        <f t="shared" si="2"/>
        <v>0.93038570084666039</v>
      </c>
      <c r="AK10" s="2">
        <f t="shared" si="3"/>
        <v>2.0413793103448277</v>
      </c>
      <c r="AL10" s="18">
        <f t="shared" si="4"/>
        <v>0.72972972972972971</v>
      </c>
      <c r="AM10" s="1">
        <v>1</v>
      </c>
      <c r="AN10" s="1">
        <v>0</v>
      </c>
      <c r="AO10" s="1">
        <v>21</v>
      </c>
      <c r="AP10" s="1">
        <v>44</v>
      </c>
      <c r="AQ10" s="2">
        <f t="shared" si="11"/>
        <v>0</v>
      </c>
      <c r="AR10" s="16">
        <f t="shared" si="12"/>
        <v>1</v>
      </c>
      <c r="AS10" s="1" t="s">
        <v>112</v>
      </c>
      <c r="AT10" s="1" t="s">
        <v>113</v>
      </c>
      <c r="AU10" s="1">
        <v>2013</v>
      </c>
      <c r="AV10" s="19">
        <v>900000</v>
      </c>
      <c r="AW10" s="5">
        <v>1750000</v>
      </c>
      <c r="AX10">
        <v>28.5</v>
      </c>
      <c r="AY10">
        <v>-0.2</v>
      </c>
      <c r="AZ10">
        <v>2.2000000000000002</v>
      </c>
      <c r="BA10">
        <v>30.4</v>
      </c>
      <c r="BB10" s="4">
        <f t="shared" si="5"/>
        <v>28.204878048780486</v>
      </c>
      <c r="BC10" s="4">
        <v>9.1999999999999993</v>
      </c>
      <c r="BD10" s="6">
        <v>1753.7</v>
      </c>
      <c r="BE10" s="15">
        <v>930</v>
      </c>
      <c r="BF10" s="15">
        <v>55</v>
      </c>
      <c r="BG10" s="20">
        <v>51</v>
      </c>
      <c r="BH10" s="15">
        <v>875</v>
      </c>
      <c r="BI10" s="21">
        <v>821</v>
      </c>
      <c r="BJ10" s="21">
        <v>310</v>
      </c>
      <c r="BK10" s="16">
        <f t="shared" si="6"/>
        <v>0.94086021505376349</v>
      </c>
      <c r="BL10" s="20">
        <v>61</v>
      </c>
      <c r="BM10" s="22">
        <f t="shared" si="7"/>
        <v>2.0870160232650967</v>
      </c>
      <c r="BN10" s="21">
        <v>681</v>
      </c>
      <c r="BO10" s="21">
        <v>251</v>
      </c>
      <c r="BP10" s="23">
        <v>160.36000000000001</v>
      </c>
      <c r="BQ10" s="15">
        <v>134</v>
      </c>
      <c r="BR10" s="15">
        <v>18</v>
      </c>
      <c r="BS10" s="20">
        <v>16</v>
      </c>
      <c r="BT10" s="15">
        <v>116</v>
      </c>
      <c r="BU10" s="21">
        <v>107</v>
      </c>
      <c r="BV10" s="21">
        <v>47</v>
      </c>
      <c r="BW10" s="16">
        <f t="shared" si="8"/>
        <v>0.86567164179104472</v>
      </c>
      <c r="BX10" s="20">
        <v>1</v>
      </c>
      <c r="BY10" s="21">
        <v>16</v>
      </c>
      <c r="BZ10" s="21">
        <v>7</v>
      </c>
      <c r="CA10" s="23">
        <v>181.26</v>
      </c>
      <c r="CB10" s="15">
        <v>20</v>
      </c>
      <c r="CC10" s="15">
        <v>1</v>
      </c>
      <c r="CD10" s="20">
        <v>1</v>
      </c>
      <c r="CE10" s="15">
        <v>19</v>
      </c>
      <c r="CF10" s="21">
        <v>18</v>
      </c>
      <c r="CG10" s="21">
        <v>5</v>
      </c>
      <c r="CH10" s="16">
        <f t="shared" si="9"/>
        <v>0.95</v>
      </c>
      <c r="CI10" s="20">
        <v>13</v>
      </c>
      <c r="CJ10" s="21">
        <v>113</v>
      </c>
      <c r="CK10" s="21">
        <v>44</v>
      </c>
      <c r="CL10" s="15">
        <v>2</v>
      </c>
      <c r="CM10" s="15">
        <v>3</v>
      </c>
      <c r="CN10" s="15">
        <v>12</v>
      </c>
      <c r="CO10" s="15">
        <v>4</v>
      </c>
      <c r="CP10" s="15">
        <v>3</v>
      </c>
      <c r="CQ10" s="15">
        <v>1</v>
      </c>
      <c r="CR10" s="15">
        <v>14</v>
      </c>
      <c r="CS10" s="15">
        <v>3</v>
      </c>
      <c r="CT10" s="15">
        <v>5</v>
      </c>
      <c r="CU10" s="15">
        <v>4</v>
      </c>
      <c r="CV10" s="15">
        <v>26</v>
      </c>
      <c r="CW10" s="15">
        <v>7</v>
      </c>
      <c r="CX10" s="16">
        <f t="shared" si="10"/>
        <v>0.73076923076923084</v>
      </c>
    </row>
    <row r="11" spans="1:120" x14ac:dyDescent="0.25">
      <c r="A11" s="13">
        <v>33</v>
      </c>
      <c r="B11" s="13" t="s">
        <v>164</v>
      </c>
      <c r="C11" s="13" t="s">
        <v>165</v>
      </c>
      <c r="D11" s="13" t="s">
        <v>166</v>
      </c>
      <c r="E11" s="13" t="s">
        <v>124</v>
      </c>
      <c r="F11" s="13">
        <v>74</v>
      </c>
      <c r="G11" s="13">
        <v>200</v>
      </c>
      <c r="H11" s="13" t="s">
        <v>107</v>
      </c>
      <c r="I11" s="13"/>
      <c r="J11">
        <v>36</v>
      </c>
      <c r="K11" t="s">
        <v>167</v>
      </c>
      <c r="L11" t="s">
        <v>168</v>
      </c>
      <c r="M11" s="14" t="s">
        <v>169</v>
      </c>
      <c r="N11" s="15">
        <v>4</v>
      </c>
      <c r="O11" s="1">
        <v>1</v>
      </c>
      <c r="P11" s="15">
        <v>0</v>
      </c>
      <c r="Q11" s="15">
        <v>2</v>
      </c>
      <c r="R11" s="15">
        <v>0</v>
      </c>
      <c r="S11" s="15">
        <v>55</v>
      </c>
      <c r="T11" s="15">
        <v>6</v>
      </c>
      <c r="U11" s="15">
        <v>49</v>
      </c>
      <c r="V11" s="2">
        <f t="shared" si="0"/>
        <v>2.4997106816340695</v>
      </c>
      <c r="W11" s="16">
        <f t="shared" si="1"/>
        <v>0.89090909090909087</v>
      </c>
      <c r="X11" s="15">
        <v>0</v>
      </c>
      <c r="Y11" s="15">
        <v>0</v>
      </c>
      <c r="Z11" s="15">
        <v>0</v>
      </c>
      <c r="AA11" s="17">
        <f>144+1/60</f>
        <v>144.01666666666668</v>
      </c>
      <c r="AB11" s="1">
        <v>0</v>
      </c>
      <c r="AC11" s="15">
        <v>0</v>
      </c>
      <c r="AD11" s="15">
        <v>0</v>
      </c>
      <c r="AE11" s="1">
        <v>3</v>
      </c>
      <c r="AF11" s="1">
        <v>25</v>
      </c>
      <c r="AG11" s="1">
        <v>59</v>
      </c>
      <c r="AH11" s="1">
        <v>0</v>
      </c>
      <c r="AI11" s="1">
        <v>0</v>
      </c>
      <c r="AJ11" s="16">
        <f t="shared" si="2"/>
        <v>0.8928571428571429</v>
      </c>
      <c r="AK11" s="2">
        <f t="shared" si="3"/>
        <v>3.050847457627119</v>
      </c>
      <c r="AL11" s="18">
        <f t="shared" si="4"/>
        <v>0</v>
      </c>
      <c r="AM11" s="1">
        <v>3</v>
      </c>
      <c r="AN11" s="1">
        <v>3</v>
      </c>
      <c r="AO11" s="1">
        <v>24</v>
      </c>
      <c r="AP11" s="1">
        <v>85</v>
      </c>
      <c r="AQ11" s="2">
        <f t="shared" si="11"/>
        <v>2.1176470588235294</v>
      </c>
      <c r="AR11" s="16">
        <f t="shared" si="12"/>
        <v>0.88888888888888884</v>
      </c>
      <c r="AS11" s="1" t="s">
        <v>128</v>
      </c>
      <c r="AT11" s="1" t="s">
        <v>129</v>
      </c>
      <c r="AU11" s="1">
        <v>2013</v>
      </c>
      <c r="AV11" s="19">
        <v>1000000</v>
      </c>
      <c r="AW11" s="5">
        <v>950000</v>
      </c>
      <c r="AX11">
        <v>-0.5</v>
      </c>
      <c r="AY11">
        <v>0.2</v>
      </c>
      <c r="AZ11">
        <v>0</v>
      </c>
      <c r="BA11">
        <v>-0.4</v>
      </c>
      <c r="BB11" s="4">
        <f t="shared" si="5"/>
        <v>-1.1902439024390243</v>
      </c>
      <c r="BC11" s="4">
        <v>0.2</v>
      </c>
      <c r="BD11" s="6">
        <v>106.4</v>
      </c>
      <c r="BE11" s="15">
        <v>43</v>
      </c>
      <c r="BF11" s="15">
        <v>6</v>
      </c>
      <c r="BG11" s="20">
        <v>6</v>
      </c>
      <c r="BH11" s="15">
        <v>37</v>
      </c>
      <c r="BI11" s="21">
        <v>36</v>
      </c>
      <c r="BJ11" s="21">
        <v>17</v>
      </c>
      <c r="BK11" s="16">
        <f t="shared" si="6"/>
        <v>0.86046511627906974</v>
      </c>
      <c r="BL11" s="20">
        <v>4</v>
      </c>
      <c r="BM11" s="22">
        <f t="shared" si="7"/>
        <v>2.2556390977443606</v>
      </c>
      <c r="BN11" s="21">
        <v>53</v>
      </c>
      <c r="BO11" s="21">
        <v>18</v>
      </c>
      <c r="BP11" s="23">
        <v>14.6</v>
      </c>
      <c r="BQ11" s="15">
        <v>11</v>
      </c>
      <c r="BR11" s="15">
        <v>0</v>
      </c>
      <c r="BS11" s="20">
        <v>0</v>
      </c>
      <c r="BT11" s="15">
        <v>11</v>
      </c>
      <c r="BU11" s="21">
        <v>11</v>
      </c>
      <c r="BV11" s="21">
        <v>5</v>
      </c>
      <c r="BW11" s="16">
        <f t="shared" si="8"/>
        <v>1</v>
      </c>
      <c r="BX11" s="20">
        <v>0</v>
      </c>
      <c r="BY11" s="21">
        <v>2</v>
      </c>
      <c r="BZ11" s="21">
        <v>0</v>
      </c>
      <c r="CA11" s="23">
        <v>19.600000000000001</v>
      </c>
      <c r="CB11" s="15">
        <v>1</v>
      </c>
      <c r="CC11" s="15">
        <v>0</v>
      </c>
      <c r="CD11" s="20">
        <v>0</v>
      </c>
      <c r="CE11" s="15">
        <v>1</v>
      </c>
      <c r="CF11" s="21">
        <v>1</v>
      </c>
      <c r="CG11" s="21">
        <v>1</v>
      </c>
      <c r="CH11" s="16">
        <f t="shared" si="9"/>
        <v>1</v>
      </c>
      <c r="CI11" s="20">
        <v>0</v>
      </c>
      <c r="CJ11" s="21">
        <v>17</v>
      </c>
      <c r="CK11" s="21">
        <v>4</v>
      </c>
      <c r="CX11" s="16" t="str">
        <f t="shared" si="10"/>
        <v xml:space="preserve"> </v>
      </c>
    </row>
    <row r="12" spans="1:120" x14ac:dyDescent="0.25">
      <c r="A12" s="13">
        <v>30</v>
      </c>
      <c r="B12" s="13" t="s">
        <v>170</v>
      </c>
      <c r="C12" s="13" t="s">
        <v>171</v>
      </c>
      <c r="D12" s="13" t="s">
        <v>143</v>
      </c>
      <c r="E12" s="13" t="s">
        <v>117</v>
      </c>
      <c r="F12" s="13">
        <v>74</v>
      </c>
      <c r="G12" s="13">
        <v>220</v>
      </c>
      <c r="H12" s="13" t="s">
        <v>107</v>
      </c>
      <c r="I12" s="13"/>
      <c r="J12">
        <v>41</v>
      </c>
      <c r="K12" t="s">
        <v>172</v>
      </c>
      <c r="L12" t="s">
        <v>150</v>
      </c>
      <c r="M12" s="14" t="s">
        <v>173</v>
      </c>
      <c r="N12" s="15">
        <v>29</v>
      </c>
      <c r="O12" s="1">
        <v>29</v>
      </c>
      <c r="P12" s="15">
        <v>13</v>
      </c>
      <c r="Q12" s="15">
        <v>9</v>
      </c>
      <c r="R12" s="15">
        <v>7</v>
      </c>
      <c r="S12" s="15">
        <v>654</v>
      </c>
      <c r="T12" s="15">
        <v>65</v>
      </c>
      <c r="U12" s="15">
        <v>589</v>
      </c>
      <c r="V12" s="2">
        <f t="shared" si="0"/>
        <v>2.2192505761515919</v>
      </c>
      <c r="W12" s="16">
        <f t="shared" si="1"/>
        <v>0.90061162079510704</v>
      </c>
      <c r="X12" s="15">
        <v>1</v>
      </c>
      <c r="Y12" s="15">
        <v>2</v>
      </c>
      <c r="Z12" s="15">
        <v>0</v>
      </c>
      <c r="AA12" s="17">
        <f>1757+21/60</f>
        <v>1757.35</v>
      </c>
      <c r="AB12" s="1">
        <v>2</v>
      </c>
      <c r="AC12" s="15">
        <v>2</v>
      </c>
      <c r="AD12" s="15">
        <v>0</v>
      </c>
      <c r="AE12" s="1">
        <v>65</v>
      </c>
      <c r="AF12" s="1">
        <v>589</v>
      </c>
      <c r="AG12" s="1">
        <v>1759</v>
      </c>
      <c r="AH12" s="1">
        <v>16</v>
      </c>
      <c r="AI12" s="1">
        <v>6</v>
      </c>
      <c r="AJ12" s="16">
        <f t="shared" si="2"/>
        <v>0.90061162079510704</v>
      </c>
      <c r="AK12" s="2">
        <f t="shared" si="3"/>
        <v>2.2171688459351904</v>
      </c>
      <c r="AL12" s="18">
        <f t="shared" si="4"/>
        <v>0.55172413793103448</v>
      </c>
      <c r="AM12" s="1">
        <v>0</v>
      </c>
      <c r="AN12" s="1">
        <v>0</v>
      </c>
      <c r="AO12" s="1">
        <v>0</v>
      </c>
      <c r="AP12" s="1">
        <v>0</v>
      </c>
      <c r="AQ12" s="2">
        <v>0</v>
      </c>
      <c r="AR12" s="16">
        <v>0</v>
      </c>
      <c r="AS12" s="1" t="s">
        <v>128</v>
      </c>
      <c r="AT12" s="1" t="s">
        <v>129</v>
      </c>
      <c r="AU12" s="1">
        <v>2014</v>
      </c>
      <c r="AV12" s="19">
        <v>4000000</v>
      </c>
      <c r="AW12" s="5">
        <v>4500000</v>
      </c>
      <c r="AX12">
        <v>-0.60000000000000009</v>
      </c>
      <c r="AY12">
        <v>2.1</v>
      </c>
      <c r="AZ12">
        <v>-1.9</v>
      </c>
      <c r="BA12">
        <v>-0.4</v>
      </c>
      <c r="BB12" s="4">
        <f t="shared" si="5"/>
        <v>-7.4243902439024385</v>
      </c>
      <c r="BC12" s="4">
        <v>3.1</v>
      </c>
      <c r="BD12" s="6">
        <v>1361.26</v>
      </c>
      <c r="BE12" s="15">
        <v>529</v>
      </c>
      <c r="BF12" s="15">
        <v>43</v>
      </c>
      <c r="BG12" s="20">
        <v>41</v>
      </c>
      <c r="BH12" s="15">
        <v>486</v>
      </c>
      <c r="BI12" s="21">
        <v>461</v>
      </c>
      <c r="BJ12" s="21">
        <v>175</v>
      </c>
      <c r="BK12" s="16">
        <f t="shared" si="6"/>
        <v>0.91871455576559546</v>
      </c>
      <c r="BL12" s="20">
        <v>43</v>
      </c>
      <c r="BM12" s="22">
        <f t="shared" si="7"/>
        <v>1.895302881154225</v>
      </c>
      <c r="BN12" s="21">
        <v>558</v>
      </c>
      <c r="BO12" s="21">
        <v>243</v>
      </c>
      <c r="BP12" s="23">
        <v>158.34</v>
      </c>
      <c r="BQ12" s="15">
        <v>106</v>
      </c>
      <c r="BR12" s="15">
        <v>20</v>
      </c>
      <c r="BS12" s="20">
        <v>16</v>
      </c>
      <c r="BT12" s="15">
        <v>86</v>
      </c>
      <c r="BU12" s="21">
        <v>82</v>
      </c>
      <c r="BV12" s="21">
        <v>28</v>
      </c>
      <c r="BW12" s="16">
        <f t="shared" si="8"/>
        <v>0.81132075471698117</v>
      </c>
      <c r="BX12" s="20">
        <v>6</v>
      </c>
      <c r="BY12" s="21">
        <v>26</v>
      </c>
      <c r="BZ12" s="21">
        <v>9</v>
      </c>
      <c r="CA12" s="23">
        <v>160.94999999999999</v>
      </c>
      <c r="CB12" s="15">
        <v>19</v>
      </c>
      <c r="CC12" s="15">
        <v>2</v>
      </c>
      <c r="CD12" s="20">
        <v>2</v>
      </c>
      <c r="CE12" s="15">
        <v>17</v>
      </c>
      <c r="CF12" s="21">
        <v>15</v>
      </c>
      <c r="CG12" s="21">
        <v>6</v>
      </c>
      <c r="CH12" s="16">
        <f t="shared" si="9"/>
        <v>0.89473684210526316</v>
      </c>
      <c r="CI12" s="20">
        <v>12</v>
      </c>
      <c r="CJ12" s="21">
        <v>116</v>
      </c>
      <c r="CK12" s="21">
        <v>50</v>
      </c>
      <c r="CL12" s="15">
        <v>0</v>
      </c>
      <c r="CM12" s="15">
        <v>1</v>
      </c>
      <c r="CN12" s="15">
        <v>2</v>
      </c>
      <c r="CO12" s="15">
        <v>1</v>
      </c>
      <c r="CP12" s="15">
        <v>0</v>
      </c>
      <c r="CQ12" s="15">
        <v>3</v>
      </c>
      <c r="CR12" s="15">
        <v>9</v>
      </c>
      <c r="CS12" s="15">
        <v>5</v>
      </c>
      <c r="CT12" s="15">
        <v>0</v>
      </c>
      <c r="CU12" s="15">
        <v>4</v>
      </c>
      <c r="CV12" s="15">
        <v>11</v>
      </c>
      <c r="CW12" s="15">
        <v>6</v>
      </c>
      <c r="CX12" s="16">
        <f t="shared" si="10"/>
        <v>0.45454545454545459</v>
      </c>
      <c r="CY12">
        <v>10</v>
      </c>
      <c r="CZ12" t="s">
        <v>174</v>
      </c>
    </row>
    <row r="13" spans="1:120" x14ac:dyDescent="0.25">
      <c r="A13" s="13">
        <v>30</v>
      </c>
      <c r="B13" s="13" t="s">
        <v>175</v>
      </c>
      <c r="C13" s="13" t="s">
        <v>176</v>
      </c>
      <c r="D13" s="13"/>
      <c r="E13" s="13" t="s">
        <v>160</v>
      </c>
      <c r="F13" s="13">
        <v>75</v>
      </c>
      <c r="G13" s="13">
        <v>213</v>
      </c>
      <c r="H13" s="13" t="s">
        <v>107</v>
      </c>
      <c r="I13" s="13"/>
      <c r="J13">
        <v>33</v>
      </c>
      <c r="K13" t="s">
        <v>177</v>
      </c>
      <c r="L13" t="s">
        <v>178</v>
      </c>
      <c r="M13" s="14" t="s">
        <v>169</v>
      </c>
      <c r="N13" s="15">
        <v>40</v>
      </c>
      <c r="O13" s="1">
        <v>40</v>
      </c>
      <c r="P13" s="15">
        <v>19</v>
      </c>
      <c r="Q13" s="15">
        <v>17</v>
      </c>
      <c r="R13" s="15">
        <v>3</v>
      </c>
      <c r="S13" s="15">
        <v>1066</v>
      </c>
      <c r="T13" s="15">
        <v>107</v>
      </c>
      <c r="U13" s="15">
        <v>959</v>
      </c>
      <c r="V13" s="2">
        <f t="shared" si="0"/>
        <v>2.7940376455227942</v>
      </c>
      <c r="W13" s="16">
        <f t="shared" si="1"/>
        <v>0.89962476547842396</v>
      </c>
      <c r="X13" s="15">
        <v>0</v>
      </c>
      <c r="Y13" s="15">
        <v>3</v>
      </c>
      <c r="Z13" s="15">
        <v>0</v>
      </c>
      <c r="AA13" s="17">
        <f>2297+45/60</f>
        <v>2297.75</v>
      </c>
      <c r="AB13" s="1">
        <v>1</v>
      </c>
      <c r="AC13" s="15">
        <v>2</v>
      </c>
      <c r="AD13" s="15">
        <v>2</v>
      </c>
      <c r="AE13" s="1">
        <v>107</v>
      </c>
      <c r="AF13" s="1">
        <v>959</v>
      </c>
      <c r="AG13" s="1">
        <v>2301</v>
      </c>
      <c r="AH13" s="1">
        <v>20</v>
      </c>
      <c r="AI13" s="1">
        <v>10</v>
      </c>
      <c r="AJ13" s="16">
        <f t="shared" si="2"/>
        <v>0.89962476547842396</v>
      </c>
      <c r="AK13" s="2">
        <f t="shared" si="3"/>
        <v>2.7900912646675358</v>
      </c>
      <c r="AL13" s="18">
        <f t="shared" si="4"/>
        <v>0.5</v>
      </c>
      <c r="AM13" s="1">
        <v>0</v>
      </c>
      <c r="AN13" s="1">
        <v>0</v>
      </c>
      <c r="AO13" s="1">
        <v>0</v>
      </c>
      <c r="AP13" s="1">
        <v>0</v>
      </c>
      <c r="AQ13" s="2">
        <v>0</v>
      </c>
      <c r="AR13" s="16">
        <v>0</v>
      </c>
      <c r="AS13" s="1" t="s">
        <v>128</v>
      </c>
      <c r="AT13" s="1" t="s">
        <v>129</v>
      </c>
      <c r="AU13" s="1">
        <v>2020</v>
      </c>
      <c r="AV13" s="19">
        <v>6500000</v>
      </c>
      <c r="AW13" s="5">
        <v>5666667</v>
      </c>
      <c r="AX13">
        <v>-3.2</v>
      </c>
      <c r="AY13">
        <v>0.4</v>
      </c>
      <c r="AZ13">
        <v>-1.7000000000000002</v>
      </c>
      <c r="BA13">
        <v>-4.5</v>
      </c>
      <c r="BB13" s="4">
        <f t="shared" si="5"/>
        <v>-13.57317131707317</v>
      </c>
      <c r="BC13" s="4">
        <v>5</v>
      </c>
      <c r="BD13" s="6">
        <v>1764.4</v>
      </c>
      <c r="BE13" s="15">
        <v>867</v>
      </c>
      <c r="BF13" s="15">
        <v>81</v>
      </c>
      <c r="BG13" s="20">
        <v>75</v>
      </c>
      <c r="BH13" s="15">
        <v>786</v>
      </c>
      <c r="BI13" s="21">
        <v>756</v>
      </c>
      <c r="BJ13" s="21">
        <v>409</v>
      </c>
      <c r="BK13" s="16">
        <f t="shared" si="6"/>
        <v>0.90657439446366783</v>
      </c>
      <c r="BL13" s="20">
        <v>64</v>
      </c>
      <c r="BM13" s="22">
        <f t="shared" si="7"/>
        <v>2.1763772387213782</v>
      </c>
      <c r="BN13" s="21">
        <v>729</v>
      </c>
      <c r="BO13" s="21">
        <v>312</v>
      </c>
      <c r="BP13" s="23">
        <v>220.8</v>
      </c>
      <c r="BQ13" s="15">
        <v>172</v>
      </c>
      <c r="BR13" s="15">
        <v>23</v>
      </c>
      <c r="BS13" s="20">
        <v>20</v>
      </c>
      <c r="BT13" s="15">
        <v>149</v>
      </c>
      <c r="BU13" s="21">
        <v>125</v>
      </c>
      <c r="BV13" s="21">
        <v>61</v>
      </c>
      <c r="BW13" s="16">
        <f t="shared" si="8"/>
        <v>0.86627906976744184</v>
      </c>
      <c r="BX13" s="20">
        <v>2</v>
      </c>
      <c r="BY13" s="21">
        <v>35</v>
      </c>
      <c r="BZ13" s="21">
        <v>12</v>
      </c>
      <c r="CA13" s="23">
        <v>211.2</v>
      </c>
      <c r="CB13" s="15">
        <v>27</v>
      </c>
      <c r="CC13" s="15">
        <v>3</v>
      </c>
      <c r="CD13" s="20">
        <v>2</v>
      </c>
      <c r="CE13" s="15">
        <v>24</v>
      </c>
      <c r="CF13" s="21">
        <v>25</v>
      </c>
      <c r="CG13" s="21">
        <v>7</v>
      </c>
      <c r="CH13" s="16">
        <f t="shared" si="9"/>
        <v>0.88888888888888884</v>
      </c>
      <c r="CI13" s="20">
        <v>35</v>
      </c>
      <c r="CJ13" s="21">
        <v>164</v>
      </c>
      <c r="CK13" s="21">
        <v>55</v>
      </c>
      <c r="CL13" s="15">
        <v>1</v>
      </c>
      <c r="CM13" s="15">
        <v>2</v>
      </c>
      <c r="CN13" s="15">
        <v>9</v>
      </c>
      <c r="CO13" s="15">
        <v>5</v>
      </c>
      <c r="CP13" s="15">
        <v>0</v>
      </c>
      <c r="CQ13" s="15">
        <v>0</v>
      </c>
      <c r="CR13" s="15">
        <v>0</v>
      </c>
      <c r="CS13" s="15">
        <v>0</v>
      </c>
      <c r="CT13" s="15">
        <v>1</v>
      </c>
      <c r="CU13" s="15">
        <v>2</v>
      </c>
      <c r="CV13" s="15">
        <v>9</v>
      </c>
      <c r="CW13" s="15">
        <v>5</v>
      </c>
      <c r="CX13" s="16">
        <f t="shared" si="10"/>
        <v>0.44444444444444442</v>
      </c>
    </row>
    <row r="14" spans="1:120" x14ac:dyDescent="0.25">
      <c r="A14" s="13">
        <v>30</v>
      </c>
      <c r="B14" s="13" t="s">
        <v>179</v>
      </c>
      <c r="C14" s="13" t="s">
        <v>180</v>
      </c>
      <c r="D14" s="13"/>
      <c r="E14" s="13" t="s">
        <v>181</v>
      </c>
      <c r="F14" s="13">
        <v>73</v>
      </c>
      <c r="G14" s="13">
        <v>195</v>
      </c>
      <c r="H14" s="13" t="s">
        <v>107</v>
      </c>
      <c r="I14" s="13"/>
      <c r="J14">
        <v>31</v>
      </c>
      <c r="K14" t="s">
        <v>182</v>
      </c>
      <c r="L14" t="s">
        <v>183</v>
      </c>
      <c r="M14" s="14" t="s">
        <v>184</v>
      </c>
      <c r="N14" s="15">
        <v>13</v>
      </c>
      <c r="O14" s="1">
        <v>10</v>
      </c>
      <c r="P14" s="15">
        <v>8</v>
      </c>
      <c r="Q14" s="15">
        <v>1</v>
      </c>
      <c r="R14" s="15">
        <v>1</v>
      </c>
      <c r="S14" s="15">
        <v>273</v>
      </c>
      <c r="T14" s="15">
        <v>25</v>
      </c>
      <c r="U14" s="15">
        <v>248</v>
      </c>
      <c r="V14" s="2">
        <f t="shared" si="0"/>
        <v>2.2849018761583184</v>
      </c>
      <c r="W14" s="16">
        <f t="shared" si="1"/>
        <v>0.90842490842490842</v>
      </c>
      <c r="X14" s="15">
        <v>0</v>
      </c>
      <c r="Y14" s="15">
        <v>0</v>
      </c>
      <c r="Z14" s="15">
        <v>0</v>
      </c>
      <c r="AA14" s="17">
        <f>656+29/60</f>
        <v>656.48333333333335</v>
      </c>
      <c r="AB14" s="1">
        <v>1</v>
      </c>
      <c r="AC14" s="15">
        <v>0</v>
      </c>
      <c r="AD14" s="15">
        <v>0</v>
      </c>
      <c r="AE14" s="1">
        <v>21</v>
      </c>
      <c r="AF14" s="1">
        <v>209</v>
      </c>
      <c r="AG14" s="1">
        <v>565</v>
      </c>
      <c r="AH14" s="1">
        <v>5</v>
      </c>
      <c r="AI14" s="1">
        <v>2</v>
      </c>
      <c r="AJ14" s="16">
        <f t="shared" si="2"/>
        <v>0.90869565217391302</v>
      </c>
      <c r="AK14" s="2">
        <f t="shared" si="3"/>
        <v>2.2300884955752212</v>
      </c>
      <c r="AL14" s="18">
        <f t="shared" si="4"/>
        <v>0.5</v>
      </c>
      <c r="AM14" s="1">
        <v>3</v>
      </c>
      <c r="AN14" s="1">
        <v>4</v>
      </c>
      <c r="AO14" s="1">
        <v>39</v>
      </c>
      <c r="AP14" s="1">
        <v>93</v>
      </c>
      <c r="AQ14" s="2">
        <f>IF(AP14&gt;0,AN14/AP14*60," ")</f>
        <v>2.580645161290323</v>
      </c>
      <c r="AR14" s="16">
        <f>IF(AP14&gt;0,AO14/(AN14+AO14)," ")</f>
        <v>0.90697674418604646</v>
      </c>
      <c r="AS14" s="1" t="s">
        <v>128</v>
      </c>
      <c r="AT14" s="1" t="s">
        <v>129</v>
      </c>
      <c r="AU14" s="1">
        <v>2013</v>
      </c>
      <c r="AV14" s="19">
        <v>1200000</v>
      </c>
      <c r="AW14" s="5">
        <v>1150000</v>
      </c>
      <c r="AX14">
        <v>1.6</v>
      </c>
      <c r="AY14">
        <v>0.5</v>
      </c>
      <c r="AZ14">
        <v>1.1000000000000001</v>
      </c>
      <c r="BA14">
        <v>3.2</v>
      </c>
      <c r="BB14" s="4">
        <f t="shared" si="5"/>
        <v>2.0585365853658537</v>
      </c>
      <c r="BC14" s="4">
        <v>1.6</v>
      </c>
      <c r="BD14" s="6">
        <v>470.86</v>
      </c>
      <c r="BE14" s="15">
        <v>216</v>
      </c>
      <c r="BF14" s="15">
        <v>19</v>
      </c>
      <c r="BG14" s="20">
        <v>17</v>
      </c>
      <c r="BH14" s="15">
        <v>197</v>
      </c>
      <c r="BI14" s="21">
        <v>183</v>
      </c>
      <c r="BJ14" s="21">
        <v>86</v>
      </c>
      <c r="BK14" s="16">
        <f t="shared" si="6"/>
        <v>0.91203703703703709</v>
      </c>
      <c r="BL14" s="20">
        <v>28</v>
      </c>
      <c r="BM14" s="22">
        <f t="shared" si="7"/>
        <v>3.5679395149301278</v>
      </c>
      <c r="BN14" s="21">
        <v>218</v>
      </c>
      <c r="BO14" s="21">
        <v>95</v>
      </c>
      <c r="BP14" s="23">
        <v>73.84</v>
      </c>
      <c r="BQ14" s="15">
        <v>49</v>
      </c>
      <c r="BR14" s="15">
        <v>5</v>
      </c>
      <c r="BS14" s="20">
        <v>5</v>
      </c>
      <c r="BT14" s="15">
        <v>44</v>
      </c>
      <c r="BU14" s="21">
        <v>41</v>
      </c>
      <c r="BV14" s="21">
        <v>19</v>
      </c>
      <c r="BW14" s="16">
        <f t="shared" si="8"/>
        <v>0.89795918367346939</v>
      </c>
      <c r="BX14" s="20">
        <v>0</v>
      </c>
      <c r="BY14" s="21">
        <v>8</v>
      </c>
      <c r="BZ14" s="21">
        <v>2</v>
      </c>
      <c r="CA14" s="23">
        <v>81.510000000000005</v>
      </c>
      <c r="CB14" s="15">
        <v>8</v>
      </c>
      <c r="CC14" s="15">
        <v>1</v>
      </c>
      <c r="CD14" s="20">
        <v>1</v>
      </c>
      <c r="CE14" s="15">
        <v>7</v>
      </c>
      <c r="CF14" s="21">
        <v>7</v>
      </c>
      <c r="CG14" s="21">
        <v>5</v>
      </c>
      <c r="CH14" s="16">
        <f t="shared" si="9"/>
        <v>0.875</v>
      </c>
      <c r="CI14" s="20">
        <v>7</v>
      </c>
      <c r="CJ14" s="21">
        <v>63</v>
      </c>
      <c r="CK14" s="21">
        <v>25</v>
      </c>
      <c r="CL14" s="15">
        <v>0</v>
      </c>
      <c r="CM14" s="15">
        <v>0</v>
      </c>
      <c r="CN14" s="15">
        <v>0</v>
      </c>
      <c r="CO14" s="15">
        <v>0</v>
      </c>
      <c r="CP14" s="15">
        <v>1</v>
      </c>
      <c r="CQ14" s="15">
        <v>1</v>
      </c>
      <c r="CR14" s="15">
        <v>9</v>
      </c>
      <c r="CS14" s="15">
        <v>2</v>
      </c>
      <c r="CT14" s="15">
        <v>1</v>
      </c>
      <c r="CU14" s="15">
        <v>1</v>
      </c>
      <c r="CV14" s="15">
        <v>9</v>
      </c>
      <c r="CW14" s="15">
        <v>2</v>
      </c>
      <c r="CX14" s="16">
        <f t="shared" si="10"/>
        <v>0.77777777777777779</v>
      </c>
    </row>
    <row r="15" spans="1:120" x14ac:dyDescent="0.25">
      <c r="A15" s="13">
        <v>30</v>
      </c>
      <c r="B15" s="13" t="s">
        <v>185</v>
      </c>
      <c r="C15" s="13" t="s">
        <v>186</v>
      </c>
      <c r="D15" s="13" t="s">
        <v>187</v>
      </c>
      <c r="E15" s="13" t="s">
        <v>124</v>
      </c>
      <c r="F15" s="13">
        <v>74</v>
      </c>
      <c r="G15" s="13">
        <v>201</v>
      </c>
      <c r="H15" s="13" t="s">
        <v>107</v>
      </c>
      <c r="I15" s="13"/>
      <c r="J15">
        <v>36</v>
      </c>
      <c r="K15" t="s">
        <v>188</v>
      </c>
      <c r="L15" t="s">
        <v>189</v>
      </c>
      <c r="M15" s="14" t="s">
        <v>190</v>
      </c>
      <c r="N15" s="15">
        <v>19</v>
      </c>
      <c r="O15" s="1">
        <v>11</v>
      </c>
      <c r="P15" s="15">
        <v>3</v>
      </c>
      <c r="Q15" s="15">
        <v>7</v>
      </c>
      <c r="R15" s="15">
        <v>2</v>
      </c>
      <c r="S15" s="15">
        <v>421</v>
      </c>
      <c r="T15" s="15">
        <v>53</v>
      </c>
      <c r="U15" s="15">
        <v>368</v>
      </c>
      <c r="V15" s="2">
        <f t="shared" si="0"/>
        <v>3.6702895065884391</v>
      </c>
      <c r="W15" s="16">
        <f t="shared" si="1"/>
        <v>0.87410926365795727</v>
      </c>
      <c r="X15" s="15">
        <v>0</v>
      </c>
      <c r="Y15" s="15">
        <v>0</v>
      </c>
      <c r="Z15" s="15">
        <v>0</v>
      </c>
      <c r="AA15" s="17">
        <f>866+25/60</f>
        <v>866.41666666666663</v>
      </c>
      <c r="AB15" s="1">
        <v>0</v>
      </c>
      <c r="AC15" s="15">
        <v>0</v>
      </c>
      <c r="AD15" s="15">
        <v>0</v>
      </c>
      <c r="AE15" s="1">
        <v>37</v>
      </c>
      <c r="AF15" s="1">
        <v>266</v>
      </c>
      <c r="AG15" s="1">
        <v>617</v>
      </c>
      <c r="AH15" s="1">
        <v>3</v>
      </c>
      <c r="AI15" s="1">
        <v>4</v>
      </c>
      <c r="AJ15" s="16">
        <f t="shared" si="2"/>
        <v>0.87788778877887785</v>
      </c>
      <c r="AK15" s="2">
        <f t="shared" si="3"/>
        <v>3.5980551053484602</v>
      </c>
      <c r="AL15" s="18">
        <f t="shared" si="4"/>
        <v>0.27272727272727271</v>
      </c>
      <c r="AM15" s="1">
        <v>8</v>
      </c>
      <c r="AN15" s="1">
        <v>16</v>
      </c>
      <c r="AO15" s="1">
        <v>102</v>
      </c>
      <c r="AP15" s="1">
        <v>250</v>
      </c>
      <c r="AQ15" s="2">
        <f>IF(AP15&gt;0,AN15/AP15*60," ")</f>
        <v>3.84</v>
      </c>
      <c r="AR15" s="16">
        <f>IF(AP15&gt;0,AO15/(AN15+AO15)," ")</f>
        <v>0.86440677966101698</v>
      </c>
      <c r="AS15" s="1" t="s">
        <v>128</v>
      </c>
      <c r="AT15" s="1" t="s">
        <v>129</v>
      </c>
      <c r="AU15" s="1">
        <v>2014</v>
      </c>
      <c r="AV15" s="19">
        <v>1300000</v>
      </c>
      <c r="AW15" s="5">
        <v>1200000</v>
      </c>
      <c r="AX15">
        <v>-12.8</v>
      </c>
      <c r="AY15">
        <v>0</v>
      </c>
      <c r="AZ15">
        <v>0</v>
      </c>
      <c r="BA15">
        <v>-12.9</v>
      </c>
      <c r="BB15" s="4">
        <f t="shared" si="5"/>
        <v>-14.129268292682926</v>
      </c>
      <c r="BC15" s="4">
        <v>0.7</v>
      </c>
      <c r="BD15" s="6">
        <v>702.81</v>
      </c>
      <c r="BE15" s="15">
        <v>346</v>
      </c>
      <c r="BF15" s="15">
        <v>42</v>
      </c>
      <c r="BG15" s="20">
        <v>39</v>
      </c>
      <c r="BH15" s="15">
        <v>304</v>
      </c>
      <c r="BI15" s="21">
        <v>298</v>
      </c>
      <c r="BJ15" s="21">
        <v>137</v>
      </c>
      <c r="BK15" s="16">
        <f t="shared" si="6"/>
        <v>0.87861271676300579</v>
      </c>
      <c r="BL15" s="20">
        <v>24</v>
      </c>
      <c r="BM15" s="22">
        <f t="shared" si="7"/>
        <v>2.0489179152260215</v>
      </c>
      <c r="BN15" s="21">
        <v>292</v>
      </c>
      <c r="BO15" s="21">
        <v>131</v>
      </c>
      <c r="BP15" s="23">
        <v>77.900000000000006</v>
      </c>
      <c r="BQ15" s="15">
        <v>69</v>
      </c>
      <c r="BR15" s="15">
        <v>11</v>
      </c>
      <c r="BS15" s="20">
        <v>9</v>
      </c>
      <c r="BT15" s="15">
        <v>58</v>
      </c>
      <c r="BU15" s="21">
        <v>52</v>
      </c>
      <c r="BV15" s="21">
        <v>27</v>
      </c>
      <c r="BW15" s="16">
        <f t="shared" si="8"/>
        <v>0.84057971014492749</v>
      </c>
      <c r="BX15" s="20">
        <v>1</v>
      </c>
      <c r="BY15" s="21">
        <v>8</v>
      </c>
      <c r="BZ15" s="21">
        <v>4</v>
      </c>
      <c r="CA15" s="23">
        <v>68.02</v>
      </c>
      <c r="CB15" s="15">
        <v>6</v>
      </c>
      <c r="CC15" s="15">
        <v>0</v>
      </c>
      <c r="CD15" s="20">
        <v>0</v>
      </c>
      <c r="CE15" s="15">
        <v>6</v>
      </c>
      <c r="CF15" s="21">
        <v>6</v>
      </c>
      <c r="CG15" s="21">
        <v>4</v>
      </c>
      <c r="CH15" s="16">
        <f t="shared" si="9"/>
        <v>1</v>
      </c>
      <c r="CI15" s="20">
        <v>4</v>
      </c>
      <c r="CJ15" s="21">
        <v>45</v>
      </c>
      <c r="CK15" s="21">
        <v>15</v>
      </c>
      <c r="CX15" s="16" t="str">
        <f t="shared" si="10"/>
        <v xml:space="preserve"> </v>
      </c>
    </row>
    <row r="16" spans="1:120" x14ac:dyDescent="0.25">
      <c r="A16" s="13">
        <v>50</v>
      </c>
      <c r="B16" s="13" t="s">
        <v>191</v>
      </c>
      <c r="C16" s="13" t="s">
        <v>171</v>
      </c>
      <c r="D16" s="13" t="s">
        <v>143</v>
      </c>
      <c r="E16" s="13" t="s">
        <v>117</v>
      </c>
      <c r="F16" s="13">
        <v>74</v>
      </c>
      <c r="G16" s="13">
        <v>208</v>
      </c>
      <c r="H16" s="13" t="s">
        <v>107</v>
      </c>
      <c r="I16" s="13"/>
      <c r="J16">
        <v>29</v>
      </c>
      <c r="K16" t="s">
        <v>192</v>
      </c>
      <c r="L16" t="s">
        <v>193</v>
      </c>
      <c r="M16" s="14" t="s">
        <v>194</v>
      </c>
      <c r="N16" s="15">
        <v>30</v>
      </c>
      <c r="O16" s="1">
        <v>28</v>
      </c>
      <c r="P16" s="15">
        <v>19</v>
      </c>
      <c r="Q16" s="15">
        <v>5</v>
      </c>
      <c r="R16" s="15">
        <v>5</v>
      </c>
      <c r="S16" s="15">
        <v>769</v>
      </c>
      <c r="T16" s="15">
        <v>57</v>
      </c>
      <c r="U16" s="15">
        <v>712</v>
      </c>
      <c r="V16" s="2">
        <f t="shared" si="0"/>
        <v>1.9426115439596332</v>
      </c>
      <c r="W16" s="16">
        <f t="shared" si="1"/>
        <v>0.92587776332899874</v>
      </c>
      <c r="X16" s="15">
        <v>0</v>
      </c>
      <c r="Y16" s="15">
        <v>0</v>
      </c>
      <c r="Z16" s="15">
        <v>4</v>
      </c>
      <c r="AA16" s="17">
        <f>1760+31/60</f>
        <v>1760.5166666666667</v>
      </c>
      <c r="AB16" s="1">
        <v>3</v>
      </c>
      <c r="AC16" s="15">
        <v>1</v>
      </c>
      <c r="AD16" s="15">
        <v>0</v>
      </c>
      <c r="AE16" s="1">
        <v>54</v>
      </c>
      <c r="AF16" s="1">
        <v>685</v>
      </c>
      <c r="AG16" s="1">
        <v>1667</v>
      </c>
      <c r="AH16" s="1">
        <v>19</v>
      </c>
      <c r="AI16" s="1">
        <v>1</v>
      </c>
      <c r="AJ16" s="16">
        <f t="shared" si="2"/>
        <v>0.92692828146143436</v>
      </c>
      <c r="AK16" s="2">
        <f t="shared" si="3"/>
        <v>1.943611277744451</v>
      </c>
      <c r="AL16" s="18">
        <f t="shared" si="4"/>
        <v>0.6785714285714286</v>
      </c>
      <c r="AM16" s="1">
        <v>2</v>
      </c>
      <c r="AN16" s="1">
        <v>3</v>
      </c>
      <c r="AO16" s="1">
        <v>27</v>
      </c>
      <c r="AP16" s="1">
        <v>95</v>
      </c>
      <c r="AQ16" s="2">
        <f>IF(AP16&gt;0,AN16/AP16*60," ")</f>
        <v>1.8947368421052633</v>
      </c>
      <c r="AR16" s="16">
        <f>IF(AP16&gt;0,AO16/(AN16+AO16)," ")</f>
        <v>0.9</v>
      </c>
      <c r="AS16" s="1" t="s">
        <v>128</v>
      </c>
      <c r="AT16" s="1" t="s">
        <v>129</v>
      </c>
      <c r="AU16" s="1">
        <v>2014</v>
      </c>
      <c r="AV16" s="19">
        <v>2250000</v>
      </c>
      <c r="AW16" s="5">
        <v>2666667</v>
      </c>
      <c r="AX16">
        <v>16.2</v>
      </c>
      <c r="AY16">
        <v>0.9</v>
      </c>
      <c r="AZ16">
        <v>-1.7000000000000002</v>
      </c>
      <c r="BA16">
        <v>15.4</v>
      </c>
      <c r="BB16" s="4">
        <f t="shared" si="5"/>
        <v>11.595121365853659</v>
      </c>
      <c r="BC16" s="4">
        <v>6</v>
      </c>
      <c r="BD16" s="6">
        <v>1378.8</v>
      </c>
      <c r="BE16" s="15">
        <v>636</v>
      </c>
      <c r="BF16" s="15">
        <v>42</v>
      </c>
      <c r="BG16" s="20">
        <v>41</v>
      </c>
      <c r="BH16" s="15">
        <v>594</v>
      </c>
      <c r="BI16" s="21">
        <v>552</v>
      </c>
      <c r="BJ16" s="21">
        <v>193</v>
      </c>
      <c r="BK16" s="16">
        <f t="shared" si="6"/>
        <v>0.93396226415094341</v>
      </c>
      <c r="BL16" s="20">
        <v>64</v>
      </c>
      <c r="BM16" s="22">
        <f t="shared" si="7"/>
        <v>2.78503046127067</v>
      </c>
      <c r="BN16" s="21">
        <v>614</v>
      </c>
      <c r="BO16" s="21">
        <v>239</v>
      </c>
      <c r="BP16" s="23">
        <v>145.5</v>
      </c>
      <c r="BQ16" s="15">
        <v>115</v>
      </c>
      <c r="BR16" s="15">
        <v>12</v>
      </c>
      <c r="BS16" s="20">
        <v>12</v>
      </c>
      <c r="BT16" s="15">
        <v>103</v>
      </c>
      <c r="BU16" s="21">
        <v>96</v>
      </c>
      <c r="BV16" s="21">
        <v>49</v>
      </c>
      <c r="BW16" s="16">
        <f t="shared" si="8"/>
        <v>0.89565217391304353</v>
      </c>
      <c r="BX16" s="20">
        <v>3</v>
      </c>
      <c r="BY16" s="21">
        <v>21</v>
      </c>
      <c r="BZ16" s="21">
        <v>11</v>
      </c>
      <c r="CA16" s="23">
        <v>140.69999999999999</v>
      </c>
      <c r="CB16" s="15">
        <v>18</v>
      </c>
      <c r="CC16" s="15">
        <v>3</v>
      </c>
      <c r="CD16" s="20">
        <v>3</v>
      </c>
      <c r="CE16" s="15">
        <v>15</v>
      </c>
      <c r="CF16" s="21">
        <v>13</v>
      </c>
      <c r="CG16" s="21">
        <v>4</v>
      </c>
      <c r="CH16" s="16">
        <f t="shared" si="9"/>
        <v>0.83333333333333337</v>
      </c>
      <c r="CI16" s="20">
        <v>12</v>
      </c>
      <c r="CJ16" s="21">
        <v>94</v>
      </c>
      <c r="CK16" s="21">
        <v>32</v>
      </c>
      <c r="CL16" s="15">
        <v>2</v>
      </c>
      <c r="CM16" s="15">
        <v>3</v>
      </c>
      <c r="CN16" s="15">
        <v>21</v>
      </c>
      <c r="CO16" s="15">
        <v>10</v>
      </c>
      <c r="CP16" s="15">
        <v>2</v>
      </c>
      <c r="CQ16" s="15">
        <v>2</v>
      </c>
      <c r="CR16" s="15">
        <v>13</v>
      </c>
      <c r="CS16" s="15">
        <v>4</v>
      </c>
      <c r="CT16" s="15">
        <v>4</v>
      </c>
      <c r="CU16" s="15">
        <v>5</v>
      </c>
      <c r="CV16" s="15">
        <v>34</v>
      </c>
      <c r="CW16" s="15">
        <v>14</v>
      </c>
      <c r="CX16" s="16">
        <f t="shared" si="10"/>
        <v>0.58823529411764708</v>
      </c>
      <c r="CY16">
        <v>3</v>
      </c>
      <c r="CZ16" t="s">
        <v>195</v>
      </c>
    </row>
    <row r="17" spans="1:104" x14ac:dyDescent="0.25">
      <c r="A17" s="13">
        <v>34</v>
      </c>
      <c r="B17" s="13" t="s">
        <v>196</v>
      </c>
      <c r="C17" s="13" t="s">
        <v>197</v>
      </c>
      <c r="D17" s="13" t="s">
        <v>143</v>
      </c>
      <c r="E17" s="13" t="s">
        <v>117</v>
      </c>
      <c r="F17" s="13">
        <v>72</v>
      </c>
      <c r="G17" s="13">
        <v>185</v>
      </c>
      <c r="H17" s="13" t="s">
        <v>107</v>
      </c>
      <c r="I17" s="13"/>
      <c r="J17">
        <v>32</v>
      </c>
      <c r="K17" t="s">
        <v>198</v>
      </c>
      <c r="L17" t="s">
        <v>199</v>
      </c>
      <c r="M17" s="14" t="s">
        <v>200</v>
      </c>
      <c r="N17" s="15">
        <v>3</v>
      </c>
      <c r="O17" s="1">
        <v>0</v>
      </c>
      <c r="P17" s="15">
        <v>1</v>
      </c>
      <c r="Q17" s="15">
        <v>0</v>
      </c>
      <c r="R17" s="15">
        <v>0</v>
      </c>
      <c r="S17" s="15">
        <v>59</v>
      </c>
      <c r="T17" s="15">
        <v>7</v>
      </c>
      <c r="U17" s="15">
        <v>52</v>
      </c>
      <c r="V17" s="2">
        <f t="shared" si="0"/>
        <v>3.8095238095238093</v>
      </c>
      <c r="W17" s="16">
        <f t="shared" si="1"/>
        <v>0.88135593220338981</v>
      </c>
      <c r="X17" s="15">
        <v>0</v>
      </c>
      <c r="Y17" s="15">
        <v>0</v>
      </c>
      <c r="Z17" s="15">
        <v>0</v>
      </c>
      <c r="AA17" s="17">
        <f>110+15/60</f>
        <v>110.25</v>
      </c>
      <c r="AB17" s="1">
        <v>0</v>
      </c>
      <c r="AC17" s="15">
        <v>0</v>
      </c>
      <c r="AD17" s="15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6">
        <v>0</v>
      </c>
      <c r="AK17" s="2">
        <v>0</v>
      </c>
      <c r="AL17" s="18">
        <f>IF(O17&gt;0,AH17/O17,0)</f>
        <v>0</v>
      </c>
      <c r="AM17" s="1">
        <v>3</v>
      </c>
      <c r="AN17" s="1">
        <v>7</v>
      </c>
      <c r="AO17" s="1">
        <v>52</v>
      </c>
      <c r="AP17" s="1">
        <v>110</v>
      </c>
      <c r="AQ17" s="2">
        <f>IF(AP17&gt;0,AN17/AP17*60," ")</f>
        <v>3.8181818181818179</v>
      </c>
      <c r="AR17" s="16">
        <f>IF(AP17&gt;0,AO17/(AN17+AO17)," ")</f>
        <v>0.88135593220338981</v>
      </c>
      <c r="AS17" s="1" t="s">
        <v>128</v>
      </c>
      <c r="AT17" s="1" t="s">
        <v>129</v>
      </c>
      <c r="AU17" s="1">
        <v>2013</v>
      </c>
      <c r="AV17" s="19">
        <v>800000</v>
      </c>
      <c r="AW17" s="5">
        <v>800000</v>
      </c>
      <c r="AX17">
        <v>-1.3</v>
      </c>
      <c r="AY17">
        <v>-0.1</v>
      </c>
      <c r="AZ17">
        <v>0</v>
      </c>
      <c r="BA17">
        <v>-1.4</v>
      </c>
      <c r="BB17" s="4">
        <f t="shared" si="5"/>
        <v>-1.9268292682926829</v>
      </c>
      <c r="BC17" s="4">
        <v>0.1</v>
      </c>
      <c r="BD17" s="6">
        <v>83.31</v>
      </c>
      <c r="BE17" s="15">
        <v>42</v>
      </c>
      <c r="BF17" s="15">
        <v>4</v>
      </c>
      <c r="BG17" s="20">
        <v>4</v>
      </c>
      <c r="BH17" s="15">
        <v>38</v>
      </c>
      <c r="BI17" s="21">
        <v>36</v>
      </c>
      <c r="BJ17" s="21">
        <v>19</v>
      </c>
      <c r="BK17" s="16">
        <f t="shared" si="6"/>
        <v>0.90476190476190477</v>
      </c>
      <c r="BL17" s="20">
        <v>1</v>
      </c>
      <c r="BM17" s="22">
        <f t="shared" si="7"/>
        <v>0.72020165646380985</v>
      </c>
      <c r="BN17" s="21">
        <v>37</v>
      </c>
      <c r="BO17" s="21">
        <v>12</v>
      </c>
      <c r="BP17" s="23">
        <v>12.21</v>
      </c>
      <c r="BQ17" s="15">
        <v>9</v>
      </c>
      <c r="BR17" s="15">
        <v>2</v>
      </c>
      <c r="BS17" s="20">
        <v>2</v>
      </c>
      <c r="BT17" s="15">
        <v>7</v>
      </c>
      <c r="BU17" s="21">
        <v>7</v>
      </c>
      <c r="BV17" s="21">
        <v>1</v>
      </c>
      <c r="BW17" s="16">
        <f t="shared" si="8"/>
        <v>0.77777777777777779</v>
      </c>
      <c r="BX17" s="20">
        <v>0</v>
      </c>
      <c r="BY17" s="21">
        <v>4</v>
      </c>
      <c r="BZ17" s="21">
        <v>1</v>
      </c>
      <c r="CA17" s="23">
        <v>10.29</v>
      </c>
      <c r="CB17" s="15">
        <v>8</v>
      </c>
      <c r="CC17" s="15">
        <v>1</v>
      </c>
      <c r="CD17" s="20">
        <v>1</v>
      </c>
      <c r="CE17" s="15">
        <v>7</v>
      </c>
      <c r="CF17" s="21">
        <v>7</v>
      </c>
      <c r="CG17" s="21">
        <v>0</v>
      </c>
      <c r="CH17" s="16">
        <f t="shared" si="9"/>
        <v>0.875</v>
      </c>
      <c r="CI17" s="20">
        <v>2</v>
      </c>
      <c r="CJ17" s="21">
        <v>1</v>
      </c>
      <c r="CK17" s="21">
        <v>2</v>
      </c>
      <c r="CX17" s="16" t="str">
        <f t="shared" si="10"/>
        <v xml:space="preserve"> </v>
      </c>
    </row>
    <row r="18" spans="1:104" x14ac:dyDescent="0.25">
      <c r="A18" s="13">
        <v>30</v>
      </c>
      <c r="B18" s="13" t="s">
        <v>201</v>
      </c>
      <c r="C18" s="13" t="s">
        <v>202</v>
      </c>
      <c r="D18" s="13" t="s">
        <v>116</v>
      </c>
      <c r="E18" s="13" t="s">
        <v>117</v>
      </c>
      <c r="F18" s="13">
        <v>72</v>
      </c>
      <c r="G18" s="13">
        <v>192</v>
      </c>
      <c r="H18" s="13" t="s">
        <v>203</v>
      </c>
      <c r="I18" s="13"/>
      <c r="J18">
        <v>28</v>
      </c>
      <c r="K18" t="s">
        <v>204</v>
      </c>
      <c r="L18" t="s">
        <v>205</v>
      </c>
      <c r="M18" s="14" t="s">
        <v>206</v>
      </c>
      <c r="N18" s="15">
        <v>3</v>
      </c>
      <c r="O18" s="1">
        <v>2</v>
      </c>
      <c r="P18" s="15">
        <v>0</v>
      </c>
      <c r="Q18" s="15">
        <v>3</v>
      </c>
      <c r="R18" s="15">
        <v>0</v>
      </c>
      <c r="S18" s="15">
        <v>73</v>
      </c>
      <c r="T18" s="15">
        <v>8</v>
      </c>
      <c r="U18" s="15">
        <v>65</v>
      </c>
      <c r="V18" s="2">
        <f t="shared" si="0"/>
        <v>2.9981261711430358</v>
      </c>
      <c r="W18" s="16">
        <f t="shared" si="1"/>
        <v>0.8904109589041096</v>
      </c>
      <c r="X18" s="15">
        <v>0</v>
      </c>
      <c r="Y18" s="15">
        <v>0</v>
      </c>
      <c r="Z18" s="15">
        <v>0</v>
      </c>
      <c r="AA18" s="17">
        <f>160+6/60</f>
        <v>160.1</v>
      </c>
      <c r="AB18" s="1">
        <v>0</v>
      </c>
      <c r="AC18" s="15">
        <v>0</v>
      </c>
      <c r="AD18" s="15">
        <v>0</v>
      </c>
      <c r="AE18" s="1">
        <v>7</v>
      </c>
      <c r="AF18" s="1">
        <v>46</v>
      </c>
      <c r="AG18" s="1">
        <v>118</v>
      </c>
      <c r="AH18" s="1">
        <v>0</v>
      </c>
      <c r="AI18" s="1">
        <v>0</v>
      </c>
      <c r="AJ18" s="16">
        <f t="shared" ref="AJ18:AJ26" si="13">AF18/(AE18+AF18)</f>
        <v>0.86792452830188682</v>
      </c>
      <c r="AK18" s="2">
        <f t="shared" ref="AK18:AK26" si="14">AE18/AG18*60</f>
        <v>3.5593220338983054</v>
      </c>
      <c r="AL18" s="18">
        <f t="shared" ref="AL18:AL26" si="15">IF(O18&gt;0,AH18/O18,"0_")</f>
        <v>0</v>
      </c>
      <c r="AM18" s="1">
        <v>1</v>
      </c>
      <c r="AN18" s="1">
        <v>1</v>
      </c>
      <c r="AO18" s="1">
        <v>19</v>
      </c>
      <c r="AP18" s="1">
        <v>42</v>
      </c>
      <c r="AQ18" s="2">
        <f>IF(AP18&gt;0,AN18/AP18*60," ")</f>
        <v>1.4285714285714284</v>
      </c>
      <c r="AR18" s="16">
        <f>IF(AP18&gt;0,AO18/(AN18+AO18)," ")</f>
        <v>0.95</v>
      </c>
      <c r="AS18" s="1" t="s">
        <v>128</v>
      </c>
      <c r="AT18" s="1" t="s">
        <v>129</v>
      </c>
      <c r="AU18" s="1">
        <v>2013</v>
      </c>
      <c r="AV18" s="19">
        <v>600000</v>
      </c>
      <c r="AW18" s="19">
        <v>600000</v>
      </c>
      <c r="AX18">
        <v>-1</v>
      </c>
      <c r="AY18">
        <v>0.1</v>
      </c>
      <c r="AZ18">
        <v>0</v>
      </c>
      <c r="BA18">
        <v>-0.9</v>
      </c>
      <c r="BB18" s="4">
        <f t="shared" si="5"/>
        <v>-1.075609756097561</v>
      </c>
      <c r="BC18" s="4">
        <v>0.30000000000000004</v>
      </c>
      <c r="BD18" s="6">
        <v>129.38999999999999</v>
      </c>
      <c r="BE18" s="15">
        <v>57</v>
      </c>
      <c r="BF18" s="15">
        <v>6</v>
      </c>
      <c r="BG18" s="20">
        <v>4</v>
      </c>
      <c r="BH18" s="15">
        <v>51</v>
      </c>
      <c r="BI18" s="21">
        <v>49</v>
      </c>
      <c r="BJ18" s="21">
        <v>28</v>
      </c>
      <c r="BK18" s="16">
        <f t="shared" si="6"/>
        <v>0.89473684210526316</v>
      </c>
      <c r="BL18" s="20">
        <v>5</v>
      </c>
      <c r="BM18" s="22">
        <f t="shared" si="7"/>
        <v>2.3185717597959661</v>
      </c>
      <c r="BN18" s="21">
        <v>51</v>
      </c>
      <c r="BO18" s="21">
        <v>21</v>
      </c>
      <c r="BP18" s="23">
        <v>10.29</v>
      </c>
      <c r="BQ18" s="15">
        <v>12</v>
      </c>
      <c r="BR18" s="15">
        <v>2</v>
      </c>
      <c r="BS18" s="20">
        <v>3</v>
      </c>
      <c r="BT18" s="15">
        <v>10</v>
      </c>
      <c r="BU18" s="21">
        <v>10</v>
      </c>
      <c r="BV18" s="21">
        <v>2</v>
      </c>
      <c r="BW18" s="16">
        <f t="shared" si="8"/>
        <v>0.83333333333333337</v>
      </c>
      <c r="BX18" s="20">
        <v>0</v>
      </c>
      <c r="BY18" s="21">
        <v>3</v>
      </c>
      <c r="BZ18" s="21">
        <v>0</v>
      </c>
      <c r="CA18" s="23">
        <v>13.38</v>
      </c>
      <c r="CB18" s="15">
        <v>4</v>
      </c>
      <c r="CC18" s="15">
        <v>0</v>
      </c>
      <c r="CD18" s="20">
        <v>0</v>
      </c>
      <c r="CE18" s="15">
        <v>4</v>
      </c>
      <c r="CF18" s="21">
        <v>4</v>
      </c>
      <c r="CG18" s="21">
        <v>2</v>
      </c>
      <c r="CH18" s="16">
        <f t="shared" si="9"/>
        <v>1</v>
      </c>
      <c r="CI18" s="20">
        <v>2</v>
      </c>
      <c r="CJ18" s="21">
        <v>8</v>
      </c>
      <c r="CK18" s="21">
        <v>1</v>
      </c>
      <c r="CX18" s="16" t="str">
        <f t="shared" si="10"/>
        <v xml:space="preserve"> </v>
      </c>
    </row>
    <row r="19" spans="1:104" x14ac:dyDescent="0.25">
      <c r="A19" s="13">
        <v>39</v>
      </c>
      <c r="B19" s="13" t="s">
        <v>207</v>
      </c>
      <c r="C19" s="13" t="s">
        <v>208</v>
      </c>
      <c r="D19" s="13" t="s">
        <v>209</v>
      </c>
      <c r="E19" s="13" t="s">
        <v>124</v>
      </c>
      <c r="F19" s="13">
        <v>72</v>
      </c>
      <c r="G19" s="13">
        <v>185</v>
      </c>
      <c r="H19" s="13" t="s">
        <v>203</v>
      </c>
      <c r="I19" s="13"/>
      <c r="J19">
        <v>32</v>
      </c>
      <c r="K19" t="s">
        <v>210</v>
      </c>
      <c r="L19" t="s">
        <v>211</v>
      </c>
      <c r="M19" s="14" t="s">
        <v>212</v>
      </c>
      <c r="N19" s="15">
        <v>3</v>
      </c>
      <c r="O19" s="1">
        <v>3</v>
      </c>
      <c r="P19" s="15">
        <v>0</v>
      </c>
      <c r="Q19" s="15">
        <v>3</v>
      </c>
      <c r="R19" s="15">
        <v>0</v>
      </c>
      <c r="S19" s="15">
        <v>83</v>
      </c>
      <c r="T19" s="15">
        <v>12</v>
      </c>
      <c r="U19" s="15">
        <v>71</v>
      </c>
      <c r="V19" s="2">
        <f t="shared" si="0"/>
        <v>4.1002277904328022</v>
      </c>
      <c r="W19" s="16">
        <f t="shared" si="1"/>
        <v>0.85542168674698793</v>
      </c>
      <c r="X19" s="15">
        <v>0</v>
      </c>
      <c r="Y19" s="15">
        <v>0</v>
      </c>
      <c r="Z19" s="15">
        <v>0</v>
      </c>
      <c r="AA19" s="17">
        <f>175+36/60</f>
        <v>175.6</v>
      </c>
      <c r="AB19" s="1">
        <v>0</v>
      </c>
      <c r="AC19" s="15">
        <v>0</v>
      </c>
      <c r="AD19" s="15">
        <v>0</v>
      </c>
      <c r="AE19" s="1">
        <v>12</v>
      </c>
      <c r="AF19" s="1">
        <v>71</v>
      </c>
      <c r="AG19" s="1">
        <v>175</v>
      </c>
      <c r="AH19" s="1">
        <v>0</v>
      </c>
      <c r="AI19" s="1">
        <v>1</v>
      </c>
      <c r="AJ19" s="16">
        <f t="shared" si="13"/>
        <v>0.85542168674698793</v>
      </c>
      <c r="AK19" s="2">
        <f t="shared" si="14"/>
        <v>4.1142857142857148</v>
      </c>
      <c r="AL19" s="18">
        <f t="shared" si="15"/>
        <v>0</v>
      </c>
      <c r="AM19" s="1">
        <v>0</v>
      </c>
      <c r="AN19" s="1">
        <v>0</v>
      </c>
      <c r="AO19" s="1">
        <v>0</v>
      </c>
      <c r="AP19" s="1">
        <v>0</v>
      </c>
      <c r="AQ19" s="2">
        <v>0</v>
      </c>
      <c r="AR19" s="16">
        <v>0</v>
      </c>
      <c r="AS19" s="1" t="s">
        <v>128</v>
      </c>
      <c r="AT19" s="1" t="s">
        <v>129</v>
      </c>
      <c r="AU19" s="1">
        <v>2021</v>
      </c>
      <c r="AV19" s="19">
        <v>4500000</v>
      </c>
      <c r="AW19" s="19">
        <v>4500000</v>
      </c>
      <c r="AX19">
        <v>-4.0999999999999996</v>
      </c>
      <c r="AY19">
        <v>0</v>
      </c>
      <c r="AZ19">
        <v>0</v>
      </c>
      <c r="BA19">
        <v>-4.0999999999999996</v>
      </c>
      <c r="BB19" s="4">
        <f t="shared" si="5"/>
        <v>-11.124390243902438</v>
      </c>
      <c r="BC19" s="4">
        <v>-0.1</v>
      </c>
      <c r="BD19" s="6">
        <v>137.88</v>
      </c>
      <c r="BE19" s="15">
        <v>66</v>
      </c>
      <c r="BF19" s="15">
        <v>11</v>
      </c>
      <c r="BG19" s="20">
        <v>11</v>
      </c>
      <c r="BH19" s="15">
        <v>55</v>
      </c>
      <c r="BI19" s="21">
        <v>53</v>
      </c>
      <c r="BJ19" s="21">
        <v>32</v>
      </c>
      <c r="BK19" s="16">
        <f t="shared" si="6"/>
        <v>0.83333333333333337</v>
      </c>
      <c r="BL19" s="20">
        <v>3</v>
      </c>
      <c r="BM19" s="22">
        <f t="shared" si="7"/>
        <v>1.3054830287206267</v>
      </c>
      <c r="BN19" s="21">
        <v>63</v>
      </c>
      <c r="BO19" s="21">
        <v>21</v>
      </c>
      <c r="BP19" s="23">
        <v>13.44</v>
      </c>
      <c r="BQ19" s="15">
        <v>16</v>
      </c>
      <c r="BR19" s="15">
        <v>1</v>
      </c>
      <c r="BS19" s="20">
        <v>1</v>
      </c>
      <c r="BT19" s="15">
        <v>15</v>
      </c>
      <c r="BU19" s="21">
        <v>13</v>
      </c>
      <c r="BV19" s="21">
        <v>4</v>
      </c>
      <c r="BW19" s="16">
        <f t="shared" si="8"/>
        <v>0.9375</v>
      </c>
      <c r="BX19" s="20">
        <v>0</v>
      </c>
      <c r="BY19" s="21">
        <v>3</v>
      </c>
      <c r="BZ19" s="21">
        <v>0</v>
      </c>
      <c r="CA19" s="23">
        <v>19.739999999999998</v>
      </c>
      <c r="CB19" s="15">
        <v>1</v>
      </c>
      <c r="CC19" s="15">
        <v>0</v>
      </c>
      <c r="CD19" s="20">
        <v>0</v>
      </c>
      <c r="CE19" s="15">
        <v>1</v>
      </c>
      <c r="CF19" s="21">
        <v>1</v>
      </c>
      <c r="CG19" s="21">
        <v>2</v>
      </c>
      <c r="CH19" s="16">
        <f t="shared" si="9"/>
        <v>1</v>
      </c>
      <c r="CI19" s="20">
        <v>4</v>
      </c>
      <c r="CJ19" s="21">
        <v>12</v>
      </c>
      <c r="CK19" s="21">
        <v>3</v>
      </c>
      <c r="CX19" s="16" t="str">
        <f t="shared" si="10"/>
        <v xml:space="preserve"> </v>
      </c>
    </row>
    <row r="20" spans="1:104" x14ac:dyDescent="0.25">
      <c r="A20" s="13">
        <v>40</v>
      </c>
      <c r="B20" s="13" t="s">
        <v>213</v>
      </c>
      <c r="C20" s="13" t="s">
        <v>214</v>
      </c>
      <c r="D20" s="13" t="s">
        <v>215</v>
      </c>
      <c r="E20" s="13" t="s">
        <v>117</v>
      </c>
      <c r="F20" s="13">
        <v>77</v>
      </c>
      <c r="G20" s="13">
        <v>210</v>
      </c>
      <c r="H20" s="13" t="s">
        <v>107</v>
      </c>
      <c r="I20" s="13"/>
      <c r="J20">
        <v>27</v>
      </c>
      <c r="K20" t="s">
        <v>216</v>
      </c>
      <c r="L20" t="s">
        <v>217</v>
      </c>
      <c r="M20" s="14" t="s">
        <v>200</v>
      </c>
      <c r="N20" s="15">
        <v>38</v>
      </c>
      <c r="O20" s="1">
        <v>37</v>
      </c>
      <c r="P20" s="15">
        <v>14</v>
      </c>
      <c r="Q20" s="15">
        <v>16</v>
      </c>
      <c r="R20" s="15">
        <v>6</v>
      </c>
      <c r="S20" s="15">
        <v>1132</v>
      </c>
      <c r="T20" s="15">
        <v>90</v>
      </c>
      <c r="U20" s="15">
        <v>1042</v>
      </c>
      <c r="V20" s="2">
        <f t="shared" si="0"/>
        <v>2.5702658321235634</v>
      </c>
      <c r="W20" s="16">
        <f t="shared" si="1"/>
        <v>0.9204946996466431</v>
      </c>
      <c r="X20" s="15">
        <v>0</v>
      </c>
      <c r="Y20" s="15">
        <v>0</v>
      </c>
      <c r="Z20" s="15">
        <v>0</v>
      </c>
      <c r="AA20" s="17">
        <f>2100+57/60</f>
        <v>2100.9499999999998</v>
      </c>
      <c r="AB20" s="1">
        <v>2</v>
      </c>
      <c r="AC20" s="15">
        <v>0</v>
      </c>
      <c r="AD20" s="15">
        <v>0</v>
      </c>
      <c r="AE20" s="1">
        <v>90</v>
      </c>
      <c r="AF20" s="1">
        <v>1033</v>
      </c>
      <c r="AG20" s="1">
        <v>2083</v>
      </c>
      <c r="AH20" s="1">
        <v>20</v>
      </c>
      <c r="AI20" s="1">
        <v>5</v>
      </c>
      <c r="AJ20" s="16">
        <f t="shared" si="13"/>
        <v>0.91985752448797864</v>
      </c>
      <c r="AK20" s="2">
        <f t="shared" si="14"/>
        <v>2.5924147863658185</v>
      </c>
      <c r="AL20" s="18">
        <f t="shared" si="15"/>
        <v>0.54054054054054057</v>
      </c>
      <c r="AM20" s="1">
        <v>1</v>
      </c>
      <c r="AN20" s="1">
        <v>0</v>
      </c>
      <c r="AO20" s="1">
        <v>9</v>
      </c>
      <c r="AP20" s="1">
        <v>20</v>
      </c>
      <c r="AQ20" s="2">
        <f t="shared" ref="AQ20:AQ32" si="16">IF(AP20&gt;0,AN20/AP20*60," ")</f>
        <v>0</v>
      </c>
      <c r="AR20" s="16">
        <f t="shared" ref="AR20:AR32" si="17">IF(AP20&gt;0,AO20/(AN20+AO20)," ")</f>
        <v>1</v>
      </c>
      <c r="AS20" s="1" t="s">
        <v>128</v>
      </c>
      <c r="AT20" s="1" t="s">
        <v>129</v>
      </c>
      <c r="AU20" s="1">
        <v>2014</v>
      </c>
      <c r="AV20" s="19">
        <v>3250000</v>
      </c>
      <c r="AW20" s="5">
        <v>3500000</v>
      </c>
      <c r="AX20">
        <v>18.2</v>
      </c>
      <c r="AY20">
        <v>-1.5</v>
      </c>
      <c r="AZ20">
        <v>-1.9</v>
      </c>
      <c r="BA20">
        <v>14.7</v>
      </c>
      <c r="BB20" s="4">
        <f t="shared" si="5"/>
        <v>9.4317073170731707</v>
      </c>
      <c r="BC20" s="4">
        <v>8.1</v>
      </c>
      <c r="BD20" s="6">
        <v>1632.86</v>
      </c>
      <c r="BE20" s="15">
        <v>907</v>
      </c>
      <c r="BF20" s="15">
        <v>71</v>
      </c>
      <c r="BG20" s="20">
        <v>67</v>
      </c>
      <c r="BH20" s="15">
        <v>836</v>
      </c>
      <c r="BI20" s="21">
        <v>808</v>
      </c>
      <c r="BJ20" s="21">
        <v>340</v>
      </c>
      <c r="BK20" s="16">
        <f t="shared" si="6"/>
        <v>0.9217199558985667</v>
      </c>
      <c r="BL20" s="20">
        <v>64</v>
      </c>
      <c r="BM20" s="22">
        <f t="shared" si="7"/>
        <v>2.3517019217814146</v>
      </c>
      <c r="BN20" s="21">
        <v>661</v>
      </c>
      <c r="BO20" s="21">
        <v>291</v>
      </c>
      <c r="BP20" s="23">
        <v>208.24</v>
      </c>
      <c r="BQ20" s="15">
        <v>205</v>
      </c>
      <c r="BR20" s="15">
        <v>19</v>
      </c>
      <c r="BS20" s="20">
        <v>18</v>
      </c>
      <c r="BT20" s="15">
        <v>186</v>
      </c>
      <c r="BU20" s="21">
        <v>176</v>
      </c>
      <c r="BV20" s="21">
        <v>68</v>
      </c>
      <c r="BW20" s="16">
        <f t="shared" si="8"/>
        <v>0.90731707317073174</v>
      </c>
      <c r="BX20" s="20">
        <v>3</v>
      </c>
      <c r="BY20" s="21">
        <v>16</v>
      </c>
      <c r="BZ20" s="21">
        <v>4</v>
      </c>
      <c r="CA20" s="23">
        <v>183.16</v>
      </c>
      <c r="CB20" s="15">
        <v>20</v>
      </c>
      <c r="CC20" s="15">
        <v>0</v>
      </c>
      <c r="CD20" s="20">
        <v>0</v>
      </c>
      <c r="CE20" s="15">
        <v>20</v>
      </c>
      <c r="CF20" s="21">
        <v>20</v>
      </c>
      <c r="CG20" s="21">
        <v>16</v>
      </c>
      <c r="CH20" s="16">
        <f t="shared" si="9"/>
        <v>1</v>
      </c>
      <c r="CI20" s="20">
        <v>23</v>
      </c>
      <c r="CJ20" s="21">
        <v>106</v>
      </c>
      <c r="CK20" s="21">
        <v>43</v>
      </c>
      <c r="CL20" s="15">
        <v>0</v>
      </c>
      <c r="CM20" s="15">
        <v>1</v>
      </c>
      <c r="CN20" s="15">
        <v>3</v>
      </c>
      <c r="CO20" s="15">
        <v>2</v>
      </c>
      <c r="CP20" s="15">
        <v>1</v>
      </c>
      <c r="CQ20" s="15">
        <v>2</v>
      </c>
      <c r="CR20" s="15">
        <v>8</v>
      </c>
      <c r="CS20" s="15">
        <v>4</v>
      </c>
      <c r="CT20" s="15">
        <v>1</v>
      </c>
      <c r="CU20" s="15">
        <v>3</v>
      </c>
      <c r="CV20" s="15">
        <v>11</v>
      </c>
      <c r="CW20" s="15">
        <v>6</v>
      </c>
      <c r="CX20" s="16">
        <f t="shared" si="10"/>
        <v>0.45454545454545459</v>
      </c>
    </row>
    <row r="21" spans="1:104" x14ac:dyDescent="0.25">
      <c r="A21" s="13">
        <v>1</v>
      </c>
      <c r="B21" s="13" t="s">
        <v>218</v>
      </c>
      <c r="C21" s="13" t="s">
        <v>219</v>
      </c>
      <c r="D21" s="13" t="s">
        <v>220</v>
      </c>
      <c r="E21" s="13" t="s">
        <v>117</v>
      </c>
      <c r="F21" s="13">
        <v>74</v>
      </c>
      <c r="G21" s="13">
        <v>209</v>
      </c>
      <c r="H21" s="13" t="s">
        <v>107</v>
      </c>
      <c r="I21" s="13"/>
      <c r="J21">
        <v>28</v>
      </c>
      <c r="K21" t="s">
        <v>221</v>
      </c>
      <c r="L21" t="s">
        <v>168</v>
      </c>
      <c r="M21" s="14" t="s">
        <v>120</v>
      </c>
      <c r="N21" s="15">
        <v>24</v>
      </c>
      <c r="O21" s="1">
        <v>20</v>
      </c>
      <c r="P21" s="15">
        <v>14</v>
      </c>
      <c r="Q21" s="15">
        <v>8</v>
      </c>
      <c r="R21" s="15">
        <v>1</v>
      </c>
      <c r="S21" s="15">
        <v>526</v>
      </c>
      <c r="T21" s="15">
        <v>49</v>
      </c>
      <c r="U21" s="15">
        <v>477</v>
      </c>
      <c r="V21" s="2">
        <f t="shared" si="0"/>
        <v>2.2756592187419371</v>
      </c>
      <c r="W21" s="16">
        <f t="shared" si="1"/>
        <v>0.90684410646387836</v>
      </c>
      <c r="X21" s="15">
        <v>0</v>
      </c>
      <c r="Y21" s="15">
        <v>0</v>
      </c>
      <c r="Z21" s="15">
        <v>0</v>
      </c>
      <c r="AA21" s="17">
        <f>1291+56/60</f>
        <v>1291.9333333333334</v>
      </c>
      <c r="AB21" s="1">
        <v>3</v>
      </c>
      <c r="AC21" s="15">
        <v>0</v>
      </c>
      <c r="AD21" s="15">
        <v>0</v>
      </c>
      <c r="AE21" s="1">
        <v>45</v>
      </c>
      <c r="AF21" s="1">
        <v>421</v>
      </c>
      <c r="AG21" s="1">
        <v>1163</v>
      </c>
      <c r="AH21" s="1">
        <v>12</v>
      </c>
      <c r="AI21" s="1">
        <v>6</v>
      </c>
      <c r="AJ21" s="16">
        <f t="shared" si="13"/>
        <v>0.90343347639484983</v>
      </c>
      <c r="AK21" s="2">
        <f t="shared" si="14"/>
        <v>2.3215821152192606</v>
      </c>
      <c r="AL21" s="18">
        <f t="shared" si="15"/>
        <v>0.6</v>
      </c>
      <c r="AM21" s="1">
        <v>4</v>
      </c>
      <c r="AN21" s="1">
        <v>4</v>
      </c>
      <c r="AO21" s="1">
        <v>56</v>
      </c>
      <c r="AP21" s="1">
        <v>128</v>
      </c>
      <c r="AQ21" s="2">
        <f t="shared" si="16"/>
        <v>1.875</v>
      </c>
      <c r="AR21" s="16">
        <f t="shared" si="17"/>
        <v>0.93333333333333335</v>
      </c>
      <c r="AS21" s="1" t="s">
        <v>128</v>
      </c>
      <c r="AT21" s="1" t="s">
        <v>129</v>
      </c>
      <c r="AU21" s="1">
        <v>2014</v>
      </c>
      <c r="AV21" s="19">
        <v>1700000</v>
      </c>
      <c r="AW21" s="5">
        <v>1800000</v>
      </c>
      <c r="AX21">
        <v>1.7000000000000002</v>
      </c>
      <c r="AY21">
        <v>1.1000000000000001</v>
      </c>
      <c r="AZ21">
        <v>-0.2</v>
      </c>
      <c r="BA21">
        <v>2.7</v>
      </c>
      <c r="BB21" s="4">
        <f t="shared" si="5"/>
        <v>0.41707317073170769</v>
      </c>
      <c r="BC21" s="4">
        <v>2.9</v>
      </c>
      <c r="BD21" s="6">
        <v>1033.92</v>
      </c>
      <c r="BE21" s="15">
        <v>448</v>
      </c>
      <c r="BF21" s="15">
        <v>37</v>
      </c>
      <c r="BG21" s="20">
        <v>33</v>
      </c>
      <c r="BH21" s="15">
        <v>411</v>
      </c>
      <c r="BI21" s="21">
        <v>386</v>
      </c>
      <c r="BJ21" s="21">
        <v>174</v>
      </c>
      <c r="BK21" s="16">
        <f t="shared" si="6"/>
        <v>0.9174107142857143</v>
      </c>
      <c r="BL21" s="20">
        <v>31</v>
      </c>
      <c r="BM21" s="22">
        <f t="shared" si="7"/>
        <v>1.798978644382544</v>
      </c>
      <c r="BN21" s="21">
        <v>422</v>
      </c>
      <c r="BO21" s="21">
        <v>179</v>
      </c>
      <c r="BP21" s="23">
        <v>111.12</v>
      </c>
      <c r="BQ21" s="15">
        <v>66</v>
      </c>
      <c r="BR21" s="15">
        <v>11</v>
      </c>
      <c r="BS21" s="20">
        <v>12</v>
      </c>
      <c r="BT21" s="15">
        <v>55</v>
      </c>
      <c r="BU21" s="21">
        <v>56</v>
      </c>
      <c r="BV21" s="21">
        <v>29</v>
      </c>
      <c r="BW21" s="16">
        <f t="shared" si="8"/>
        <v>0.83333333333333337</v>
      </c>
      <c r="BX21" s="20">
        <v>0</v>
      </c>
      <c r="BY21" s="21">
        <v>11</v>
      </c>
      <c r="BZ21" s="21">
        <v>4</v>
      </c>
      <c r="CA21" s="23">
        <v>90</v>
      </c>
      <c r="CB21" s="15">
        <v>12</v>
      </c>
      <c r="CC21" s="15">
        <v>1</v>
      </c>
      <c r="CD21" s="20">
        <v>1</v>
      </c>
      <c r="CE21" s="15">
        <v>11</v>
      </c>
      <c r="CF21" s="21">
        <v>11</v>
      </c>
      <c r="CG21" s="21">
        <v>5</v>
      </c>
      <c r="CH21" s="16">
        <f t="shared" si="9"/>
        <v>0.91666666666666663</v>
      </c>
      <c r="CI21" s="20">
        <v>12</v>
      </c>
      <c r="CJ21" s="21">
        <v>64</v>
      </c>
      <c r="CK21" s="21">
        <v>36</v>
      </c>
      <c r="CL21" s="15">
        <v>2</v>
      </c>
      <c r="CM21" s="15">
        <v>1</v>
      </c>
      <c r="CN21" s="15">
        <v>11</v>
      </c>
      <c r="CO21" s="15">
        <v>4</v>
      </c>
      <c r="CP21" s="15">
        <v>2</v>
      </c>
      <c r="CQ21" s="15">
        <v>0</v>
      </c>
      <c r="CR21" s="15">
        <v>8</v>
      </c>
      <c r="CS21" s="15">
        <v>3</v>
      </c>
      <c r="CT21" s="15">
        <v>4</v>
      </c>
      <c r="CU21" s="15">
        <v>1</v>
      </c>
      <c r="CV21" s="15">
        <v>19</v>
      </c>
      <c r="CW21" s="15">
        <v>7</v>
      </c>
      <c r="CX21" s="16">
        <f t="shared" si="10"/>
        <v>0.63157894736842102</v>
      </c>
    </row>
    <row r="22" spans="1:104" x14ac:dyDescent="0.25">
      <c r="A22" s="13">
        <v>31</v>
      </c>
      <c r="B22" s="13" t="s">
        <v>222</v>
      </c>
      <c r="C22" s="13" t="s">
        <v>223</v>
      </c>
      <c r="D22" s="13" t="s">
        <v>215</v>
      </c>
      <c r="E22" s="13" t="s">
        <v>117</v>
      </c>
      <c r="F22" s="13">
        <v>73</v>
      </c>
      <c r="G22" s="13">
        <v>191</v>
      </c>
      <c r="H22" s="13" t="s">
        <v>107</v>
      </c>
      <c r="I22" s="13"/>
      <c r="J22">
        <v>33</v>
      </c>
      <c r="K22" t="s">
        <v>224</v>
      </c>
      <c r="L22" t="s">
        <v>225</v>
      </c>
      <c r="M22" s="14" t="s">
        <v>226</v>
      </c>
      <c r="N22" s="15">
        <v>19</v>
      </c>
      <c r="O22" s="1">
        <v>16</v>
      </c>
      <c r="P22" s="15">
        <v>6</v>
      </c>
      <c r="Q22" s="15">
        <v>8</v>
      </c>
      <c r="R22" s="15">
        <v>2</v>
      </c>
      <c r="S22" s="15">
        <v>555</v>
      </c>
      <c r="T22" s="15">
        <v>52</v>
      </c>
      <c r="U22" s="15">
        <v>503</v>
      </c>
      <c r="V22" s="2">
        <f t="shared" si="0"/>
        <v>3.1291789248462156</v>
      </c>
      <c r="W22" s="16">
        <f t="shared" si="1"/>
        <v>0.90630630630630626</v>
      </c>
      <c r="X22" s="15">
        <v>0</v>
      </c>
      <c r="Y22" s="15">
        <v>2</v>
      </c>
      <c r="Z22" s="15">
        <v>0</v>
      </c>
      <c r="AA22" s="17">
        <f>997+4/60</f>
        <v>997.06666666666672</v>
      </c>
      <c r="AB22" s="1">
        <v>1</v>
      </c>
      <c r="AC22" s="15">
        <v>0</v>
      </c>
      <c r="AD22" s="15">
        <v>0</v>
      </c>
      <c r="AE22" s="1">
        <v>45</v>
      </c>
      <c r="AF22" s="1">
        <v>444</v>
      </c>
      <c r="AG22" s="1">
        <v>874</v>
      </c>
      <c r="AH22" s="1">
        <v>7</v>
      </c>
      <c r="AI22" s="1">
        <v>4</v>
      </c>
      <c r="AJ22" s="16">
        <f t="shared" si="13"/>
        <v>0.90797546012269936</v>
      </c>
      <c r="AK22" s="2">
        <f t="shared" si="14"/>
        <v>3.0892448512585813</v>
      </c>
      <c r="AL22" s="18">
        <f t="shared" si="15"/>
        <v>0.4375</v>
      </c>
      <c r="AM22" s="1">
        <v>3</v>
      </c>
      <c r="AN22" s="1">
        <v>7</v>
      </c>
      <c r="AO22" s="1">
        <v>59</v>
      </c>
      <c r="AP22" s="1">
        <v>123</v>
      </c>
      <c r="AQ22" s="2">
        <f t="shared" si="16"/>
        <v>3.4146341463414633</v>
      </c>
      <c r="AR22" s="16">
        <f t="shared" si="17"/>
        <v>0.89393939393939392</v>
      </c>
      <c r="AS22" s="1" t="s">
        <v>128</v>
      </c>
      <c r="AT22" s="1" t="s">
        <v>129</v>
      </c>
      <c r="AU22" s="1">
        <v>2013</v>
      </c>
      <c r="AV22" s="19">
        <v>650000</v>
      </c>
      <c r="AW22" s="5">
        <v>800000</v>
      </c>
      <c r="AX22">
        <v>0.60000000000000009</v>
      </c>
      <c r="AY22">
        <v>-0.8</v>
      </c>
      <c r="AZ22">
        <v>-0.2</v>
      </c>
      <c r="BA22">
        <v>-0.4</v>
      </c>
      <c r="BB22" s="4">
        <f t="shared" si="5"/>
        <v>-0.92682926829268286</v>
      </c>
      <c r="BC22" s="4">
        <v>3</v>
      </c>
      <c r="BD22" s="6">
        <v>816.43</v>
      </c>
      <c r="BE22" s="15">
        <v>462</v>
      </c>
      <c r="BF22" s="15">
        <v>37</v>
      </c>
      <c r="BG22" s="20">
        <v>34</v>
      </c>
      <c r="BH22" s="15">
        <v>425</v>
      </c>
      <c r="BI22" s="21">
        <v>410</v>
      </c>
      <c r="BJ22" s="21">
        <v>169</v>
      </c>
      <c r="BK22" s="16">
        <f t="shared" si="6"/>
        <v>0.91991341991341991</v>
      </c>
      <c r="BL22" s="20">
        <v>26</v>
      </c>
      <c r="BM22" s="22">
        <f t="shared" si="7"/>
        <v>1.9107578114473991</v>
      </c>
      <c r="BN22" s="21">
        <v>405</v>
      </c>
      <c r="BO22" s="21">
        <v>205</v>
      </c>
      <c r="BP22" s="23">
        <v>71.63</v>
      </c>
      <c r="BQ22" s="15">
        <v>85</v>
      </c>
      <c r="BR22" s="15">
        <v>14</v>
      </c>
      <c r="BS22" s="20">
        <v>13</v>
      </c>
      <c r="BT22" s="15">
        <v>71</v>
      </c>
      <c r="BU22" s="21">
        <v>65</v>
      </c>
      <c r="BV22" s="21">
        <v>20</v>
      </c>
      <c r="BW22" s="16">
        <f t="shared" si="8"/>
        <v>0.83529411764705885</v>
      </c>
      <c r="BX22" s="20">
        <v>0</v>
      </c>
      <c r="BY22" s="21">
        <v>14</v>
      </c>
      <c r="BZ22" s="21">
        <v>5</v>
      </c>
      <c r="CA22" s="23">
        <v>76.569999999999993</v>
      </c>
      <c r="CB22" s="15">
        <v>8</v>
      </c>
      <c r="CC22" s="15">
        <v>1</v>
      </c>
      <c r="CD22" s="20">
        <v>1</v>
      </c>
      <c r="CE22" s="15">
        <v>7</v>
      </c>
      <c r="CF22" s="21">
        <v>8</v>
      </c>
      <c r="CG22" s="21">
        <v>6</v>
      </c>
      <c r="CH22" s="16">
        <f t="shared" si="9"/>
        <v>0.875</v>
      </c>
      <c r="CI22" s="20">
        <v>9</v>
      </c>
      <c r="CJ22" s="21">
        <v>58</v>
      </c>
      <c r="CK22" s="21">
        <v>24</v>
      </c>
      <c r="CL22" s="15">
        <v>1</v>
      </c>
      <c r="CM22" s="15">
        <v>0</v>
      </c>
      <c r="CN22" s="15">
        <v>2</v>
      </c>
      <c r="CO22" s="15">
        <v>0</v>
      </c>
      <c r="CP22" s="15">
        <v>0</v>
      </c>
      <c r="CQ22" s="15">
        <v>1</v>
      </c>
      <c r="CR22" s="15">
        <v>3</v>
      </c>
      <c r="CS22" s="15">
        <v>2</v>
      </c>
      <c r="CT22" s="15">
        <v>1</v>
      </c>
      <c r="CU22" s="15">
        <v>1</v>
      </c>
      <c r="CV22" s="15">
        <v>5</v>
      </c>
      <c r="CW22" s="15">
        <v>2</v>
      </c>
      <c r="CX22" s="16">
        <f t="shared" si="10"/>
        <v>0.6</v>
      </c>
      <c r="CY22">
        <v>3</v>
      </c>
      <c r="CZ22" t="s">
        <v>227</v>
      </c>
    </row>
    <row r="23" spans="1:104" x14ac:dyDescent="0.25">
      <c r="A23" s="13">
        <v>30</v>
      </c>
      <c r="B23" s="13" t="s">
        <v>228</v>
      </c>
      <c r="C23" s="13" t="s">
        <v>229</v>
      </c>
      <c r="D23" s="13" t="s">
        <v>220</v>
      </c>
      <c r="E23" s="13" t="s">
        <v>117</v>
      </c>
      <c r="F23" s="13">
        <v>74</v>
      </c>
      <c r="G23" s="13">
        <v>196</v>
      </c>
      <c r="H23" s="13" t="s">
        <v>107</v>
      </c>
      <c r="I23" s="13"/>
      <c r="J23">
        <v>31</v>
      </c>
      <c r="K23" t="s">
        <v>230</v>
      </c>
      <c r="L23" t="s">
        <v>231</v>
      </c>
      <c r="M23" s="14" t="s">
        <v>194</v>
      </c>
      <c r="N23" s="15">
        <v>21</v>
      </c>
      <c r="O23" s="1">
        <v>19</v>
      </c>
      <c r="P23" s="15">
        <v>17</v>
      </c>
      <c r="Q23" s="15">
        <v>1</v>
      </c>
      <c r="R23" s="15">
        <v>0</v>
      </c>
      <c r="S23" s="15">
        <v>460</v>
      </c>
      <c r="T23" s="15">
        <v>36</v>
      </c>
      <c r="U23" s="15">
        <v>424</v>
      </c>
      <c r="V23" s="2">
        <f t="shared" si="0"/>
        <v>1.935483870967742</v>
      </c>
      <c r="W23" s="16">
        <f t="shared" si="1"/>
        <v>0.92173913043478262</v>
      </c>
      <c r="X23" s="15">
        <v>0</v>
      </c>
      <c r="Y23" s="15">
        <v>0</v>
      </c>
      <c r="Z23" s="15">
        <v>0</v>
      </c>
      <c r="AA23" s="17">
        <f>1116</f>
        <v>1116</v>
      </c>
      <c r="AB23" s="1">
        <v>3</v>
      </c>
      <c r="AC23" s="15">
        <v>0</v>
      </c>
      <c r="AD23" s="15">
        <v>0</v>
      </c>
      <c r="AE23" s="1">
        <v>35</v>
      </c>
      <c r="AF23" s="1">
        <v>398</v>
      </c>
      <c r="AG23" s="1">
        <v>1057</v>
      </c>
      <c r="AH23" s="1">
        <v>13</v>
      </c>
      <c r="AI23" s="1">
        <v>1</v>
      </c>
      <c r="AJ23" s="16">
        <f t="shared" si="13"/>
        <v>0.91916859122401851</v>
      </c>
      <c r="AK23" s="2">
        <f t="shared" si="14"/>
        <v>1.9867549668874174</v>
      </c>
      <c r="AL23" s="18">
        <f t="shared" si="15"/>
        <v>0.68421052631578949</v>
      </c>
      <c r="AM23" s="1">
        <v>2</v>
      </c>
      <c r="AN23" s="1">
        <v>1</v>
      </c>
      <c r="AO23" s="1">
        <v>26</v>
      </c>
      <c r="AP23" s="1">
        <v>60</v>
      </c>
      <c r="AQ23" s="2">
        <f t="shared" si="16"/>
        <v>1</v>
      </c>
      <c r="AR23" s="16">
        <f t="shared" si="17"/>
        <v>0.96296296296296291</v>
      </c>
      <c r="AS23" s="1" t="s">
        <v>128</v>
      </c>
      <c r="AT23" s="1" t="s">
        <v>129</v>
      </c>
      <c r="AU23" s="1">
        <v>2013</v>
      </c>
      <c r="AV23" s="19">
        <v>1150000</v>
      </c>
      <c r="AW23" s="19">
        <v>1150000</v>
      </c>
      <c r="AX23">
        <v>8</v>
      </c>
      <c r="AY23">
        <v>0.9</v>
      </c>
      <c r="AZ23">
        <v>1.1000000000000001</v>
      </c>
      <c r="BA23">
        <v>10</v>
      </c>
      <c r="BB23" s="4">
        <f t="shared" si="5"/>
        <v>8.8585365853658544</v>
      </c>
      <c r="BC23" s="4">
        <v>3.4</v>
      </c>
      <c r="BD23" s="6">
        <v>903.42</v>
      </c>
      <c r="BE23" s="15">
        <v>382</v>
      </c>
      <c r="BF23" s="15">
        <v>28</v>
      </c>
      <c r="BG23" s="20">
        <v>27</v>
      </c>
      <c r="BH23" s="15">
        <v>354</v>
      </c>
      <c r="BI23" s="21">
        <v>339</v>
      </c>
      <c r="BJ23" s="21">
        <v>129</v>
      </c>
      <c r="BK23" s="16">
        <f t="shared" si="6"/>
        <v>0.92670157068062831</v>
      </c>
      <c r="BL23" s="20">
        <v>46</v>
      </c>
      <c r="BM23" s="22">
        <f t="shared" si="7"/>
        <v>3.0550574483628878</v>
      </c>
      <c r="BN23" s="21">
        <v>441</v>
      </c>
      <c r="BO23" s="21">
        <v>151</v>
      </c>
      <c r="BP23" s="23">
        <v>82.53</v>
      </c>
      <c r="BQ23" s="15">
        <v>64</v>
      </c>
      <c r="BR23" s="15">
        <v>6</v>
      </c>
      <c r="BS23" s="20">
        <v>6</v>
      </c>
      <c r="BT23" s="15">
        <v>58</v>
      </c>
      <c r="BU23" s="21">
        <v>57</v>
      </c>
      <c r="BV23" s="21">
        <v>22</v>
      </c>
      <c r="BW23" s="16">
        <f t="shared" si="8"/>
        <v>0.90625</v>
      </c>
      <c r="BX23" s="20">
        <v>2</v>
      </c>
      <c r="BY23" s="21">
        <v>14</v>
      </c>
      <c r="BZ23" s="21">
        <v>1</v>
      </c>
      <c r="CA23" s="23">
        <v>103.11</v>
      </c>
      <c r="CB23" s="15">
        <v>14</v>
      </c>
      <c r="CC23" s="15">
        <v>2</v>
      </c>
      <c r="CD23" s="20">
        <v>2</v>
      </c>
      <c r="CE23" s="15">
        <v>12</v>
      </c>
      <c r="CF23" s="21">
        <v>12</v>
      </c>
      <c r="CG23" s="21">
        <v>4</v>
      </c>
      <c r="CH23" s="16">
        <f t="shared" si="9"/>
        <v>0.8571428571428571</v>
      </c>
      <c r="CI23" s="20">
        <v>7</v>
      </c>
      <c r="CJ23" s="21">
        <v>60</v>
      </c>
      <c r="CK23" s="21">
        <v>29</v>
      </c>
      <c r="CL23" s="15">
        <v>1</v>
      </c>
      <c r="CM23" s="15">
        <v>0</v>
      </c>
      <c r="CN23" s="15">
        <v>3</v>
      </c>
      <c r="CO23" s="15">
        <v>1</v>
      </c>
      <c r="CP23" s="15">
        <v>1</v>
      </c>
      <c r="CQ23" s="15">
        <v>0</v>
      </c>
      <c r="CR23" s="15">
        <v>3</v>
      </c>
      <c r="CS23" s="15">
        <v>0</v>
      </c>
      <c r="CT23" s="15">
        <v>2</v>
      </c>
      <c r="CU23" s="15">
        <v>0</v>
      </c>
      <c r="CV23" s="15">
        <v>6</v>
      </c>
      <c r="CW23" s="15">
        <v>1</v>
      </c>
      <c r="CX23" s="16">
        <f t="shared" si="10"/>
        <v>0.83333333333333337</v>
      </c>
      <c r="CY23">
        <v>4</v>
      </c>
      <c r="CZ23" t="s">
        <v>232</v>
      </c>
    </row>
    <row r="24" spans="1:104" x14ac:dyDescent="0.25">
      <c r="A24" s="13">
        <v>1</v>
      </c>
      <c r="B24" s="13" t="s">
        <v>233</v>
      </c>
      <c r="C24" s="13" t="s">
        <v>234</v>
      </c>
      <c r="D24" s="13"/>
      <c r="E24" s="13" t="s">
        <v>235</v>
      </c>
      <c r="F24" s="13">
        <v>70</v>
      </c>
      <c r="G24" s="13">
        <v>166</v>
      </c>
      <c r="H24" s="13" t="s">
        <v>107</v>
      </c>
      <c r="I24" s="13"/>
      <c r="J24">
        <v>25</v>
      </c>
      <c r="K24" t="s">
        <v>236</v>
      </c>
      <c r="L24" t="s">
        <v>237</v>
      </c>
      <c r="M24" s="14" t="s">
        <v>238</v>
      </c>
      <c r="N24" s="15">
        <v>12</v>
      </c>
      <c r="O24" s="1">
        <v>9</v>
      </c>
      <c r="P24" s="15">
        <v>4</v>
      </c>
      <c r="Q24" s="15">
        <v>4</v>
      </c>
      <c r="R24" s="15">
        <v>1</v>
      </c>
      <c r="S24" s="15">
        <v>332</v>
      </c>
      <c r="T24" s="15">
        <v>27</v>
      </c>
      <c r="U24" s="15">
        <v>305</v>
      </c>
      <c r="V24" s="2">
        <f t="shared" si="0"/>
        <v>2.5985136074426567</v>
      </c>
      <c r="W24" s="16">
        <f t="shared" si="1"/>
        <v>0.91867469879518071</v>
      </c>
      <c r="X24" s="15">
        <v>0</v>
      </c>
      <c r="Y24" s="15">
        <v>0</v>
      </c>
      <c r="Z24" s="15">
        <v>0</v>
      </c>
      <c r="AA24" s="17">
        <f>623+26/60</f>
        <v>623.43333333333328</v>
      </c>
      <c r="AB24" s="1">
        <v>1</v>
      </c>
      <c r="AC24" s="15">
        <v>1</v>
      </c>
      <c r="AD24" s="15">
        <v>0</v>
      </c>
      <c r="AE24" s="1">
        <v>20</v>
      </c>
      <c r="AF24" s="1">
        <v>276</v>
      </c>
      <c r="AG24" s="1">
        <v>544</v>
      </c>
      <c r="AH24" s="1">
        <v>7</v>
      </c>
      <c r="AI24" s="1">
        <v>1</v>
      </c>
      <c r="AJ24" s="16">
        <f t="shared" si="13"/>
        <v>0.93243243243243246</v>
      </c>
      <c r="AK24" s="2">
        <f t="shared" si="14"/>
        <v>2.2058823529411766</v>
      </c>
      <c r="AL24" s="18">
        <f t="shared" si="15"/>
        <v>0.77777777777777779</v>
      </c>
      <c r="AM24" s="1">
        <v>3</v>
      </c>
      <c r="AN24" s="1">
        <v>7</v>
      </c>
      <c r="AO24" s="1">
        <v>29</v>
      </c>
      <c r="AP24" s="1">
        <v>79</v>
      </c>
      <c r="AQ24" s="2">
        <f t="shared" si="16"/>
        <v>5.3164556962025316</v>
      </c>
      <c r="AR24" s="16">
        <f t="shared" si="17"/>
        <v>0.80555555555555558</v>
      </c>
      <c r="AS24" s="1" t="s">
        <v>128</v>
      </c>
      <c r="AT24" s="1" t="s">
        <v>113</v>
      </c>
      <c r="AU24" s="1">
        <v>2013</v>
      </c>
      <c r="AV24" s="19">
        <v>725000</v>
      </c>
      <c r="AW24" s="5">
        <v>675000</v>
      </c>
      <c r="AX24">
        <v>4.7</v>
      </c>
      <c r="AY24">
        <v>-0.4</v>
      </c>
      <c r="AZ24">
        <v>-1.2</v>
      </c>
      <c r="BA24">
        <v>3.1</v>
      </c>
      <c r="BB24" s="4">
        <f t="shared" si="5"/>
        <v>2.7926829268292686</v>
      </c>
      <c r="BC24" s="4">
        <v>2.2999999999999998</v>
      </c>
      <c r="BD24" s="6">
        <v>499.44</v>
      </c>
      <c r="BE24" s="15">
        <v>275</v>
      </c>
      <c r="BF24" s="15">
        <v>19</v>
      </c>
      <c r="BG24" s="20">
        <v>19</v>
      </c>
      <c r="BH24" s="15">
        <v>256</v>
      </c>
      <c r="BI24" s="21">
        <v>247</v>
      </c>
      <c r="BJ24" s="21">
        <v>103</v>
      </c>
      <c r="BK24" s="16">
        <f t="shared" si="6"/>
        <v>0.93090909090909091</v>
      </c>
      <c r="BL24" s="20">
        <v>19</v>
      </c>
      <c r="BM24" s="22">
        <f t="shared" si="7"/>
        <v>2.2825564632388273</v>
      </c>
      <c r="BN24" s="21">
        <v>182</v>
      </c>
      <c r="BO24" s="21">
        <v>86</v>
      </c>
      <c r="BP24" s="23">
        <v>49.32</v>
      </c>
      <c r="BQ24" s="15">
        <v>41</v>
      </c>
      <c r="BR24" s="15">
        <v>5</v>
      </c>
      <c r="BS24" s="20">
        <v>5</v>
      </c>
      <c r="BT24" s="15">
        <v>36</v>
      </c>
      <c r="BU24" s="21">
        <v>36</v>
      </c>
      <c r="BV24" s="21">
        <v>18</v>
      </c>
      <c r="BW24" s="16">
        <f t="shared" si="8"/>
        <v>0.87804878048780488</v>
      </c>
      <c r="BX24" s="20">
        <v>2</v>
      </c>
      <c r="BY24" s="21">
        <v>2</v>
      </c>
      <c r="BZ24" s="21">
        <v>3</v>
      </c>
      <c r="CA24" s="23">
        <v>59.28</v>
      </c>
      <c r="CB24" s="15">
        <v>16</v>
      </c>
      <c r="CC24" s="15">
        <v>3</v>
      </c>
      <c r="CD24" s="20">
        <v>3</v>
      </c>
      <c r="CE24" s="15">
        <v>13</v>
      </c>
      <c r="CF24" s="21">
        <v>12</v>
      </c>
      <c r="CG24" s="21">
        <v>6</v>
      </c>
      <c r="CH24" s="16">
        <f t="shared" si="9"/>
        <v>0.8125</v>
      </c>
      <c r="CI24" s="20">
        <v>6</v>
      </c>
      <c r="CJ24" s="21">
        <v>30</v>
      </c>
      <c r="CK24" s="21">
        <v>22</v>
      </c>
      <c r="CL24" s="15">
        <v>0</v>
      </c>
      <c r="CM24" s="15">
        <v>1</v>
      </c>
      <c r="CN24" s="15">
        <v>2</v>
      </c>
      <c r="CO24" s="15">
        <v>2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1</v>
      </c>
      <c r="CV24" s="15">
        <v>2</v>
      </c>
      <c r="CW24" s="15">
        <v>2</v>
      </c>
      <c r="CX24" s="16">
        <f t="shared" si="10"/>
        <v>0</v>
      </c>
    </row>
    <row r="25" spans="1:104" x14ac:dyDescent="0.25">
      <c r="A25" s="13">
        <v>30</v>
      </c>
      <c r="B25" s="13" t="s">
        <v>239</v>
      </c>
      <c r="C25" s="13" t="s">
        <v>240</v>
      </c>
      <c r="D25" s="13"/>
      <c r="E25" s="13" t="s">
        <v>235</v>
      </c>
      <c r="F25" s="13">
        <v>72</v>
      </c>
      <c r="G25" s="13">
        <v>186</v>
      </c>
      <c r="H25" s="13" t="s">
        <v>107</v>
      </c>
      <c r="I25" s="13"/>
      <c r="J25">
        <v>31</v>
      </c>
      <c r="K25" t="s">
        <v>241</v>
      </c>
      <c r="L25" t="s">
        <v>242</v>
      </c>
      <c r="M25" s="14" t="s">
        <v>243</v>
      </c>
      <c r="N25" s="15">
        <v>25</v>
      </c>
      <c r="O25" s="1">
        <v>23</v>
      </c>
      <c r="P25" s="15">
        <v>15</v>
      </c>
      <c r="Q25" s="15">
        <v>6</v>
      </c>
      <c r="R25" s="15">
        <v>2</v>
      </c>
      <c r="S25" s="15">
        <v>661</v>
      </c>
      <c r="T25" s="15">
        <v>52</v>
      </c>
      <c r="U25" s="15">
        <v>609</v>
      </c>
      <c r="V25" s="2">
        <f t="shared" si="0"/>
        <v>2.1844150388573831</v>
      </c>
      <c r="W25" s="16">
        <f t="shared" si="1"/>
        <v>0.92133131618759456</v>
      </c>
      <c r="X25" s="15">
        <v>0</v>
      </c>
      <c r="Y25" s="15">
        <v>0</v>
      </c>
      <c r="Z25" s="15">
        <v>0</v>
      </c>
      <c r="AA25" s="17">
        <f>1428+18/60</f>
        <v>1428.3</v>
      </c>
      <c r="AB25" s="1">
        <v>4</v>
      </c>
      <c r="AC25" s="15">
        <v>1</v>
      </c>
      <c r="AD25" s="15">
        <v>0</v>
      </c>
      <c r="AE25" s="1">
        <v>51</v>
      </c>
      <c r="AF25" s="1">
        <v>586</v>
      </c>
      <c r="AG25" s="1">
        <v>1370</v>
      </c>
      <c r="AH25" s="1">
        <v>15</v>
      </c>
      <c r="AI25" s="1">
        <v>3</v>
      </c>
      <c r="AJ25" s="16">
        <f t="shared" si="13"/>
        <v>0.9199372056514914</v>
      </c>
      <c r="AK25" s="2">
        <f t="shared" si="14"/>
        <v>2.2335766423357661</v>
      </c>
      <c r="AL25" s="18">
        <f t="shared" si="15"/>
        <v>0.65217391304347827</v>
      </c>
      <c r="AM25" s="1">
        <v>2</v>
      </c>
      <c r="AN25" s="1">
        <v>1</v>
      </c>
      <c r="AO25" s="1">
        <v>23</v>
      </c>
      <c r="AP25" s="1">
        <v>59</v>
      </c>
      <c r="AQ25" s="2">
        <f t="shared" si="16"/>
        <v>1.0169491525423728</v>
      </c>
      <c r="AR25" s="16">
        <f t="shared" si="17"/>
        <v>0.95833333333333337</v>
      </c>
      <c r="AS25" s="1" t="s">
        <v>128</v>
      </c>
      <c r="AT25" s="1" t="s">
        <v>129</v>
      </c>
      <c r="AU25" s="1">
        <v>2013</v>
      </c>
      <c r="AV25" s="19">
        <v>1000000</v>
      </c>
      <c r="AW25" s="5">
        <v>1000000</v>
      </c>
      <c r="AX25">
        <v>11.4</v>
      </c>
      <c r="AY25">
        <v>0.2</v>
      </c>
      <c r="AZ25">
        <v>0.2</v>
      </c>
      <c r="BA25">
        <v>11.8</v>
      </c>
      <c r="BB25" s="4">
        <f t="shared" si="5"/>
        <v>10.921951219512195</v>
      </c>
      <c r="BC25" s="4">
        <v>4.8</v>
      </c>
      <c r="BD25" s="6">
        <v>1161.75</v>
      </c>
      <c r="BE25" s="15">
        <v>565</v>
      </c>
      <c r="BF25" s="15">
        <v>42</v>
      </c>
      <c r="BG25" s="20">
        <v>41</v>
      </c>
      <c r="BH25" s="15">
        <v>523</v>
      </c>
      <c r="BI25" s="21">
        <v>507</v>
      </c>
      <c r="BJ25" s="21">
        <v>254</v>
      </c>
      <c r="BK25" s="16">
        <f t="shared" si="6"/>
        <v>0.92566371681415927</v>
      </c>
      <c r="BL25" s="20">
        <v>54</v>
      </c>
      <c r="BM25" s="22">
        <f t="shared" si="7"/>
        <v>2.7888960619754681</v>
      </c>
      <c r="BN25" s="21">
        <v>457</v>
      </c>
      <c r="BO25" s="21">
        <v>201</v>
      </c>
      <c r="BP25" s="23">
        <v>114</v>
      </c>
      <c r="BQ25" s="15">
        <v>80</v>
      </c>
      <c r="BR25" s="15">
        <v>8</v>
      </c>
      <c r="BS25" s="20">
        <v>8</v>
      </c>
      <c r="BT25" s="15">
        <v>72</v>
      </c>
      <c r="BU25" s="21">
        <v>63</v>
      </c>
      <c r="BV25" s="21">
        <v>35</v>
      </c>
      <c r="BW25" s="16">
        <f t="shared" si="8"/>
        <v>0.9</v>
      </c>
      <c r="BX25" s="20">
        <v>2</v>
      </c>
      <c r="BY25" s="21">
        <v>19</v>
      </c>
      <c r="BZ25" s="21">
        <v>7</v>
      </c>
      <c r="CA25" s="23">
        <v>96.75</v>
      </c>
      <c r="CB25" s="15">
        <v>16</v>
      </c>
      <c r="CC25" s="15">
        <v>2</v>
      </c>
      <c r="CD25" s="20">
        <v>2</v>
      </c>
      <c r="CE25" s="15">
        <v>14</v>
      </c>
      <c r="CF25" s="21">
        <v>12</v>
      </c>
      <c r="CG25" s="21">
        <v>3</v>
      </c>
      <c r="CH25" s="16">
        <f t="shared" si="9"/>
        <v>0.875</v>
      </c>
      <c r="CI25" s="20">
        <v>12</v>
      </c>
      <c r="CJ25" s="21">
        <v>71</v>
      </c>
      <c r="CK25" s="21">
        <v>38</v>
      </c>
      <c r="CL25" s="15">
        <v>2</v>
      </c>
      <c r="CM25" s="15">
        <v>0</v>
      </c>
      <c r="CN25" s="15">
        <v>5</v>
      </c>
      <c r="CO25" s="15">
        <v>1</v>
      </c>
      <c r="CP25" s="15">
        <v>3</v>
      </c>
      <c r="CQ25" s="15">
        <v>1</v>
      </c>
      <c r="CR25" s="15">
        <v>15</v>
      </c>
      <c r="CS25" s="15">
        <v>6</v>
      </c>
      <c r="CT25" s="15">
        <v>5</v>
      </c>
      <c r="CU25" s="15">
        <v>1</v>
      </c>
      <c r="CV25" s="15">
        <v>20</v>
      </c>
      <c r="CW25" s="15">
        <v>7</v>
      </c>
      <c r="CX25" s="16">
        <f t="shared" si="10"/>
        <v>0.65</v>
      </c>
      <c r="CY25">
        <v>3</v>
      </c>
      <c r="CZ25" t="s">
        <v>244</v>
      </c>
    </row>
    <row r="26" spans="1:104" x14ac:dyDescent="0.25">
      <c r="A26" s="13">
        <v>29</v>
      </c>
      <c r="B26" s="13" t="s">
        <v>245</v>
      </c>
      <c r="C26" s="13" t="s">
        <v>246</v>
      </c>
      <c r="D26" s="13" t="s">
        <v>143</v>
      </c>
      <c r="E26" s="13" t="s">
        <v>117</v>
      </c>
      <c r="F26" s="13">
        <v>74</v>
      </c>
      <c r="G26" s="13">
        <v>180</v>
      </c>
      <c r="H26" s="13" t="s">
        <v>107</v>
      </c>
      <c r="I26" s="13"/>
      <c r="J26">
        <v>29</v>
      </c>
      <c r="K26" t="s">
        <v>247</v>
      </c>
      <c r="L26" t="s">
        <v>248</v>
      </c>
      <c r="M26" s="14" t="s">
        <v>249</v>
      </c>
      <c r="N26" s="15">
        <v>33</v>
      </c>
      <c r="O26" s="1">
        <v>31</v>
      </c>
      <c r="P26" s="15">
        <v>23</v>
      </c>
      <c r="Q26" s="15">
        <v>8</v>
      </c>
      <c r="R26" s="15">
        <v>0</v>
      </c>
      <c r="S26" s="15">
        <v>881</v>
      </c>
      <c r="T26" s="15">
        <v>74</v>
      </c>
      <c r="U26" s="15">
        <v>807</v>
      </c>
      <c r="V26" s="2">
        <f t="shared" si="0"/>
        <v>2.3899878885748893</v>
      </c>
      <c r="W26" s="16">
        <f t="shared" si="1"/>
        <v>0.91600454029511913</v>
      </c>
      <c r="X26" s="15">
        <v>0</v>
      </c>
      <c r="Y26" s="15">
        <v>2</v>
      </c>
      <c r="Z26" s="15">
        <v>2</v>
      </c>
      <c r="AA26" s="17">
        <f>1857+45/60</f>
        <v>1857.75</v>
      </c>
      <c r="AB26" s="1">
        <v>1</v>
      </c>
      <c r="AC26" s="15">
        <v>0</v>
      </c>
      <c r="AD26" s="15">
        <v>0</v>
      </c>
      <c r="AE26" s="1">
        <v>73</v>
      </c>
      <c r="AF26" s="1">
        <v>779</v>
      </c>
      <c r="AG26" s="1">
        <v>1793</v>
      </c>
      <c r="AH26" s="1">
        <v>14</v>
      </c>
      <c r="AI26" s="1">
        <v>5</v>
      </c>
      <c r="AJ26" s="16">
        <f t="shared" si="13"/>
        <v>0.91431924882629112</v>
      </c>
      <c r="AK26" s="2">
        <f t="shared" si="14"/>
        <v>2.4428332403792528</v>
      </c>
      <c r="AL26" s="18">
        <f t="shared" si="15"/>
        <v>0.45161290322580644</v>
      </c>
      <c r="AM26" s="1">
        <v>2</v>
      </c>
      <c r="AN26" s="1">
        <v>1</v>
      </c>
      <c r="AO26" s="1">
        <v>28</v>
      </c>
      <c r="AP26" s="1">
        <v>66</v>
      </c>
      <c r="AQ26" s="2">
        <f t="shared" si="16"/>
        <v>0.90909090909090917</v>
      </c>
      <c r="AR26" s="16">
        <f t="shared" si="17"/>
        <v>0.96551724137931039</v>
      </c>
      <c r="AS26" s="1" t="s">
        <v>128</v>
      </c>
      <c r="AT26" s="1" t="s">
        <v>129</v>
      </c>
      <c r="AU26" s="1">
        <v>2015</v>
      </c>
      <c r="AV26" s="19">
        <v>5500000</v>
      </c>
      <c r="AW26" s="5">
        <v>5000000</v>
      </c>
      <c r="AX26">
        <v>10.7</v>
      </c>
      <c r="AY26">
        <v>0.1</v>
      </c>
      <c r="AZ26">
        <v>0.8</v>
      </c>
      <c r="BA26">
        <v>11.7</v>
      </c>
      <c r="BB26" s="4">
        <f t="shared" si="5"/>
        <v>3.7975609756097564</v>
      </c>
      <c r="BC26" s="4">
        <v>5.9</v>
      </c>
      <c r="BD26" s="6">
        <v>1469.82</v>
      </c>
      <c r="BE26" s="15">
        <v>730</v>
      </c>
      <c r="BF26" s="15">
        <v>53</v>
      </c>
      <c r="BG26" s="20">
        <v>52</v>
      </c>
      <c r="BH26" s="15">
        <v>677</v>
      </c>
      <c r="BI26" s="21">
        <v>654</v>
      </c>
      <c r="BJ26" s="21">
        <v>284</v>
      </c>
      <c r="BK26" s="16">
        <f t="shared" si="6"/>
        <v>0.92739726027397262</v>
      </c>
      <c r="BL26" s="20">
        <v>66</v>
      </c>
      <c r="BM26" s="22">
        <f t="shared" si="7"/>
        <v>2.6942074539739562</v>
      </c>
      <c r="BN26" s="21">
        <v>644</v>
      </c>
      <c r="BO26" s="21">
        <v>277</v>
      </c>
      <c r="BP26" s="23">
        <v>165.33</v>
      </c>
      <c r="BQ26" s="15">
        <v>136</v>
      </c>
      <c r="BR26" s="15">
        <v>20</v>
      </c>
      <c r="BS26" s="20">
        <v>18</v>
      </c>
      <c r="BT26" s="15">
        <v>116</v>
      </c>
      <c r="BU26" s="21">
        <v>113</v>
      </c>
      <c r="BV26" s="21">
        <v>54</v>
      </c>
      <c r="BW26" s="16">
        <f t="shared" si="8"/>
        <v>0.8529411764705882</v>
      </c>
      <c r="BX26" s="20">
        <v>1</v>
      </c>
      <c r="BY26" s="21">
        <v>11</v>
      </c>
      <c r="BZ26" s="21">
        <v>3</v>
      </c>
      <c r="CA26" s="23">
        <v>166.98</v>
      </c>
      <c r="CB26" s="15">
        <v>15</v>
      </c>
      <c r="CC26" s="15">
        <v>1</v>
      </c>
      <c r="CD26" s="20">
        <v>1</v>
      </c>
      <c r="CE26" s="15">
        <v>14</v>
      </c>
      <c r="CF26" s="21">
        <v>15</v>
      </c>
      <c r="CG26" s="21">
        <v>6</v>
      </c>
      <c r="CH26" s="16">
        <f t="shared" si="9"/>
        <v>0.93333333333333335</v>
      </c>
      <c r="CI26" s="20">
        <v>21</v>
      </c>
      <c r="CJ26" s="21">
        <v>127</v>
      </c>
      <c r="CK26" s="21">
        <v>49</v>
      </c>
      <c r="CL26" s="15">
        <v>1</v>
      </c>
      <c r="CM26" s="15">
        <v>0</v>
      </c>
      <c r="CN26" s="15">
        <v>3</v>
      </c>
      <c r="CO26" s="15">
        <v>0</v>
      </c>
      <c r="CP26" s="15">
        <v>2</v>
      </c>
      <c r="CQ26" s="15">
        <v>0</v>
      </c>
      <c r="CR26" s="15">
        <v>5</v>
      </c>
      <c r="CS26" s="15">
        <v>2</v>
      </c>
      <c r="CT26" s="15">
        <v>3</v>
      </c>
      <c r="CU26" s="15">
        <v>0</v>
      </c>
      <c r="CV26" s="15">
        <v>8</v>
      </c>
      <c r="CW26" s="15">
        <v>2</v>
      </c>
      <c r="CX26" s="16">
        <f t="shared" si="10"/>
        <v>0.75</v>
      </c>
      <c r="CY26">
        <v>1</v>
      </c>
      <c r="CZ26" t="s">
        <v>250</v>
      </c>
    </row>
    <row r="27" spans="1:104" x14ac:dyDescent="0.25">
      <c r="A27" s="13">
        <v>31</v>
      </c>
      <c r="B27" s="13" t="s">
        <v>251</v>
      </c>
      <c r="C27" s="13" t="s">
        <v>252</v>
      </c>
      <c r="D27" s="13" t="s">
        <v>253</v>
      </c>
      <c r="E27" s="13" t="s">
        <v>124</v>
      </c>
      <c r="F27" s="13">
        <v>72</v>
      </c>
      <c r="G27" s="13">
        <v>195</v>
      </c>
      <c r="H27" s="13" t="s">
        <v>107</v>
      </c>
      <c r="I27" s="13" t="s">
        <v>108</v>
      </c>
      <c r="J27">
        <v>26</v>
      </c>
      <c r="K27" t="s">
        <v>254</v>
      </c>
      <c r="L27" t="s">
        <v>255</v>
      </c>
      <c r="M27" s="14" t="s">
        <v>173</v>
      </c>
      <c r="N27" s="15">
        <v>1</v>
      </c>
      <c r="O27" s="1">
        <v>0</v>
      </c>
      <c r="P27" s="15">
        <v>0</v>
      </c>
      <c r="Q27" s="15">
        <v>0</v>
      </c>
      <c r="R27" s="15">
        <v>0</v>
      </c>
      <c r="S27" s="15">
        <v>3</v>
      </c>
      <c r="T27" s="15">
        <v>0</v>
      </c>
      <c r="U27" s="15">
        <v>3</v>
      </c>
      <c r="V27" s="2">
        <f t="shared" si="0"/>
        <v>0</v>
      </c>
      <c r="W27" s="16">
        <f t="shared" si="1"/>
        <v>1</v>
      </c>
      <c r="X27" s="15">
        <v>0</v>
      </c>
      <c r="Y27" s="15">
        <v>0</v>
      </c>
      <c r="Z27" s="15">
        <v>0</v>
      </c>
      <c r="AA27" s="17">
        <f>18+36/60</f>
        <v>18.600000000000001</v>
      </c>
      <c r="AB27" s="1">
        <v>0</v>
      </c>
      <c r="AC27" s="15">
        <v>0</v>
      </c>
      <c r="AD27" s="15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6">
        <v>0</v>
      </c>
      <c r="AK27" s="2">
        <v>0</v>
      </c>
      <c r="AL27" s="18">
        <f>IF(O27&gt;0,AH27/O27,0)</f>
        <v>0</v>
      </c>
      <c r="AM27" s="1">
        <v>1</v>
      </c>
      <c r="AN27" s="1">
        <v>0</v>
      </c>
      <c r="AO27" s="1">
        <v>3</v>
      </c>
      <c r="AP27" s="1">
        <v>19</v>
      </c>
      <c r="AQ27" s="2">
        <f t="shared" si="16"/>
        <v>0</v>
      </c>
      <c r="AR27" s="16">
        <f t="shared" si="17"/>
        <v>1</v>
      </c>
      <c r="AS27" s="1" t="s">
        <v>128</v>
      </c>
      <c r="AT27" s="1" t="s">
        <v>129</v>
      </c>
      <c r="AU27" s="1">
        <v>2013</v>
      </c>
      <c r="AV27" s="19">
        <v>525000</v>
      </c>
      <c r="AW27" s="19">
        <v>525000</v>
      </c>
      <c r="AX27">
        <v>0.30000000000000004</v>
      </c>
      <c r="AY27">
        <v>0.1</v>
      </c>
      <c r="AZ27">
        <v>0</v>
      </c>
      <c r="BA27">
        <v>0.4</v>
      </c>
      <c r="BB27" s="4">
        <f t="shared" si="5"/>
        <v>0.35609756097560979</v>
      </c>
      <c r="BC27" s="4">
        <v>0.1</v>
      </c>
      <c r="BD27" s="6">
        <v>18.600000000000001</v>
      </c>
      <c r="BE27" s="15">
        <v>3</v>
      </c>
      <c r="BF27" s="15">
        <v>0</v>
      </c>
      <c r="BG27" s="20">
        <v>0</v>
      </c>
      <c r="BH27" s="15">
        <v>3</v>
      </c>
      <c r="BI27" s="21">
        <v>3</v>
      </c>
      <c r="BJ27" s="21">
        <v>4</v>
      </c>
      <c r="BK27" s="16">
        <f t="shared" si="6"/>
        <v>1</v>
      </c>
      <c r="BL27" s="20">
        <v>2</v>
      </c>
      <c r="BM27" s="22">
        <f t="shared" si="7"/>
        <v>6.4516129032258061</v>
      </c>
      <c r="BN27" s="21">
        <v>9</v>
      </c>
      <c r="BO27" s="21">
        <v>3</v>
      </c>
      <c r="BP27" s="23">
        <v>0</v>
      </c>
      <c r="BQ27" s="15">
        <v>0</v>
      </c>
      <c r="BR27" s="15">
        <v>0</v>
      </c>
      <c r="BS27" s="20" t="s">
        <v>256</v>
      </c>
      <c r="BT27" s="15">
        <v>0</v>
      </c>
      <c r="BU27" s="21">
        <v>0</v>
      </c>
      <c r="BV27" s="21">
        <v>0</v>
      </c>
      <c r="BW27" s="16">
        <f t="shared" si="8"/>
        <v>0</v>
      </c>
      <c r="BX27" s="20" t="s">
        <v>256</v>
      </c>
      <c r="BY27" s="21">
        <v>0</v>
      </c>
      <c r="BZ27" s="21">
        <v>0</v>
      </c>
      <c r="CA27" s="23">
        <v>0</v>
      </c>
      <c r="CB27" s="15">
        <v>0</v>
      </c>
      <c r="CC27" s="15">
        <v>0</v>
      </c>
      <c r="CD27" s="20" t="s">
        <v>256</v>
      </c>
      <c r="CE27" s="15">
        <v>0</v>
      </c>
      <c r="CF27" s="21">
        <v>0</v>
      </c>
      <c r="CG27" s="21">
        <v>0</v>
      </c>
      <c r="CH27" s="16">
        <f t="shared" si="9"/>
        <v>0</v>
      </c>
      <c r="CI27" s="20" t="s">
        <v>256</v>
      </c>
      <c r="CJ27" s="21">
        <v>0</v>
      </c>
      <c r="CK27" s="21">
        <v>0</v>
      </c>
      <c r="CX27" s="16" t="str">
        <f t="shared" si="10"/>
        <v xml:space="preserve"> </v>
      </c>
    </row>
    <row r="28" spans="1:104" x14ac:dyDescent="0.25">
      <c r="A28" s="13">
        <v>32</v>
      </c>
      <c r="B28" s="13" t="s">
        <v>257</v>
      </c>
      <c r="C28" s="13" t="s">
        <v>258</v>
      </c>
      <c r="D28" s="13" t="s">
        <v>143</v>
      </c>
      <c r="E28" s="13" t="s">
        <v>117</v>
      </c>
      <c r="F28" s="13">
        <v>73</v>
      </c>
      <c r="G28" s="13">
        <v>198</v>
      </c>
      <c r="H28" s="13" t="s">
        <v>203</v>
      </c>
      <c r="I28" s="13"/>
      <c r="J28">
        <v>35</v>
      </c>
      <c r="K28" t="s">
        <v>259</v>
      </c>
      <c r="L28" t="s">
        <v>260</v>
      </c>
      <c r="M28" s="14" t="s">
        <v>206</v>
      </c>
      <c r="N28" s="15">
        <v>18</v>
      </c>
      <c r="O28" s="1">
        <v>16</v>
      </c>
      <c r="P28" s="15">
        <v>5</v>
      </c>
      <c r="Q28" s="15">
        <v>9</v>
      </c>
      <c r="R28" s="15">
        <v>2</v>
      </c>
      <c r="S28" s="15">
        <v>427</v>
      </c>
      <c r="T28" s="15">
        <v>44</v>
      </c>
      <c r="U28" s="15">
        <v>383</v>
      </c>
      <c r="V28" s="2">
        <f t="shared" si="0"/>
        <v>2.9008863819500403</v>
      </c>
      <c r="W28" s="16">
        <f t="shared" si="1"/>
        <v>0.89695550351288056</v>
      </c>
      <c r="X28" s="15">
        <v>0</v>
      </c>
      <c r="Y28" s="15">
        <v>0</v>
      </c>
      <c r="Z28" s="15">
        <v>0</v>
      </c>
      <c r="AA28" s="17">
        <f>910+4/60</f>
        <v>910.06666666666672</v>
      </c>
      <c r="AB28" s="1">
        <v>0</v>
      </c>
      <c r="AC28" s="15">
        <v>1</v>
      </c>
      <c r="AD28" s="15">
        <v>1</v>
      </c>
      <c r="AE28" s="1">
        <v>40</v>
      </c>
      <c r="AF28" s="1">
        <v>358</v>
      </c>
      <c r="AG28" s="1">
        <v>828</v>
      </c>
      <c r="AH28" s="1">
        <v>6</v>
      </c>
      <c r="AI28" s="1">
        <v>4</v>
      </c>
      <c r="AJ28" s="16">
        <f t="shared" ref="AJ28:AJ44" si="18">AF28/(AE28+AF28)</f>
        <v>0.89949748743718594</v>
      </c>
      <c r="AK28" s="2">
        <f t="shared" ref="AK28:AK44" si="19">AE28/AG28*60</f>
        <v>2.8985507246376812</v>
      </c>
      <c r="AL28" s="18">
        <f t="shared" ref="AL28:AL44" si="20">IF(O28&gt;0,AH28/O28,"0_")</f>
        <v>0.375</v>
      </c>
      <c r="AM28" s="1">
        <v>2</v>
      </c>
      <c r="AN28" s="1">
        <v>4</v>
      </c>
      <c r="AO28" s="1">
        <v>25</v>
      </c>
      <c r="AP28" s="1">
        <v>82</v>
      </c>
      <c r="AQ28" s="2">
        <f t="shared" si="16"/>
        <v>2.9268292682926829</v>
      </c>
      <c r="AR28" s="16">
        <f t="shared" si="17"/>
        <v>0.86206896551724133</v>
      </c>
      <c r="AS28" s="1" t="s">
        <v>128</v>
      </c>
      <c r="AT28" s="1" t="s">
        <v>129</v>
      </c>
      <c r="AU28" s="1">
        <v>2013</v>
      </c>
      <c r="AV28" s="19">
        <v>1250000</v>
      </c>
      <c r="AW28" s="5">
        <v>1300000</v>
      </c>
      <c r="AX28">
        <v>-3.1</v>
      </c>
      <c r="AY28">
        <v>0.2</v>
      </c>
      <c r="AZ28">
        <v>0.4</v>
      </c>
      <c r="BA28">
        <v>-2.5</v>
      </c>
      <c r="BB28" s="4">
        <f t="shared" si="5"/>
        <v>-3.9048780487804877</v>
      </c>
      <c r="BC28" s="4">
        <v>1.9</v>
      </c>
      <c r="BD28" s="6">
        <v>731.16</v>
      </c>
      <c r="BE28" s="15">
        <v>366</v>
      </c>
      <c r="BF28" s="15">
        <v>32</v>
      </c>
      <c r="BG28" s="20">
        <v>30</v>
      </c>
      <c r="BH28" s="15">
        <v>334</v>
      </c>
      <c r="BI28" s="21">
        <v>327</v>
      </c>
      <c r="BJ28" s="21">
        <v>140</v>
      </c>
      <c r="BK28" s="16">
        <f t="shared" si="6"/>
        <v>0.91256830601092898</v>
      </c>
      <c r="BL28" s="20">
        <v>31</v>
      </c>
      <c r="BM28" s="22">
        <f t="shared" si="7"/>
        <v>2.5439028393238141</v>
      </c>
      <c r="BN28" s="21">
        <v>319</v>
      </c>
      <c r="BO28" s="21">
        <v>126</v>
      </c>
      <c r="BP28" s="23">
        <v>75.239999999999995</v>
      </c>
      <c r="BQ28" s="15">
        <v>57</v>
      </c>
      <c r="BR28" s="15">
        <v>11</v>
      </c>
      <c r="BS28" s="20">
        <v>9</v>
      </c>
      <c r="BT28" s="15">
        <v>46</v>
      </c>
      <c r="BU28" s="21">
        <v>42</v>
      </c>
      <c r="BV28" s="21">
        <v>27</v>
      </c>
      <c r="BW28" s="16">
        <f t="shared" si="8"/>
        <v>0.80701754385964908</v>
      </c>
      <c r="BX28" s="20">
        <v>0</v>
      </c>
      <c r="BY28" s="21">
        <v>8</v>
      </c>
      <c r="BZ28" s="21">
        <v>5</v>
      </c>
      <c r="CA28" s="23">
        <v>79.02</v>
      </c>
      <c r="CB28" s="15">
        <v>4</v>
      </c>
      <c r="CC28" s="15">
        <v>1</v>
      </c>
      <c r="CD28" s="20">
        <v>1</v>
      </c>
      <c r="CE28" s="15">
        <v>3</v>
      </c>
      <c r="CF28" s="21">
        <v>3</v>
      </c>
      <c r="CG28" s="21">
        <v>0</v>
      </c>
      <c r="CH28" s="16">
        <f t="shared" si="9"/>
        <v>0.75</v>
      </c>
      <c r="CI28" s="20">
        <v>5</v>
      </c>
      <c r="CJ28" s="21">
        <v>60</v>
      </c>
      <c r="CK28" s="21">
        <v>21</v>
      </c>
      <c r="CL28" s="15">
        <v>1</v>
      </c>
      <c r="CM28" s="15">
        <v>1</v>
      </c>
      <c r="CN28" s="15">
        <v>4</v>
      </c>
      <c r="CO28" s="15">
        <v>1</v>
      </c>
      <c r="CP28" s="15">
        <v>0</v>
      </c>
      <c r="CQ28" s="15">
        <v>0</v>
      </c>
      <c r="CR28" s="15">
        <v>0</v>
      </c>
      <c r="CS28" s="15">
        <v>0</v>
      </c>
      <c r="CT28" s="15">
        <v>1</v>
      </c>
      <c r="CU28" s="15">
        <v>1</v>
      </c>
      <c r="CV28" s="15">
        <v>4</v>
      </c>
      <c r="CW28" s="15">
        <v>1</v>
      </c>
      <c r="CX28" s="16">
        <f t="shared" si="10"/>
        <v>0.75</v>
      </c>
      <c r="CY28">
        <v>3</v>
      </c>
      <c r="CZ28" t="s">
        <v>232</v>
      </c>
    </row>
    <row r="29" spans="1:104" x14ac:dyDescent="0.25">
      <c r="A29" s="13">
        <v>35</v>
      </c>
      <c r="B29" s="13" t="s">
        <v>261</v>
      </c>
      <c r="C29" s="13" t="s">
        <v>171</v>
      </c>
      <c r="D29" s="13" t="s">
        <v>143</v>
      </c>
      <c r="E29" s="13" t="s">
        <v>117</v>
      </c>
      <c r="F29" s="13">
        <v>73</v>
      </c>
      <c r="G29" s="13">
        <v>202</v>
      </c>
      <c r="H29" s="13" t="s">
        <v>107</v>
      </c>
      <c r="I29" s="13"/>
      <c r="J29">
        <v>36</v>
      </c>
      <c r="K29" t="s">
        <v>262</v>
      </c>
      <c r="L29" t="s">
        <v>263</v>
      </c>
      <c r="M29" s="14" t="s">
        <v>111</v>
      </c>
      <c r="N29" s="15">
        <v>18</v>
      </c>
      <c r="O29" s="1">
        <v>14</v>
      </c>
      <c r="P29" s="15">
        <v>5</v>
      </c>
      <c r="Q29" s="15">
        <v>4</v>
      </c>
      <c r="R29" s="15">
        <v>4</v>
      </c>
      <c r="S29" s="15">
        <v>469</v>
      </c>
      <c r="T29" s="15">
        <v>43</v>
      </c>
      <c r="U29" s="15">
        <v>426</v>
      </c>
      <c r="V29" s="2">
        <f t="shared" si="0"/>
        <v>2.8419313383513858</v>
      </c>
      <c r="W29" s="16">
        <f t="shared" si="1"/>
        <v>0.90831556503198296</v>
      </c>
      <c r="X29" s="15">
        <v>0</v>
      </c>
      <c r="Y29" s="15">
        <v>0</v>
      </c>
      <c r="Z29" s="15">
        <v>4</v>
      </c>
      <c r="AA29" s="17">
        <f>907+50/60</f>
        <v>907.83333333333337</v>
      </c>
      <c r="AB29" s="1">
        <v>0</v>
      </c>
      <c r="AC29" s="15">
        <v>0</v>
      </c>
      <c r="AD29" s="15">
        <v>0</v>
      </c>
      <c r="AE29" s="1">
        <v>42</v>
      </c>
      <c r="AF29" s="1">
        <v>375</v>
      </c>
      <c r="AG29" s="1">
        <v>808</v>
      </c>
      <c r="AH29" s="1">
        <v>3</v>
      </c>
      <c r="AI29" s="1">
        <v>1</v>
      </c>
      <c r="AJ29" s="16">
        <f t="shared" si="18"/>
        <v>0.89928057553956831</v>
      </c>
      <c r="AK29" s="2">
        <f t="shared" si="19"/>
        <v>3.1188118811881185</v>
      </c>
      <c r="AL29" s="18">
        <f t="shared" si="20"/>
        <v>0.21428571428571427</v>
      </c>
      <c r="AM29" s="1">
        <v>4</v>
      </c>
      <c r="AN29" s="1">
        <v>1</v>
      </c>
      <c r="AO29" s="1">
        <v>51</v>
      </c>
      <c r="AP29" s="1">
        <v>99</v>
      </c>
      <c r="AQ29" s="2">
        <f t="shared" si="16"/>
        <v>0.60606060606060608</v>
      </c>
      <c r="AR29" s="16">
        <f t="shared" si="17"/>
        <v>0.98076923076923073</v>
      </c>
      <c r="AS29" s="1" t="s">
        <v>128</v>
      </c>
      <c r="AT29" s="1" t="s">
        <v>129</v>
      </c>
      <c r="AU29" s="1">
        <v>2013</v>
      </c>
      <c r="AV29" s="19">
        <v>1250000</v>
      </c>
      <c r="AW29" s="5">
        <v>1250000</v>
      </c>
      <c r="AX29">
        <v>2.1</v>
      </c>
      <c r="AY29">
        <v>-0.5</v>
      </c>
      <c r="AZ29">
        <v>-1.1000000000000001</v>
      </c>
      <c r="BA29">
        <v>0.60000000000000009</v>
      </c>
      <c r="BB29" s="4">
        <f t="shared" si="5"/>
        <v>-0.71707317073170707</v>
      </c>
      <c r="BC29" s="4">
        <v>2.7</v>
      </c>
      <c r="BD29" s="6">
        <v>732.42</v>
      </c>
      <c r="BE29" s="15">
        <v>387</v>
      </c>
      <c r="BF29" s="15">
        <v>33</v>
      </c>
      <c r="BG29" s="20">
        <v>30</v>
      </c>
      <c r="BH29" s="15">
        <v>354</v>
      </c>
      <c r="BI29" s="21">
        <v>336</v>
      </c>
      <c r="BJ29" s="21">
        <v>131</v>
      </c>
      <c r="BK29" s="16">
        <f t="shared" si="6"/>
        <v>0.9147286821705426</v>
      </c>
      <c r="BL29" s="20">
        <v>29</v>
      </c>
      <c r="BM29" s="22">
        <f t="shared" si="7"/>
        <v>2.3756860817563692</v>
      </c>
      <c r="BN29" s="21">
        <v>323</v>
      </c>
      <c r="BO29" s="21">
        <v>128</v>
      </c>
      <c r="BP29" s="23">
        <v>75.959999999999994</v>
      </c>
      <c r="BQ29" s="15">
        <v>75</v>
      </c>
      <c r="BR29" s="15">
        <v>9</v>
      </c>
      <c r="BS29" s="20">
        <v>8</v>
      </c>
      <c r="BT29" s="15">
        <v>66</v>
      </c>
      <c r="BU29" s="21">
        <v>61</v>
      </c>
      <c r="BV29" s="21">
        <v>21</v>
      </c>
      <c r="BW29" s="16">
        <f t="shared" si="8"/>
        <v>0.88</v>
      </c>
      <c r="BX29" s="20">
        <v>1</v>
      </c>
      <c r="BY29" s="21">
        <v>13</v>
      </c>
      <c r="BZ29" s="21">
        <v>4</v>
      </c>
      <c r="CA29" s="23">
        <v>64.08</v>
      </c>
      <c r="CB29" s="15">
        <v>7</v>
      </c>
      <c r="CC29" s="15">
        <v>1</v>
      </c>
      <c r="CD29" s="20">
        <v>1</v>
      </c>
      <c r="CE29" s="15">
        <v>6</v>
      </c>
      <c r="CF29" s="21">
        <v>6</v>
      </c>
      <c r="CG29" s="21">
        <v>2</v>
      </c>
      <c r="CH29" s="16">
        <f t="shared" si="9"/>
        <v>0.8571428571428571</v>
      </c>
      <c r="CI29" s="20">
        <v>11</v>
      </c>
      <c r="CJ29" s="21">
        <v>38</v>
      </c>
      <c r="CK29" s="21">
        <v>14</v>
      </c>
      <c r="CL29" s="15">
        <v>0</v>
      </c>
      <c r="CM29" s="15">
        <v>0</v>
      </c>
      <c r="CN29" s="15">
        <v>0</v>
      </c>
      <c r="CO29" s="15">
        <v>0</v>
      </c>
      <c r="CP29" s="15">
        <v>1</v>
      </c>
      <c r="CQ29" s="15">
        <v>1</v>
      </c>
      <c r="CR29" s="15">
        <v>5</v>
      </c>
      <c r="CS29" s="15">
        <v>3</v>
      </c>
      <c r="CT29" s="15">
        <v>1</v>
      </c>
      <c r="CU29" s="15">
        <v>1</v>
      </c>
      <c r="CV29" s="15">
        <v>5</v>
      </c>
      <c r="CW29" s="15">
        <v>3</v>
      </c>
      <c r="CX29" s="16">
        <f t="shared" si="10"/>
        <v>0.4</v>
      </c>
    </row>
    <row r="30" spans="1:104" x14ac:dyDescent="0.25">
      <c r="A30" s="13">
        <v>1</v>
      </c>
      <c r="B30" s="13" t="s">
        <v>264</v>
      </c>
      <c r="C30" s="13" t="s">
        <v>265</v>
      </c>
      <c r="D30" s="13"/>
      <c r="E30" s="13" t="s">
        <v>266</v>
      </c>
      <c r="F30" s="13">
        <v>73</v>
      </c>
      <c r="G30" s="13">
        <v>215</v>
      </c>
      <c r="H30" s="13" t="s">
        <v>107</v>
      </c>
      <c r="I30" s="13"/>
      <c r="J30">
        <v>27</v>
      </c>
      <c r="K30" t="s">
        <v>267</v>
      </c>
      <c r="L30" t="s">
        <v>268</v>
      </c>
      <c r="M30" s="14" t="s">
        <v>269</v>
      </c>
      <c r="N30" s="15">
        <v>6</v>
      </c>
      <c r="O30" s="1">
        <v>5</v>
      </c>
      <c r="P30" s="15">
        <v>1</v>
      </c>
      <c r="Q30" s="15">
        <v>4</v>
      </c>
      <c r="R30" s="15">
        <v>0</v>
      </c>
      <c r="S30" s="15">
        <v>153</v>
      </c>
      <c r="T30" s="15">
        <v>13</v>
      </c>
      <c r="U30" s="15">
        <v>140</v>
      </c>
      <c r="V30" s="2">
        <f t="shared" si="0"/>
        <v>2.5308241401687215</v>
      </c>
      <c r="W30" s="16">
        <f t="shared" si="1"/>
        <v>0.91503267973856206</v>
      </c>
      <c r="X30" s="15">
        <v>0</v>
      </c>
      <c r="Y30" s="15">
        <v>0</v>
      </c>
      <c r="Z30" s="15">
        <v>0</v>
      </c>
      <c r="AA30" s="17">
        <f>308+12/60</f>
        <v>308.2</v>
      </c>
      <c r="AB30" s="1">
        <v>1</v>
      </c>
      <c r="AC30" s="15">
        <v>0</v>
      </c>
      <c r="AD30" s="15">
        <v>0</v>
      </c>
      <c r="AE30" s="1">
        <v>13</v>
      </c>
      <c r="AF30" s="1">
        <v>136</v>
      </c>
      <c r="AG30" s="1">
        <v>295</v>
      </c>
      <c r="AH30" s="1">
        <v>3</v>
      </c>
      <c r="AI30" s="1">
        <v>1</v>
      </c>
      <c r="AJ30" s="16">
        <f t="shared" si="18"/>
        <v>0.91275167785234901</v>
      </c>
      <c r="AK30" s="2">
        <f t="shared" si="19"/>
        <v>2.6440677966101696</v>
      </c>
      <c r="AL30" s="18">
        <f t="shared" si="20"/>
        <v>0.6</v>
      </c>
      <c r="AM30" s="1">
        <v>1</v>
      </c>
      <c r="AN30" s="1">
        <v>0</v>
      </c>
      <c r="AO30" s="1">
        <v>4</v>
      </c>
      <c r="AP30" s="1">
        <v>13</v>
      </c>
      <c r="AQ30" s="2">
        <f t="shared" si="16"/>
        <v>0</v>
      </c>
      <c r="AR30" s="16">
        <f t="shared" si="17"/>
        <v>1</v>
      </c>
      <c r="AS30" s="1" t="s">
        <v>128</v>
      </c>
      <c r="AT30" s="1" t="s">
        <v>129</v>
      </c>
      <c r="AU30" s="1">
        <v>2013</v>
      </c>
      <c r="AV30" s="19">
        <v>625000</v>
      </c>
      <c r="AW30" s="5">
        <v>587500</v>
      </c>
      <c r="AX30">
        <v>1.5</v>
      </c>
      <c r="AY30">
        <v>-0.1</v>
      </c>
      <c r="AZ30">
        <v>0</v>
      </c>
      <c r="BA30">
        <v>1.4</v>
      </c>
      <c r="BB30" s="4">
        <f t="shared" si="5"/>
        <v>1.2463414634146341</v>
      </c>
      <c r="BC30" s="4">
        <v>1</v>
      </c>
      <c r="BD30" s="6">
        <v>240.78</v>
      </c>
      <c r="BE30" s="15">
        <v>122</v>
      </c>
      <c r="BF30" s="15">
        <v>10</v>
      </c>
      <c r="BG30" s="20">
        <v>10</v>
      </c>
      <c r="BH30" s="15">
        <v>112</v>
      </c>
      <c r="BI30" s="21">
        <v>112</v>
      </c>
      <c r="BJ30" s="21">
        <v>52</v>
      </c>
      <c r="BK30" s="16">
        <f t="shared" si="6"/>
        <v>0.91803278688524592</v>
      </c>
      <c r="BL30" s="20">
        <v>5</v>
      </c>
      <c r="BM30" s="22">
        <f t="shared" si="7"/>
        <v>1.2459506603538499</v>
      </c>
      <c r="BN30" s="21">
        <v>123</v>
      </c>
      <c r="BO30" s="21">
        <v>45</v>
      </c>
      <c r="BP30" s="23">
        <v>27.72</v>
      </c>
      <c r="BQ30" s="15">
        <v>23</v>
      </c>
      <c r="BR30" s="15">
        <v>3</v>
      </c>
      <c r="BS30" s="20">
        <v>3</v>
      </c>
      <c r="BT30" s="15">
        <v>20</v>
      </c>
      <c r="BU30" s="21">
        <v>18</v>
      </c>
      <c r="BV30" s="21">
        <v>6</v>
      </c>
      <c r="BW30" s="16">
        <f t="shared" si="8"/>
        <v>0.86956521739130432</v>
      </c>
      <c r="BX30" s="20">
        <v>0</v>
      </c>
      <c r="BY30" s="21">
        <v>1</v>
      </c>
      <c r="BZ30" s="21">
        <v>1</v>
      </c>
      <c r="CA30" s="23">
        <v>35.04</v>
      </c>
      <c r="CB30" s="15">
        <v>8</v>
      </c>
      <c r="CC30" s="15">
        <v>0</v>
      </c>
      <c r="CD30" s="20">
        <v>0</v>
      </c>
      <c r="CE30" s="15">
        <v>8</v>
      </c>
      <c r="CF30" s="21">
        <v>8</v>
      </c>
      <c r="CG30" s="21">
        <v>2</v>
      </c>
      <c r="CH30" s="16">
        <f t="shared" si="9"/>
        <v>1</v>
      </c>
      <c r="CI30" s="20">
        <v>4</v>
      </c>
      <c r="CJ30" s="21">
        <v>29</v>
      </c>
      <c r="CK30" s="21">
        <v>14</v>
      </c>
      <c r="CX30" s="16" t="str">
        <f t="shared" si="10"/>
        <v xml:space="preserve"> </v>
      </c>
      <c r="CY30">
        <v>12</v>
      </c>
      <c r="CZ30" t="s">
        <v>270</v>
      </c>
    </row>
    <row r="31" spans="1:104" x14ac:dyDescent="0.25">
      <c r="A31" s="13">
        <v>31</v>
      </c>
      <c r="B31" s="13" t="s">
        <v>271</v>
      </c>
      <c r="C31" s="13" t="s">
        <v>272</v>
      </c>
      <c r="D31" s="13"/>
      <c r="E31" s="13" t="s">
        <v>266</v>
      </c>
      <c r="F31" s="13">
        <v>73</v>
      </c>
      <c r="G31" s="13">
        <v>184</v>
      </c>
      <c r="H31" s="13" t="s">
        <v>107</v>
      </c>
      <c r="I31" s="13" t="s">
        <v>108</v>
      </c>
      <c r="J31">
        <v>22</v>
      </c>
      <c r="K31" t="s">
        <v>273</v>
      </c>
      <c r="L31" t="s">
        <v>274</v>
      </c>
      <c r="M31" s="14" t="s">
        <v>275</v>
      </c>
      <c r="N31" s="15">
        <v>2</v>
      </c>
      <c r="O31" s="1">
        <v>1</v>
      </c>
      <c r="P31" s="15">
        <v>0</v>
      </c>
      <c r="Q31" s="15">
        <v>1</v>
      </c>
      <c r="R31" s="15">
        <v>0</v>
      </c>
      <c r="S31" s="15">
        <v>59</v>
      </c>
      <c r="T31" s="15">
        <v>5</v>
      </c>
      <c r="U31" s="15">
        <v>54</v>
      </c>
      <c r="V31" s="2">
        <f t="shared" si="0"/>
        <v>3.5728463676061928</v>
      </c>
      <c r="W31" s="16">
        <f t="shared" si="1"/>
        <v>0.9152542372881356</v>
      </c>
      <c r="X31" s="15">
        <v>0</v>
      </c>
      <c r="Y31" s="15">
        <v>0</v>
      </c>
      <c r="Z31" s="15">
        <v>0</v>
      </c>
      <c r="AA31" s="17">
        <f>83+58/60</f>
        <v>83.966666666666669</v>
      </c>
      <c r="AB31" s="1">
        <v>0</v>
      </c>
      <c r="AC31" s="15">
        <v>0</v>
      </c>
      <c r="AD31" s="15">
        <v>0</v>
      </c>
      <c r="AE31" s="1">
        <v>5</v>
      </c>
      <c r="AF31" s="1">
        <v>40</v>
      </c>
      <c r="AG31" s="1">
        <v>59</v>
      </c>
      <c r="AH31" s="1">
        <v>0</v>
      </c>
      <c r="AI31" s="1">
        <v>0</v>
      </c>
      <c r="AJ31" s="16">
        <f t="shared" si="18"/>
        <v>0.88888888888888884</v>
      </c>
      <c r="AK31" s="2">
        <f t="shared" si="19"/>
        <v>5.0847457627118642</v>
      </c>
      <c r="AL31" s="18">
        <f t="shared" si="20"/>
        <v>0</v>
      </c>
      <c r="AM31" s="1">
        <v>1</v>
      </c>
      <c r="AN31" s="1">
        <v>0</v>
      </c>
      <c r="AO31" s="1">
        <v>14</v>
      </c>
      <c r="AP31" s="1">
        <v>25</v>
      </c>
      <c r="AQ31" s="2">
        <f t="shared" si="16"/>
        <v>0</v>
      </c>
      <c r="AR31" s="16">
        <f t="shared" si="17"/>
        <v>1</v>
      </c>
      <c r="AS31" s="1" t="s">
        <v>112</v>
      </c>
      <c r="AT31" s="1" t="s">
        <v>113</v>
      </c>
      <c r="AU31" s="1">
        <v>2013</v>
      </c>
      <c r="AV31" s="19">
        <v>585000</v>
      </c>
      <c r="AW31" s="5">
        <v>607222</v>
      </c>
      <c r="AX31">
        <v>0.5</v>
      </c>
      <c r="AY31">
        <v>-0.2</v>
      </c>
      <c r="AZ31">
        <v>0</v>
      </c>
      <c r="BA31">
        <v>0.30000000000000004</v>
      </c>
      <c r="BB31" s="4">
        <f t="shared" si="5"/>
        <v>0.11170770731707325</v>
      </c>
      <c r="BC31" s="4">
        <v>0.4</v>
      </c>
      <c r="BD31" s="6">
        <v>68.64</v>
      </c>
      <c r="BE31" s="15">
        <v>38</v>
      </c>
      <c r="BF31" s="15">
        <v>2</v>
      </c>
      <c r="BG31" s="20">
        <v>2</v>
      </c>
      <c r="BH31" s="15">
        <v>36</v>
      </c>
      <c r="BI31" s="21">
        <v>36</v>
      </c>
      <c r="BJ31" s="21">
        <v>15</v>
      </c>
      <c r="BK31" s="16">
        <f t="shared" si="6"/>
        <v>0.94736842105263153</v>
      </c>
      <c r="BL31" s="20">
        <v>2</v>
      </c>
      <c r="BM31" s="22">
        <f t="shared" si="7"/>
        <v>1.7482517482517481</v>
      </c>
      <c r="BN31" s="21">
        <v>30</v>
      </c>
      <c r="BO31" s="21">
        <v>7</v>
      </c>
      <c r="BP31" s="23">
        <v>12.24</v>
      </c>
      <c r="BQ31" s="15">
        <v>20</v>
      </c>
      <c r="BR31" s="15">
        <v>2</v>
      </c>
      <c r="BS31" s="20">
        <v>2</v>
      </c>
      <c r="BT31" s="15">
        <v>18</v>
      </c>
      <c r="BU31" s="21">
        <v>18</v>
      </c>
      <c r="BV31" s="21">
        <v>1</v>
      </c>
      <c r="BW31" s="16">
        <f t="shared" si="8"/>
        <v>0.9</v>
      </c>
      <c r="BX31" s="20">
        <v>0</v>
      </c>
      <c r="BY31" s="21">
        <v>0</v>
      </c>
      <c r="BZ31" s="21">
        <v>0</v>
      </c>
      <c r="CA31" s="23">
        <v>2.56</v>
      </c>
      <c r="CB31" s="15">
        <v>1</v>
      </c>
      <c r="CC31" s="15">
        <v>1</v>
      </c>
      <c r="CD31" s="20">
        <v>1</v>
      </c>
      <c r="CE31" s="15">
        <v>0</v>
      </c>
      <c r="CF31" s="21">
        <v>0</v>
      </c>
      <c r="CG31" s="21">
        <v>0</v>
      </c>
      <c r="CH31" s="16">
        <f t="shared" si="9"/>
        <v>0</v>
      </c>
      <c r="CI31" s="20">
        <v>1</v>
      </c>
      <c r="CJ31" s="21">
        <v>1</v>
      </c>
      <c r="CK31" s="21">
        <v>0</v>
      </c>
      <c r="CX31" s="16" t="str">
        <f t="shared" si="10"/>
        <v xml:space="preserve"> </v>
      </c>
    </row>
    <row r="32" spans="1:104" x14ac:dyDescent="0.25">
      <c r="A32" s="13">
        <v>50</v>
      </c>
      <c r="B32" s="13" t="s">
        <v>276</v>
      </c>
      <c r="C32" s="13" t="s">
        <v>277</v>
      </c>
      <c r="D32" s="13"/>
      <c r="E32" s="13" t="s">
        <v>235</v>
      </c>
      <c r="F32" s="13">
        <v>75</v>
      </c>
      <c r="G32" s="13">
        <v>192</v>
      </c>
      <c r="H32" s="13" t="s">
        <v>107</v>
      </c>
      <c r="I32" s="13"/>
      <c r="J32">
        <v>29</v>
      </c>
      <c r="K32" t="s">
        <v>278</v>
      </c>
      <c r="L32" t="s">
        <v>279</v>
      </c>
      <c r="M32" s="14" t="s">
        <v>280</v>
      </c>
      <c r="N32" s="15">
        <v>7</v>
      </c>
      <c r="O32" s="1">
        <v>4</v>
      </c>
      <c r="P32" s="15">
        <v>2</v>
      </c>
      <c r="Q32" s="15">
        <v>2</v>
      </c>
      <c r="R32" s="15">
        <v>1</v>
      </c>
      <c r="S32" s="15">
        <v>140</v>
      </c>
      <c r="T32" s="15">
        <v>17</v>
      </c>
      <c r="U32" s="15">
        <v>123</v>
      </c>
      <c r="V32" s="2">
        <f t="shared" si="0"/>
        <v>2.9205440229062276</v>
      </c>
      <c r="W32" s="16">
        <f t="shared" si="1"/>
        <v>0.87857142857142856</v>
      </c>
      <c r="X32" s="15">
        <v>0</v>
      </c>
      <c r="Y32" s="15">
        <v>1</v>
      </c>
      <c r="Z32" s="15">
        <v>2</v>
      </c>
      <c r="AA32" s="17">
        <f>349+15/60</f>
        <v>349.25</v>
      </c>
      <c r="AB32" s="1">
        <v>0</v>
      </c>
      <c r="AC32" s="15">
        <v>2</v>
      </c>
      <c r="AD32" s="15">
        <v>0</v>
      </c>
      <c r="AE32" s="1">
        <v>11</v>
      </c>
      <c r="AF32" s="1">
        <v>91</v>
      </c>
      <c r="AG32" s="1">
        <v>245</v>
      </c>
      <c r="AH32" s="1">
        <v>2</v>
      </c>
      <c r="AI32" s="1">
        <v>1</v>
      </c>
      <c r="AJ32" s="16">
        <f t="shared" si="18"/>
        <v>0.89215686274509809</v>
      </c>
      <c r="AK32" s="2">
        <f t="shared" si="19"/>
        <v>2.693877551020408</v>
      </c>
      <c r="AL32" s="18">
        <f t="shared" si="20"/>
        <v>0.5</v>
      </c>
      <c r="AM32" s="1">
        <v>3</v>
      </c>
      <c r="AN32" s="1">
        <v>6</v>
      </c>
      <c r="AO32" s="1">
        <v>32</v>
      </c>
      <c r="AP32" s="1">
        <v>104</v>
      </c>
      <c r="AQ32" s="2">
        <f t="shared" si="16"/>
        <v>3.4615384615384617</v>
      </c>
      <c r="AR32" s="16">
        <f t="shared" si="17"/>
        <v>0.84210526315789469</v>
      </c>
      <c r="AS32" s="1" t="s">
        <v>128</v>
      </c>
      <c r="AT32" s="1" t="s">
        <v>129</v>
      </c>
      <c r="AU32" s="1">
        <v>2014</v>
      </c>
      <c r="AV32" s="19">
        <v>1500000</v>
      </c>
      <c r="AW32" s="19">
        <v>1500000</v>
      </c>
      <c r="AX32">
        <v>-3.3</v>
      </c>
      <c r="AY32">
        <v>0.30000000000000004</v>
      </c>
      <c r="AZ32">
        <v>1</v>
      </c>
      <c r="BA32">
        <v>-2</v>
      </c>
      <c r="BB32" s="4">
        <f t="shared" si="5"/>
        <v>-3.7560975609756095</v>
      </c>
      <c r="BC32" s="4">
        <v>0.30000000000000004</v>
      </c>
      <c r="BD32" s="6">
        <v>282.8</v>
      </c>
      <c r="BE32" s="15">
        <v>119</v>
      </c>
      <c r="BF32" s="15">
        <v>13</v>
      </c>
      <c r="BG32" s="20">
        <v>12</v>
      </c>
      <c r="BH32" s="15">
        <v>106</v>
      </c>
      <c r="BI32" s="21">
        <v>102</v>
      </c>
      <c r="BJ32" s="21">
        <v>54</v>
      </c>
      <c r="BK32" s="16">
        <f t="shared" si="6"/>
        <v>0.89075630252100846</v>
      </c>
      <c r="BL32" s="20">
        <v>6</v>
      </c>
      <c r="BM32" s="22">
        <f t="shared" si="7"/>
        <v>1.272984441301273</v>
      </c>
      <c r="BN32" s="21">
        <v>148</v>
      </c>
      <c r="BO32" s="21">
        <v>71</v>
      </c>
      <c r="BP32" s="23">
        <v>27.65</v>
      </c>
      <c r="BQ32" s="15">
        <v>18</v>
      </c>
      <c r="BR32" s="15">
        <v>4</v>
      </c>
      <c r="BS32" s="20">
        <v>4</v>
      </c>
      <c r="BT32" s="15">
        <v>14</v>
      </c>
      <c r="BU32" s="21">
        <v>14</v>
      </c>
      <c r="BV32" s="21">
        <v>9</v>
      </c>
      <c r="BW32" s="16">
        <f t="shared" si="8"/>
        <v>0.77777777777777779</v>
      </c>
      <c r="BX32" s="20">
        <v>1</v>
      </c>
      <c r="BY32" s="21">
        <v>3</v>
      </c>
      <c r="BZ32" s="21">
        <v>1</v>
      </c>
      <c r="CA32" s="23">
        <v>29.4</v>
      </c>
      <c r="CB32" s="15">
        <v>3</v>
      </c>
      <c r="CC32" s="15">
        <v>0</v>
      </c>
      <c r="CD32" s="20">
        <v>0</v>
      </c>
      <c r="CE32" s="15">
        <v>3</v>
      </c>
      <c r="CF32" s="21">
        <v>2</v>
      </c>
      <c r="CG32" s="21">
        <v>1</v>
      </c>
      <c r="CH32" s="16">
        <f t="shared" si="9"/>
        <v>1</v>
      </c>
      <c r="CI32" s="20">
        <v>3</v>
      </c>
      <c r="CJ32" s="21">
        <v>23</v>
      </c>
      <c r="CK32" s="21">
        <v>15</v>
      </c>
      <c r="CL32" s="15">
        <v>0</v>
      </c>
      <c r="CM32" s="15">
        <v>0</v>
      </c>
      <c r="CN32" s="15">
        <v>0</v>
      </c>
      <c r="CO32" s="15">
        <v>0</v>
      </c>
      <c r="CP32" s="15">
        <v>1</v>
      </c>
      <c r="CQ32" s="15">
        <v>0</v>
      </c>
      <c r="CR32" s="15">
        <v>3</v>
      </c>
      <c r="CS32" s="15">
        <v>0</v>
      </c>
      <c r="CT32" s="15">
        <v>1</v>
      </c>
      <c r="CU32" s="15">
        <v>0</v>
      </c>
      <c r="CV32" s="15">
        <v>3</v>
      </c>
      <c r="CW32" s="15">
        <v>0</v>
      </c>
      <c r="CX32" s="16">
        <f t="shared" si="10"/>
        <v>1</v>
      </c>
      <c r="CY32">
        <v>14</v>
      </c>
      <c r="CZ32" t="s">
        <v>281</v>
      </c>
    </row>
    <row r="33" spans="1:104" x14ac:dyDescent="0.25">
      <c r="A33" s="13"/>
      <c r="B33" s="13" t="s">
        <v>282</v>
      </c>
      <c r="C33" s="13" t="s">
        <v>283</v>
      </c>
      <c r="D33" s="13" t="s">
        <v>220</v>
      </c>
      <c r="E33" s="13" t="s">
        <v>117</v>
      </c>
      <c r="F33" s="13">
        <v>74</v>
      </c>
      <c r="G33" s="13">
        <v>173</v>
      </c>
      <c r="H33" s="13" t="s">
        <v>107</v>
      </c>
      <c r="I33" s="13" t="s">
        <v>108</v>
      </c>
      <c r="J33">
        <v>23</v>
      </c>
      <c r="K33" t="s">
        <v>284</v>
      </c>
      <c r="L33" t="s">
        <v>285</v>
      </c>
      <c r="M33" s="14" t="s">
        <v>26</v>
      </c>
      <c r="N33" s="15">
        <v>1</v>
      </c>
      <c r="O33" s="1">
        <v>1</v>
      </c>
      <c r="P33" s="15">
        <v>0</v>
      </c>
      <c r="Q33" s="15">
        <v>1</v>
      </c>
      <c r="R33" s="15">
        <v>0</v>
      </c>
      <c r="S33" s="15">
        <v>33</v>
      </c>
      <c r="T33" s="15">
        <v>5</v>
      </c>
      <c r="U33" s="15">
        <v>28</v>
      </c>
      <c r="V33" s="2">
        <f t="shared" si="0"/>
        <v>5.0675675675675675</v>
      </c>
      <c r="W33" s="16">
        <f t="shared" si="1"/>
        <v>0.84848484848484851</v>
      </c>
      <c r="X33" s="15">
        <v>0</v>
      </c>
      <c r="Y33" s="15">
        <v>0</v>
      </c>
      <c r="Z33" s="15">
        <v>0</v>
      </c>
      <c r="AA33" s="17">
        <f>59+12/60</f>
        <v>59.2</v>
      </c>
      <c r="AB33" s="1">
        <v>0</v>
      </c>
      <c r="AC33" s="15">
        <v>0</v>
      </c>
      <c r="AD33" s="15">
        <v>0</v>
      </c>
      <c r="AE33" s="1">
        <v>5</v>
      </c>
      <c r="AF33" s="1">
        <v>28</v>
      </c>
      <c r="AG33" s="1">
        <v>59</v>
      </c>
      <c r="AH33" s="1">
        <v>0</v>
      </c>
      <c r="AI33" s="1">
        <v>1</v>
      </c>
      <c r="AJ33" s="16">
        <f t="shared" si="18"/>
        <v>0.84848484848484851</v>
      </c>
      <c r="AK33" s="2">
        <f t="shared" si="19"/>
        <v>5.0847457627118642</v>
      </c>
      <c r="AL33" s="18">
        <f t="shared" si="20"/>
        <v>0</v>
      </c>
      <c r="AM33" s="1">
        <v>0</v>
      </c>
      <c r="AN33" s="1">
        <v>0</v>
      </c>
      <c r="AO33" s="1">
        <v>0</v>
      </c>
      <c r="AP33" s="1">
        <v>0</v>
      </c>
      <c r="AQ33" s="2">
        <v>0</v>
      </c>
      <c r="AR33" s="16">
        <v>0</v>
      </c>
      <c r="AS33" s="1" t="s">
        <v>112</v>
      </c>
      <c r="AT33" s="1" t="s">
        <v>113</v>
      </c>
      <c r="AU33" s="1">
        <v>2013</v>
      </c>
      <c r="AV33" s="19">
        <v>740000</v>
      </c>
      <c r="AW33" s="5">
        <v>900000</v>
      </c>
      <c r="AX33">
        <v>-1.9</v>
      </c>
      <c r="AY33">
        <v>0</v>
      </c>
      <c r="AZ33">
        <v>0</v>
      </c>
      <c r="BA33">
        <v>-2</v>
      </c>
      <c r="BB33" s="4">
        <f t="shared" si="5"/>
        <v>-2.7024390243902436</v>
      </c>
      <c r="BC33" s="4">
        <v>0</v>
      </c>
      <c r="BD33" s="6">
        <v>46.38</v>
      </c>
      <c r="BE33" s="15">
        <v>22</v>
      </c>
      <c r="BF33" s="15">
        <v>2</v>
      </c>
      <c r="BG33" s="20">
        <v>2</v>
      </c>
      <c r="BH33" s="15">
        <v>20</v>
      </c>
      <c r="BI33" s="21">
        <v>20</v>
      </c>
      <c r="BJ33" s="21">
        <v>4</v>
      </c>
      <c r="BK33" s="16">
        <f t="shared" si="6"/>
        <v>0.90909090909090906</v>
      </c>
      <c r="BL33" s="20">
        <v>2</v>
      </c>
      <c r="BM33" s="22">
        <f t="shared" si="7"/>
        <v>2.5873221216041395</v>
      </c>
      <c r="BN33" s="21">
        <v>19</v>
      </c>
      <c r="BO33" s="21">
        <v>17</v>
      </c>
      <c r="BP33" s="23">
        <v>6.12</v>
      </c>
      <c r="BQ33" s="15">
        <v>11</v>
      </c>
      <c r="BR33" s="15">
        <v>3</v>
      </c>
      <c r="BS33" s="20">
        <v>2</v>
      </c>
      <c r="BT33" s="15">
        <v>8</v>
      </c>
      <c r="BU33" s="21">
        <v>8</v>
      </c>
      <c r="BV33" s="21">
        <v>0</v>
      </c>
      <c r="BW33" s="16">
        <f t="shared" si="8"/>
        <v>0.72727272727272729</v>
      </c>
      <c r="BX33" s="20">
        <v>0</v>
      </c>
      <c r="BY33" s="21">
        <v>1</v>
      </c>
      <c r="BZ33" s="21">
        <v>0</v>
      </c>
      <c r="CA33" s="23">
        <v>4.9800000000000004</v>
      </c>
      <c r="CB33" s="15">
        <v>0</v>
      </c>
      <c r="CC33" s="15">
        <v>0</v>
      </c>
      <c r="CD33" s="20">
        <v>0</v>
      </c>
      <c r="CE33" s="15">
        <v>0</v>
      </c>
      <c r="CF33" s="21">
        <v>0</v>
      </c>
      <c r="CG33" s="21">
        <v>0</v>
      </c>
      <c r="CH33" s="16">
        <f t="shared" si="9"/>
        <v>0</v>
      </c>
      <c r="CI33" s="20">
        <v>1</v>
      </c>
      <c r="CJ33" s="21">
        <v>6</v>
      </c>
      <c r="CK33" s="21">
        <v>3</v>
      </c>
      <c r="CX33" s="16" t="str">
        <f t="shared" si="10"/>
        <v xml:space="preserve"> </v>
      </c>
    </row>
    <row r="34" spans="1:104" x14ac:dyDescent="0.25">
      <c r="A34" s="13">
        <v>41</v>
      </c>
      <c r="B34" s="13" t="s">
        <v>286</v>
      </c>
      <c r="C34" s="13" t="s">
        <v>287</v>
      </c>
      <c r="D34" s="13"/>
      <c r="E34" s="13" t="s">
        <v>181</v>
      </c>
      <c r="F34" s="13">
        <v>70</v>
      </c>
      <c r="G34" s="13">
        <v>186</v>
      </c>
      <c r="H34" s="13" t="s">
        <v>107</v>
      </c>
      <c r="I34" s="13"/>
      <c r="J34">
        <v>28</v>
      </c>
      <c r="K34" t="s">
        <v>288</v>
      </c>
      <c r="L34" t="s">
        <v>289</v>
      </c>
      <c r="M34" s="14" t="s">
        <v>120</v>
      </c>
      <c r="N34" s="15">
        <v>16</v>
      </c>
      <c r="O34" s="1">
        <v>15</v>
      </c>
      <c r="P34" s="15">
        <v>6</v>
      </c>
      <c r="Q34" s="15">
        <v>5</v>
      </c>
      <c r="R34" s="15">
        <v>1</v>
      </c>
      <c r="S34" s="15">
        <v>286</v>
      </c>
      <c r="T34" s="15">
        <v>29</v>
      </c>
      <c r="U34" s="15">
        <v>257</v>
      </c>
      <c r="V34" s="2">
        <f t="shared" ref="V34:V65" si="21">T34/AA34*60</f>
        <v>2.1413188390934264</v>
      </c>
      <c r="W34" s="16">
        <f t="shared" ref="W34:W65" si="22">U34/S34</f>
        <v>0.89860139860139865</v>
      </c>
      <c r="X34" s="15">
        <v>0</v>
      </c>
      <c r="Y34" s="15">
        <v>1</v>
      </c>
      <c r="Z34" s="15">
        <v>0</v>
      </c>
      <c r="AA34" s="17">
        <f>812+35/60</f>
        <v>812.58333333333337</v>
      </c>
      <c r="AB34" s="1">
        <v>3</v>
      </c>
      <c r="AC34" s="15">
        <v>0</v>
      </c>
      <c r="AD34" s="15">
        <v>0</v>
      </c>
      <c r="AE34" s="1">
        <v>29</v>
      </c>
      <c r="AF34" s="1">
        <v>245</v>
      </c>
      <c r="AG34" s="1">
        <v>779</v>
      </c>
      <c r="AH34" s="1">
        <v>6</v>
      </c>
      <c r="AI34" s="1">
        <v>4</v>
      </c>
      <c r="AJ34" s="16">
        <f t="shared" si="18"/>
        <v>0.8941605839416058</v>
      </c>
      <c r="AK34" s="2">
        <f t="shared" si="19"/>
        <v>2.233632862644416</v>
      </c>
      <c r="AL34" s="18">
        <f t="shared" si="20"/>
        <v>0.4</v>
      </c>
      <c r="AM34" s="1">
        <v>1</v>
      </c>
      <c r="AN34" s="1">
        <v>0</v>
      </c>
      <c r="AO34" s="1">
        <v>12</v>
      </c>
      <c r="AP34" s="1">
        <v>35</v>
      </c>
      <c r="AQ34" s="2">
        <f>IF(AP34&gt;0,AN34/AP34*60," ")</f>
        <v>0</v>
      </c>
      <c r="AR34" s="16">
        <f>IF(AP34&gt;0,AO34/(AN34+AO34)," ")</f>
        <v>1</v>
      </c>
      <c r="AS34" s="1" t="s">
        <v>128</v>
      </c>
      <c r="AT34" s="1" t="s">
        <v>129</v>
      </c>
      <c r="AU34" s="1">
        <v>2014</v>
      </c>
      <c r="AV34" s="19">
        <v>4250000</v>
      </c>
      <c r="AW34" s="5">
        <v>3750000</v>
      </c>
      <c r="AX34">
        <v>-1</v>
      </c>
      <c r="AY34">
        <v>1.2</v>
      </c>
      <c r="AZ34">
        <v>0</v>
      </c>
      <c r="BA34">
        <v>0.2</v>
      </c>
      <c r="BB34" s="4">
        <f t="shared" ref="BB34:BB65" si="23">BA34-(48/82)*3*(AW34-500000)/1000000</f>
        <v>-5.5073170731707304</v>
      </c>
      <c r="BC34" s="4">
        <v>1.3</v>
      </c>
      <c r="BD34" s="6">
        <v>644.96</v>
      </c>
      <c r="BE34" s="15">
        <v>236</v>
      </c>
      <c r="BF34" s="15">
        <v>21</v>
      </c>
      <c r="BG34" s="20">
        <v>20</v>
      </c>
      <c r="BH34" s="15">
        <v>215</v>
      </c>
      <c r="BI34" s="21">
        <v>202</v>
      </c>
      <c r="BJ34" s="21">
        <v>100</v>
      </c>
      <c r="BK34" s="16">
        <f t="shared" ref="BK34:BK65" si="24">IF(BE34&gt;0,BH34/BE34,0)</f>
        <v>0.91101694915254239</v>
      </c>
      <c r="BL34" s="20">
        <v>25</v>
      </c>
      <c r="BM34" s="22">
        <f t="shared" ref="BM34:BM65" si="25">BL34/BD34*60</f>
        <v>2.3257256263954353</v>
      </c>
      <c r="BN34" s="21">
        <v>290</v>
      </c>
      <c r="BO34" s="21">
        <v>125</v>
      </c>
      <c r="BP34" s="23">
        <v>73.760000000000005</v>
      </c>
      <c r="BQ34" s="15">
        <v>43</v>
      </c>
      <c r="BR34" s="15">
        <v>6</v>
      </c>
      <c r="BS34" s="20">
        <v>5</v>
      </c>
      <c r="BT34" s="15">
        <v>37</v>
      </c>
      <c r="BU34" s="21">
        <v>36</v>
      </c>
      <c r="BV34" s="21">
        <v>18</v>
      </c>
      <c r="BW34" s="16">
        <f t="shared" ref="BW34:BW65" si="26">IF(BQ34&gt;0,BT34/BQ34,0)</f>
        <v>0.86046511627906974</v>
      </c>
      <c r="BX34" s="20">
        <v>1</v>
      </c>
      <c r="BY34" s="21">
        <v>8</v>
      </c>
      <c r="BZ34" s="21">
        <v>2</v>
      </c>
      <c r="CA34" s="23">
        <v>66.08</v>
      </c>
      <c r="CB34" s="15">
        <v>7</v>
      </c>
      <c r="CC34" s="15">
        <v>2</v>
      </c>
      <c r="CD34" s="20">
        <v>2</v>
      </c>
      <c r="CE34" s="15">
        <v>5</v>
      </c>
      <c r="CF34" s="21">
        <v>5</v>
      </c>
      <c r="CG34" s="21">
        <v>5</v>
      </c>
      <c r="CH34" s="16">
        <f t="shared" ref="CH34:CH65" si="27">IF(CB34&gt;0,CE34/CB34,0)</f>
        <v>0.7142857142857143</v>
      </c>
      <c r="CI34" s="20">
        <v>10</v>
      </c>
      <c r="CJ34" s="21">
        <v>49</v>
      </c>
      <c r="CK34" s="21">
        <v>24</v>
      </c>
      <c r="CX34" s="16" t="str">
        <f t="shared" ref="CX34:CX65" si="28">IF(CV34&gt;0,1-CW34/CV34," ")</f>
        <v xml:space="preserve"> </v>
      </c>
      <c r="CY34">
        <v>6</v>
      </c>
      <c r="CZ34" t="s">
        <v>290</v>
      </c>
    </row>
    <row r="35" spans="1:104" x14ac:dyDescent="0.25">
      <c r="A35" s="13">
        <v>37</v>
      </c>
      <c r="B35" s="13" t="s">
        <v>291</v>
      </c>
      <c r="C35" s="13" t="s">
        <v>214</v>
      </c>
      <c r="D35" s="13" t="s">
        <v>215</v>
      </c>
      <c r="E35" s="13" t="s">
        <v>117</v>
      </c>
      <c r="F35" s="13">
        <v>73</v>
      </c>
      <c r="G35" s="13">
        <v>202</v>
      </c>
      <c r="H35" s="13" t="s">
        <v>203</v>
      </c>
      <c r="I35" s="13"/>
      <c r="J35">
        <v>29</v>
      </c>
      <c r="K35" t="s">
        <v>292</v>
      </c>
      <c r="L35" t="s">
        <v>293</v>
      </c>
      <c r="M35" s="14" t="s">
        <v>26</v>
      </c>
      <c r="N35" s="15">
        <v>5</v>
      </c>
      <c r="O35" s="1">
        <v>3</v>
      </c>
      <c r="P35" s="15">
        <v>1</v>
      </c>
      <c r="Q35" s="15">
        <v>1</v>
      </c>
      <c r="R35" s="15">
        <v>0</v>
      </c>
      <c r="S35" s="15">
        <v>73</v>
      </c>
      <c r="T35" s="15">
        <v>10</v>
      </c>
      <c r="U35" s="15">
        <v>63</v>
      </c>
      <c r="V35" s="2">
        <f t="shared" si="21"/>
        <v>3.2417829806393512</v>
      </c>
      <c r="W35" s="16">
        <f t="shared" si="22"/>
        <v>0.86301369863013699</v>
      </c>
      <c r="X35" s="15">
        <v>0</v>
      </c>
      <c r="Y35" s="15">
        <v>0</v>
      </c>
      <c r="Z35" s="15">
        <v>0</v>
      </c>
      <c r="AA35" s="17">
        <f>185+5/60</f>
        <v>185.08333333333334</v>
      </c>
      <c r="AB35" s="1">
        <v>1</v>
      </c>
      <c r="AC35" s="15">
        <v>0</v>
      </c>
      <c r="AD35" s="15">
        <v>0</v>
      </c>
      <c r="AE35" s="1">
        <v>7</v>
      </c>
      <c r="AF35" s="1">
        <v>48</v>
      </c>
      <c r="AG35" s="1">
        <v>124</v>
      </c>
      <c r="AH35" s="1">
        <v>1</v>
      </c>
      <c r="AI35" s="1">
        <v>2</v>
      </c>
      <c r="AJ35" s="16">
        <f t="shared" si="18"/>
        <v>0.87272727272727268</v>
      </c>
      <c r="AK35" s="2">
        <f t="shared" si="19"/>
        <v>3.3870967741935485</v>
      </c>
      <c r="AL35" s="18">
        <f t="shared" si="20"/>
        <v>0.33333333333333331</v>
      </c>
      <c r="AM35" s="1">
        <v>2</v>
      </c>
      <c r="AN35" s="1">
        <v>3</v>
      </c>
      <c r="AO35" s="1">
        <v>15</v>
      </c>
      <c r="AP35" s="1">
        <v>61</v>
      </c>
      <c r="AQ35" s="2">
        <f>IF(AP35&gt;0,AN35/AP35*60," ")</f>
        <v>2.9508196721311473</v>
      </c>
      <c r="AR35" s="16">
        <f>IF(AP35&gt;0,AO35/(AN35+AO35)," ")</f>
        <v>0.83333333333333337</v>
      </c>
      <c r="AS35" s="1" t="s">
        <v>128</v>
      </c>
      <c r="AT35" s="1" t="s">
        <v>129</v>
      </c>
      <c r="AU35" s="1">
        <v>2015</v>
      </c>
      <c r="AV35" s="19">
        <v>1500000</v>
      </c>
      <c r="AW35" s="5">
        <v>1900000</v>
      </c>
      <c r="AX35">
        <v>-3</v>
      </c>
      <c r="AY35">
        <v>0.2</v>
      </c>
      <c r="AZ35">
        <v>0</v>
      </c>
      <c r="BA35">
        <v>-2.8</v>
      </c>
      <c r="BB35" s="4">
        <f t="shared" si="23"/>
        <v>-5.258536585365853</v>
      </c>
      <c r="BC35" s="4">
        <v>0</v>
      </c>
      <c r="BD35" s="6">
        <v>139.55000000000001</v>
      </c>
      <c r="BE35" s="15">
        <v>59</v>
      </c>
      <c r="BF35" s="15">
        <v>8</v>
      </c>
      <c r="BG35" s="20">
        <v>8</v>
      </c>
      <c r="BH35" s="15">
        <v>51</v>
      </c>
      <c r="BI35" s="21">
        <v>51</v>
      </c>
      <c r="BJ35" s="21">
        <v>33</v>
      </c>
      <c r="BK35" s="16">
        <f t="shared" si="24"/>
        <v>0.86440677966101698</v>
      </c>
      <c r="BL35" s="20">
        <v>4</v>
      </c>
      <c r="BM35" s="22">
        <f t="shared" si="25"/>
        <v>1.7198136868505909</v>
      </c>
      <c r="BN35" s="21">
        <v>68</v>
      </c>
      <c r="BO35" s="21">
        <v>25</v>
      </c>
      <c r="BP35" s="23">
        <v>15.85</v>
      </c>
      <c r="BQ35" s="15">
        <v>11</v>
      </c>
      <c r="BR35" s="15">
        <v>2</v>
      </c>
      <c r="BS35" s="20">
        <v>2</v>
      </c>
      <c r="BT35" s="15">
        <v>9</v>
      </c>
      <c r="BU35" s="21">
        <v>9</v>
      </c>
      <c r="BV35" s="21">
        <v>2</v>
      </c>
      <c r="BW35" s="16">
        <f t="shared" si="26"/>
        <v>0.81818181818181823</v>
      </c>
      <c r="BX35" s="20">
        <v>0</v>
      </c>
      <c r="BY35" s="21">
        <v>1</v>
      </c>
      <c r="BZ35" s="21">
        <v>0</v>
      </c>
      <c r="CA35" s="23">
        <v>20.100000000000001</v>
      </c>
      <c r="CB35" s="15">
        <v>3</v>
      </c>
      <c r="CC35" s="15">
        <v>0</v>
      </c>
      <c r="CD35" s="20">
        <v>0</v>
      </c>
      <c r="CE35" s="15">
        <v>3</v>
      </c>
      <c r="CF35" s="21">
        <v>3</v>
      </c>
      <c r="CG35" s="21">
        <v>1</v>
      </c>
      <c r="CH35" s="16">
        <f t="shared" si="27"/>
        <v>1</v>
      </c>
      <c r="CI35" s="20">
        <v>1</v>
      </c>
      <c r="CJ35" s="21">
        <v>13</v>
      </c>
      <c r="CK35" s="21">
        <v>4</v>
      </c>
      <c r="CX35" s="16" t="str">
        <f t="shared" si="28"/>
        <v xml:space="preserve"> </v>
      </c>
      <c r="CY35">
        <v>33</v>
      </c>
      <c r="CZ35" t="s">
        <v>294</v>
      </c>
    </row>
    <row r="36" spans="1:104" x14ac:dyDescent="0.25">
      <c r="A36" s="13">
        <v>1</v>
      </c>
      <c r="B36" s="13" t="s">
        <v>295</v>
      </c>
      <c r="C36" s="13" t="s">
        <v>296</v>
      </c>
      <c r="D36" s="13"/>
      <c r="E36" s="13" t="s">
        <v>235</v>
      </c>
      <c r="F36" s="13">
        <v>72</v>
      </c>
      <c r="G36" s="13">
        <v>190</v>
      </c>
      <c r="H36" s="13"/>
      <c r="I36" s="13"/>
      <c r="J36">
        <v>40</v>
      </c>
      <c r="K36" t="s">
        <v>297</v>
      </c>
      <c r="L36" t="s">
        <v>298</v>
      </c>
      <c r="M36" s="14" t="s">
        <v>173</v>
      </c>
      <c r="N36" s="15">
        <v>19</v>
      </c>
      <c r="O36" s="1">
        <v>19</v>
      </c>
      <c r="P36" s="15">
        <v>6</v>
      </c>
      <c r="Q36" s="15">
        <v>10</v>
      </c>
      <c r="R36" s="15">
        <v>3</v>
      </c>
      <c r="S36" s="15">
        <v>435</v>
      </c>
      <c r="T36" s="15">
        <v>51</v>
      </c>
      <c r="U36" s="15">
        <v>384</v>
      </c>
      <c r="V36" s="2">
        <f t="shared" si="21"/>
        <v>2.7610683349374399</v>
      </c>
      <c r="W36" s="16">
        <f t="shared" si="22"/>
        <v>0.88275862068965516</v>
      </c>
      <c r="X36" s="15">
        <v>0</v>
      </c>
      <c r="Y36" s="15">
        <v>1</v>
      </c>
      <c r="Z36" s="15">
        <v>4</v>
      </c>
      <c r="AA36" s="17">
        <f>1108+16/60</f>
        <v>1108.2666666666667</v>
      </c>
      <c r="AB36" s="1">
        <v>1</v>
      </c>
      <c r="AC36" s="15">
        <v>1</v>
      </c>
      <c r="AD36" s="15">
        <v>0</v>
      </c>
      <c r="AE36" s="1">
        <v>51</v>
      </c>
      <c r="AF36" s="1">
        <v>384</v>
      </c>
      <c r="AG36" s="1">
        <v>1108</v>
      </c>
      <c r="AH36" s="1">
        <v>10</v>
      </c>
      <c r="AI36" s="1">
        <v>6</v>
      </c>
      <c r="AJ36" s="16">
        <f t="shared" si="18"/>
        <v>0.88275862068965516</v>
      </c>
      <c r="AK36" s="2">
        <f t="shared" si="19"/>
        <v>2.7617328519855597</v>
      </c>
      <c r="AL36" s="18">
        <f t="shared" si="20"/>
        <v>0.52631578947368418</v>
      </c>
      <c r="AM36" s="1">
        <v>0</v>
      </c>
      <c r="AN36" s="1">
        <v>0</v>
      </c>
      <c r="AO36" s="1">
        <v>0</v>
      </c>
      <c r="AP36" s="1">
        <v>0</v>
      </c>
      <c r="AQ36" s="2">
        <v>0</v>
      </c>
      <c r="AR36" s="16">
        <v>0</v>
      </c>
      <c r="AS36" s="1" t="s">
        <v>128</v>
      </c>
      <c r="AT36" s="1" t="s">
        <v>129</v>
      </c>
      <c r="AU36" s="1">
        <v>2014</v>
      </c>
      <c r="AV36" s="19">
        <v>1400000</v>
      </c>
      <c r="AW36" s="19">
        <v>1400000</v>
      </c>
      <c r="AX36">
        <v>-8.3000000000000007</v>
      </c>
      <c r="AY36">
        <v>1.1000000000000001</v>
      </c>
      <c r="AZ36">
        <v>-0.30000000000000004</v>
      </c>
      <c r="BA36">
        <v>-7.5</v>
      </c>
      <c r="BB36" s="4">
        <f t="shared" si="23"/>
        <v>-9.0804878048780484</v>
      </c>
      <c r="BC36" s="4">
        <v>1.2</v>
      </c>
      <c r="BD36" s="6">
        <v>865.26</v>
      </c>
      <c r="BE36" s="15">
        <v>355</v>
      </c>
      <c r="BF36" s="15">
        <v>35</v>
      </c>
      <c r="BG36" s="20">
        <v>34</v>
      </c>
      <c r="BH36" s="15">
        <v>320</v>
      </c>
      <c r="BI36" s="21">
        <v>303</v>
      </c>
      <c r="BJ36" s="21">
        <v>112</v>
      </c>
      <c r="BK36" s="16">
        <f t="shared" si="24"/>
        <v>0.90140845070422537</v>
      </c>
      <c r="BL36" s="20">
        <v>21</v>
      </c>
      <c r="BM36" s="22">
        <f t="shared" si="25"/>
        <v>1.4562096941959644</v>
      </c>
      <c r="BN36" s="21">
        <v>358</v>
      </c>
      <c r="BO36" s="21">
        <v>174</v>
      </c>
      <c r="BP36" s="23">
        <v>93.48</v>
      </c>
      <c r="BQ36" s="15">
        <v>63</v>
      </c>
      <c r="BR36" s="15">
        <v>12</v>
      </c>
      <c r="BS36" s="20">
        <v>11</v>
      </c>
      <c r="BT36" s="15">
        <v>51</v>
      </c>
      <c r="BU36" s="21">
        <v>49</v>
      </c>
      <c r="BV36" s="21">
        <v>23</v>
      </c>
      <c r="BW36" s="16">
        <f t="shared" si="26"/>
        <v>0.80952380952380953</v>
      </c>
      <c r="BX36" s="20">
        <v>3</v>
      </c>
      <c r="BY36" s="21">
        <v>10</v>
      </c>
      <c r="BZ36" s="21">
        <v>5</v>
      </c>
      <c r="CA36" s="23">
        <v>99.56</v>
      </c>
      <c r="CB36" s="15">
        <v>17</v>
      </c>
      <c r="CC36" s="15">
        <v>4</v>
      </c>
      <c r="CD36" s="20">
        <v>4</v>
      </c>
      <c r="CE36" s="15">
        <v>13</v>
      </c>
      <c r="CF36" s="21">
        <v>13</v>
      </c>
      <c r="CG36" s="21">
        <v>0</v>
      </c>
      <c r="CH36" s="16">
        <f t="shared" si="27"/>
        <v>0.76470588235294112</v>
      </c>
      <c r="CI36" s="20">
        <v>9</v>
      </c>
      <c r="CJ36" s="21">
        <v>71</v>
      </c>
      <c r="CK36" s="21">
        <v>25</v>
      </c>
      <c r="CL36" s="15">
        <v>2</v>
      </c>
      <c r="CM36" s="15">
        <v>0</v>
      </c>
      <c r="CN36" s="15">
        <v>5</v>
      </c>
      <c r="CO36" s="15">
        <v>0</v>
      </c>
      <c r="CP36" s="15">
        <v>0</v>
      </c>
      <c r="CQ36" s="15">
        <v>3</v>
      </c>
      <c r="CR36" s="15">
        <v>11</v>
      </c>
      <c r="CS36" s="15">
        <v>6</v>
      </c>
      <c r="CT36" s="15">
        <v>2</v>
      </c>
      <c r="CU36" s="15">
        <v>3</v>
      </c>
      <c r="CV36" s="15">
        <v>16</v>
      </c>
      <c r="CW36" s="15">
        <v>6</v>
      </c>
      <c r="CX36" s="16">
        <f t="shared" si="28"/>
        <v>0.625</v>
      </c>
      <c r="CY36">
        <v>2</v>
      </c>
      <c r="CZ36" t="s">
        <v>281</v>
      </c>
    </row>
    <row r="37" spans="1:104" x14ac:dyDescent="0.25">
      <c r="A37" s="13">
        <v>1</v>
      </c>
      <c r="B37" s="13" t="s">
        <v>299</v>
      </c>
      <c r="C37" s="13" t="s">
        <v>300</v>
      </c>
      <c r="D37" s="13"/>
      <c r="E37" s="13" t="s">
        <v>301</v>
      </c>
      <c r="F37" s="13">
        <v>74</v>
      </c>
      <c r="G37" s="13">
        <v>192</v>
      </c>
      <c r="H37" s="13" t="s">
        <v>203</v>
      </c>
      <c r="I37" s="13"/>
      <c r="J37">
        <v>31</v>
      </c>
      <c r="K37" t="s">
        <v>302</v>
      </c>
      <c r="L37" t="s">
        <v>279</v>
      </c>
      <c r="M37" s="14" t="s">
        <v>243</v>
      </c>
      <c r="N37" s="15">
        <v>26</v>
      </c>
      <c r="O37" s="1">
        <v>25</v>
      </c>
      <c r="P37" s="15">
        <v>15</v>
      </c>
      <c r="Q37" s="15">
        <v>6</v>
      </c>
      <c r="R37" s="15">
        <v>4</v>
      </c>
      <c r="S37" s="15">
        <v>675</v>
      </c>
      <c r="T37" s="15">
        <v>59</v>
      </c>
      <c r="U37" s="15">
        <v>616</v>
      </c>
      <c r="V37" s="2">
        <f t="shared" si="21"/>
        <v>2.3626514199268067</v>
      </c>
      <c r="W37" s="16">
        <f t="shared" si="22"/>
        <v>0.91259259259259262</v>
      </c>
      <c r="X37" s="15">
        <v>0</v>
      </c>
      <c r="Y37" s="15">
        <v>1</v>
      </c>
      <c r="Z37" s="15">
        <v>2</v>
      </c>
      <c r="AA37" s="17">
        <f>1498+19/60</f>
        <v>1498.3166666666666</v>
      </c>
      <c r="AB37" s="1">
        <v>1</v>
      </c>
      <c r="AC37" s="15">
        <v>1</v>
      </c>
      <c r="AD37" s="15">
        <v>0</v>
      </c>
      <c r="AE37" s="1">
        <v>57</v>
      </c>
      <c r="AF37" s="1">
        <v>606</v>
      </c>
      <c r="AG37" s="1">
        <v>1461</v>
      </c>
      <c r="AH37" s="1">
        <v>16</v>
      </c>
      <c r="AI37" s="1">
        <v>2</v>
      </c>
      <c r="AJ37" s="16">
        <f t="shared" si="18"/>
        <v>0.91402714932126694</v>
      </c>
      <c r="AK37" s="2">
        <f t="shared" si="19"/>
        <v>2.3408624229979469</v>
      </c>
      <c r="AL37" s="18">
        <f t="shared" si="20"/>
        <v>0.64</v>
      </c>
      <c r="AM37" s="1">
        <v>1</v>
      </c>
      <c r="AN37" s="1">
        <v>2</v>
      </c>
      <c r="AO37" s="1">
        <v>10</v>
      </c>
      <c r="AP37" s="1">
        <v>37</v>
      </c>
      <c r="AQ37" s="2">
        <f>IF(AP37&gt;0,AN37/AP37*60," ")</f>
        <v>3.2432432432432434</v>
      </c>
      <c r="AR37" s="16">
        <f>IF(AP37&gt;0,AO37/(AN37+AO37)," ")</f>
        <v>0.83333333333333337</v>
      </c>
      <c r="AS37" s="1" t="s">
        <v>128</v>
      </c>
      <c r="AT37" s="1" t="s">
        <v>129</v>
      </c>
      <c r="AU37" s="1">
        <v>2014</v>
      </c>
      <c r="AV37" s="19">
        <v>4500000</v>
      </c>
      <c r="AW37" s="5">
        <v>4500000</v>
      </c>
      <c r="AX37">
        <v>5.9</v>
      </c>
      <c r="AY37">
        <v>0.4</v>
      </c>
      <c r="AZ37">
        <v>0.5</v>
      </c>
      <c r="BA37">
        <v>6.9</v>
      </c>
      <c r="BB37" s="4">
        <f t="shared" si="23"/>
        <v>-0.1243902439024378</v>
      </c>
      <c r="BC37" s="4">
        <v>4.2</v>
      </c>
      <c r="BD37" s="6">
        <v>1201.98</v>
      </c>
      <c r="BE37" s="15">
        <v>529</v>
      </c>
      <c r="BF37" s="15">
        <v>34</v>
      </c>
      <c r="BG37" s="20">
        <v>31</v>
      </c>
      <c r="BH37" s="15">
        <v>495</v>
      </c>
      <c r="BI37" s="21">
        <v>475</v>
      </c>
      <c r="BJ37" s="21">
        <v>260</v>
      </c>
      <c r="BK37" s="16">
        <f t="shared" si="24"/>
        <v>0.93572778827977321</v>
      </c>
      <c r="BL37" s="20">
        <v>44</v>
      </c>
      <c r="BM37" s="22">
        <f t="shared" si="25"/>
        <v>2.1963759796336046</v>
      </c>
      <c r="BN37" s="21">
        <v>493</v>
      </c>
      <c r="BO37" s="21">
        <v>210</v>
      </c>
      <c r="BP37" s="23">
        <v>144.04</v>
      </c>
      <c r="BQ37" s="15">
        <v>131</v>
      </c>
      <c r="BR37" s="15">
        <v>22</v>
      </c>
      <c r="BS37" s="20">
        <v>20</v>
      </c>
      <c r="BT37" s="15">
        <v>109</v>
      </c>
      <c r="BU37" s="21">
        <v>104</v>
      </c>
      <c r="BV37" s="21">
        <v>48</v>
      </c>
      <c r="BW37" s="16">
        <f t="shared" si="26"/>
        <v>0.83206106870229013</v>
      </c>
      <c r="BX37" s="20">
        <v>3</v>
      </c>
      <c r="BY37" s="21">
        <v>24</v>
      </c>
      <c r="BZ37" s="21">
        <v>11</v>
      </c>
      <c r="CA37" s="23">
        <v>106.08</v>
      </c>
      <c r="CB37" s="15">
        <v>15</v>
      </c>
      <c r="CC37" s="15">
        <v>3</v>
      </c>
      <c r="CD37" s="20">
        <v>3</v>
      </c>
      <c r="CE37" s="15">
        <v>12</v>
      </c>
      <c r="CF37" s="21">
        <v>12</v>
      </c>
      <c r="CG37" s="21">
        <v>4</v>
      </c>
      <c r="CH37" s="16">
        <f t="shared" si="27"/>
        <v>0.8</v>
      </c>
      <c r="CI37" s="20">
        <v>15</v>
      </c>
      <c r="CJ37" s="21">
        <v>92</v>
      </c>
      <c r="CK37" s="21">
        <v>32</v>
      </c>
      <c r="CL37" s="15">
        <v>0</v>
      </c>
      <c r="CM37" s="15">
        <v>0</v>
      </c>
      <c r="CN37" s="15">
        <v>0</v>
      </c>
      <c r="CO37" s="15">
        <v>0</v>
      </c>
      <c r="CP37" s="15">
        <v>1</v>
      </c>
      <c r="CQ37" s="15">
        <v>2</v>
      </c>
      <c r="CR37" s="15">
        <v>10</v>
      </c>
      <c r="CS37" s="15">
        <v>3</v>
      </c>
      <c r="CT37" s="15">
        <v>1</v>
      </c>
      <c r="CU37" s="15">
        <v>2</v>
      </c>
      <c r="CV37" s="15">
        <v>10</v>
      </c>
      <c r="CW37" s="15">
        <v>3</v>
      </c>
      <c r="CX37" s="16">
        <f t="shared" si="28"/>
        <v>0.7</v>
      </c>
      <c r="CY37">
        <v>4</v>
      </c>
      <c r="CZ37" t="s">
        <v>303</v>
      </c>
    </row>
    <row r="38" spans="1:104" x14ac:dyDescent="0.25">
      <c r="A38" s="13">
        <v>70</v>
      </c>
      <c r="B38" s="13" t="s">
        <v>304</v>
      </c>
      <c r="C38" s="13" t="s">
        <v>305</v>
      </c>
      <c r="D38" s="13" t="s">
        <v>215</v>
      </c>
      <c r="E38" s="13" t="s">
        <v>117</v>
      </c>
      <c r="F38" s="13">
        <v>74</v>
      </c>
      <c r="G38" s="13">
        <v>203</v>
      </c>
      <c r="H38" s="13" t="s">
        <v>107</v>
      </c>
      <c r="I38" s="13"/>
      <c r="J38">
        <v>24</v>
      </c>
      <c r="K38" t="s">
        <v>306</v>
      </c>
      <c r="L38" t="s">
        <v>307</v>
      </c>
      <c r="M38" s="14" t="s">
        <v>275</v>
      </c>
      <c r="N38" s="15">
        <v>36</v>
      </c>
      <c r="O38" s="1">
        <v>35</v>
      </c>
      <c r="P38" s="15">
        <v>23</v>
      </c>
      <c r="Q38" s="15">
        <v>12</v>
      </c>
      <c r="R38" s="15">
        <v>1</v>
      </c>
      <c r="S38" s="15">
        <v>1123</v>
      </c>
      <c r="T38" s="15">
        <v>90</v>
      </c>
      <c r="U38" s="15">
        <v>1033</v>
      </c>
      <c r="V38" s="2">
        <f t="shared" si="21"/>
        <v>2.584680185714058</v>
      </c>
      <c r="W38" s="16">
        <f t="shared" si="22"/>
        <v>0.91985752448797864</v>
      </c>
      <c r="X38" s="15">
        <v>0</v>
      </c>
      <c r="Y38" s="15">
        <v>2</v>
      </c>
      <c r="Z38" s="15">
        <v>2</v>
      </c>
      <c r="AA38" s="17">
        <f>2089+14/60</f>
        <v>2089.2333333333331</v>
      </c>
      <c r="AB38" s="1">
        <v>4</v>
      </c>
      <c r="AC38" s="15">
        <v>2</v>
      </c>
      <c r="AD38" s="15">
        <v>1</v>
      </c>
      <c r="AE38" s="1">
        <v>87</v>
      </c>
      <c r="AF38" s="1">
        <v>1019</v>
      </c>
      <c r="AG38" s="1">
        <v>2064</v>
      </c>
      <c r="AH38" s="1">
        <v>19</v>
      </c>
      <c r="AI38" s="1">
        <v>5</v>
      </c>
      <c r="AJ38" s="16">
        <f t="shared" si="18"/>
        <v>0.92133815551537068</v>
      </c>
      <c r="AK38" s="2">
        <f t="shared" si="19"/>
        <v>2.5290697674418605</v>
      </c>
      <c r="AL38" s="18">
        <f t="shared" si="20"/>
        <v>0.54285714285714282</v>
      </c>
      <c r="AM38" s="1">
        <v>1</v>
      </c>
      <c r="AN38" s="1">
        <v>3</v>
      </c>
      <c r="AO38" s="1">
        <v>14</v>
      </c>
      <c r="AP38" s="1">
        <v>27</v>
      </c>
      <c r="AQ38" s="2">
        <f>IF(AP38&gt;0,AN38/AP38*60," ")</f>
        <v>6.6666666666666661</v>
      </c>
      <c r="AR38" s="16">
        <f>IF(AP38&gt;0,AO38/(AN38+AO38)," ")</f>
        <v>0.82352941176470584</v>
      </c>
      <c r="AS38" s="1" t="s">
        <v>112</v>
      </c>
      <c r="AT38" s="1" t="s">
        <v>113</v>
      </c>
      <c r="AU38" s="1">
        <v>2013</v>
      </c>
      <c r="AV38" s="19">
        <v>600000</v>
      </c>
      <c r="AW38" s="5">
        <v>637777</v>
      </c>
      <c r="AX38">
        <v>16.600000000000001</v>
      </c>
      <c r="AY38">
        <v>-1.4</v>
      </c>
      <c r="AZ38">
        <v>2.1</v>
      </c>
      <c r="BA38">
        <v>17.3</v>
      </c>
      <c r="BB38" s="4">
        <f t="shared" si="23"/>
        <v>17.058050146341465</v>
      </c>
      <c r="BC38" s="4">
        <v>8</v>
      </c>
      <c r="BD38" s="6">
        <v>1656.36</v>
      </c>
      <c r="BE38" s="15">
        <v>910</v>
      </c>
      <c r="BF38" s="15">
        <v>63</v>
      </c>
      <c r="BG38" s="20">
        <v>62</v>
      </c>
      <c r="BH38" s="15">
        <v>847</v>
      </c>
      <c r="BI38" s="21">
        <v>823</v>
      </c>
      <c r="BJ38" s="21">
        <v>273</v>
      </c>
      <c r="BK38" s="16">
        <f t="shared" si="24"/>
        <v>0.93076923076923079</v>
      </c>
      <c r="BL38" s="20">
        <v>72</v>
      </c>
      <c r="BM38" s="22">
        <f t="shared" si="25"/>
        <v>2.6081286676809388</v>
      </c>
      <c r="BN38" s="21">
        <v>679</v>
      </c>
      <c r="BO38" s="21">
        <v>323</v>
      </c>
      <c r="BP38" s="23">
        <v>177.12</v>
      </c>
      <c r="BQ38" s="15">
        <v>179</v>
      </c>
      <c r="BR38" s="15">
        <v>25</v>
      </c>
      <c r="BS38" s="20">
        <v>20</v>
      </c>
      <c r="BT38" s="15">
        <v>154</v>
      </c>
      <c r="BU38" s="21">
        <v>146</v>
      </c>
      <c r="BV38" s="21">
        <v>54</v>
      </c>
      <c r="BW38" s="16">
        <f t="shared" si="26"/>
        <v>0.86033519553072624</v>
      </c>
      <c r="BX38" s="20">
        <v>3</v>
      </c>
      <c r="BY38" s="21">
        <v>19</v>
      </c>
      <c r="BZ38" s="21">
        <v>8</v>
      </c>
      <c r="CA38" s="23">
        <v>187.2</v>
      </c>
      <c r="CB38" s="15">
        <v>34</v>
      </c>
      <c r="CC38" s="15">
        <v>2</v>
      </c>
      <c r="CD38" s="20">
        <v>1</v>
      </c>
      <c r="CE38" s="15">
        <v>32</v>
      </c>
      <c r="CF38" s="21">
        <v>32</v>
      </c>
      <c r="CG38" s="21">
        <v>12</v>
      </c>
      <c r="CH38" s="16">
        <f t="shared" si="27"/>
        <v>0.94117647058823528</v>
      </c>
      <c r="CI38" s="20">
        <v>35</v>
      </c>
      <c r="CJ38" s="21">
        <v>117</v>
      </c>
      <c r="CK38" s="21">
        <v>75</v>
      </c>
      <c r="CL38" s="15">
        <v>1</v>
      </c>
      <c r="CM38" s="15">
        <v>0</v>
      </c>
      <c r="CN38" s="15">
        <v>3</v>
      </c>
      <c r="CO38" s="15">
        <v>0</v>
      </c>
      <c r="CP38" s="15">
        <v>2</v>
      </c>
      <c r="CQ38" s="15">
        <v>0</v>
      </c>
      <c r="CR38" s="15">
        <v>6</v>
      </c>
      <c r="CS38" s="15">
        <v>1</v>
      </c>
      <c r="CT38" s="15">
        <v>3</v>
      </c>
      <c r="CU38" s="15">
        <v>0</v>
      </c>
      <c r="CV38" s="15">
        <v>9</v>
      </c>
      <c r="CW38" s="15">
        <v>1</v>
      </c>
      <c r="CX38" s="16">
        <f t="shared" si="28"/>
        <v>0.88888888888888884</v>
      </c>
    </row>
    <row r="39" spans="1:104" x14ac:dyDescent="0.25">
      <c r="A39" s="13">
        <v>35</v>
      </c>
      <c r="B39" s="13" t="s">
        <v>308</v>
      </c>
      <c r="C39" s="13" t="s">
        <v>309</v>
      </c>
      <c r="D39" s="13" t="s">
        <v>310</v>
      </c>
      <c r="E39" s="13" t="s">
        <v>124</v>
      </c>
      <c r="F39" s="13">
        <v>72</v>
      </c>
      <c r="G39" s="13">
        <v>218</v>
      </c>
      <c r="H39" s="13" t="s">
        <v>107</v>
      </c>
      <c r="I39" s="13"/>
      <c r="J39">
        <v>29</v>
      </c>
      <c r="K39" t="s">
        <v>311</v>
      </c>
      <c r="L39" t="s">
        <v>312</v>
      </c>
      <c r="M39" s="14" t="s">
        <v>280</v>
      </c>
      <c r="N39" s="15">
        <v>42</v>
      </c>
      <c r="O39" s="1">
        <v>42</v>
      </c>
      <c r="P39" s="15">
        <v>21</v>
      </c>
      <c r="Q39" s="15">
        <v>13</v>
      </c>
      <c r="R39" s="15">
        <v>7</v>
      </c>
      <c r="S39" s="15">
        <v>1129</v>
      </c>
      <c r="T39" s="15">
        <v>87</v>
      </c>
      <c r="U39" s="15">
        <v>1042</v>
      </c>
      <c r="V39" s="2">
        <f t="shared" si="21"/>
        <v>2.134329171891185</v>
      </c>
      <c r="W39" s="16">
        <f t="shared" si="22"/>
        <v>0.92294065544729853</v>
      </c>
      <c r="X39" s="15">
        <v>0</v>
      </c>
      <c r="Y39" s="15">
        <v>1</v>
      </c>
      <c r="Z39" s="15">
        <v>0</v>
      </c>
      <c r="AA39" s="17">
        <f>2445+44/60</f>
        <v>2445.7333333333331</v>
      </c>
      <c r="AB39" s="1">
        <v>5</v>
      </c>
      <c r="AC39" s="15">
        <v>3</v>
      </c>
      <c r="AD39" s="15">
        <v>0</v>
      </c>
      <c r="AE39" s="1">
        <v>87</v>
      </c>
      <c r="AF39" s="1">
        <v>1042</v>
      </c>
      <c r="AG39" s="1">
        <v>2447</v>
      </c>
      <c r="AH39" s="1">
        <v>28</v>
      </c>
      <c r="AI39" s="1">
        <v>7</v>
      </c>
      <c r="AJ39" s="16">
        <f t="shared" si="18"/>
        <v>0.92294065544729853</v>
      </c>
      <c r="AK39" s="2">
        <f t="shared" si="19"/>
        <v>2.1332243563547202</v>
      </c>
      <c r="AL39" s="18">
        <f t="shared" si="20"/>
        <v>0.66666666666666663</v>
      </c>
      <c r="AM39" s="1">
        <v>0</v>
      </c>
      <c r="AN39" s="1">
        <v>0</v>
      </c>
      <c r="AO39" s="1">
        <v>0</v>
      </c>
      <c r="AP39" s="1">
        <v>0</v>
      </c>
      <c r="AQ39" s="2">
        <v>0</v>
      </c>
      <c r="AR39" s="16">
        <v>0</v>
      </c>
      <c r="AS39" s="1" t="s">
        <v>128</v>
      </c>
      <c r="AT39" s="1" t="s">
        <v>129</v>
      </c>
      <c r="AU39" s="1">
        <v>2013</v>
      </c>
      <c r="AV39" s="19">
        <v>2250000</v>
      </c>
      <c r="AW39" s="19">
        <v>2250000</v>
      </c>
      <c r="AX39">
        <v>21.5</v>
      </c>
      <c r="AY39">
        <v>0.4</v>
      </c>
      <c r="AZ39">
        <v>-1.1000000000000001</v>
      </c>
      <c r="BA39">
        <v>20.8</v>
      </c>
      <c r="BB39" s="4">
        <f t="shared" si="23"/>
        <v>17.726829268292683</v>
      </c>
      <c r="BC39" s="4">
        <v>8.4</v>
      </c>
      <c r="BD39" s="6">
        <v>1884.12</v>
      </c>
      <c r="BE39" s="15">
        <v>905</v>
      </c>
      <c r="BF39" s="15">
        <v>57</v>
      </c>
      <c r="BG39" s="20">
        <v>55</v>
      </c>
      <c r="BH39" s="15">
        <v>848</v>
      </c>
      <c r="BI39" s="21">
        <v>829</v>
      </c>
      <c r="BJ39" s="21">
        <v>270</v>
      </c>
      <c r="BK39" s="16">
        <f t="shared" si="24"/>
        <v>0.93701657458563536</v>
      </c>
      <c r="BL39" s="20">
        <v>65</v>
      </c>
      <c r="BM39" s="22">
        <f t="shared" si="25"/>
        <v>2.0699318514744283</v>
      </c>
      <c r="BN39" s="21">
        <v>845</v>
      </c>
      <c r="BO39" s="21">
        <v>364</v>
      </c>
      <c r="BP39" s="23">
        <v>217.14</v>
      </c>
      <c r="BQ39" s="15">
        <v>183</v>
      </c>
      <c r="BR39" s="15">
        <v>25</v>
      </c>
      <c r="BS39" s="20">
        <v>22</v>
      </c>
      <c r="BT39" s="15">
        <v>158</v>
      </c>
      <c r="BU39" s="21">
        <v>155</v>
      </c>
      <c r="BV39" s="21">
        <v>70</v>
      </c>
      <c r="BW39" s="16">
        <f t="shared" si="26"/>
        <v>0.86338797814207646</v>
      </c>
      <c r="BX39" s="20">
        <v>2</v>
      </c>
      <c r="BY39" s="21">
        <v>21</v>
      </c>
      <c r="BZ39" s="21">
        <v>13</v>
      </c>
      <c r="CA39" s="23">
        <v>251.16</v>
      </c>
      <c r="CB39" s="15">
        <v>41</v>
      </c>
      <c r="CC39" s="15">
        <v>5</v>
      </c>
      <c r="CD39" s="20">
        <v>5</v>
      </c>
      <c r="CE39" s="15">
        <v>36</v>
      </c>
      <c r="CF39" s="21">
        <v>36</v>
      </c>
      <c r="CG39" s="21">
        <v>10</v>
      </c>
      <c r="CH39" s="16">
        <f t="shared" si="27"/>
        <v>0.87804878048780488</v>
      </c>
      <c r="CI39" s="20">
        <v>28</v>
      </c>
      <c r="CJ39" s="21">
        <v>176</v>
      </c>
      <c r="CK39" s="21">
        <v>96</v>
      </c>
      <c r="CL39" s="15">
        <v>0</v>
      </c>
      <c r="CM39" s="15">
        <v>3</v>
      </c>
      <c r="CN39" s="15">
        <v>7</v>
      </c>
      <c r="CO39" s="15">
        <v>5</v>
      </c>
      <c r="CP39" s="15">
        <v>1</v>
      </c>
      <c r="CQ39" s="15">
        <v>2</v>
      </c>
      <c r="CR39" s="15">
        <v>12</v>
      </c>
      <c r="CS39" s="15">
        <v>3</v>
      </c>
      <c r="CT39" s="15">
        <v>1</v>
      </c>
      <c r="CU39" s="15">
        <v>5</v>
      </c>
      <c r="CV39" s="15">
        <v>19</v>
      </c>
      <c r="CW39" s="15">
        <v>8</v>
      </c>
      <c r="CX39" s="16">
        <f t="shared" si="28"/>
        <v>0.57894736842105265</v>
      </c>
    </row>
    <row r="40" spans="1:104" x14ac:dyDescent="0.25">
      <c r="A40" s="13">
        <v>33</v>
      </c>
      <c r="B40" s="13" t="s">
        <v>313</v>
      </c>
      <c r="C40" s="13" t="s">
        <v>314</v>
      </c>
      <c r="D40" s="13" t="s">
        <v>220</v>
      </c>
      <c r="E40" s="13" t="s">
        <v>117</v>
      </c>
      <c r="F40" s="13">
        <v>73</v>
      </c>
      <c r="G40" s="13">
        <v>195</v>
      </c>
      <c r="H40" s="13" t="s">
        <v>107</v>
      </c>
      <c r="I40" s="13"/>
      <c r="J40">
        <v>28</v>
      </c>
      <c r="K40" t="s">
        <v>315</v>
      </c>
      <c r="L40" t="s">
        <v>316</v>
      </c>
      <c r="M40" s="14" t="s">
        <v>194</v>
      </c>
      <c r="N40" s="15">
        <v>1</v>
      </c>
      <c r="O40" s="1">
        <v>1</v>
      </c>
      <c r="P40" s="15">
        <v>0</v>
      </c>
      <c r="Q40" s="15">
        <v>1</v>
      </c>
      <c r="R40" s="15">
        <v>0</v>
      </c>
      <c r="S40" s="15">
        <v>28</v>
      </c>
      <c r="T40" s="15">
        <v>3</v>
      </c>
      <c r="U40" s="15">
        <v>25</v>
      </c>
      <c r="V40" s="2">
        <f t="shared" si="21"/>
        <v>3.0646992054483539</v>
      </c>
      <c r="W40" s="16">
        <f t="shared" si="22"/>
        <v>0.8928571428571429</v>
      </c>
      <c r="X40" s="15">
        <v>0</v>
      </c>
      <c r="Y40" s="15">
        <v>0</v>
      </c>
      <c r="Z40" s="15">
        <v>0</v>
      </c>
      <c r="AA40" s="17">
        <f>58+44/60</f>
        <v>58.733333333333334</v>
      </c>
      <c r="AB40" s="1">
        <v>0</v>
      </c>
      <c r="AC40" s="15">
        <v>0</v>
      </c>
      <c r="AD40" s="15">
        <v>0</v>
      </c>
      <c r="AE40" s="1">
        <v>3</v>
      </c>
      <c r="AF40" s="1">
        <v>25</v>
      </c>
      <c r="AG40" s="1">
        <v>59</v>
      </c>
      <c r="AH40" s="1">
        <v>0</v>
      </c>
      <c r="AI40" s="1">
        <v>0</v>
      </c>
      <c r="AJ40" s="16">
        <f t="shared" si="18"/>
        <v>0.8928571428571429</v>
      </c>
      <c r="AK40" s="2">
        <f t="shared" si="19"/>
        <v>3.050847457627119</v>
      </c>
      <c r="AL40" s="18">
        <f t="shared" si="20"/>
        <v>0</v>
      </c>
      <c r="AM40" s="1">
        <v>0</v>
      </c>
      <c r="AN40" s="1">
        <v>0</v>
      </c>
      <c r="AO40" s="1">
        <v>0</v>
      </c>
      <c r="AP40" s="1">
        <v>0</v>
      </c>
      <c r="AQ40" s="2">
        <v>0</v>
      </c>
      <c r="AR40" s="16">
        <v>0</v>
      </c>
      <c r="AS40" s="1" t="s">
        <v>128</v>
      </c>
      <c r="AT40" s="1" t="s">
        <v>129</v>
      </c>
      <c r="AU40" s="1">
        <v>2013</v>
      </c>
      <c r="AV40" s="19">
        <v>525000</v>
      </c>
      <c r="AW40" s="5">
        <v>525000</v>
      </c>
      <c r="AX40">
        <v>-0.30000000000000004</v>
      </c>
      <c r="AY40">
        <v>0</v>
      </c>
      <c r="AZ40">
        <v>0</v>
      </c>
      <c r="BA40">
        <v>-0.30000000000000004</v>
      </c>
      <c r="BB40" s="4">
        <f t="shared" si="23"/>
        <v>-0.34390243902439027</v>
      </c>
      <c r="BC40" s="4">
        <v>0.1</v>
      </c>
      <c r="BD40" s="6">
        <v>50.73</v>
      </c>
      <c r="BE40" s="15">
        <v>23</v>
      </c>
      <c r="BF40" s="15">
        <v>3</v>
      </c>
      <c r="BG40" s="20">
        <v>3</v>
      </c>
      <c r="BH40" s="15">
        <v>20</v>
      </c>
      <c r="BI40" s="21">
        <v>20</v>
      </c>
      <c r="BJ40" s="21">
        <v>13</v>
      </c>
      <c r="BK40" s="16">
        <f t="shared" si="24"/>
        <v>0.86956521739130432</v>
      </c>
      <c r="BL40" s="20">
        <v>1</v>
      </c>
      <c r="BM40" s="22">
        <f t="shared" si="25"/>
        <v>1.1827321111768185</v>
      </c>
      <c r="BN40" s="21">
        <v>20</v>
      </c>
      <c r="BO40" s="21">
        <v>10</v>
      </c>
      <c r="BP40" s="23">
        <v>4</v>
      </c>
      <c r="BQ40" s="15">
        <v>5</v>
      </c>
      <c r="BR40" s="15">
        <v>0</v>
      </c>
      <c r="BS40" s="20">
        <v>0</v>
      </c>
      <c r="BT40" s="15">
        <v>5</v>
      </c>
      <c r="BU40" s="21">
        <v>5</v>
      </c>
      <c r="BV40" s="21">
        <v>2</v>
      </c>
      <c r="BW40" s="16">
        <f t="shared" si="26"/>
        <v>1</v>
      </c>
      <c r="BX40" s="20">
        <v>0</v>
      </c>
      <c r="BY40" s="21">
        <v>0</v>
      </c>
      <c r="BZ40" s="21">
        <v>0</v>
      </c>
      <c r="CA40" s="23">
        <v>4</v>
      </c>
      <c r="CB40" s="15">
        <v>0</v>
      </c>
      <c r="CC40" s="15">
        <v>0</v>
      </c>
      <c r="CD40" s="20">
        <v>0</v>
      </c>
      <c r="CE40" s="15">
        <v>0</v>
      </c>
      <c r="CF40" s="21">
        <v>0</v>
      </c>
      <c r="CG40" s="21">
        <v>1</v>
      </c>
      <c r="CH40" s="16">
        <f t="shared" si="27"/>
        <v>0</v>
      </c>
      <c r="CI40" s="20">
        <v>0</v>
      </c>
      <c r="CJ40" s="21">
        <v>2</v>
      </c>
      <c r="CK40" s="21">
        <v>0</v>
      </c>
      <c r="CX40" s="16" t="str">
        <f t="shared" si="28"/>
        <v xml:space="preserve"> </v>
      </c>
    </row>
    <row r="41" spans="1:104" x14ac:dyDescent="0.25">
      <c r="A41" s="13">
        <v>37</v>
      </c>
      <c r="B41" s="13" t="s">
        <v>317</v>
      </c>
      <c r="C41" s="13" t="s">
        <v>318</v>
      </c>
      <c r="D41" s="13" t="s">
        <v>319</v>
      </c>
      <c r="E41" s="13" t="s">
        <v>117</v>
      </c>
      <c r="F41" s="13">
        <v>72</v>
      </c>
      <c r="G41" s="13">
        <v>177</v>
      </c>
      <c r="H41" s="13" t="s">
        <v>107</v>
      </c>
      <c r="I41" s="13" t="s">
        <v>108</v>
      </c>
      <c r="J41">
        <v>25</v>
      </c>
      <c r="K41" t="s">
        <v>320</v>
      </c>
      <c r="L41" t="s">
        <v>321</v>
      </c>
      <c r="M41" s="14" t="s">
        <v>322</v>
      </c>
      <c r="N41" s="15">
        <v>6</v>
      </c>
      <c r="O41" s="1">
        <v>5</v>
      </c>
      <c r="P41" s="15">
        <v>2</v>
      </c>
      <c r="Q41" s="15">
        <v>1</v>
      </c>
      <c r="R41" s="15">
        <v>1</v>
      </c>
      <c r="S41" s="15">
        <v>128</v>
      </c>
      <c r="T41" s="15">
        <v>15</v>
      </c>
      <c r="U41" s="15">
        <v>113</v>
      </c>
      <c r="V41" s="2">
        <f t="shared" si="21"/>
        <v>3.3325104912367318</v>
      </c>
      <c r="W41" s="16">
        <f t="shared" si="22"/>
        <v>0.8828125</v>
      </c>
      <c r="X41" s="15">
        <v>0</v>
      </c>
      <c r="Y41" s="15">
        <v>1</v>
      </c>
      <c r="Z41" s="15">
        <v>0</v>
      </c>
      <c r="AA41" s="17">
        <f>270+4/60</f>
        <v>270.06666666666666</v>
      </c>
      <c r="AB41" s="1">
        <v>0</v>
      </c>
      <c r="AC41" s="15">
        <v>0</v>
      </c>
      <c r="AD41" s="15">
        <v>0</v>
      </c>
      <c r="AE41" s="1">
        <v>15</v>
      </c>
      <c r="AF41" s="1">
        <v>107</v>
      </c>
      <c r="AG41" s="1">
        <v>250</v>
      </c>
      <c r="AH41" s="1">
        <v>1</v>
      </c>
      <c r="AI41" s="1">
        <v>2</v>
      </c>
      <c r="AJ41" s="16">
        <f t="shared" si="18"/>
        <v>0.87704918032786883</v>
      </c>
      <c r="AK41" s="2">
        <f t="shared" si="19"/>
        <v>3.5999999999999996</v>
      </c>
      <c r="AL41" s="18">
        <f t="shared" si="20"/>
        <v>0.2</v>
      </c>
      <c r="AM41" s="1">
        <v>1</v>
      </c>
      <c r="AN41" s="1">
        <v>0</v>
      </c>
      <c r="AO41" s="1">
        <v>6</v>
      </c>
      <c r="AP41" s="1">
        <v>20</v>
      </c>
      <c r="AQ41" s="2">
        <f>IF(AP41&gt;0,AN41/AP41*60," ")</f>
        <v>0</v>
      </c>
      <c r="AR41" s="16">
        <f>IF(AP41&gt;0,AO41/(AN41+AO41)," ")</f>
        <v>1</v>
      </c>
      <c r="AS41" s="1" t="s">
        <v>128</v>
      </c>
      <c r="AT41" s="1" t="s">
        <v>129</v>
      </c>
      <c r="AU41" s="1">
        <v>2013</v>
      </c>
      <c r="AV41" s="19">
        <v>687500</v>
      </c>
      <c r="AW41" s="5">
        <v>687500</v>
      </c>
      <c r="AX41">
        <v>-2.8</v>
      </c>
      <c r="AY41">
        <v>0</v>
      </c>
      <c r="AZ41">
        <v>-1.2</v>
      </c>
      <c r="BA41">
        <v>-3.9</v>
      </c>
      <c r="BB41" s="4">
        <f t="shared" si="23"/>
        <v>-4.229268292682927</v>
      </c>
      <c r="BC41" s="4">
        <v>0.30000000000000004</v>
      </c>
      <c r="BD41" s="6">
        <v>214.08</v>
      </c>
      <c r="BE41" s="15">
        <v>95</v>
      </c>
      <c r="BF41" s="15">
        <v>11</v>
      </c>
      <c r="BG41" s="20">
        <v>11</v>
      </c>
      <c r="BH41" s="15">
        <v>84</v>
      </c>
      <c r="BI41" s="21">
        <v>77</v>
      </c>
      <c r="BJ41" s="21">
        <v>34</v>
      </c>
      <c r="BK41" s="16">
        <f t="shared" si="24"/>
        <v>0.88421052631578945</v>
      </c>
      <c r="BL41" s="20">
        <v>9</v>
      </c>
      <c r="BM41" s="22">
        <f t="shared" si="25"/>
        <v>2.522421524663677</v>
      </c>
      <c r="BN41" s="21">
        <v>88</v>
      </c>
      <c r="BO41" s="21">
        <v>38</v>
      </c>
      <c r="BP41" s="23">
        <v>27.96</v>
      </c>
      <c r="BQ41" s="15">
        <v>31</v>
      </c>
      <c r="BR41" s="15">
        <v>4</v>
      </c>
      <c r="BS41" s="20">
        <v>4</v>
      </c>
      <c r="BT41" s="15">
        <v>27</v>
      </c>
      <c r="BU41" s="21">
        <v>25</v>
      </c>
      <c r="BV41" s="21">
        <v>5</v>
      </c>
      <c r="BW41" s="16">
        <f t="shared" si="26"/>
        <v>0.87096774193548387</v>
      </c>
      <c r="BX41" s="20">
        <v>0</v>
      </c>
      <c r="BY41" s="21">
        <v>1</v>
      </c>
      <c r="BZ41" s="21">
        <v>1</v>
      </c>
      <c r="CA41" s="23">
        <v>17.22</v>
      </c>
      <c r="CB41" s="15">
        <v>2</v>
      </c>
      <c r="CC41" s="15">
        <v>0</v>
      </c>
      <c r="CD41" s="20">
        <v>0</v>
      </c>
      <c r="CE41" s="15">
        <v>2</v>
      </c>
      <c r="CF41" s="21">
        <v>2</v>
      </c>
      <c r="CG41" s="21">
        <v>1</v>
      </c>
      <c r="CH41" s="16">
        <f t="shared" si="27"/>
        <v>1</v>
      </c>
      <c r="CI41" s="20">
        <v>4</v>
      </c>
      <c r="CJ41" s="21">
        <v>12</v>
      </c>
      <c r="CK41" s="21">
        <v>5</v>
      </c>
      <c r="CL41" s="15">
        <v>0</v>
      </c>
      <c r="CM41" s="15">
        <v>1</v>
      </c>
      <c r="CN41" s="15">
        <v>2</v>
      </c>
      <c r="CO41" s="15">
        <v>2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1</v>
      </c>
      <c r="CV41" s="15">
        <v>2</v>
      </c>
      <c r="CW41" s="15">
        <v>2</v>
      </c>
      <c r="CX41" s="16">
        <f t="shared" si="28"/>
        <v>0</v>
      </c>
    </row>
    <row r="42" spans="1:104" x14ac:dyDescent="0.25">
      <c r="A42" s="13">
        <v>31</v>
      </c>
      <c r="B42" s="13" t="s">
        <v>323</v>
      </c>
      <c r="C42" s="13" t="s">
        <v>324</v>
      </c>
      <c r="D42" s="13" t="s">
        <v>319</v>
      </c>
      <c r="E42" s="13" t="s">
        <v>117</v>
      </c>
      <c r="F42" s="13">
        <v>75</v>
      </c>
      <c r="G42" s="13">
        <v>195</v>
      </c>
      <c r="H42" s="13" t="s">
        <v>107</v>
      </c>
      <c r="I42" s="13"/>
      <c r="J42">
        <v>27</v>
      </c>
      <c r="K42" t="s">
        <v>325</v>
      </c>
      <c r="L42" t="s">
        <v>326</v>
      </c>
      <c r="M42" s="14" t="s">
        <v>327</v>
      </c>
      <c r="N42" s="15">
        <v>4</v>
      </c>
      <c r="O42" s="1">
        <v>4</v>
      </c>
      <c r="P42" s="15">
        <v>2</v>
      </c>
      <c r="Q42" s="15">
        <v>0</v>
      </c>
      <c r="R42" s="15">
        <v>2</v>
      </c>
      <c r="S42" s="15">
        <v>108</v>
      </c>
      <c r="T42" s="15">
        <v>5</v>
      </c>
      <c r="U42" s="15">
        <v>103</v>
      </c>
      <c r="V42" s="2">
        <f t="shared" si="21"/>
        <v>1.2164627965128068</v>
      </c>
      <c r="W42" s="16">
        <f t="shared" si="22"/>
        <v>0.95370370370370372</v>
      </c>
      <c r="X42" s="15">
        <v>0</v>
      </c>
      <c r="Y42" s="15">
        <v>0</v>
      </c>
      <c r="Z42" s="15">
        <v>0</v>
      </c>
      <c r="AA42" s="17">
        <f>246+37/60</f>
        <v>246.61666666666667</v>
      </c>
      <c r="AB42" s="1">
        <v>1</v>
      </c>
      <c r="AC42" s="15">
        <v>0</v>
      </c>
      <c r="AD42" s="15">
        <v>0</v>
      </c>
      <c r="AE42" s="1">
        <v>5</v>
      </c>
      <c r="AF42" s="1">
        <v>103</v>
      </c>
      <c r="AG42" s="1">
        <v>247</v>
      </c>
      <c r="AH42" s="1">
        <v>4</v>
      </c>
      <c r="AI42" s="1">
        <v>0</v>
      </c>
      <c r="AJ42" s="16">
        <f t="shared" si="18"/>
        <v>0.95370370370370372</v>
      </c>
      <c r="AK42" s="2">
        <f t="shared" si="19"/>
        <v>1.214574898785425</v>
      </c>
      <c r="AL42" s="18">
        <f t="shared" si="20"/>
        <v>1</v>
      </c>
      <c r="AM42" s="1">
        <v>0</v>
      </c>
      <c r="AN42" s="1">
        <v>0</v>
      </c>
      <c r="AO42" s="1">
        <v>0</v>
      </c>
      <c r="AP42" s="1">
        <v>0</v>
      </c>
      <c r="AQ42" s="2">
        <v>0</v>
      </c>
      <c r="AR42" s="16">
        <v>0</v>
      </c>
      <c r="AS42" s="1" t="s">
        <v>128</v>
      </c>
      <c r="AT42" s="1" t="s">
        <v>129</v>
      </c>
      <c r="AU42" s="1">
        <v>2013</v>
      </c>
      <c r="AV42" s="19">
        <v>600000</v>
      </c>
      <c r="AW42" s="19">
        <v>600000</v>
      </c>
      <c r="AX42">
        <v>5.4</v>
      </c>
      <c r="AY42">
        <v>0.1</v>
      </c>
      <c r="AZ42">
        <v>0.1</v>
      </c>
      <c r="BA42">
        <v>5.6</v>
      </c>
      <c r="BB42" s="4">
        <f t="shared" si="23"/>
        <v>5.4243902439024385</v>
      </c>
      <c r="BC42" s="4">
        <v>1.2</v>
      </c>
      <c r="BD42" s="6">
        <v>188.92</v>
      </c>
      <c r="BE42" s="15">
        <v>95</v>
      </c>
      <c r="BF42" s="15">
        <v>2</v>
      </c>
      <c r="BG42" s="20">
        <v>2</v>
      </c>
      <c r="BH42" s="15">
        <v>93</v>
      </c>
      <c r="BI42" s="21">
        <v>86</v>
      </c>
      <c r="BJ42" s="21">
        <v>46</v>
      </c>
      <c r="BK42" s="16">
        <f t="shared" si="24"/>
        <v>0.97894736842105268</v>
      </c>
      <c r="BL42" s="20">
        <v>7</v>
      </c>
      <c r="BM42" s="22">
        <f t="shared" si="25"/>
        <v>2.2231632437010376</v>
      </c>
      <c r="BN42" s="21">
        <v>85</v>
      </c>
      <c r="BO42" s="21">
        <v>39</v>
      </c>
      <c r="BP42" s="23">
        <v>20.399999999999999</v>
      </c>
      <c r="BQ42" s="15">
        <v>12</v>
      </c>
      <c r="BR42" s="15">
        <v>3</v>
      </c>
      <c r="BS42" s="20">
        <v>2</v>
      </c>
      <c r="BT42" s="15">
        <v>9</v>
      </c>
      <c r="BU42" s="21">
        <v>9</v>
      </c>
      <c r="BV42" s="21">
        <v>4</v>
      </c>
      <c r="BW42" s="16">
        <f t="shared" si="26"/>
        <v>0.75</v>
      </c>
      <c r="BX42" s="20">
        <v>0</v>
      </c>
      <c r="BY42" s="21">
        <v>4</v>
      </c>
      <c r="BZ42" s="21">
        <v>1</v>
      </c>
      <c r="CA42" s="23">
        <v>22.4</v>
      </c>
      <c r="CB42" s="15">
        <v>1</v>
      </c>
      <c r="CC42" s="15">
        <v>0</v>
      </c>
      <c r="CD42" s="20">
        <v>0</v>
      </c>
      <c r="CE42" s="15">
        <v>1</v>
      </c>
      <c r="CF42" s="21">
        <v>1</v>
      </c>
      <c r="CG42" s="21">
        <v>1</v>
      </c>
      <c r="CH42" s="16">
        <f t="shared" si="27"/>
        <v>1</v>
      </c>
      <c r="CI42" s="20">
        <v>1</v>
      </c>
      <c r="CJ42" s="21">
        <v>15</v>
      </c>
      <c r="CK42" s="21">
        <v>7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1</v>
      </c>
      <c r="CR42" s="15">
        <v>3</v>
      </c>
      <c r="CS42" s="15">
        <v>1</v>
      </c>
      <c r="CT42" s="15">
        <v>0</v>
      </c>
      <c r="CU42" s="15">
        <v>1</v>
      </c>
      <c r="CV42" s="15">
        <v>3</v>
      </c>
      <c r="CW42" s="15">
        <v>1</v>
      </c>
      <c r="CX42" s="16">
        <f t="shared" si="28"/>
        <v>0.66666666666666674</v>
      </c>
    </row>
    <row r="43" spans="1:104" x14ac:dyDescent="0.25">
      <c r="A43" s="13">
        <v>35</v>
      </c>
      <c r="B43" s="13" t="s">
        <v>328</v>
      </c>
      <c r="C43" s="13" t="s">
        <v>329</v>
      </c>
      <c r="D43" s="13"/>
      <c r="E43" s="13" t="s">
        <v>160</v>
      </c>
      <c r="F43" s="13">
        <v>73</v>
      </c>
      <c r="G43" s="13">
        <v>208</v>
      </c>
      <c r="H43" s="13"/>
      <c r="I43" s="13"/>
      <c r="J43">
        <v>40</v>
      </c>
      <c r="K43" t="s">
        <v>330</v>
      </c>
      <c r="L43" t="s">
        <v>331</v>
      </c>
      <c r="M43" s="14" t="s">
        <v>200</v>
      </c>
      <c r="N43" s="15">
        <v>12</v>
      </c>
      <c r="O43" s="1">
        <v>11</v>
      </c>
      <c r="P43" s="15">
        <v>4</v>
      </c>
      <c r="Q43" s="15">
        <v>6</v>
      </c>
      <c r="R43" s="15">
        <v>1</v>
      </c>
      <c r="S43" s="15">
        <v>376</v>
      </c>
      <c r="T43" s="15">
        <v>29</v>
      </c>
      <c r="U43" s="15">
        <v>347</v>
      </c>
      <c r="V43" s="2">
        <f t="shared" si="21"/>
        <v>2.545286100884999</v>
      </c>
      <c r="W43" s="16">
        <f t="shared" si="22"/>
        <v>0.9228723404255319</v>
      </c>
      <c r="X43" s="15">
        <v>0</v>
      </c>
      <c r="Y43" s="15">
        <v>0</v>
      </c>
      <c r="Z43" s="15">
        <v>0</v>
      </c>
      <c r="AA43" s="17">
        <f>683+37/60</f>
        <v>683.61666666666667</v>
      </c>
      <c r="AB43" s="1">
        <v>1</v>
      </c>
      <c r="AC43" s="15">
        <v>0</v>
      </c>
      <c r="AD43" s="15">
        <v>0</v>
      </c>
      <c r="AE43" s="1">
        <v>28</v>
      </c>
      <c r="AF43" s="1">
        <v>331</v>
      </c>
      <c r="AG43" s="1">
        <v>644</v>
      </c>
      <c r="AH43" s="1">
        <v>5</v>
      </c>
      <c r="AI43" s="1">
        <v>1</v>
      </c>
      <c r="AJ43" s="16">
        <f t="shared" si="18"/>
        <v>0.92200557103064062</v>
      </c>
      <c r="AK43" s="2">
        <f t="shared" si="19"/>
        <v>2.6086956521739131</v>
      </c>
      <c r="AL43" s="18">
        <f t="shared" si="20"/>
        <v>0.45454545454545453</v>
      </c>
      <c r="AM43" s="1">
        <v>1</v>
      </c>
      <c r="AN43" s="1">
        <v>1</v>
      </c>
      <c r="AO43" s="1">
        <v>16</v>
      </c>
      <c r="AP43" s="1">
        <v>40</v>
      </c>
      <c r="AQ43" s="2">
        <f>IF(AP43&gt;0,AN43/AP43*60," ")</f>
        <v>1.5</v>
      </c>
      <c r="AR43" s="16">
        <f>IF(AP43&gt;0,AO43/(AN43+AO43)," ")</f>
        <v>0.94117647058823528</v>
      </c>
      <c r="AS43" s="1" t="s">
        <v>128</v>
      </c>
      <c r="AT43" s="1" t="s">
        <v>129</v>
      </c>
      <c r="AU43" s="1">
        <v>2013</v>
      </c>
      <c r="AV43" s="19">
        <v>3750000</v>
      </c>
      <c r="AW43" s="5">
        <v>3750000</v>
      </c>
      <c r="AX43">
        <v>6.8</v>
      </c>
      <c r="AY43">
        <v>-0.60000000000000009</v>
      </c>
      <c r="AZ43">
        <v>0.7</v>
      </c>
      <c r="BA43">
        <v>6.9</v>
      </c>
      <c r="BB43" s="4">
        <f t="shared" si="23"/>
        <v>1.1926829268292698</v>
      </c>
      <c r="BC43" s="4">
        <v>2.8</v>
      </c>
      <c r="BD43" s="6">
        <v>538.08000000000004</v>
      </c>
      <c r="BE43" s="15">
        <v>318</v>
      </c>
      <c r="BF43" s="15">
        <v>21</v>
      </c>
      <c r="BG43" s="20">
        <v>20</v>
      </c>
      <c r="BH43" s="15">
        <v>297</v>
      </c>
      <c r="BI43" s="21">
        <v>283</v>
      </c>
      <c r="BJ43" s="21">
        <v>123</v>
      </c>
      <c r="BK43" s="16">
        <f t="shared" si="24"/>
        <v>0.93396226415094341</v>
      </c>
      <c r="BL43" s="20">
        <v>18</v>
      </c>
      <c r="BM43" s="22">
        <f t="shared" si="25"/>
        <v>2.007136485280999</v>
      </c>
      <c r="BN43" s="21">
        <v>211</v>
      </c>
      <c r="BO43" s="21">
        <v>85</v>
      </c>
      <c r="BP43" s="23">
        <v>67.2</v>
      </c>
      <c r="BQ43" s="15">
        <v>51</v>
      </c>
      <c r="BR43" s="15">
        <v>8</v>
      </c>
      <c r="BS43" s="20">
        <v>7</v>
      </c>
      <c r="BT43" s="15">
        <v>43</v>
      </c>
      <c r="BU43" s="21">
        <v>43</v>
      </c>
      <c r="BV43" s="21">
        <v>25</v>
      </c>
      <c r="BW43" s="16">
        <f t="shared" si="26"/>
        <v>0.84313725490196079</v>
      </c>
      <c r="BX43" s="20">
        <v>1</v>
      </c>
      <c r="BY43" s="21">
        <v>9</v>
      </c>
      <c r="BZ43" s="21">
        <v>2</v>
      </c>
      <c r="CA43" s="23">
        <v>55.92</v>
      </c>
      <c r="CB43" s="15">
        <v>7</v>
      </c>
      <c r="CC43" s="15">
        <v>0</v>
      </c>
      <c r="CD43" s="20">
        <v>0</v>
      </c>
      <c r="CE43" s="15">
        <v>7</v>
      </c>
      <c r="CF43" s="21">
        <v>7</v>
      </c>
      <c r="CG43" s="21">
        <v>1</v>
      </c>
      <c r="CH43" s="16">
        <f t="shared" si="27"/>
        <v>1</v>
      </c>
      <c r="CI43" s="20">
        <v>5</v>
      </c>
      <c r="CJ43" s="21">
        <v>36</v>
      </c>
      <c r="CK43" s="21">
        <v>11</v>
      </c>
      <c r="CL43" s="15">
        <v>1</v>
      </c>
      <c r="CM43" s="15">
        <v>0</v>
      </c>
      <c r="CN43" s="15">
        <v>2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1</v>
      </c>
      <c r="CU43" s="15">
        <v>0</v>
      </c>
      <c r="CV43" s="15">
        <v>2</v>
      </c>
      <c r="CW43" s="15">
        <v>0</v>
      </c>
      <c r="CX43" s="16">
        <f t="shared" si="28"/>
        <v>1</v>
      </c>
      <c r="CY43">
        <v>13</v>
      </c>
      <c r="CZ43" t="s">
        <v>332</v>
      </c>
    </row>
    <row r="44" spans="1:104" x14ac:dyDescent="0.25">
      <c r="A44" s="13">
        <v>35</v>
      </c>
      <c r="B44" s="13" t="s">
        <v>333</v>
      </c>
      <c r="C44" s="13" t="s">
        <v>334</v>
      </c>
      <c r="D44" s="13"/>
      <c r="E44" s="13" t="s">
        <v>335</v>
      </c>
      <c r="F44" s="13">
        <v>71</v>
      </c>
      <c r="G44" s="13">
        <v>203</v>
      </c>
      <c r="H44" s="13" t="s">
        <v>107</v>
      </c>
      <c r="I44" s="13"/>
      <c r="J44">
        <v>27</v>
      </c>
      <c r="K44" t="s">
        <v>336</v>
      </c>
      <c r="L44" t="s">
        <v>337</v>
      </c>
      <c r="M44" s="14" t="s">
        <v>338</v>
      </c>
      <c r="N44" s="15">
        <v>14</v>
      </c>
      <c r="O44" s="1">
        <v>14</v>
      </c>
      <c r="P44" s="15">
        <v>9</v>
      </c>
      <c r="Q44" s="15">
        <v>4</v>
      </c>
      <c r="R44" s="15">
        <v>1</v>
      </c>
      <c r="S44" s="15">
        <v>388</v>
      </c>
      <c r="T44" s="15">
        <v>31</v>
      </c>
      <c r="U44" s="15">
        <v>357</v>
      </c>
      <c r="V44" s="2">
        <f t="shared" si="21"/>
        <v>2.3163138231631382</v>
      </c>
      <c r="W44" s="16">
        <f t="shared" si="22"/>
        <v>0.92010309278350511</v>
      </c>
      <c r="X44" s="15">
        <v>0</v>
      </c>
      <c r="Y44" s="15">
        <v>0</v>
      </c>
      <c r="Z44" s="15">
        <v>4</v>
      </c>
      <c r="AA44" s="17">
        <v>803</v>
      </c>
      <c r="AB44" s="1">
        <v>1</v>
      </c>
      <c r="AC44" s="15">
        <v>0</v>
      </c>
      <c r="AD44" s="15">
        <v>0</v>
      </c>
      <c r="AE44" s="1">
        <v>31</v>
      </c>
      <c r="AF44" s="1">
        <v>357</v>
      </c>
      <c r="AG44" s="1">
        <v>803</v>
      </c>
      <c r="AH44" s="1">
        <v>8</v>
      </c>
      <c r="AI44" s="1">
        <v>3</v>
      </c>
      <c r="AJ44" s="16">
        <f t="shared" si="18"/>
        <v>0.92010309278350511</v>
      </c>
      <c r="AK44" s="2">
        <f t="shared" si="19"/>
        <v>2.3163138231631382</v>
      </c>
      <c r="AL44" s="18">
        <f t="shared" si="20"/>
        <v>0.5714285714285714</v>
      </c>
      <c r="AM44" s="1">
        <v>0</v>
      </c>
      <c r="AN44" s="1">
        <v>0</v>
      </c>
      <c r="AO44" s="1">
        <v>0</v>
      </c>
      <c r="AP44" s="1">
        <v>0</v>
      </c>
      <c r="AQ44" s="2">
        <v>0</v>
      </c>
      <c r="AR44" s="16">
        <v>0</v>
      </c>
      <c r="AS44" s="1" t="s">
        <v>128</v>
      </c>
      <c r="AT44" s="1" t="s">
        <v>129</v>
      </c>
      <c r="AU44" s="1">
        <v>2013</v>
      </c>
      <c r="AV44" s="19">
        <v>800000</v>
      </c>
      <c r="AW44" s="5">
        <v>875000</v>
      </c>
      <c r="AX44">
        <v>6.1</v>
      </c>
      <c r="AY44">
        <v>0</v>
      </c>
      <c r="AZ44">
        <v>0.1</v>
      </c>
      <c r="BA44">
        <v>6.2</v>
      </c>
      <c r="BB44" s="4">
        <f t="shared" si="23"/>
        <v>5.5414634146341468</v>
      </c>
      <c r="BC44" s="4">
        <v>2.8</v>
      </c>
      <c r="BD44" s="6">
        <v>637.14</v>
      </c>
      <c r="BE44" s="15">
        <v>311</v>
      </c>
      <c r="BF44" s="15">
        <v>26</v>
      </c>
      <c r="BG44" s="20">
        <v>25</v>
      </c>
      <c r="BH44" s="15">
        <v>285</v>
      </c>
      <c r="BI44" s="21">
        <v>275</v>
      </c>
      <c r="BJ44" s="21">
        <v>100</v>
      </c>
      <c r="BK44" s="16">
        <f t="shared" si="24"/>
        <v>0.91639871382636651</v>
      </c>
      <c r="BL44" s="20">
        <v>26</v>
      </c>
      <c r="BM44" s="22">
        <f t="shared" si="25"/>
        <v>2.4484414728317168</v>
      </c>
      <c r="BN44" s="21">
        <v>336</v>
      </c>
      <c r="BO44" s="21">
        <v>140</v>
      </c>
      <c r="BP44" s="23">
        <v>90.44</v>
      </c>
      <c r="BQ44" s="15">
        <v>66</v>
      </c>
      <c r="BR44" s="15">
        <v>4</v>
      </c>
      <c r="BS44" s="20">
        <v>4</v>
      </c>
      <c r="BT44" s="15">
        <v>62</v>
      </c>
      <c r="BU44" s="21">
        <v>58</v>
      </c>
      <c r="BV44" s="21">
        <v>34</v>
      </c>
      <c r="BW44" s="16">
        <f t="shared" si="26"/>
        <v>0.93939393939393945</v>
      </c>
      <c r="BX44" s="20">
        <v>3</v>
      </c>
      <c r="BY44" s="21">
        <v>19</v>
      </c>
      <c r="BZ44" s="21">
        <v>7</v>
      </c>
      <c r="CA44" s="23">
        <v>50.12</v>
      </c>
      <c r="CB44" s="15">
        <v>11</v>
      </c>
      <c r="CC44" s="15">
        <v>1</v>
      </c>
      <c r="CD44" s="20">
        <v>1</v>
      </c>
      <c r="CE44" s="15">
        <v>10</v>
      </c>
      <c r="CF44" s="21">
        <v>10</v>
      </c>
      <c r="CG44" s="21">
        <v>1</v>
      </c>
      <c r="CH44" s="16">
        <f t="shared" si="27"/>
        <v>0.90909090909090906</v>
      </c>
      <c r="CI44" s="20">
        <v>8</v>
      </c>
      <c r="CJ44" s="21">
        <v>26</v>
      </c>
      <c r="CK44" s="21">
        <v>12</v>
      </c>
      <c r="CL44" s="15">
        <v>0</v>
      </c>
      <c r="CM44" s="15">
        <v>1</v>
      </c>
      <c r="CN44" s="15">
        <v>3</v>
      </c>
      <c r="CO44" s="15">
        <v>1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1</v>
      </c>
      <c r="CV44" s="15">
        <v>3</v>
      </c>
      <c r="CW44" s="15">
        <v>1</v>
      </c>
      <c r="CX44" s="16">
        <f t="shared" si="28"/>
        <v>0.66666666666666674</v>
      </c>
    </row>
    <row r="45" spans="1:104" x14ac:dyDescent="0.25">
      <c r="A45" s="13">
        <v>35</v>
      </c>
      <c r="B45" s="13" t="s">
        <v>339</v>
      </c>
      <c r="C45" s="13" t="s">
        <v>340</v>
      </c>
      <c r="D45" s="13" t="s">
        <v>310</v>
      </c>
      <c r="E45" s="13" t="s">
        <v>124</v>
      </c>
      <c r="F45" s="13">
        <v>74</v>
      </c>
      <c r="G45" s="13">
        <v>190</v>
      </c>
      <c r="H45" s="13" t="s">
        <v>107</v>
      </c>
      <c r="I45" s="13" t="s">
        <v>108</v>
      </c>
      <c r="J45">
        <v>24</v>
      </c>
      <c r="K45" t="s">
        <v>341</v>
      </c>
      <c r="L45" t="s">
        <v>342</v>
      </c>
      <c r="M45" s="14" t="s">
        <v>173</v>
      </c>
      <c r="N45" s="15">
        <v>1</v>
      </c>
      <c r="O45" s="1">
        <v>0</v>
      </c>
      <c r="P45" s="15">
        <v>0</v>
      </c>
      <c r="Q45" s="15">
        <v>0</v>
      </c>
      <c r="R45" s="15">
        <v>0</v>
      </c>
      <c r="S45" s="15">
        <v>13</v>
      </c>
      <c r="T45" s="15">
        <v>1</v>
      </c>
      <c r="U45" s="15">
        <v>12</v>
      </c>
      <c r="V45" s="2">
        <f t="shared" si="21"/>
        <v>2.3300970873786406</v>
      </c>
      <c r="W45" s="16">
        <f t="shared" si="22"/>
        <v>0.92307692307692313</v>
      </c>
      <c r="X45" s="15">
        <v>0</v>
      </c>
      <c r="Y45" s="15">
        <v>0</v>
      </c>
      <c r="Z45" s="15">
        <v>0</v>
      </c>
      <c r="AA45" s="17">
        <f>25+45/60</f>
        <v>25.75</v>
      </c>
      <c r="AB45" s="1">
        <v>0</v>
      </c>
      <c r="AC45" s="15">
        <v>0</v>
      </c>
      <c r="AD45" s="15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6">
        <v>0</v>
      </c>
      <c r="AK45" s="2">
        <v>0</v>
      </c>
      <c r="AL45" s="18">
        <f>IF(O45&gt;0,AH45/O45,0)</f>
        <v>0</v>
      </c>
      <c r="AM45" s="1">
        <v>1</v>
      </c>
      <c r="AN45" s="1">
        <v>1</v>
      </c>
      <c r="AO45" s="1">
        <v>12</v>
      </c>
      <c r="AP45" s="1">
        <v>26</v>
      </c>
      <c r="AQ45" s="2">
        <f>IF(AP45&gt;0,AN45/AP45*60," ")</f>
        <v>2.3076923076923079</v>
      </c>
      <c r="AR45" s="16">
        <f>IF(AP45&gt;0,AO45/(AN45+AO45)," ")</f>
        <v>0.92307692307692313</v>
      </c>
      <c r="AS45" s="1" t="s">
        <v>112</v>
      </c>
      <c r="AT45" s="1" t="s">
        <v>113</v>
      </c>
      <c r="AU45" s="1">
        <v>2013</v>
      </c>
      <c r="AV45" s="19">
        <v>665000</v>
      </c>
      <c r="AW45" s="5">
        <v>900000</v>
      </c>
      <c r="AX45">
        <v>0.2</v>
      </c>
      <c r="AY45">
        <v>0</v>
      </c>
      <c r="AZ45">
        <v>0</v>
      </c>
      <c r="BA45">
        <v>0.2</v>
      </c>
      <c r="BB45" s="4">
        <f t="shared" si="23"/>
        <v>-0.5024390243902439</v>
      </c>
      <c r="BC45" s="4">
        <v>0.1</v>
      </c>
      <c r="BD45" s="6">
        <v>21.5</v>
      </c>
      <c r="BE45" s="15">
        <v>12</v>
      </c>
      <c r="BF45" s="15">
        <v>1</v>
      </c>
      <c r="BG45" s="20">
        <v>1</v>
      </c>
      <c r="BH45" s="15">
        <v>11</v>
      </c>
      <c r="BI45" s="21">
        <v>8</v>
      </c>
      <c r="BJ45" s="21">
        <v>0</v>
      </c>
      <c r="BK45" s="16">
        <f t="shared" si="24"/>
        <v>0.91666666666666663</v>
      </c>
      <c r="BL45" s="20">
        <v>0</v>
      </c>
      <c r="BM45" s="22">
        <f t="shared" si="25"/>
        <v>0</v>
      </c>
      <c r="BN45" s="21">
        <v>7</v>
      </c>
      <c r="BO45" s="21">
        <v>3</v>
      </c>
      <c r="BP45" s="23">
        <v>2</v>
      </c>
      <c r="BQ45" s="15">
        <v>1</v>
      </c>
      <c r="BR45" s="15">
        <v>0</v>
      </c>
      <c r="BS45" s="20">
        <v>0</v>
      </c>
      <c r="BT45" s="15">
        <v>1</v>
      </c>
      <c r="BU45" s="21">
        <v>1</v>
      </c>
      <c r="BV45" s="21">
        <v>0</v>
      </c>
      <c r="BW45" s="16">
        <f t="shared" si="26"/>
        <v>1</v>
      </c>
      <c r="BX45" s="20">
        <v>1</v>
      </c>
      <c r="BY45" s="21">
        <v>1</v>
      </c>
      <c r="BZ45" s="21">
        <v>0</v>
      </c>
      <c r="CA45" s="23">
        <v>0.25</v>
      </c>
      <c r="CB45" s="15">
        <v>0</v>
      </c>
      <c r="CC45" s="15">
        <v>0</v>
      </c>
      <c r="CD45" s="20">
        <v>0</v>
      </c>
      <c r="CE45" s="15">
        <v>0</v>
      </c>
      <c r="CF45" s="21">
        <v>0</v>
      </c>
      <c r="CG45" s="21">
        <v>0</v>
      </c>
      <c r="CH45" s="16">
        <f t="shared" si="27"/>
        <v>0</v>
      </c>
      <c r="CI45" s="20">
        <v>1</v>
      </c>
      <c r="CJ45" s="21">
        <v>3</v>
      </c>
      <c r="CK45" s="21">
        <v>0</v>
      </c>
      <c r="CX45" s="16" t="str">
        <f t="shared" si="28"/>
        <v xml:space="preserve"> </v>
      </c>
    </row>
    <row r="46" spans="1:104" x14ac:dyDescent="0.25">
      <c r="A46" s="13">
        <v>34</v>
      </c>
      <c r="B46" s="13" t="s">
        <v>343</v>
      </c>
      <c r="C46" s="13" t="s">
        <v>344</v>
      </c>
      <c r="D46" s="13"/>
      <c r="E46" s="13" t="s">
        <v>106</v>
      </c>
      <c r="F46" s="13">
        <v>73</v>
      </c>
      <c r="G46" s="13">
        <v>185</v>
      </c>
      <c r="H46" s="13" t="s">
        <v>107</v>
      </c>
      <c r="I46" s="13"/>
      <c r="J46">
        <v>37</v>
      </c>
      <c r="K46" t="s">
        <v>345</v>
      </c>
      <c r="L46" t="s">
        <v>346</v>
      </c>
      <c r="M46" s="14" t="s">
        <v>322</v>
      </c>
      <c r="N46" s="15">
        <v>24</v>
      </c>
      <c r="O46" s="1">
        <v>24</v>
      </c>
      <c r="P46" s="15">
        <v>8</v>
      </c>
      <c r="Q46" s="15">
        <v>14</v>
      </c>
      <c r="R46" s="15">
        <v>2</v>
      </c>
      <c r="S46" s="15">
        <v>650</v>
      </c>
      <c r="T46" s="15">
        <v>77</v>
      </c>
      <c r="U46" s="15">
        <v>573</v>
      </c>
      <c r="V46" s="2">
        <f t="shared" si="21"/>
        <v>3.4372868745737493</v>
      </c>
      <c r="W46" s="16">
        <f t="shared" si="22"/>
        <v>0.88153846153846149</v>
      </c>
      <c r="X46" s="15">
        <v>0</v>
      </c>
      <c r="Y46" s="15">
        <v>1</v>
      </c>
      <c r="Z46" s="15">
        <v>0</v>
      </c>
      <c r="AA46" s="17">
        <f>1344+5/60</f>
        <v>1344.0833333333333</v>
      </c>
      <c r="AB46" s="1">
        <v>0</v>
      </c>
      <c r="AC46" s="15">
        <v>0</v>
      </c>
      <c r="AD46" s="15">
        <v>0</v>
      </c>
      <c r="AE46" s="1">
        <v>77</v>
      </c>
      <c r="AF46" s="1">
        <v>573</v>
      </c>
      <c r="AG46" s="1">
        <v>1343</v>
      </c>
      <c r="AH46" s="1">
        <v>9</v>
      </c>
      <c r="AI46" s="1">
        <v>9</v>
      </c>
      <c r="AJ46" s="16">
        <f t="shared" ref="AJ46:AJ73" si="29">AF46/(AE46+AF46)</f>
        <v>0.88153846153846149</v>
      </c>
      <c r="AK46" s="2">
        <f t="shared" ref="AK46:AK73" si="30">AE46/AG46*60</f>
        <v>3.44005956813105</v>
      </c>
      <c r="AL46" s="18">
        <f t="shared" ref="AL46:AL73" si="31">IF(O46&gt;0,AH46/O46,"0_")</f>
        <v>0.375</v>
      </c>
      <c r="AM46" s="1">
        <v>0</v>
      </c>
      <c r="AN46" s="1">
        <v>0</v>
      </c>
      <c r="AO46" s="1">
        <v>0</v>
      </c>
      <c r="AP46" s="1">
        <v>0</v>
      </c>
      <c r="AQ46" s="2">
        <v>0</v>
      </c>
      <c r="AR46" s="16">
        <v>0</v>
      </c>
      <c r="AS46" s="1" t="s">
        <v>128</v>
      </c>
      <c r="AT46" s="1" t="s">
        <v>129</v>
      </c>
      <c r="AU46" s="1">
        <v>2014</v>
      </c>
      <c r="AV46" s="19">
        <v>5000000</v>
      </c>
      <c r="AW46" s="5">
        <v>5833333</v>
      </c>
      <c r="AX46">
        <v>-15</v>
      </c>
      <c r="AY46">
        <v>0</v>
      </c>
      <c r="AZ46">
        <v>-0.5</v>
      </c>
      <c r="BA46">
        <v>-15.4</v>
      </c>
      <c r="BB46" s="4">
        <f t="shared" si="23"/>
        <v>-24.765853073170732</v>
      </c>
      <c r="BC46" s="4">
        <v>1.6</v>
      </c>
      <c r="BD46" s="6">
        <v>1101.5999999999999</v>
      </c>
      <c r="BE46" s="15">
        <v>557</v>
      </c>
      <c r="BF46" s="15">
        <v>62</v>
      </c>
      <c r="BG46" s="20">
        <v>62</v>
      </c>
      <c r="BH46" s="15">
        <v>495</v>
      </c>
      <c r="BI46" s="21">
        <v>483</v>
      </c>
      <c r="BJ46" s="21">
        <v>241</v>
      </c>
      <c r="BK46" s="16">
        <f t="shared" si="24"/>
        <v>0.88868940754039494</v>
      </c>
      <c r="BL46" s="20">
        <v>40</v>
      </c>
      <c r="BM46" s="22">
        <f t="shared" si="25"/>
        <v>2.1786492374727668</v>
      </c>
      <c r="BN46" s="21">
        <v>465</v>
      </c>
      <c r="BO46" s="21">
        <v>204</v>
      </c>
      <c r="BP46" s="23">
        <v>105.6</v>
      </c>
      <c r="BQ46" s="15">
        <v>82</v>
      </c>
      <c r="BR46" s="15">
        <v>14</v>
      </c>
      <c r="BS46" s="20">
        <v>13</v>
      </c>
      <c r="BT46" s="15">
        <v>68</v>
      </c>
      <c r="BU46" s="21">
        <v>68</v>
      </c>
      <c r="BV46" s="21">
        <v>32</v>
      </c>
      <c r="BW46" s="16">
        <f t="shared" si="26"/>
        <v>0.82926829268292679</v>
      </c>
      <c r="BX46" s="20">
        <v>4</v>
      </c>
      <c r="BY46" s="21">
        <v>7</v>
      </c>
      <c r="BZ46" s="21">
        <v>5</v>
      </c>
      <c r="CA46" s="23">
        <v>105.12</v>
      </c>
      <c r="CB46" s="15">
        <v>11</v>
      </c>
      <c r="CC46" s="15">
        <v>1</v>
      </c>
      <c r="CD46" s="20">
        <v>1</v>
      </c>
      <c r="CE46" s="15">
        <v>10</v>
      </c>
      <c r="CF46" s="21">
        <v>10</v>
      </c>
      <c r="CG46" s="21">
        <v>3</v>
      </c>
      <c r="CH46" s="16">
        <f t="shared" si="27"/>
        <v>0.90909090909090906</v>
      </c>
      <c r="CI46" s="20">
        <v>11</v>
      </c>
      <c r="CJ46" s="21">
        <v>61</v>
      </c>
      <c r="CK46" s="21">
        <v>25</v>
      </c>
      <c r="CL46" s="15">
        <v>0</v>
      </c>
      <c r="CM46" s="15">
        <v>1</v>
      </c>
      <c r="CN46" s="15">
        <v>2</v>
      </c>
      <c r="CO46" s="15">
        <v>1</v>
      </c>
      <c r="CP46" s="15">
        <v>0</v>
      </c>
      <c r="CQ46" s="15">
        <v>1</v>
      </c>
      <c r="CR46" s="15">
        <v>5</v>
      </c>
      <c r="CS46" s="15">
        <v>2</v>
      </c>
      <c r="CT46" s="15">
        <v>0</v>
      </c>
      <c r="CU46" s="15">
        <v>2</v>
      </c>
      <c r="CV46" s="15">
        <v>7</v>
      </c>
      <c r="CW46" s="15">
        <v>3</v>
      </c>
      <c r="CX46" s="16">
        <f t="shared" si="28"/>
        <v>0.5714285714285714</v>
      </c>
      <c r="CY46">
        <v>13</v>
      </c>
      <c r="CZ46" t="s">
        <v>347</v>
      </c>
    </row>
    <row r="47" spans="1:104" x14ac:dyDescent="0.25">
      <c r="A47" s="13">
        <v>35</v>
      </c>
      <c r="B47" s="13" t="s">
        <v>348</v>
      </c>
      <c r="C47" s="13" t="s">
        <v>223</v>
      </c>
      <c r="D47" s="13" t="s">
        <v>215</v>
      </c>
      <c r="E47" s="13" t="s">
        <v>117</v>
      </c>
      <c r="F47" s="13">
        <v>77</v>
      </c>
      <c r="G47" s="13">
        <v>207</v>
      </c>
      <c r="H47" s="13" t="s">
        <v>107</v>
      </c>
      <c r="I47" s="13" t="s">
        <v>108</v>
      </c>
      <c r="J47">
        <v>23</v>
      </c>
      <c r="K47" t="s">
        <v>349</v>
      </c>
      <c r="L47" t="s">
        <v>350</v>
      </c>
      <c r="M47" s="14" t="s">
        <v>26</v>
      </c>
      <c r="N47" s="15">
        <v>6</v>
      </c>
      <c r="O47" s="1">
        <v>3</v>
      </c>
      <c r="P47" s="15">
        <v>1</v>
      </c>
      <c r="Q47" s="15">
        <v>2</v>
      </c>
      <c r="R47" s="15">
        <v>0</v>
      </c>
      <c r="S47" s="15">
        <v>119</v>
      </c>
      <c r="T47" s="15">
        <v>10</v>
      </c>
      <c r="U47" s="15">
        <v>109</v>
      </c>
      <c r="V47" s="2">
        <f t="shared" si="21"/>
        <v>2.0811654526534857</v>
      </c>
      <c r="W47" s="16">
        <f t="shared" si="22"/>
        <v>0.91596638655462181</v>
      </c>
      <c r="X47" s="15">
        <v>0</v>
      </c>
      <c r="Y47" s="15">
        <v>0</v>
      </c>
      <c r="Z47" s="15">
        <v>0</v>
      </c>
      <c r="AA47" s="17">
        <f>288+18/60</f>
        <v>288.3</v>
      </c>
      <c r="AB47" s="1">
        <v>0</v>
      </c>
      <c r="AC47" s="15">
        <v>0</v>
      </c>
      <c r="AD47" s="15">
        <v>0</v>
      </c>
      <c r="AE47" s="1">
        <v>7</v>
      </c>
      <c r="AF47" s="1">
        <v>83</v>
      </c>
      <c r="AG47" s="1">
        <v>177</v>
      </c>
      <c r="AH47" s="1">
        <v>2</v>
      </c>
      <c r="AI47" s="1">
        <v>0</v>
      </c>
      <c r="AJ47" s="16">
        <f t="shared" si="29"/>
        <v>0.92222222222222228</v>
      </c>
      <c r="AK47" s="2">
        <f t="shared" si="30"/>
        <v>2.3728813559322037</v>
      </c>
      <c r="AL47" s="18">
        <f t="shared" si="31"/>
        <v>0.66666666666666663</v>
      </c>
      <c r="AM47" s="1">
        <v>3</v>
      </c>
      <c r="AN47" s="1">
        <v>3</v>
      </c>
      <c r="AO47" s="1">
        <v>26</v>
      </c>
      <c r="AP47" s="1">
        <v>112</v>
      </c>
      <c r="AQ47" s="2">
        <f>IF(AP47&gt;0,AN47/AP47*60," ")</f>
        <v>1.607142857142857</v>
      </c>
      <c r="AR47" s="16">
        <f>IF(AP47&gt;0,AO47/(AN47+AO47)," ")</f>
        <v>0.89655172413793105</v>
      </c>
      <c r="AS47" s="1" t="s">
        <v>112</v>
      </c>
      <c r="AT47" s="1" t="s">
        <v>113</v>
      </c>
      <c r="AU47" s="1">
        <v>2014</v>
      </c>
      <c r="AV47" s="19">
        <v>740000</v>
      </c>
      <c r="AW47" s="5">
        <v>900000</v>
      </c>
      <c r="AX47">
        <v>1.4</v>
      </c>
      <c r="AY47">
        <v>0.30000000000000004</v>
      </c>
      <c r="AZ47">
        <v>0</v>
      </c>
      <c r="BA47">
        <v>1.6</v>
      </c>
      <c r="BB47" s="4">
        <f t="shared" si="23"/>
        <v>0.89756097560975623</v>
      </c>
      <c r="BC47" s="4">
        <v>0.8</v>
      </c>
      <c r="BD47" s="6">
        <v>243.78</v>
      </c>
      <c r="BE47" s="15">
        <v>106</v>
      </c>
      <c r="BF47" s="15">
        <v>9</v>
      </c>
      <c r="BG47" s="20">
        <v>9</v>
      </c>
      <c r="BH47" s="15">
        <v>97</v>
      </c>
      <c r="BI47" s="21">
        <v>95</v>
      </c>
      <c r="BJ47" s="21">
        <v>53</v>
      </c>
      <c r="BK47" s="16">
        <f t="shared" si="24"/>
        <v>0.91509433962264153</v>
      </c>
      <c r="BL47" s="20">
        <v>6</v>
      </c>
      <c r="BM47" s="22">
        <f t="shared" si="25"/>
        <v>1.4767413241447207</v>
      </c>
      <c r="BN47" s="21">
        <v>100</v>
      </c>
      <c r="BO47" s="21">
        <v>36</v>
      </c>
      <c r="BP47" s="23">
        <v>19.920000000000002</v>
      </c>
      <c r="BQ47" s="15">
        <v>12</v>
      </c>
      <c r="BR47" s="15">
        <v>1</v>
      </c>
      <c r="BS47" s="20">
        <v>1</v>
      </c>
      <c r="BT47" s="15">
        <v>11</v>
      </c>
      <c r="BU47" s="21">
        <v>11</v>
      </c>
      <c r="BV47" s="21">
        <v>6</v>
      </c>
      <c r="BW47" s="16">
        <f t="shared" si="26"/>
        <v>0.91666666666666663</v>
      </c>
      <c r="BX47" s="20">
        <v>0</v>
      </c>
      <c r="BY47" s="21">
        <v>2</v>
      </c>
      <c r="BZ47" s="21">
        <v>1</v>
      </c>
      <c r="CA47" s="23">
        <v>22.62</v>
      </c>
      <c r="CB47" s="15">
        <v>1</v>
      </c>
      <c r="CC47" s="15">
        <v>0</v>
      </c>
      <c r="CD47" s="20">
        <v>0</v>
      </c>
      <c r="CE47" s="15">
        <v>1</v>
      </c>
      <c r="CF47" s="21">
        <v>1</v>
      </c>
      <c r="CG47" s="21">
        <v>1</v>
      </c>
      <c r="CH47" s="16">
        <f t="shared" si="27"/>
        <v>1</v>
      </c>
      <c r="CI47" s="20">
        <v>2</v>
      </c>
      <c r="CJ47" s="21">
        <v>16</v>
      </c>
      <c r="CK47" s="21">
        <v>6</v>
      </c>
      <c r="CX47" s="16" t="str">
        <f t="shared" si="28"/>
        <v xml:space="preserve"> </v>
      </c>
      <c r="CY47">
        <v>3</v>
      </c>
      <c r="CZ47" t="s">
        <v>281</v>
      </c>
    </row>
    <row r="48" spans="1:104" x14ac:dyDescent="0.25">
      <c r="A48" s="13">
        <v>1</v>
      </c>
      <c r="B48" s="13" t="s">
        <v>351</v>
      </c>
      <c r="C48" s="13" t="s">
        <v>352</v>
      </c>
      <c r="D48" s="13" t="s">
        <v>353</v>
      </c>
      <c r="E48" s="13" t="s">
        <v>117</v>
      </c>
      <c r="F48" s="13">
        <v>75</v>
      </c>
      <c r="G48" s="13">
        <v>230</v>
      </c>
      <c r="H48" s="13" t="s">
        <v>107</v>
      </c>
      <c r="I48" s="13"/>
      <c r="J48">
        <v>33</v>
      </c>
      <c r="K48" t="s">
        <v>354</v>
      </c>
      <c r="L48" t="s">
        <v>355</v>
      </c>
      <c r="M48" s="14" t="s">
        <v>327</v>
      </c>
      <c r="N48" s="15">
        <v>15</v>
      </c>
      <c r="O48" s="1">
        <v>10</v>
      </c>
      <c r="P48" s="15">
        <v>4</v>
      </c>
      <c r="Q48" s="15">
        <v>6</v>
      </c>
      <c r="R48" s="15">
        <v>2</v>
      </c>
      <c r="S48" s="15">
        <v>418</v>
      </c>
      <c r="T48" s="15">
        <v>32</v>
      </c>
      <c r="U48" s="15">
        <v>386</v>
      </c>
      <c r="V48" s="2">
        <f t="shared" si="21"/>
        <v>2.6449316955573416</v>
      </c>
      <c r="W48" s="16">
        <f t="shared" si="22"/>
        <v>0.92344497607655507</v>
      </c>
      <c r="X48" s="15">
        <v>0</v>
      </c>
      <c r="Y48" s="15">
        <v>0</v>
      </c>
      <c r="Z48" s="15">
        <v>0</v>
      </c>
      <c r="AA48" s="17">
        <f>725+55/60</f>
        <v>725.91666666666663</v>
      </c>
      <c r="AB48" s="1">
        <v>0</v>
      </c>
      <c r="AC48" s="15">
        <v>1</v>
      </c>
      <c r="AD48" s="15">
        <v>0</v>
      </c>
      <c r="AE48" s="1">
        <v>30</v>
      </c>
      <c r="AF48" s="1">
        <v>329</v>
      </c>
      <c r="AG48" s="1">
        <v>604</v>
      </c>
      <c r="AH48" s="1">
        <v>5</v>
      </c>
      <c r="AI48" s="1">
        <v>0</v>
      </c>
      <c r="AJ48" s="16">
        <f t="shared" si="29"/>
        <v>0.91643454038997219</v>
      </c>
      <c r="AK48" s="2">
        <f t="shared" si="30"/>
        <v>2.9801324503311255</v>
      </c>
      <c r="AL48" s="18">
        <f t="shared" si="31"/>
        <v>0.5</v>
      </c>
      <c r="AM48" s="1">
        <v>5</v>
      </c>
      <c r="AN48" s="1">
        <v>2</v>
      </c>
      <c r="AO48" s="1">
        <v>57</v>
      </c>
      <c r="AP48" s="1">
        <v>123</v>
      </c>
      <c r="AQ48" s="2">
        <f>IF(AP48&gt;0,AN48/AP48*60," ")</f>
        <v>0.97560975609756106</v>
      </c>
      <c r="AR48" s="16">
        <f>IF(AP48&gt;0,AO48/(AN48+AO48)," ")</f>
        <v>0.96610169491525422</v>
      </c>
      <c r="AS48" s="1" t="s">
        <v>128</v>
      </c>
      <c r="AT48" s="1" t="s">
        <v>129</v>
      </c>
      <c r="AU48" s="1">
        <v>2013</v>
      </c>
      <c r="AV48" s="19">
        <v>1300000</v>
      </c>
      <c r="AW48" s="5">
        <v>1250000</v>
      </c>
      <c r="AX48">
        <v>7.6</v>
      </c>
      <c r="AY48">
        <v>-0.9</v>
      </c>
      <c r="AZ48">
        <v>0.1</v>
      </c>
      <c r="BA48">
        <v>6.8</v>
      </c>
      <c r="BB48" s="4">
        <f t="shared" si="23"/>
        <v>5.4829268292682922</v>
      </c>
      <c r="BC48" s="4">
        <v>3.1</v>
      </c>
      <c r="BD48" s="6">
        <v>578.54999999999995</v>
      </c>
      <c r="BE48" s="15">
        <v>345</v>
      </c>
      <c r="BF48" s="15">
        <v>26</v>
      </c>
      <c r="BG48" s="20">
        <v>24</v>
      </c>
      <c r="BH48" s="15">
        <v>319</v>
      </c>
      <c r="BI48" s="21">
        <v>301</v>
      </c>
      <c r="BJ48" s="21">
        <v>130</v>
      </c>
      <c r="BK48" s="16">
        <f t="shared" si="24"/>
        <v>0.92463768115942024</v>
      </c>
      <c r="BL48" s="20">
        <v>27</v>
      </c>
      <c r="BM48" s="22">
        <f t="shared" si="25"/>
        <v>2.8001037075447242</v>
      </c>
      <c r="BN48" s="21">
        <v>274</v>
      </c>
      <c r="BO48" s="21">
        <v>129</v>
      </c>
      <c r="BP48" s="23">
        <v>60.45</v>
      </c>
      <c r="BQ48" s="15">
        <v>69</v>
      </c>
      <c r="BR48" s="15">
        <v>6</v>
      </c>
      <c r="BS48" s="20">
        <v>6</v>
      </c>
      <c r="BT48" s="15">
        <v>63</v>
      </c>
      <c r="BU48" s="21">
        <v>56</v>
      </c>
      <c r="BV48" s="21">
        <v>22</v>
      </c>
      <c r="BW48" s="16">
        <f t="shared" si="26"/>
        <v>0.91304347826086951</v>
      </c>
      <c r="BX48" s="20">
        <v>1</v>
      </c>
      <c r="BY48" s="21">
        <v>9</v>
      </c>
      <c r="BZ48" s="21">
        <v>1</v>
      </c>
      <c r="CA48" s="23">
        <v>50.85</v>
      </c>
      <c r="CB48" s="15">
        <v>4</v>
      </c>
      <c r="CC48" s="15">
        <v>0</v>
      </c>
      <c r="CD48" s="20">
        <v>0</v>
      </c>
      <c r="CE48" s="15">
        <v>4</v>
      </c>
      <c r="CF48" s="21">
        <v>4</v>
      </c>
      <c r="CG48" s="21">
        <v>0</v>
      </c>
      <c r="CH48" s="16">
        <f t="shared" si="27"/>
        <v>1</v>
      </c>
      <c r="CI48" s="20">
        <v>3</v>
      </c>
      <c r="CJ48" s="21">
        <v>29</v>
      </c>
      <c r="CK48" s="21">
        <v>20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1</v>
      </c>
      <c r="CR48" s="15">
        <v>3</v>
      </c>
      <c r="CS48" s="15">
        <v>1</v>
      </c>
      <c r="CT48" s="15">
        <v>0</v>
      </c>
      <c r="CU48" s="15">
        <v>1</v>
      </c>
      <c r="CV48" s="15">
        <v>3</v>
      </c>
      <c r="CW48" s="15">
        <v>1</v>
      </c>
      <c r="CX48" s="16">
        <f t="shared" si="28"/>
        <v>0.66666666666666674</v>
      </c>
    </row>
    <row r="49" spans="1:104" x14ac:dyDescent="0.25">
      <c r="A49" s="13">
        <v>40</v>
      </c>
      <c r="B49" s="13" t="s">
        <v>356</v>
      </c>
      <c r="C49" s="13" t="s">
        <v>357</v>
      </c>
      <c r="D49" s="13"/>
      <c r="E49" s="13" t="s">
        <v>235</v>
      </c>
      <c r="F49" s="13">
        <v>76</v>
      </c>
      <c r="G49" s="13">
        <v>223</v>
      </c>
      <c r="H49" s="13" t="s">
        <v>107</v>
      </c>
      <c r="I49" s="13" t="s">
        <v>108</v>
      </c>
      <c r="J49">
        <v>22</v>
      </c>
      <c r="K49" t="s">
        <v>358</v>
      </c>
      <c r="L49" t="s">
        <v>359</v>
      </c>
      <c r="M49" s="14" t="s">
        <v>127</v>
      </c>
      <c r="N49" s="15">
        <v>12</v>
      </c>
      <c r="O49" s="1">
        <v>12</v>
      </c>
      <c r="P49" s="15">
        <v>5</v>
      </c>
      <c r="Q49" s="15">
        <v>3</v>
      </c>
      <c r="R49" s="15">
        <v>4</v>
      </c>
      <c r="S49" s="15">
        <v>424</v>
      </c>
      <c r="T49" s="15">
        <v>27</v>
      </c>
      <c r="U49" s="15">
        <v>397</v>
      </c>
      <c r="V49" s="2">
        <f t="shared" si="21"/>
        <v>2.2046815459989113</v>
      </c>
      <c r="W49" s="16">
        <f t="shared" si="22"/>
        <v>0.93632075471698117</v>
      </c>
      <c r="X49" s="15">
        <v>0</v>
      </c>
      <c r="Y49" s="15">
        <v>0</v>
      </c>
      <c r="Z49" s="15">
        <v>0</v>
      </c>
      <c r="AA49" s="17">
        <f>734+48/60</f>
        <v>734.8</v>
      </c>
      <c r="AB49" s="1">
        <v>0</v>
      </c>
      <c r="AC49" s="15">
        <v>0</v>
      </c>
      <c r="AD49" s="15">
        <v>0</v>
      </c>
      <c r="AE49" s="1">
        <v>27</v>
      </c>
      <c r="AF49" s="1">
        <v>397</v>
      </c>
      <c r="AG49" s="1">
        <v>736</v>
      </c>
      <c r="AH49" s="1">
        <v>10</v>
      </c>
      <c r="AI49" s="1">
        <v>0</v>
      </c>
      <c r="AJ49" s="16">
        <f t="shared" si="29"/>
        <v>0.93632075471698117</v>
      </c>
      <c r="AK49" s="2">
        <f t="shared" si="30"/>
        <v>2.2010869565217392</v>
      </c>
      <c r="AL49" s="18">
        <f t="shared" si="31"/>
        <v>0.83333333333333337</v>
      </c>
      <c r="AM49" s="1">
        <v>0</v>
      </c>
      <c r="AN49" s="1">
        <v>0</v>
      </c>
      <c r="AO49" s="1">
        <v>0</v>
      </c>
      <c r="AP49" s="1">
        <v>0</v>
      </c>
      <c r="AQ49" s="2">
        <v>0</v>
      </c>
      <c r="AR49" s="16">
        <v>0</v>
      </c>
      <c r="AS49" s="1" t="s">
        <v>112</v>
      </c>
      <c r="AT49" s="1" t="s">
        <v>113</v>
      </c>
      <c r="AU49" s="1">
        <v>2013</v>
      </c>
      <c r="AV49" s="19">
        <v>900000</v>
      </c>
      <c r="AW49" s="5">
        <v>870000</v>
      </c>
      <c r="AX49">
        <v>13.1</v>
      </c>
      <c r="AY49">
        <v>-0.9</v>
      </c>
      <c r="AZ49">
        <v>-2.2999999999999998</v>
      </c>
      <c r="BA49">
        <v>10</v>
      </c>
      <c r="BB49" s="4">
        <f t="shared" si="23"/>
        <v>9.3502439024390238</v>
      </c>
      <c r="BC49" s="4">
        <v>3.8</v>
      </c>
      <c r="BD49" s="6">
        <v>582</v>
      </c>
      <c r="BE49" s="15">
        <v>353</v>
      </c>
      <c r="BF49" s="15">
        <v>23</v>
      </c>
      <c r="BG49" s="20">
        <v>22</v>
      </c>
      <c r="BH49" s="15">
        <v>330</v>
      </c>
      <c r="BI49" s="21">
        <v>311</v>
      </c>
      <c r="BJ49" s="21">
        <v>114</v>
      </c>
      <c r="BK49" s="16">
        <f t="shared" si="24"/>
        <v>0.93484419263456087</v>
      </c>
      <c r="BL49" s="20">
        <v>22</v>
      </c>
      <c r="BM49" s="22">
        <f t="shared" si="25"/>
        <v>2.268041237113402</v>
      </c>
      <c r="BN49" s="21">
        <v>299</v>
      </c>
      <c r="BO49" s="21">
        <v>117</v>
      </c>
      <c r="BP49" s="23">
        <v>66</v>
      </c>
      <c r="BQ49" s="15">
        <v>60</v>
      </c>
      <c r="BR49" s="15">
        <v>3</v>
      </c>
      <c r="BS49" s="20">
        <v>3</v>
      </c>
      <c r="BT49" s="15">
        <v>57</v>
      </c>
      <c r="BU49" s="21">
        <v>57</v>
      </c>
      <c r="BV49" s="21">
        <v>15</v>
      </c>
      <c r="BW49" s="16">
        <f t="shared" si="26"/>
        <v>0.95</v>
      </c>
      <c r="BX49" s="20">
        <v>0</v>
      </c>
      <c r="BY49" s="21">
        <v>9</v>
      </c>
      <c r="BZ49" s="21">
        <v>3</v>
      </c>
      <c r="CA49" s="23">
        <v>59.52</v>
      </c>
      <c r="CB49" s="15">
        <v>11</v>
      </c>
      <c r="CC49" s="15">
        <v>1</v>
      </c>
      <c r="CD49" s="20">
        <v>1</v>
      </c>
      <c r="CE49" s="15">
        <v>10</v>
      </c>
      <c r="CF49" s="21">
        <v>9</v>
      </c>
      <c r="CG49" s="21">
        <v>2</v>
      </c>
      <c r="CH49" s="16">
        <f t="shared" si="27"/>
        <v>0.90909090909090906</v>
      </c>
      <c r="CI49" s="20">
        <v>9</v>
      </c>
      <c r="CJ49" s="21">
        <v>48</v>
      </c>
      <c r="CK49" s="21">
        <v>12</v>
      </c>
      <c r="CL49" s="15">
        <v>0</v>
      </c>
      <c r="CM49" s="15">
        <v>1</v>
      </c>
      <c r="CN49" s="15">
        <v>4</v>
      </c>
      <c r="CO49" s="15">
        <v>2</v>
      </c>
      <c r="CP49" s="15">
        <v>0</v>
      </c>
      <c r="CQ49" s="15">
        <v>2</v>
      </c>
      <c r="CR49" s="15">
        <v>6</v>
      </c>
      <c r="CS49" s="15">
        <v>4</v>
      </c>
      <c r="CT49" s="15">
        <v>0</v>
      </c>
      <c r="CU49" s="15">
        <v>3</v>
      </c>
      <c r="CV49" s="15">
        <v>10</v>
      </c>
      <c r="CW49" s="15">
        <v>6</v>
      </c>
      <c r="CX49" s="16">
        <f t="shared" si="28"/>
        <v>0.4</v>
      </c>
    </row>
    <row r="50" spans="1:104" x14ac:dyDescent="0.25">
      <c r="A50" s="13">
        <v>32</v>
      </c>
      <c r="B50" s="13" t="s">
        <v>360</v>
      </c>
      <c r="C50" s="13" t="s">
        <v>138</v>
      </c>
      <c r="D50" s="13"/>
      <c r="E50" s="13" t="s">
        <v>106</v>
      </c>
      <c r="F50" s="13">
        <v>76</v>
      </c>
      <c r="G50" s="13">
        <v>217</v>
      </c>
      <c r="H50" s="13" t="s">
        <v>107</v>
      </c>
      <c r="I50" s="13"/>
      <c r="J50">
        <v>30</v>
      </c>
      <c r="K50" t="s">
        <v>361</v>
      </c>
      <c r="L50" t="s">
        <v>362</v>
      </c>
      <c r="M50" s="14" t="s">
        <v>136</v>
      </c>
      <c r="N50" s="15">
        <v>36</v>
      </c>
      <c r="O50" s="1">
        <v>35</v>
      </c>
      <c r="P50" s="15">
        <v>15</v>
      </c>
      <c r="Q50" s="15">
        <v>14</v>
      </c>
      <c r="R50" s="15">
        <v>3</v>
      </c>
      <c r="S50" s="15">
        <v>1050</v>
      </c>
      <c r="T50" s="15">
        <v>88</v>
      </c>
      <c r="U50" s="15">
        <v>962</v>
      </c>
      <c r="V50" s="2">
        <f t="shared" si="21"/>
        <v>2.65836487064806</v>
      </c>
      <c r="W50" s="16">
        <f t="shared" si="22"/>
        <v>0.91619047619047622</v>
      </c>
      <c r="X50" s="15">
        <v>0</v>
      </c>
      <c r="Y50" s="15">
        <v>2</v>
      </c>
      <c r="Z50" s="15">
        <v>0</v>
      </c>
      <c r="AA50" s="17">
        <f>1986+11/60</f>
        <v>1986.1833333333334</v>
      </c>
      <c r="AB50" s="1">
        <v>1</v>
      </c>
      <c r="AC50" s="15">
        <v>1</v>
      </c>
      <c r="AD50" s="15">
        <v>1</v>
      </c>
      <c r="AE50" s="1">
        <v>88</v>
      </c>
      <c r="AF50" s="1">
        <v>959</v>
      </c>
      <c r="AG50" s="1">
        <v>1979</v>
      </c>
      <c r="AH50" s="1">
        <v>20</v>
      </c>
      <c r="AI50" s="1">
        <v>5</v>
      </c>
      <c r="AJ50" s="16">
        <f t="shared" si="29"/>
        <v>0.91595033428844319</v>
      </c>
      <c r="AK50" s="2">
        <f t="shared" si="30"/>
        <v>2.668014148559879</v>
      </c>
      <c r="AL50" s="18">
        <f t="shared" si="31"/>
        <v>0.5714285714285714</v>
      </c>
      <c r="AM50" s="1">
        <v>1</v>
      </c>
      <c r="AN50" s="1">
        <v>0</v>
      </c>
      <c r="AO50" s="1">
        <v>3</v>
      </c>
      <c r="AP50" s="1">
        <v>6</v>
      </c>
      <c r="AQ50" s="2">
        <f>IF(AP50&gt;0,AN50/AP50*60," ")</f>
        <v>0</v>
      </c>
      <c r="AR50" s="16">
        <f>IF(AP50&gt;0,AO50/(AN50+AO50)," ")</f>
        <v>1</v>
      </c>
      <c r="AS50" s="1" t="s">
        <v>128</v>
      </c>
      <c r="AT50" s="1" t="s">
        <v>129</v>
      </c>
      <c r="AU50" s="1">
        <v>2013</v>
      </c>
      <c r="AV50" s="19">
        <v>4250000</v>
      </c>
      <c r="AW50" s="5">
        <v>3550000</v>
      </c>
      <c r="AX50">
        <v>12.7</v>
      </c>
      <c r="AY50">
        <v>-1.2</v>
      </c>
      <c r="AZ50">
        <v>0.5</v>
      </c>
      <c r="BA50">
        <v>12</v>
      </c>
      <c r="BB50" s="4">
        <f t="shared" si="23"/>
        <v>6.6439024390243908</v>
      </c>
      <c r="BC50" s="4">
        <v>7</v>
      </c>
      <c r="BD50" s="6">
        <v>1548.72</v>
      </c>
      <c r="BE50" s="15">
        <v>830</v>
      </c>
      <c r="BF50" s="15">
        <v>63</v>
      </c>
      <c r="BG50" s="20">
        <v>60</v>
      </c>
      <c r="BH50" s="15">
        <v>767</v>
      </c>
      <c r="BI50" s="21">
        <v>738</v>
      </c>
      <c r="BJ50" s="21">
        <v>325</v>
      </c>
      <c r="BK50" s="16">
        <f t="shared" si="24"/>
        <v>0.92409638554216866</v>
      </c>
      <c r="BL50" s="20">
        <v>61</v>
      </c>
      <c r="BM50" s="22">
        <f t="shared" si="25"/>
        <v>2.3632419029908567</v>
      </c>
      <c r="BN50" s="21">
        <v>622</v>
      </c>
      <c r="BO50" s="21">
        <v>320</v>
      </c>
      <c r="BP50" s="23">
        <v>184.68</v>
      </c>
      <c r="BQ50" s="15">
        <v>190</v>
      </c>
      <c r="BR50" s="15">
        <v>23</v>
      </c>
      <c r="BS50" s="20">
        <v>21</v>
      </c>
      <c r="BT50" s="15">
        <v>167</v>
      </c>
      <c r="BU50" s="21">
        <v>157</v>
      </c>
      <c r="BV50" s="21">
        <v>75</v>
      </c>
      <c r="BW50" s="16">
        <f t="shared" si="26"/>
        <v>0.87894736842105259</v>
      </c>
      <c r="BX50" s="20">
        <v>2</v>
      </c>
      <c r="BY50" s="21">
        <v>25</v>
      </c>
      <c r="BZ50" s="21">
        <v>14</v>
      </c>
      <c r="CA50" s="23">
        <v>191.88</v>
      </c>
      <c r="CB50" s="15">
        <v>30</v>
      </c>
      <c r="CC50" s="15">
        <v>2</v>
      </c>
      <c r="CD50" s="20">
        <v>2</v>
      </c>
      <c r="CE50" s="15">
        <v>28</v>
      </c>
      <c r="CF50" s="21">
        <v>27</v>
      </c>
      <c r="CG50" s="21">
        <v>17</v>
      </c>
      <c r="CH50" s="16">
        <f t="shared" si="27"/>
        <v>0.93333333333333335</v>
      </c>
      <c r="CI50" s="20">
        <v>16</v>
      </c>
      <c r="CJ50" s="21">
        <v>121</v>
      </c>
      <c r="CK50" s="21">
        <v>68</v>
      </c>
      <c r="CL50" s="15">
        <v>1</v>
      </c>
      <c r="CM50" s="15">
        <v>1</v>
      </c>
      <c r="CN50" s="15">
        <v>7</v>
      </c>
      <c r="CO50" s="15">
        <v>3</v>
      </c>
      <c r="CP50" s="15">
        <v>1</v>
      </c>
      <c r="CQ50" s="15">
        <v>0</v>
      </c>
      <c r="CR50" s="15">
        <v>3</v>
      </c>
      <c r="CS50" s="15">
        <v>0</v>
      </c>
      <c r="CT50" s="15">
        <v>2</v>
      </c>
      <c r="CU50" s="15">
        <v>1</v>
      </c>
      <c r="CV50" s="15">
        <v>10</v>
      </c>
      <c r="CW50" s="15">
        <v>3</v>
      </c>
      <c r="CX50" s="16">
        <f t="shared" si="28"/>
        <v>0.7</v>
      </c>
      <c r="CY50">
        <v>8</v>
      </c>
      <c r="CZ50" t="s">
        <v>281</v>
      </c>
    </row>
    <row r="51" spans="1:104" x14ac:dyDescent="0.25">
      <c r="A51" s="13">
        <v>49</v>
      </c>
      <c r="B51" s="13" t="s">
        <v>363</v>
      </c>
      <c r="C51" s="13" t="s">
        <v>364</v>
      </c>
      <c r="D51" s="13" t="s">
        <v>220</v>
      </c>
      <c r="E51" s="13" t="s">
        <v>117</v>
      </c>
      <c r="F51" s="13">
        <v>75</v>
      </c>
      <c r="G51" s="13">
        <v>186</v>
      </c>
      <c r="H51" s="13" t="s">
        <v>107</v>
      </c>
      <c r="I51" s="13"/>
      <c r="J51">
        <v>32</v>
      </c>
      <c r="K51" t="s">
        <v>365</v>
      </c>
      <c r="L51" t="s">
        <v>366</v>
      </c>
      <c r="M51" s="14" t="s">
        <v>169</v>
      </c>
      <c r="N51" s="15">
        <v>1</v>
      </c>
      <c r="O51" s="1">
        <v>1</v>
      </c>
      <c r="P51" s="15">
        <v>0</v>
      </c>
      <c r="Q51" s="15">
        <v>1</v>
      </c>
      <c r="R51" s="15">
        <v>0</v>
      </c>
      <c r="S51" s="15">
        <v>26</v>
      </c>
      <c r="T51" s="15">
        <v>5</v>
      </c>
      <c r="U51" s="15">
        <v>21</v>
      </c>
      <c r="V51" s="2">
        <f t="shared" si="21"/>
        <v>5.0732807215332585</v>
      </c>
      <c r="W51" s="16">
        <f t="shared" si="22"/>
        <v>0.80769230769230771</v>
      </c>
      <c r="X51" s="15">
        <v>0</v>
      </c>
      <c r="Y51" s="15">
        <v>0</v>
      </c>
      <c r="Z51" s="15">
        <v>0</v>
      </c>
      <c r="AA51" s="17">
        <f>59+8/60</f>
        <v>59.133333333333333</v>
      </c>
      <c r="AB51" s="1">
        <v>0</v>
      </c>
      <c r="AC51" s="15">
        <v>0</v>
      </c>
      <c r="AD51" s="15">
        <v>0</v>
      </c>
      <c r="AE51" s="1">
        <v>5</v>
      </c>
      <c r="AF51" s="1">
        <v>21</v>
      </c>
      <c r="AG51" s="1">
        <v>59</v>
      </c>
      <c r="AH51" s="1">
        <v>0</v>
      </c>
      <c r="AI51" s="1">
        <v>1</v>
      </c>
      <c r="AJ51" s="16">
        <f t="shared" si="29"/>
        <v>0.80769230769230771</v>
      </c>
      <c r="AK51" s="2">
        <f t="shared" si="30"/>
        <v>5.0847457627118642</v>
      </c>
      <c r="AL51" s="18">
        <f t="shared" si="31"/>
        <v>0</v>
      </c>
      <c r="AM51" s="1">
        <v>0</v>
      </c>
      <c r="AN51" s="1">
        <v>0</v>
      </c>
      <c r="AO51" s="1">
        <v>0</v>
      </c>
      <c r="AP51" s="1">
        <v>0</v>
      </c>
      <c r="AQ51" s="2">
        <v>0</v>
      </c>
      <c r="AR51" s="16">
        <v>0</v>
      </c>
      <c r="AS51" s="1" t="s">
        <v>128</v>
      </c>
      <c r="AT51" s="1" t="s">
        <v>129</v>
      </c>
      <c r="AU51" s="1">
        <v>2013</v>
      </c>
      <c r="AV51" s="19">
        <v>900000</v>
      </c>
      <c r="AW51" s="5">
        <v>900000</v>
      </c>
      <c r="AX51">
        <v>-2.4</v>
      </c>
      <c r="AY51">
        <v>0</v>
      </c>
      <c r="AZ51">
        <v>0</v>
      </c>
      <c r="BA51">
        <v>-2.4</v>
      </c>
      <c r="BB51" s="4">
        <f t="shared" si="23"/>
        <v>-3.102439024390244</v>
      </c>
      <c r="BC51" s="4">
        <v>-0.2</v>
      </c>
      <c r="BD51" s="6">
        <v>39.950000000000003</v>
      </c>
      <c r="BE51" s="15">
        <v>21</v>
      </c>
      <c r="BF51" s="15">
        <v>3</v>
      </c>
      <c r="BG51" s="20">
        <v>3</v>
      </c>
      <c r="BH51" s="15">
        <v>18</v>
      </c>
      <c r="BI51" s="21">
        <v>18</v>
      </c>
      <c r="BJ51" s="21">
        <v>4</v>
      </c>
      <c r="BK51" s="16">
        <f t="shared" si="24"/>
        <v>0.8571428571428571</v>
      </c>
      <c r="BL51" s="20">
        <v>1</v>
      </c>
      <c r="BM51" s="22">
        <f t="shared" si="25"/>
        <v>1.5018773466833542</v>
      </c>
      <c r="BN51" s="21">
        <v>18</v>
      </c>
      <c r="BO51" s="21">
        <v>10</v>
      </c>
      <c r="BP51" s="23">
        <v>6.92</v>
      </c>
      <c r="BQ51" s="15">
        <v>5</v>
      </c>
      <c r="BR51" s="15">
        <v>2</v>
      </c>
      <c r="BS51" s="20">
        <v>2</v>
      </c>
      <c r="BT51" s="15">
        <v>3</v>
      </c>
      <c r="BU51" s="21">
        <v>3</v>
      </c>
      <c r="BV51" s="21">
        <v>1</v>
      </c>
      <c r="BW51" s="16">
        <f t="shared" si="26"/>
        <v>0.6</v>
      </c>
      <c r="BX51" s="20">
        <v>0</v>
      </c>
      <c r="BY51" s="21">
        <v>1</v>
      </c>
      <c r="BZ51" s="21">
        <v>0</v>
      </c>
      <c r="CA51" s="23">
        <v>12</v>
      </c>
      <c r="CB51" s="15">
        <v>0</v>
      </c>
      <c r="CC51" s="15">
        <v>0</v>
      </c>
      <c r="CD51" s="20">
        <v>0</v>
      </c>
      <c r="CE51" s="15">
        <v>0</v>
      </c>
      <c r="CF51" s="21">
        <v>0</v>
      </c>
      <c r="CG51" s="21">
        <v>1</v>
      </c>
      <c r="CH51" s="16">
        <f t="shared" si="27"/>
        <v>0</v>
      </c>
      <c r="CI51" s="20">
        <v>0</v>
      </c>
      <c r="CJ51" s="21">
        <v>5</v>
      </c>
      <c r="CK51" s="21">
        <v>6</v>
      </c>
      <c r="CX51" s="16" t="str">
        <f t="shared" si="28"/>
        <v xml:space="preserve"> </v>
      </c>
      <c r="CY51">
        <v>10</v>
      </c>
      <c r="CZ51" t="s">
        <v>367</v>
      </c>
    </row>
    <row r="52" spans="1:104" x14ac:dyDescent="0.25">
      <c r="A52" s="13">
        <v>39</v>
      </c>
      <c r="B52" s="13" t="s">
        <v>368</v>
      </c>
      <c r="C52" s="13" t="s">
        <v>369</v>
      </c>
      <c r="D52" s="13"/>
      <c r="E52" s="13" t="s">
        <v>235</v>
      </c>
      <c r="F52" s="13">
        <v>78</v>
      </c>
      <c r="G52" s="13">
        <v>210</v>
      </c>
      <c r="H52" s="13" t="s">
        <v>107</v>
      </c>
      <c r="I52" s="13"/>
      <c r="J52">
        <v>25</v>
      </c>
      <c r="K52" t="s">
        <v>370</v>
      </c>
      <c r="L52" t="s">
        <v>371</v>
      </c>
      <c r="M52" s="14" t="s">
        <v>206</v>
      </c>
      <c r="N52" s="15">
        <v>24</v>
      </c>
      <c r="O52" s="1">
        <v>21</v>
      </c>
      <c r="P52" s="15">
        <v>10</v>
      </c>
      <c r="Q52" s="15">
        <v>10</v>
      </c>
      <c r="R52" s="15">
        <v>1</v>
      </c>
      <c r="S52" s="15">
        <v>642</v>
      </c>
      <c r="T52" s="15">
        <v>63</v>
      </c>
      <c r="U52" s="15">
        <v>579</v>
      </c>
      <c r="V52" s="2">
        <f t="shared" si="21"/>
        <v>2.898365516095641</v>
      </c>
      <c r="W52" s="16">
        <f t="shared" si="22"/>
        <v>0.90186915887850472</v>
      </c>
      <c r="X52" s="15">
        <v>0</v>
      </c>
      <c r="Y52" s="15">
        <v>1</v>
      </c>
      <c r="Z52" s="15">
        <v>0</v>
      </c>
      <c r="AA52" s="17">
        <f>1304+11/60</f>
        <v>1304.1833333333334</v>
      </c>
      <c r="AB52" s="1">
        <v>0</v>
      </c>
      <c r="AC52" s="15">
        <v>0</v>
      </c>
      <c r="AD52" s="15">
        <v>0</v>
      </c>
      <c r="AE52" s="1">
        <v>58</v>
      </c>
      <c r="AF52" s="1">
        <v>545</v>
      </c>
      <c r="AG52" s="1">
        <v>1218</v>
      </c>
      <c r="AH52" s="1">
        <v>10</v>
      </c>
      <c r="AI52" s="1">
        <v>3</v>
      </c>
      <c r="AJ52" s="16">
        <f t="shared" si="29"/>
        <v>0.90381426202321724</v>
      </c>
      <c r="AK52" s="2">
        <f t="shared" si="30"/>
        <v>2.8571428571428568</v>
      </c>
      <c r="AL52" s="18">
        <f t="shared" si="31"/>
        <v>0.47619047619047616</v>
      </c>
      <c r="AM52" s="1">
        <v>3</v>
      </c>
      <c r="AN52" s="1">
        <v>5</v>
      </c>
      <c r="AO52" s="1">
        <v>34</v>
      </c>
      <c r="AP52" s="1">
        <v>88</v>
      </c>
      <c r="AQ52" s="2">
        <f>IF(AP52&gt;0,AN52/AP52*60," ")</f>
        <v>3.4090909090909092</v>
      </c>
      <c r="AR52" s="16">
        <f>IF(AP52&gt;0,AO52/(AN52+AO52)," ")</f>
        <v>0.87179487179487181</v>
      </c>
      <c r="AS52" s="1" t="s">
        <v>128</v>
      </c>
      <c r="AT52" s="1" t="s">
        <v>113</v>
      </c>
      <c r="AU52" s="1">
        <v>2014</v>
      </c>
      <c r="AV52" s="19">
        <v>1400000</v>
      </c>
      <c r="AW52" s="5">
        <v>1800000</v>
      </c>
      <c r="AX52">
        <v>-1.8</v>
      </c>
      <c r="AY52">
        <v>-0.1</v>
      </c>
      <c r="AZ52">
        <v>-0.30000000000000004</v>
      </c>
      <c r="BA52">
        <v>-2.1</v>
      </c>
      <c r="BB52" s="4">
        <f t="shared" si="23"/>
        <v>-4.3829268292682926</v>
      </c>
      <c r="BC52" s="4">
        <v>3.2</v>
      </c>
      <c r="BD52" s="6">
        <v>1029.5999999999999</v>
      </c>
      <c r="BE52" s="15">
        <v>514</v>
      </c>
      <c r="BF52" s="15">
        <v>50</v>
      </c>
      <c r="BG52" s="20">
        <v>47</v>
      </c>
      <c r="BH52" s="15">
        <v>464</v>
      </c>
      <c r="BI52" s="21">
        <v>451</v>
      </c>
      <c r="BJ52" s="21">
        <v>220</v>
      </c>
      <c r="BK52" s="16">
        <f t="shared" si="24"/>
        <v>0.90272373540856032</v>
      </c>
      <c r="BL52" s="20">
        <v>53</v>
      </c>
      <c r="BM52" s="22">
        <f t="shared" si="25"/>
        <v>3.0885780885780889</v>
      </c>
      <c r="BN52" s="21">
        <v>415</v>
      </c>
      <c r="BO52" s="21">
        <v>177</v>
      </c>
      <c r="BP52" s="23">
        <v>106.32</v>
      </c>
      <c r="BQ52" s="15">
        <v>107</v>
      </c>
      <c r="BR52" s="15">
        <v>10</v>
      </c>
      <c r="BS52" s="20">
        <v>6</v>
      </c>
      <c r="BT52" s="15">
        <v>97</v>
      </c>
      <c r="BU52" s="21">
        <v>87</v>
      </c>
      <c r="BV52" s="21">
        <v>43</v>
      </c>
      <c r="BW52" s="16">
        <f t="shared" si="26"/>
        <v>0.90654205607476634</v>
      </c>
      <c r="BX52" s="20">
        <v>0</v>
      </c>
      <c r="BY52" s="21">
        <v>7</v>
      </c>
      <c r="BZ52" s="21">
        <v>6</v>
      </c>
      <c r="CA52" s="23">
        <v>132.96</v>
      </c>
      <c r="CB52" s="15">
        <v>21</v>
      </c>
      <c r="CC52" s="15">
        <v>3</v>
      </c>
      <c r="CD52" s="20">
        <v>3</v>
      </c>
      <c r="CE52" s="15">
        <v>18</v>
      </c>
      <c r="CF52" s="21">
        <v>18</v>
      </c>
      <c r="CG52" s="21">
        <v>5</v>
      </c>
      <c r="CH52" s="16">
        <f t="shared" si="27"/>
        <v>0.8571428571428571</v>
      </c>
      <c r="CI52" s="20">
        <v>11</v>
      </c>
      <c r="CJ52" s="21">
        <v>64</v>
      </c>
      <c r="CK52" s="21">
        <v>36</v>
      </c>
      <c r="CL52" s="15">
        <v>0</v>
      </c>
      <c r="CM52" s="15">
        <v>1</v>
      </c>
      <c r="CN52" s="15">
        <v>2</v>
      </c>
      <c r="CO52" s="15">
        <v>1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1</v>
      </c>
      <c r="CV52" s="15">
        <v>2</v>
      </c>
      <c r="CW52" s="15">
        <v>1</v>
      </c>
      <c r="CX52" s="16">
        <f t="shared" si="28"/>
        <v>0.5</v>
      </c>
      <c r="CY52">
        <v>14</v>
      </c>
      <c r="CZ52" t="s">
        <v>130</v>
      </c>
    </row>
    <row r="53" spans="1:104" x14ac:dyDescent="0.25">
      <c r="A53" s="13">
        <v>30</v>
      </c>
      <c r="B53" s="13" t="s">
        <v>372</v>
      </c>
      <c r="C53" s="13" t="s">
        <v>373</v>
      </c>
      <c r="D53" s="13"/>
      <c r="E53" s="13" t="s">
        <v>235</v>
      </c>
      <c r="F53" s="13">
        <v>73</v>
      </c>
      <c r="G53" s="13">
        <v>188</v>
      </c>
      <c r="H53" s="13" t="s">
        <v>107</v>
      </c>
      <c r="I53" s="13"/>
      <c r="J53">
        <v>31</v>
      </c>
      <c r="K53" t="s">
        <v>374</v>
      </c>
      <c r="L53" t="s">
        <v>375</v>
      </c>
      <c r="M53" s="14" t="s">
        <v>151</v>
      </c>
      <c r="N53" s="15">
        <v>43</v>
      </c>
      <c r="O53" s="1">
        <v>43</v>
      </c>
      <c r="P53" s="15">
        <v>24</v>
      </c>
      <c r="Q53" s="15">
        <v>16</v>
      </c>
      <c r="R53" s="15">
        <v>3</v>
      </c>
      <c r="S53" s="15">
        <v>1190</v>
      </c>
      <c r="T53" s="15">
        <v>88</v>
      </c>
      <c r="U53" s="15">
        <v>1102</v>
      </c>
      <c r="V53" s="2">
        <f t="shared" si="21"/>
        <v>2.0501934999546987</v>
      </c>
      <c r="W53" s="16">
        <f t="shared" si="22"/>
        <v>0.92605042016806727</v>
      </c>
      <c r="X53" s="15">
        <v>0</v>
      </c>
      <c r="Y53" s="15">
        <v>1</v>
      </c>
      <c r="Z53" s="15">
        <v>0</v>
      </c>
      <c r="AA53" s="17">
        <f>2575+22/60</f>
        <v>2575.3666666666668</v>
      </c>
      <c r="AB53" s="1">
        <v>2</v>
      </c>
      <c r="AC53" s="15">
        <v>0</v>
      </c>
      <c r="AD53" s="15">
        <v>0</v>
      </c>
      <c r="AE53" s="1">
        <v>88</v>
      </c>
      <c r="AF53" s="1">
        <v>1102</v>
      </c>
      <c r="AG53" s="1">
        <v>2575</v>
      </c>
      <c r="AH53" s="1">
        <v>28</v>
      </c>
      <c r="AI53" s="1">
        <v>1</v>
      </c>
      <c r="AJ53" s="16">
        <f t="shared" si="29"/>
        <v>0.92605042016806727</v>
      </c>
      <c r="AK53" s="2">
        <f t="shared" si="30"/>
        <v>2.0504854368932039</v>
      </c>
      <c r="AL53" s="18">
        <f t="shared" si="31"/>
        <v>0.65116279069767447</v>
      </c>
      <c r="AM53" s="1">
        <v>0</v>
      </c>
      <c r="AN53" s="1">
        <v>0</v>
      </c>
      <c r="AO53" s="1">
        <v>0</v>
      </c>
      <c r="AP53" s="1">
        <v>0</v>
      </c>
      <c r="AQ53" s="2">
        <v>0</v>
      </c>
      <c r="AR53" s="16">
        <v>0</v>
      </c>
      <c r="AS53" s="1" t="s">
        <v>128</v>
      </c>
      <c r="AT53" s="1" t="s">
        <v>129</v>
      </c>
      <c r="AU53" s="1">
        <v>2014</v>
      </c>
      <c r="AV53" s="19">
        <v>6875000</v>
      </c>
      <c r="AW53" s="5">
        <v>6875000</v>
      </c>
      <c r="AX53">
        <v>25.3</v>
      </c>
      <c r="AY53">
        <v>0.60000000000000009</v>
      </c>
      <c r="AZ53">
        <v>2.8</v>
      </c>
      <c r="BA53">
        <v>28.7</v>
      </c>
      <c r="BB53" s="4">
        <f t="shared" si="23"/>
        <v>17.50487804878049</v>
      </c>
      <c r="BC53" s="4">
        <v>9.3000000000000007</v>
      </c>
      <c r="BD53" s="6">
        <v>2062.2800000000002</v>
      </c>
      <c r="BE53" s="15">
        <v>966</v>
      </c>
      <c r="BF53" s="15">
        <v>61</v>
      </c>
      <c r="BG53" s="20">
        <v>60</v>
      </c>
      <c r="BH53" s="15">
        <v>905</v>
      </c>
      <c r="BI53" s="21">
        <v>866</v>
      </c>
      <c r="BJ53" s="21">
        <v>382</v>
      </c>
      <c r="BK53" s="16">
        <f t="shared" si="24"/>
        <v>0.93685300207039335</v>
      </c>
      <c r="BL53" s="20">
        <v>84</v>
      </c>
      <c r="BM53" s="22">
        <f t="shared" si="25"/>
        <v>2.4438970459879354</v>
      </c>
      <c r="BN53" s="21">
        <v>986</v>
      </c>
      <c r="BO53" s="21">
        <v>399</v>
      </c>
      <c r="BP53" s="23">
        <v>209.84</v>
      </c>
      <c r="BQ53" s="15">
        <v>180</v>
      </c>
      <c r="BR53" s="15">
        <v>25</v>
      </c>
      <c r="BS53" s="20">
        <v>25</v>
      </c>
      <c r="BT53" s="15">
        <v>155</v>
      </c>
      <c r="BU53" s="21">
        <v>142</v>
      </c>
      <c r="BV53" s="21">
        <v>56</v>
      </c>
      <c r="BW53" s="16">
        <f t="shared" si="26"/>
        <v>0.86111111111111116</v>
      </c>
      <c r="BX53" s="20">
        <v>4</v>
      </c>
      <c r="BY53" s="21">
        <v>28</v>
      </c>
      <c r="BZ53" s="21">
        <v>8</v>
      </c>
      <c r="CA53" s="23">
        <v>225.75</v>
      </c>
      <c r="CB53" s="15">
        <v>44</v>
      </c>
      <c r="CC53" s="15">
        <v>2</v>
      </c>
      <c r="CD53" s="20">
        <v>2</v>
      </c>
      <c r="CE53" s="15">
        <v>42</v>
      </c>
      <c r="CF53" s="21">
        <v>40</v>
      </c>
      <c r="CG53" s="21">
        <v>14</v>
      </c>
      <c r="CH53" s="16">
        <f t="shared" si="27"/>
        <v>0.95454545454545459</v>
      </c>
      <c r="CI53" s="20">
        <v>18</v>
      </c>
      <c r="CJ53" s="21">
        <v>142</v>
      </c>
      <c r="CK53" s="21">
        <v>55</v>
      </c>
      <c r="CL53" s="15">
        <v>3</v>
      </c>
      <c r="CM53" s="15">
        <v>1</v>
      </c>
      <c r="CN53" s="15">
        <v>11</v>
      </c>
      <c r="CO53" s="15">
        <v>2</v>
      </c>
      <c r="CP53" s="15">
        <v>1</v>
      </c>
      <c r="CQ53" s="15">
        <v>2</v>
      </c>
      <c r="CR53" s="15">
        <v>14</v>
      </c>
      <c r="CS53" s="15">
        <v>4</v>
      </c>
      <c r="CT53" s="15">
        <v>4</v>
      </c>
      <c r="CU53" s="15">
        <v>3</v>
      </c>
      <c r="CV53" s="15">
        <v>25</v>
      </c>
      <c r="CW53" s="15">
        <v>6</v>
      </c>
      <c r="CX53" s="16">
        <f t="shared" si="28"/>
        <v>0.76</v>
      </c>
    </row>
    <row r="54" spans="1:104" x14ac:dyDescent="0.25">
      <c r="A54" s="13">
        <v>1</v>
      </c>
      <c r="B54" s="13" t="s">
        <v>376</v>
      </c>
      <c r="C54" s="13" t="s">
        <v>171</v>
      </c>
      <c r="D54" s="13" t="s">
        <v>143</v>
      </c>
      <c r="E54" s="13" t="s">
        <v>117</v>
      </c>
      <c r="F54" s="13">
        <v>75</v>
      </c>
      <c r="G54" s="13">
        <v>217</v>
      </c>
      <c r="H54" s="13" t="s">
        <v>107</v>
      </c>
      <c r="I54" s="13"/>
      <c r="J54">
        <v>34</v>
      </c>
      <c r="K54" t="s">
        <v>377</v>
      </c>
      <c r="L54" t="s">
        <v>378</v>
      </c>
      <c r="M54" s="14" t="s">
        <v>379</v>
      </c>
      <c r="N54" s="15">
        <v>20</v>
      </c>
      <c r="O54" s="1">
        <v>18</v>
      </c>
      <c r="P54" s="15">
        <v>9</v>
      </c>
      <c r="Q54" s="15">
        <v>6</v>
      </c>
      <c r="R54" s="15">
        <v>3</v>
      </c>
      <c r="S54" s="15">
        <v>551</v>
      </c>
      <c r="T54" s="15">
        <v>51</v>
      </c>
      <c r="U54" s="15">
        <v>500</v>
      </c>
      <c r="V54" s="2">
        <f t="shared" si="21"/>
        <v>2.5565689619160343</v>
      </c>
      <c r="W54" s="16">
        <f t="shared" si="22"/>
        <v>0.90744101633393826</v>
      </c>
      <c r="X54" s="15">
        <v>0</v>
      </c>
      <c r="Y54" s="15">
        <v>0</v>
      </c>
      <c r="Z54" s="15">
        <v>0</v>
      </c>
      <c r="AA54" s="17">
        <f>1196+55/60</f>
        <v>1196.9166666666667</v>
      </c>
      <c r="AB54" s="1">
        <v>2</v>
      </c>
      <c r="AC54" s="15">
        <v>1</v>
      </c>
      <c r="AD54" s="15">
        <v>0</v>
      </c>
      <c r="AE54" s="1">
        <v>47</v>
      </c>
      <c r="AF54" s="1">
        <v>470</v>
      </c>
      <c r="AG54" s="1">
        <v>1106</v>
      </c>
      <c r="AH54" s="1">
        <v>11</v>
      </c>
      <c r="AI54" s="1">
        <v>3</v>
      </c>
      <c r="AJ54" s="16">
        <f t="shared" si="29"/>
        <v>0.90909090909090906</v>
      </c>
      <c r="AK54" s="2">
        <f t="shared" si="30"/>
        <v>2.549728752260398</v>
      </c>
      <c r="AL54" s="18">
        <f t="shared" si="31"/>
        <v>0.61111111111111116</v>
      </c>
      <c r="AM54" s="1">
        <v>2</v>
      </c>
      <c r="AN54" s="1">
        <v>4</v>
      </c>
      <c r="AO54" s="1">
        <v>30</v>
      </c>
      <c r="AP54" s="1">
        <v>91</v>
      </c>
      <c r="AQ54" s="2">
        <f>IF(AP54&gt;0,AN54/AP54*60," ")</f>
        <v>2.6373626373626378</v>
      </c>
      <c r="AR54" s="16">
        <f>IF(AP54&gt;0,AO54/(AN54+AO54)," ")</f>
        <v>0.88235294117647056</v>
      </c>
      <c r="AS54" s="1" t="s">
        <v>128</v>
      </c>
      <c r="AT54" s="1" t="s">
        <v>129</v>
      </c>
      <c r="AU54" s="1">
        <v>2022</v>
      </c>
      <c r="AV54" s="19">
        <v>6714000</v>
      </c>
      <c r="AW54" s="5">
        <v>5333333</v>
      </c>
      <c r="AX54">
        <v>2.1</v>
      </c>
      <c r="AY54">
        <v>0.2</v>
      </c>
      <c r="AZ54">
        <v>0</v>
      </c>
      <c r="BA54">
        <v>2.2999999999999998</v>
      </c>
      <c r="BB54" s="4">
        <f t="shared" si="23"/>
        <v>-6.1878042926829258</v>
      </c>
      <c r="BC54" s="4">
        <v>3.1</v>
      </c>
      <c r="BD54" s="6">
        <v>935.2</v>
      </c>
      <c r="BE54" s="15">
        <v>460</v>
      </c>
      <c r="BF54" s="15">
        <v>37</v>
      </c>
      <c r="BG54" s="20">
        <v>37</v>
      </c>
      <c r="BH54" s="15">
        <v>423</v>
      </c>
      <c r="BI54" s="21">
        <v>411</v>
      </c>
      <c r="BJ54" s="21">
        <v>161</v>
      </c>
      <c r="BK54" s="16">
        <f t="shared" si="24"/>
        <v>0.91956521739130437</v>
      </c>
      <c r="BL54" s="20">
        <v>33</v>
      </c>
      <c r="BM54" s="22">
        <f t="shared" si="25"/>
        <v>2.1171941830624466</v>
      </c>
      <c r="BN54" s="21">
        <v>394</v>
      </c>
      <c r="BO54" s="21">
        <v>179</v>
      </c>
      <c r="BP54" s="23">
        <v>104</v>
      </c>
      <c r="BQ54" s="15">
        <v>75</v>
      </c>
      <c r="BR54" s="15">
        <v>13</v>
      </c>
      <c r="BS54" s="20">
        <v>12</v>
      </c>
      <c r="BT54" s="15">
        <v>62</v>
      </c>
      <c r="BU54" s="21">
        <v>58</v>
      </c>
      <c r="BV54" s="21">
        <v>31</v>
      </c>
      <c r="BW54" s="16">
        <f t="shared" si="26"/>
        <v>0.82666666666666666</v>
      </c>
      <c r="BX54" s="20">
        <v>0</v>
      </c>
      <c r="BY54" s="21">
        <v>11</v>
      </c>
      <c r="BZ54" s="21">
        <v>6</v>
      </c>
      <c r="CA54" s="23">
        <v>109.4</v>
      </c>
      <c r="CB54" s="15">
        <v>16</v>
      </c>
      <c r="CC54" s="15">
        <v>1</v>
      </c>
      <c r="CD54" s="20">
        <v>1</v>
      </c>
      <c r="CE54" s="15">
        <v>15</v>
      </c>
      <c r="CF54" s="21">
        <v>15</v>
      </c>
      <c r="CG54" s="21">
        <v>1</v>
      </c>
      <c r="CH54" s="16">
        <f t="shared" si="27"/>
        <v>0.9375</v>
      </c>
      <c r="CI54" s="20">
        <v>10</v>
      </c>
      <c r="CJ54" s="21">
        <v>74</v>
      </c>
      <c r="CK54" s="21">
        <v>42</v>
      </c>
      <c r="CL54" s="15">
        <v>1</v>
      </c>
      <c r="CM54" s="15">
        <v>2</v>
      </c>
      <c r="CN54" s="15">
        <v>8</v>
      </c>
      <c r="CO54" s="15">
        <v>4</v>
      </c>
      <c r="CP54" s="15">
        <v>1</v>
      </c>
      <c r="CQ54" s="15">
        <v>1</v>
      </c>
      <c r="CR54" s="15">
        <v>6</v>
      </c>
      <c r="CS54" s="15">
        <v>1</v>
      </c>
      <c r="CT54" s="15">
        <v>2</v>
      </c>
      <c r="CU54" s="15">
        <v>3</v>
      </c>
      <c r="CV54" s="15">
        <v>14</v>
      </c>
      <c r="CW54" s="15">
        <v>5</v>
      </c>
      <c r="CX54" s="16">
        <f t="shared" si="28"/>
        <v>0.64285714285714279</v>
      </c>
    </row>
    <row r="55" spans="1:104" x14ac:dyDescent="0.25">
      <c r="A55" s="13">
        <v>35</v>
      </c>
      <c r="B55" s="13" t="s">
        <v>380</v>
      </c>
      <c r="C55" s="13" t="s">
        <v>381</v>
      </c>
      <c r="D55" s="13" t="s">
        <v>382</v>
      </c>
      <c r="E55" s="13" t="s">
        <v>117</v>
      </c>
      <c r="F55" s="13">
        <v>72</v>
      </c>
      <c r="G55" s="13">
        <v>197</v>
      </c>
      <c r="H55" s="13" t="s">
        <v>107</v>
      </c>
      <c r="I55" s="13"/>
      <c r="J55">
        <v>33</v>
      </c>
      <c r="K55" t="s">
        <v>383</v>
      </c>
      <c r="L55" t="s">
        <v>384</v>
      </c>
      <c r="M55" s="14" t="s">
        <v>322</v>
      </c>
      <c r="N55" s="15">
        <v>21</v>
      </c>
      <c r="O55" s="1">
        <v>17</v>
      </c>
      <c r="P55" s="15">
        <v>8</v>
      </c>
      <c r="Q55" s="15">
        <v>9</v>
      </c>
      <c r="R55" s="15">
        <v>1</v>
      </c>
      <c r="S55" s="15">
        <v>562</v>
      </c>
      <c r="T55" s="15">
        <v>55</v>
      </c>
      <c r="U55" s="15">
        <v>507</v>
      </c>
      <c r="V55" s="2">
        <f t="shared" si="21"/>
        <v>2.8733964126081148</v>
      </c>
      <c r="W55" s="16">
        <f t="shared" si="22"/>
        <v>0.90213523131672602</v>
      </c>
      <c r="X55" s="15">
        <v>0</v>
      </c>
      <c r="Y55" s="15">
        <v>0</v>
      </c>
      <c r="Z55" s="15">
        <v>0</v>
      </c>
      <c r="AA55" s="17">
        <f>1148+28/60</f>
        <v>1148.4666666666667</v>
      </c>
      <c r="AB55" s="1">
        <v>0</v>
      </c>
      <c r="AC55" s="15">
        <v>1</v>
      </c>
      <c r="AD55" s="15">
        <v>0</v>
      </c>
      <c r="AE55" s="1">
        <v>51</v>
      </c>
      <c r="AF55" s="1">
        <v>470</v>
      </c>
      <c r="AG55" s="1">
        <v>1019</v>
      </c>
      <c r="AH55" s="1">
        <v>8</v>
      </c>
      <c r="AI55" s="1">
        <v>3</v>
      </c>
      <c r="AJ55" s="16">
        <f t="shared" si="29"/>
        <v>0.90211132437619956</v>
      </c>
      <c r="AK55" s="2">
        <f t="shared" si="30"/>
        <v>3.0029440628066735</v>
      </c>
      <c r="AL55" s="18">
        <f t="shared" si="31"/>
        <v>0.47058823529411764</v>
      </c>
      <c r="AM55" s="1">
        <v>4</v>
      </c>
      <c r="AN55" s="1">
        <v>4</v>
      </c>
      <c r="AO55" s="1">
        <v>37</v>
      </c>
      <c r="AP55" s="1">
        <v>131</v>
      </c>
      <c r="AQ55" s="2">
        <f>IF(AP55&gt;0,AN55/AP55*60," ")</f>
        <v>1.83206106870229</v>
      </c>
      <c r="AR55" s="16">
        <f>IF(AP55&gt;0,AO55/(AN55+AO55)," ")</f>
        <v>0.90243902439024393</v>
      </c>
      <c r="AS55" s="1" t="s">
        <v>128</v>
      </c>
      <c r="AT55" s="1" t="s">
        <v>129</v>
      </c>
      <c r="AU55" s="1">
        <v>2013</v>
      </c>
      <c r="AV55" s="19">
        <v>550000</v>
      </c>
      <c r="AW55" s="5">
        <v>550000</v>
      </c>
      <c r="AX55">
        <v>-1.5</v>
      </c>
      <c r="AY55">
        <v>0</v>
      </c>
      <c r="AZ55">
        <v>0</v>
      </c>
      <c r="BA55">
        <v>-1.5</v>
      </c>
      <c r="BB55" s="4">
        <f t="shared" si="23"/>
        <v>-1.5878048780487806</v>
      </c>
      <c r="BC55" s="4">
        <v>2.8</v>
      </c>
      <c r="BD55" s="6">
        <v>912.66</v>
      </c>
      <c r="BE55" s="15">
        <v>469</v>
      </c>
      <c r="BF55" s="15">
        <v>45</v>
      </c>
      <c r="BG55" s="20">
        <v>45</v>
      </c>
      <c r="BH55" s="15">
        <v>424</v>
      </c>
      <c r="BI55" s="21">
        <v>414</v>
      </c>
      <c r="BJ55" s="21">
        <v>178</v>
      </c>
      <c r="BK55" s="16">
        <f t="shared" si="24"/>
        <v>0.90405117270788915</v>
      </c>
      <c r="BL55" s="20">
        <v>34</v>
      </c>
      <c r="BM55" s="22">
        <f t="shared" si="25"/>
        <v>2.2352245085793179</v>
      </c>
      <c r="BN55" s="21">
        <v>361</v>
      </c>
      <c r="BO55" s="21">
        <v>148</v>
      </c>
      <c r="BP55" s="23">
        <v>102.9</v>
      </c>
      <c r="BQ55" s="15">
        <v>86</v>
      </c>
      <c r="BR55" s="15">
        <v>10</v>
      </c>
      <c r="BS55" s="20">
        <v>8</v>
      </c>
      <c r="BT55" s="15">
        <v>76</v>
      </c>
      <c r="BU55" s="21">
        <v>76</v>
      </c>
      <c r="BV55" s="21">
        <v>32</v>
      </c>
      <c r="BW55" s="16">
        <f t="shared" si="26"/>
        <v>0.88372093023255816</v>
      </c>
      <c r="BX55" s="20">
        <v>3</v>
      </c>
      <c r="BY55" s="21">
        <v>11</v>
      </c>
      <c r="BZ55" s="21">
        <v>3</v>
      </c>
      <c r="CA55" s="23">
        <v>110.46</v>
      </c>
      <c r="CB55" s="15">
        <v>7</v>
      </c>
      <c r="CC55" s="15">
        <v>0</v>
      </c>
      <c r="CD55" s="20">
        <v>0</v>
      </c>
      <c r="CE55" s="15">
        <v>7</v>
      </c>
      <c r="CF55" s="21">
        <v>8</v>
      </c>
      <c r="CG55" s="21">
        <v>7</v>
      </c>
      <c r="CH55" s="16">
        <f t="shared" si="27"/>
        <v>1</v>
      </c>
      <c r="CI55" s="20">
        <v>12</v>
      </c>
      <c r="CJ55" s="21">
        <v>70</v>
      </c>
      <c r="CK55" s="21">
        <v>41</v>
      </c>
      <c r="CX55" s="16" t="str">
        <f t="shared" si="28"/>
        <v xml:space="preserve"> </v>
      </c>
    </row>
    <row r="56" spans="1:104" x14ac:dyDescent="0.25">
      <c r="A56" s="13">
        <v>35</v>
      </c>
      <c r="B56" s="13" t="s">
        <v>385</v>
      </c>
      <c r="C56" s="13" t="s">
        <v>369</v>
      </c>
      <c r="D56" s="13"/>
      <c r="E56" s="13" t="s">
        <v>235</v>
      </c>
      <c r="F56" s="13">
        <v>78</v>
      </c>
      <c r="G56" s="13">
        <v>196</v>
      </c>
      <c r="H56" s="13" t="s">
        <v>107</v>
      </c>
      <c r="I56" s="13" t="s">
        <v>108</v>
      </c>
      <c r="J56">
        <v>23</v>
      </c>
      <c r="K56" t="s">
        <v>386</v>
      </c>
      <c r="L56" t="s">
        <v>387</v>
      </c>
      <c r="M56" s="14" t="s">
        <v>190</v>
      </c>
      <c r="N56" s="15">
        <v>23</v>
      </c>
      <c r="O56" s="1">
        <v>23</v>
      </c>
      <c r="P56" s="15">
        <v>8</v>
      </c>
      <c r="Q56" s="15">
        <v>14</v>
      </c>
      <c r="R56" s="15">
        <v>1</v>
      </c>
      <c r="S56" s="15">
        <v>685</v>
      </c>
      <c r="T56" s="15">
        <v>68</v>
      </c>
      <c r="U56" s="15">
        <v>617</v>
      </c>
      <c r="V56" s="2">
        <f t="shared" si="21"/>
        <v>3.2233853446573182</v>
      </c>
      <c r="W56" s="16">
        <f t="shared" si="22"/>
        <v>0.90072992700729926</v>
      </c>
      <c r="X56" s="15">
        <v>0</v>
      </c>
      <c r="Y56" s="15">
        <v>0</v>
      </c>
      <c r="Z56" s="15">
        <v>0</v>
      </c>
      <c r="AA56" s="17">
        <f>1265+45/60</f>
        <v>1265.75</v>
      </c>
      <c r="AB56" s="1">
        <v>0</v>
      </c>
      <c r="AC56" s="15">
        <v>1</v>
      </c>
      <c r="AD56" s="15">
        <v>0</v>
      </c>
      <c r="AE56" s="1">
        <v>68</v>
      </c>
      <c r="AF56" s="1">
        <v>617</v>
      </c>
      <c r="AG56" s="1">
        <v>1266</v>
      </c>
      <c r="AH56" s="1">
        <v>10</v>
      </c>
      <c r="AI56" s="1">
        <v>6</v>
      </c>
      <c r="AJ56" s="16">
        <f t="shared" si="29"/>
        <v>0.90072992700729926</v>
      </c>
      <c r="AK56" s="2">
        <f t="shared" si="30"/>
        <v>3.2227488151658767</v>
      </c>
      <c r="AL56" s="18">
        <f t="shared" si="31"/>
        <v>0.43478260869565216</v>
      </c>
      <c r="AM56" s="1">
        <v>0</v>
      </c>
      <c r="AN56" s="1">
        <v>0</v>
      </c>
      <c r="AO56" s="1">
        <v>0</v>
      </c>
      <c r="AP56" s="1">
        <v>0</v>
      </c>
      <c r="AQ56" s="2">
        <v>0</v>
      </c>
      <c r="AR56" s="16">
        <v>0</v>
      </c>
      <c r="AS56" s="1" t="s">
        <v>112</v>
      </c>
      <c r="AT56" s="1" t="s">
        <v>113</v>
      </c>
      <c r="AU56" s="1">
        <v>2013</v>
      </c>
      <c r="AV56" s="19">
        <v>875000</v>
      </c>
      <c r="AW56" s="5">
        <v>1300000</v>
      </c>
      <c r="AX56">
        <v>-3.3</v>
      </c>
      <c r="AY56">
        <v>-0.8</v>
      </c>
      <c r="AZ56">
        <v>1.4</v>
      </c>
      <c r="BA56">
        <v>-2.7</v>
      </c>
      <c r="BB56" s="4">
        <f t="shared" si="23"/>
        <v>-4.1048780487804883</v>
      </c>
      <c r="BC56" s="4">
        <v>3.3</v>
      </c>
      <c r="BD56" s="6">
        <v>1048.57</v>
      </c>
      <c r="BE56" s="15">
        <v>580</v>
      </c>
      <c r="BF56" s="15">
        <v>51</v>
      </c>
      <c r="BG56" s="20">
        <v>49</v>
      </c>
      <c r="BH56" s="15">
        <v>529</v>
      </c>
      <c r="BI56" s="21">
        <v>516</v>
      </c>
      <c r="BJ56" s="21">
        <v>190</v>
      </c>
      <c r="BK56" s="16">
        <f t="shared" si="24"/>
        <v>0.91206896551724137</v>
      </c>
      <c r="BL56" s="20">
        <v>30</v>
      </c>
      <c r="BM56" s="22">
        <f t="shared" si="25"/>
        <v>1.7166235921302346</v>
      </c>
      <c r="BN56" s="21">
        <v>472</v>
      </c>
      <c r="BO56" s="21">
        <v>192</v>
      </c>
      <c r="BP56" s="23">
        <v>101.66</v>
      </c>
      <c r="BQ56" s="15">
        <v>91</v>
      </c>
      <c r="BR56" s="15">
        <v>17</v>
      </c>
      <c r="BS56" s="20">
        <v>16</v>
      </c>
      <c r="BT56" s="15">
        <v>74</v>
      </c>
      <c r="BU56" s="21">
        <v>74</v>
      </c>
      <c r="BV56" s="21">
        <v>26</v>
      </c>
      <c r="BW56" s="16">
        <f t="shared" si="26"/>
        <v>0.81318681318681318</v>
      </c>
      <c r="BX56" s="20">
        <v>2</v>
      </c>
      <c r="BY56" s="21">
        <v>13</v>
      </c>
      <c r="BZ56" s="21">
        <v>2</v>
      </c>
      <c r="CA56" s="23">
        <v>86.94</v>
      </c>
      <c r="CB56" s="15">
        <v>14</v>
      </c>
      <c r="CC56" s="15">
        <v>0</v>
      </c>
      <c r="CD56" s="20">
        <v>0</v>
      </c>
      <c r="CE56" s="15">
        <v>14</v>
      </c>
      <c r="CF56" s="21">
        <v>14</v>
      </c>
      <c r="CG56" s="21">
        <v>3</v>
      </c>
      <c r="CH56" s="16">
        <f t="shared" si="27"/>
        <v>1</v>
      </c>
      <c r="CI56" s="20">
        <v>11</v>
      </c>
      <c r="CJ56" s="21">
        <v>63</v>
      </c>
      <c r="CK56" s="21">
        <v>24</v>
      </c>
      <c r="CL56" s="15">
        <v>1</v>
      </c>
      <c r="CM56" s="15">
        <v>0</v>
      </c>
      <c r="CN56" s="15">
        <v>4</v>
      </c>
      <c r="CO56" s="15">
        <v>1</v>
      </c>
      <c r="CP56" s="15">
        <v>1</v>
      </c>
      <c r="CQ56" s="15">
        <v>0</v>
      </c>
      <c r="CR56" s="15">
        <v>3</v>
      </c>
      <c r="CS56" s="15">
        <v>0</v>
      </c>
      <c r="CT56" s="15">
        <v>2</v>
      </c>
      <c r="CU56" s="15">
        <v>0</v>
      </c>
      <c r="CV56" s="15">
        <v>7</v>
      </c>
      <c r="CW56" s="15">
        <v>1</v>
      </c>
      <c r="CX56" s="16">
        <f t="shared" si="28"/>
        <v>0.85714285714285721</v>
      </c>
    </row>
    <row r="57" spans="1:104" x14ac:dyDescent="0.25">
      <c r="A57" s="13">
        <v>30</v>
      </c>
      <c r="B57" s="13" t="s">
        <v>388</v>
      </c>
      <c r="C57" s="13" t="s">
        <v>389</v>
      </c>
      <c r="D57" s="13" t="s">
        <v>319</v>
      </c>
      <c r="E57" s="13" t="s">
        <v>117</v>
      </c>
      <c r="F57" s="13">
        <v>72</v>
      </c>
      <c r="G57" s="13">
        <v>198</v>
      </c>
      <c r="H57" s="13" t="s">
        <v>107</v>
      </c>
      <c r="I57" s="13"/>
      <c r="J57">
        <v>37</v>
      </c>
      <c r="K57" t="s">
        <v>390</v>
      </c>
      <c r="L57" t="s">
        <v>391</v>
      </c>
      <c r="M57" s="14" t="s">
        <v>392</v>
      </c>
      <c r="N57" s="15">
        <v>11</v>
      </c>
      <c r="O57" s="1">
        <v>6</v>
      </c>
      <c r="P57" s="15">
        <v>1</v>
      </c>
      <c r="Q57" s="15">
        <v>7</v>
      </c>
      <c r="R57" s="15">
        <v>1</v>
      </c>
      <c r="S57" s="15">
        <v>229</v>
      </c>
      <c r="T57" s="15">
        <v>29</v>
      </c>
      <c r="U57" s="15">
        <v>200</v>
      </c>
      <c r="V57" s="2">
        <f t="shared" si="21"/>
        <v>3.7280388515926295</v>
      </c>
      <c r="W57" s="16">
        <f t="shared" si="22"/>
        <v>0.8733624454148472</v>
      </c>
      <c r="X57" s="15">
        <v>0</v>
      </c>
      <c r="Y57" s="15">
        <v>0</v>
      </c>
      <c r="Z57" s="15">
        <v>0</v>
      </c>
      <c r="AA57" s="17">
        <f>466+44/60</f>
        <v>466.73333333333335</v>
      </c>
      <c r="AB57" s="1">
        <v>0</v>
      </c>
      <c r="AC57" s="15">
        <v>1</v>
      </c>
      <c r="AD57" s="15">
        <v>1</v>
      </c>
      <c r="AE57" s="1">
        <v>21</v>
      </c>
      <c r="AF57" s="1">
        <v>161</v>
      </c>
      <c r="AG57" s="1">
        <v>336</v>
      </c>
      <c r="AH57" s="1">
        <v>3</v>
      </c>
      <c r="AI57" s="1">
        <v>2</v>
      </c>
      <c r="AJ57" s="16">
        <f t="shared" si="29"/>
        <v>0.88461538461538458</v>
      </c>
      <c r="AK57" s="2">
        <f t="shared" si="30"/>
        <v>3.75</v>
      </c>
      <c r="AL57" s="18">
        <f t="shared" si="31"/>
        <v>0.5</v>
      </c>
      <c r="AM57" s="1">
        <v>5</v>
      </c>
      <c r="AN57" s="1">
        <v>8</v>
      </c>
      <c r="AO57" s="1">
        <v>39</v>
      </c>
      <c r="AP57" s="1">
        <v>130</v>
      </c>
      <c r="AQ57" s="2">
        <f>IF(AP57&gt;0,AN57/AP57*60," ")</f>
        <v>3.6923076923076925</v>
      </c>
      <c r="AR57" s="16">
        <f>IF(AP57&gt;0,AO57/(AN57+AO57)," ")</f>
        <v>0.82978723404255317</v>
      </c>
      <c r="AS57" s="1" t="s">
        <v>128</v>
      </c>
      <c r="AT57" s="1" t="s">
        <v>129</v>
      </c>
      <c r="AU57" s="1">
        <v>2013</v>
      </c>
      <c r="AV57" s="19">
        <v>1250000</v>
      </c>
      <c r="AW57" s="5">
        <v>1500000</v>
      </c>
      <c r="AX57">
        <v>-7.3</v>
      </c>
      <c r="AY57">
        <v>0</v>
      </c>
      <c r="AZ57">
        <v>0</v>
      </c>
      <c r="BA57">
        <v>-7.4</v>
      </c>
      <c r="BB57" s="4">
        <f t="shared" si="23"/>
        <v>-9.1560975609756099</v>
      </c>
      <c r="BC57" s="4">
        <v>0.4</v>
      </c>
      <c r="BD57" s="6">
        <v>367.51</v>
      </c>
      <c r="BE57" s="15">
        <v>189</v>
      </c>
      <c r="BF57" s="15">
        <v>22</v>
      </c>
      <c r="BG57" s="20">
        <v>21</v>
      </c>
      <c r="BH57" s="15">
        <v>167</v>
      </c>
      <c r="BI57" s="21">
        <v>157</v>
      </c>
      <c r="BJ57" s="21">
        <v>65</v>
      </c>
      <c r="BK57" s="16">
        <f t="shared" si="24"/>
        <v>0.8835978835978836</v>
      </c>
      <c r="BL57" s="20">
        <v>16</v>
      </c>
      <c r="BM57" s="22">
        <f t="shared" si="25"/>
        <v>2.6121738183994996</v>
      </c>
      <c r="BN57" s="21">
        <v>136</v>
      </c>
      <c r="BO57" s="21">
        <v>49</v>
      </c>
      <c r="BP57" s="23">
        <v>36.409999999999997</v>
      </c>
      <c r="BQ57" s="15">
        <v>39</v>
      </c>
      <c r="BR57" s="15">
        <v>7</v>
      </c>
      <c r="BS57" s="20">
        <v>6</v>
      </c>
      <c r="BT57" s="15">
        <v>32</v>
      </c>
      <c r="BU57" s="21">
        <v>29</v>
      </c>
      <c r="BV57" s="21">
        <v>10</v>
      </c>
      <c r="BW57" s="16">
        <f t="shared" si="26"/>
        <v>0.82051282051282048</v>
      </c>
      <c r="BX57" s="20">
        <v>0</v>
      </c>
      <c r="BY57" s="21">
        <v>0</v>
      </c>
      <c r="BZ57" s="21">
        <v>1</v>
      </c>
      <c r="CA57" s="23">
        <v>43.45</v>
      </c>
      <c r="CB57" s="15">
        <v>1</v>
      </c>
      <c r="CC57" s="15">
        <v>0</v>
      </c>
      <c r="CD57" s="20">
        <v>0</v>
      </c>
      <c r="CE57" s="15">
        <v>1</v>
      </c>
      <c r="CF57" s="21">
        <v>1</v>
      </c>
      <c r="CG57" s="21">
        <v>3</v>
      </c>
      <c r="CH57" s="16">
        <f t="shared" si="27"/>
        <v>1</v>
      </c>
      <c r="CI57" s="20">
        <v>5</v>
      </c>
      <c r="CJ57" s="21">
        <v>34</v>
      </c>
      <c r="CK57" s="21">
        <v>15</v>
      </c>
      <c r="CX57" s="16" t="str">
        <f t="shared" si="28"/>
        <v xml:space="preserve"> </v>
      </c>
    </row>
    <row r="58" spans="1:104" x14ac:dyDescent="0.25">
      <c r="A58" s="13">
        <v>35</v>
      </c>
      <c r="B58" s="13" t="s">
        <v>393</v>
      </c>
      <c r="C58" s="13" t="s">
        <v>394</v>
      </c>
      <c r="D58" s="13" t="s">
        <v>220</v>
      </c>
      <c r="E58" s="13" t="s">
        <v>117</v>
      </c>
      <c r="F58" s="13">
        <v>76</v>
      </c>
      <c r="G58" s="13">
        <v>217</v>
      </c>
      <c r="H58" s="13" t="s">
        <v>203</v>
      </c>
      <c r="I58" s="13"/>
      <c r="J58">
        <v>25</v>
      </c>
      <c r="K58" t="s">
        <v>390</v>
      </c>
      <c r="L58" t="s">
        <v>395</v>
      </c>
      <c r="M58" s="14" t="s">
        <v>396</v>
      </c>
      <c r="N58" s="15">
        <v>20</v>
      </c>
      <c r="O58" s="1">
        <v>17</v>
      </c>
      <c r="P58" s="15">
        <v>7</v>
      </c>
      <c r="Q58" s="15">
        <v>8</v>
      </c>
      <c r="R58" s="15">
        <v>1</v>
      </c>
      <c r="S58" s="15">
        <v>561</v>
      </c>
      <c r="T58" s="15">
        <v>47</v>
      </c>
      <c r="U58" s="15">
        <v>514</v>
      </c>
      <c r="V58" s="2">
        <f t="shared" si="21"/>
        <v>2.5867999816539005</v>
      </c>
      <c r="W58" s="16">
        <f t="shared" si="22"/>
        <v>0.91622103386809273</v>
      </c>
      <c r="X58" s="15">
        <v>0</v>
      </c>
      <c r="Y58" s="15">
        <v>1</v>
      </c>
      <c r="Z58" s="15">
        <v>0</v>
      </c>
      <c r="AA58" s="17">
        <f>1090+9/60</f>
        <v>1090.1500000000001</v>
      </c>
      <c r="AB58" s="1">
        <v>0</v>
      </c>
      <c r="AC58" s="15">
        <v>1</v>
      </c>
      <c r="AD58" s="15">
        <v>0</v>
      </c>
      <c r="AE58" s="1">
        <v>47</v>
      </c>
      <c r="AF58" s="1">
        <v>480</v>
      </c>
      <c r="AG58" s="1">
        <v>976</v>
      </c>
      <c r="AH58" s="1">
        <v>7</v>
      </c>
      <c r="AI58" s="1">
        <v>1</v>
      </c>
      <c r="AJ58" s="16">
        <f t="shared" si="29"/>
        <v>0.91081593927893734</v>
      </c>
      <c r="AK58" s="2">
        <f t="shared" si="30"/>
        <v>2.889344262295082</v>
      </c>
      <c r="AL58" s="18">
        <f t="shared" si="31"/>
        <v>0.41176470588235292</v>
      </c>
      <c r="AM58" s="1">
        <v>3</v>
      </c>
      <c r="AN58" s="1">
        <v>0</v>
      </c>
      <c r="AO58" s="1">
        <v>34</v>
      </c>
      <c r="AP58" s="1">
        <v>114</v>
      </c>
      <c r="AQ58" s="2">
        <f>IF(AP58&gt;0,AN58/AP58*60," ")</f>
        <v>0</v>
      </c>
      <c r="AR58" s="16">
        <f>IF(AP58&gt;0,AO58/(AN58+AO58)," ")</f>
        <v>1</v>
      </c>
      <c r="AS58" s="1" t="s">
        <v>128</v>
      </c>
      <c r="AT58" s="1" t="s">
        <v>113</v>
      </c>
      <c r="AU58" s="1">
        <v>2013</v>
      </c>
      <c r="AV58" s="19">
        <v>3200000</v>
      </c>
      <c r="AW58" s="5">
        <v>2900000</v>
      </c>
      <c r="AX58">
        <v>6.4</v>
      </c>
      <c r="AY58">
        <v>-0.5</v>
      </c>
      <c r="AZ58">
        <v>0</v>
      </c>
      <c r="BA58">
        <v>5.9</v>
      </c>
      <c r="BB58" s="4">
        <f t="shared" si="23"/>
        <v>1.6853658536585376</v>
      </c>
      <c r="BC58" s="4">
        <v>3.7</v>
      </c>
      <c r="BD58" s="6">
        <v>857.8</v>
      </c>
      <c r="BE58" s="15">
        <v>473</v>
      </c>
      <c r="BF58" s="15">
        <v>42</v>
      </c>
      <c r="BG58" s="20">
        <v>41</v>
      </c>
      <c r="BH58" s="15">
        <v>431</v>
      </c>
      <c r="BI58" s="21">
        <v>412</v>
      </c>
      <c r="BJ58" s="21">
        <v>154</v>
      </c>
      <c r="BK58" s="16">
        <f t="shared" si="24"/>
        <v>0.91120507399577166</v>
      </c>
      <c r="BL58" s="20">
        <v>40</v>
      </c>
      <c r="BM58" s="22">
        <f t="shared" si="25"/>
        <v>2.797854977850315</v>
      </c>
      <c r="BN58" s="21">
        <v>332</v>
      </c>
      <c r="BO58" s="21">
        <v>140</v>
      </c>
      <c r="BP58" s="23">
        <v>106</v>
      </c>
      <c r="BQ58" s="15">
        <v>78</v>
      </c>
      <c r="BR58" s="15">
        <v>5</v>
      </c>
      <c r="BS58" s="20">
        <v>4</v>
      </c>
      <c r="BT58" s="15">
        <v>73</v>
      </c>
      <c r="BU58" s="21">
        <v>72</v>
      </c>
      <c r="BV58" s="21">
        <v>27</v>
      </c>
      <c r="BW58" s="16">
        <f t="shared" si="26"/>
        <v>0.9358974358974359</v>
      </c>
      <c r="BX58" s="20">
        <v>2</v>
      </c>
      <c r="BY58" s="21">
        <v>18</v>
      </c>
      <c r="BZ58" s="21">
        <v>5</v>
      </c>
      <c r="CA58" s="23">
        <v>98.4</v>
      </c>
      <c r="CB58" s="15">
        <v>10</v>
      </c>
      <c r="CC58" s="15">
        <v>0</v>
      </c>
      <c r="CD58" s="20">
        <v>0</v>
      </c>
      <c r="CE58" s="15">
        <v>10</v>
      </c>
      <c r="CF58" s="21">
        <v>11</v>
      </c>
      <c r="CG58" s="21">
        <v>1</v>
      </c>
      <c r="CH58" s="16">
        <f t="shared" si="27"/>
        <v>1</v>
      </c>
      <c r="CI58" s="20">
        <v>7</v>
      </c>
      <c r="CJ58" s="21">
        <v>71</v>
      </c>
      <c r="CK58" s="21">
        <v>40</v>
      </c>
      <c r="CX58" s="16" t="str">
        <f t="shared" si="28"/>
        <v xml:space="preserve"> </v>
      </c>
    </row>
    <row r="59" spans="1:104" x14ac:dyDescent="0.25">
      <c r="A59" s="13">
        <v>30</v>
      </c>
      <c r="B59" s="13" t="s">
        <v>397</v>
      </c>
      <c r="C59" s="13" t="s">
        <v>398</v>
      </c>
      <c r="D59" s="13" t="s">
        <v>399</v>
      </c>
      <c r="E59" s="13" t="s">
        <v>124</v>
      </c>
      <c r="F59" s="13">
        <v>74</v>
      </c>
      <c r="G59" s="13">
        <v>175</v>
      </c>
      <c r="H59" s="13" t="s">
        <v>107</v>
      </c>
      <c r="I59" s="13"/>
      <c r="J59">
        <v>33</v>
      </c>
      <c r="K59" t="s">
        <v>400</v>
      </c>
      <c r="L59" t="s">
        <v>401</v>
      </c>
      <c r="M59" s="14" t="s">
        <v>238</v>
      </c>
      <c r="N59" s="15">
        <v>40</v>
      </c>
      <c r="O59" s="1">
        <v>39</v>
      </c>
      <c r="P59" s="15">
        <v>17</v>
      </c>
      <c r="Q59" s="15">
        <v>17</v>
      </c>
      <c r="R59" s="15">
        <v>5</v>
      </c>
      <c r="S59" s="15">
        <v>1270</v>
      </c>
      <c r="T59" s="15">
        <v>108</v>
      </c>
      <c r="U59" s="15">
        <v>1162</v>
      </c>
      <c r="V59" s="2">
        <f t="shared" si="21"/>
        <v>2.8146582304139462</v>
      </c>
      <c r="W59" s="16">
        <f t="shared" si="22"/>
        <v>0.91496062992125982</v>
      </c>
      <c r="X59" s="15">
        <v>0</v>
      </c>
      <c r="Y59" s="15">
        <v>0</v>
      </c>
      <c r="Z59" s="15">
        <v>2</v>
      </c>
      <c r="AA59" s="17">
        <f>2302+14/60</f>
        <v>2302.2333333333331</v>
      </c>
      <c r="AB59" s="1">
        <v>0</v>
      </c>
      <c r="AC59" s="15">
        <v>1</v>
      </c>
      <c r="AD59" s="15">
        <v>0</v>
      </c>
      <c r="AE59" s="1">
        <v>108</v>
      </c>
      <c r="AF59" s="1">
        <v>1158</v>
      </c>
      <c r="AG59" s="1">
        <v>2298</v>
      </c>
      <c r="AH59" s="1">
        <v>21</v>
      </c>
      <c r="AI59" s="1">
        <v>4</v>
      </c>
      <c r="AJ59" s="16">
        <f t="shared" si="29"/>
        <v>0.91469194312796209</v>
      </c>
      <c r="AK59" s="2">
        <f t="shared" si="30"/>
        <v>2.8198433420365534</v>
      </c>
      <c r="AL59" s="18">
        <f t="shared" si="31"/>
        <v>0.53846153846153844</v>
      </c>
      <c r="AM59" s="1">
        <v>1</v>
      </c>
      <c r="AN59" s="1">
        <v>0</v>
      </c>
      <c r="AO59" s="1">
        <v>4</v>
      </c>
      <c r="AP59" s="1">
        <v>6</v>
      </c>
      <c r="AQ59" s="2">
        <f>IF(AP59&gt;0,AN59/AP59*60," ")</f>
        <v>0</v>
      </c>
      <c r="AR59" s="16">
        <f>IF(AP59&gt;0,AO59/(AN59+AO59)," ")</f>
        <v>1</v>
      </c>
      <c r="AS59" s="1" t="s">
        <v>128</v>
      </c>
      <c r="AT59" s="1" t="s">
        <v>129</v>
      </c>
      <c r="AU59" s="1">
        <v>2014</v>
      </c>
      <c r="AV59" s="19">
        <v>6250000</v>
      </c>
      <c r="AW59" s="5">
        <v>6250000</v>
      </c>
      <c r="AX59">
        <v>13.2</v>
      </c>
      <c r="AY59">
        <v>-2.2000000000000002</v>
      </c>
      <c r="AZ59">
        <v>2.9</v>
      </c>
      <c r="BA59">
        <v>13.9</v>
      </c>
      <c r="BB59" s="4">
        <f t="shared" si="23"/>
        <v>3.8024390243902459</v>
      </c>
      <c r="BC59" s="4">
        <v>8.3000000000000007</v>
      </c>
      <c r="BD59" s="6">
        <v>1758</v>
      </c>
      <c r="BE59" s="15">
        <v>1012</v>
      </c>
      <c r="BF59" s="15">
        <v>73</v>
      </c>
      <c r="BG59" s="20">
        <v>71</v>
      </c>
      <c r="BH59" s="15">
        <v>939</v>
      </c>
      <c r="BI59" s="21">
        <v>882</v>
      </c>
      <c r="BJ59" s="21">
        <v>375</v>
      </c>
      <c r="BK59" s="16">
        <f t="shared" si="24"/>
        <v>0.92786561264822132</v>
      </c>
      <c r="BL59" s="20">
        <v>64</v>
      </c>
      <c r="BM59" s="22">
        <f t="shared" si="25"/>
        <v>2.1843003412969284</v>
      </c>
      <c r="BN59" s="21">
        <v>738</v>
      </c>
      <c r="BO59" s="21">
        <v>264</v>
      </c>
      <c r="BP59" s="23">
        <v>216</v>
      </c>
      <c r="BQ59" s="15">
        <v>225</v>
      </c>
      <c r="BR59" s="15">
        <v>31</v>
      </c>
      <c r="BS59" s="20">
        <v>25</v>
      </c>
      <c r="BT59" s="15">
        <v>194</v>
      </c>
      <c r="BU59" s="21">
        <v>173</v>
      </c>
      <c r="BV59" s="21">
        <v>68</v>
      </c>
      <c r="BW59" s="16">
        <f t="shared" si="26"/>
        <v>0.86222222222222222</v>
      </c>
      <c r="BX59" s="20">
        <v>5</v>
      </c>
      <c r="BY59" s="21">
        <v>26</v>
      </c>
      <c r="BZ59" s="21">
        <v>3</v>
      </c>
      <c r="CA59" s="23">
        <v>200.4</v>
      </c>
      <c r="CB59" s="15">
        <v>33</v>
      </c>
      <c r="CC59" s="15">
        <v>4</v>
      </c>
      <c r="CD59" s="20">
        <v>5</v>
      </c>
      <c r="CE59" s="15">
        <v>29</v>
      </c>
      <c r="CF59" s="21">
        <v>31</v>
      </c>
      <c r="CG59" s="21">
        <v>5</v>
      </c>
      <c r="CH59" s="16">
        <f t="shared" si="27"/>
        <v>0.87878787878787878</v>
      </c>
      <c r="CI59" s="20">
        <v>13</v>
      </c>
      <c r="CJ59" s="21">
        <v>142</v>
      </c>
      <c r="CK59" s="21">
        <v>44</v>
      </c>
      <c r="CL59" s="15">
        <v>5</v>
      </c>
      <c r="CM59" s="15">
        <v>0</v>
      </c>
      <c r="CN59" s="15">
        <v>17</v>
      </c>
      <c r="CO59" s="15">
        <v>2</v>
      </c>
      <c r="CP59" s="15">
        <v>2</v>
      </c>
      <c r="CQ59" s="15">
        <v>3</v>
      </c>
      <c r="CR59" s="15">
        <v>14</v>
      </c>
      <c r="CS59" s="15">
        <v>6</v>
      </c>
      <c r="CT59" s="15">
        <v>7</v>
      </c>
      <c r="CU59" s="15">
        <v>3</v>
      </c>
      <c r="CV59" s="15">
        <v>31</v>
      </c>
      <c r="CW59" s="15">
        <v>8</v>
      </c>
      <c r="CX59" s="16">
        <f t="shared" si="28"/>
        <v>0.74193548387096775</v>
      </c>
    </row>
    <row r="60" spans="1:104" x14ac:dyDescent="0.25">
      <c r="A60" s="13">
        <v>35</v>
      </c>
      <c r="B60" s="13" t="s">
        <v>402</v>
      </c>
      <c r="C60" s="13" t="s">
        <v>403</v>
      </c>
      <c r="D60" s="13" t="s">
        <v>123</v>
      </c>
      <c r="E60" s="13" t="s">
        <v>124</v>
      </c>
      <c r="F60" s="13">
        <v>74</v>
      </c>
      <c r="G60" s="13">
        <v>203</v>
      </c>
      <c r="H60" s="13" t="s">
        <v>107</v>
      </c>
      <c r="I60" s="13"/>
      <c r="J60">
        <v>28</v>
      </c>
      <c r="K60" t="s">
        <v>404</v>
      </c>
      <c r="L60" t="s">
        <v>405</v>
      </c>
      <c r="M60" s="14" t="s">
        <v>406</v>
      </c>
      <c r="N60" s="15">
        <v>7</v>
      </c>
      <c r="O60" s="1">
        <v>5</v>
      </c>
      <c r="P60" s="15">
        <v>3</v>
      </c>
      <c r="Q60" s="15">
        <v>1</v>
      </c>
      <c r="R60" s="15">
        <v>0</v>
      </c>
      <c r="S60" s="15">
        <v>168</v>
      </c>
      <c r="T60" s="15">
        <v>17</v>
      </c>
      <c r="U60" s="15">
        <v>151</v>
      </c>
      <c r="V60" s="2">
        <f t="shared" si="21"/>
        <v>2.9030880888003412</v>
      </c>
      <c r="W60" s="16">
        <f t="shared" si="22"/>
        <v>0.89880952380952384</v>
      </c>
      <c r="X60" s="15">
        <v>0</v>
      </c>
      <c r="Y60" s="15">
        <v>0</v>
      </c>
      <c r="Z60" s="15">
        <v>0</v>
      </c>
      <c r="AA60" s="17">
        <f>351+21/60</f>
        <v>351.35</v>
      </c>
      <c r="AB60" s="1">
        <v>1</v>
      </c>
      <c r="AC60" s="15">
        <v>0</v>
      </c>
      <c r="AD60" s="15">
        <v>0</v>
      </c>
      <c r="AE60" s="1">
        <v>11</v>
      </c>
      <c r="AF60" s="1">
        <v>131</v>
      </c>
      <c r="AG60" s="1">
        <v>282</v>
      </c>
      <c r="AH60" s="1">
        <v>2</v>
      </c>
      <c r="AI60" s="1">
        <v>2</v>
      </c>
      <c r="AJ60" s="16">
        <f t="shared" si="29"/>
        <v>0.92253521126760563</v>
      </c>
      <c r="AK60" s="2">
        <f t="shared" si="30"/>
        <v>2.3404255319148937</v>
      </c>
      <c r="AL60" s="18">
        <f t="shared" si="31"/>
        <v>0.4</v>
      </c>
      <c r="AM60" s="1">
        <v>2</v>
      </c>
      <c r="AN60" s="1">
        <v>6</v>
      </c>
      <c r="AO60" s="1">
        <v>20</v>
      </c>
      <c r="AP60" s="1">
        <v>69</v>
      </c>
      <c r="AQ60" s="2">
        <f>IF(AP60&gt;0,AN60/AP60*60," ")</f>
        <v>5.2173913043478262</v>
      </c>
      <c r="AR60" s="16">
        <f>IF(AP60&gt;0,AO60/(AN60+AO60)," ")</f>
        <v>0.76923076923076927</v>
      </c>
      <c r="AS60" s="1" t="s">
        <v>128</v>
      </c>
      <c r="AT60" s="1" t="s">
        <v>129</v>
      </c>
      <c r="AU60" s="1">
        <v>2013</v>
      </c>
      <c r="AV60" s="19">
        <v>601000</v>
      </c>
      <c r="AW60" s="19">
        <v>601000</v>
      </c>
      <c r="AX60">
        <v>-1.1000000000000001</v>
      </c>
      <c r="AY60">
        <v>0</v>
      </c>
      <c r="AZ60">
        <v>0</v>
      </c>
      <c r="BA60">
        <v>-1.1000000000000001</v>
      </c>
      <c r="BB60" s="4">
        <f t="shared" si="23"/>
        <v>-1.2773658536585366</v>
      </c>
      <c r="BC60" s="4">
        <v>0.8</v>
      </c>
      <c r="BD60" s="6">
        <v>290.70999999999998</v>
      </c>
      <c r="BE60" s="15">
        <v>143</v>
      </c>
      <c r="BF60" s="15">
        <v>13</v>
      </c>
      <c r="BG60" s="20">
        <v>13</v>
      </c>
      <c r="BH60" s="15">
        <v>130</v>
      </c>
      <c r="BI60" s="21">
        <v>129</v>
      </c>
      <c r="BJ60" s="21">
        <v>77</v>
      </c>
      <c r="BK60" s="16">
        <f t="shared" si="24"/>
        <v>0.90909090909090906</v>
      </c>
      <c r="BL60" s="20">
        <v>9</v>
      </c>
      <c r="BM60" s="22">
        <f t="shared" si="25"/>
        <v>1.8575212410993776</v>
      </c>
      <c r="BN60" s="21">
        <v>136</v>
      </c>
      <c r="BO60" s="21">
        <v>65</v>
      </c>
      <c r="BP60" s="23">
        <v>26.25</v>
      </c>
      <c r="BQ60" s="15">
        <v>22</v>
      </c>
      <c r="BR60" s="15">
        <v>3</v>
      </c>
      <c r="BS60" s="20">
        <v>3</v>
      </c>
      <c r="BT60" s="15">
        <v>19</v>
      </c>
      <c r="BU60" s="21">
        <v>15</v>
      </c>
      <c r="BV60" s="21">
        <v>4</v>
      </c>
      <c r="BW60" s="16">
        <f t="shared" si="26"/>
        <v>0.86363636363636365</v>
      </c>
      <c r="BX60" s="20">
        <v>0</v>
      </c>
      <c r="BY60" s="21">
        <v>7</v>
      </c>
      <c r="BZ60" s="21">
        <v>2</v>
      </c>
      <c r="CA60" s="23">
        <v>23.59</v>
      </c>
      <c r="CB60" s="15">
        <v>3</v>
      </c>
      <c r="CC60" s="15">
        <v>1</v>
      </c>
      <c r="CD60" s="20">
        <v>1</v>
      </c>
      <c r="CE60" s="15">
        <v>2</v>
      </c>
      <c r="CF60" s="21">
        <v>2</v>
      </c>
      <c r="CG60" s="21">
        <v>1</v>
      </c>
      <c r="CH60" s="16">
        <f t="shared" si="27"/>
        <v>0.66666666666666663</v>
      </c>
      <c r="CI60" s="20">
        <v>3</v>
      </c>
      <c r="CJ60" s="21">
        <v>12</v>
      </c>
      <c r="CK60" s="21">
        <v>7</v>
      </c>
      <c r="CX60" s="16" t="str">
        <f t="shared" si="28"/>
        <v xml:space="preserve"> </v>
      </c>
      <c r="CY60">
        <v>11</v>
      </c>
      <c r="CZ60" t="s">
        <v>232</v>
      </c>
    </row>
    <row r="61" spans="1:104" x14ac:dyDescent="0.25">
      <c r="A61" s="13">
        <v>34</v>
      </c>
      <c r="B61" s="13" t="s">
        <v>407</v>
      </c>
      <c r="C61" s="13" t="s">
        <v>408</v>
      </c>
      <c r="D61" s="13"/>
      <c r="E61" s="13" t="s">
        <v>409</v>
      </c>
      <c r="F61" s="13">
        <v>73</v>
      </c>
      <c r="G61" s="13">
        <v>184</v>
      </c>
      <c r="H61" s="13" t="s">
        <v>107</v>
      </c>
      <c r="I61" s="13" t="s">
        <v>108</v>
      </c>
      <c r="J61">
        <v>21</v>
      </c>
      <c r="K61" t="s">
        <v>410</v>
      </c>
      <c r="L61" t="s">
        <v>411</v>
      </c>
      <c r="M61" s="14" t="s">
        <v>280</v>
      </c>
      <c r="N61" s="15">
        <v>2</v>
      </c>
      <c r="O61" s="1">
        <v>2</v>
      </c>
      <c r="P61" s="15">
        <v>1</v>
      </c>
      <c r="Q61" s="15">
        <v>1</v>
      </c>
      <c r="R61" s="15">
        <v>0</v>
      </c>
      <c r="S61" s="15">
        <v>51</v>
      </c>
      <c r="T61" s="15">
        <v>4</v>
      </c>
      <c r="U61" s="15">
        <v>47</v>
      </c>
      <c r="V61" s="2">
        <f t="shared" si="21"/>
        <v>2.014267729752413</v>
      </c>
      <c r="W61" s="16">
        <f t="shared" si="22"/>
        <v>0.92156862745098034</v>
      </c>
      <c r="X61" s="15">
        <v>0</v>
      </c>
      <c r="Y61" s="15">
        <v>0</v>
      </c>
      <c r="Z61" s="15">
        <v>0</v>
      </c>
      <c r="AA61" s="17">
        <f>119+9/60</f>
        <v>119.15</v>
      </c>
      <c r="AB61" s="1">
        <v>0</v>
      </c>
      <c r="AC61" s="15">
        <v>0</v>
      </c>
      <c r="AD61" s="15">
        <v>0</v>
      </c>
      <c r="AE61" s="1">
        <v>4</v>
      </c>
      <c r="AF61" s="1">
        <v>47</v>
      </c>
      <c r="AG61" s="1">
        <v>119</v>
      </c>
      <c r="AH61" s="1">
        <v>1</v>
      </c>
      <c r="AI61" s="1">
        <v>0</v>
      </c>
      <c r="AJ61" s="16">
        <f t="shared" si="29"/>
        <v>0.92156862745098034</v>
      </c>
      <c r="AK61" s="2">
        <f t="shared" si="30"/>
        <v>2.0168067226890756</v>
      </c>
      <c r="AL61" s="18">
        <f t="shared" si="31"/>
        <v>0.5</v>
      </c>
      <c r="AM61" s="1">
        <v>0</v>
      </c>
      <c r="AN61" s="1">
        <v>0</v>
      </c>
      <c r="AO61" s="1">
        <v>0</v>
      </c>
      <c r="AP61" s="1">
        <v>0</v>
      </c>
      <c r="AQ61" s="2">
        <v>0</v>
      </c>
      <c r="AR61" s="16">
        <v>0</v>
      </c>
      <c r="AS61" s="1" t="s">
        <v>112</v>
      </c>
      <c r="AT61" s="1" t="s">
        <v>113</v>
      </c>
      <c r="AU61" s="1">
        <v>2015</v>
      </c>
      <c r="AV61" s="19">
        <v>605000</v>
      </c>
      <c r="AW61" s="5">
        <v>790000</v>
      </c>
      <c r="AX61">
        <v>0.9</v>
      </c>
      <c r="AY61">
        <v>0.1</v>
      </c>
      <c r="AZ61">
        <v>0</v>
      </c>
      <c r="BA61">
        <v>1</v>
      </c>
      <c r="BB61" s="4">
        <f t="shared" si="23"/>
        <v>0.49073170731707327</v>
      </c>
      <c r="BC61" s="4">
        <v>0.4</v>
      </c>
      <c r="BD61" s="6">
        <v>99.44</v>
      </c>
      <c r="BE61" s="15">
        <v>46</v>
      </c>
      <c r="BF61" s="15">
        <v>3</v>
      </c>
      <c r="BG61" s="20">
        <v>3</v>
      </c>
      <c r="BH61" s="15">
        <v>43</v>
      </c>
      <c r="BI61" s="21">
        <v>43</v>
      </c>
      <c r="BJ61" s="21">
        <v>20</v>
      </c>
      <c r="BK61" s="16">
        <f t="shared" si="24"/>
        <v>0.93478260869565222</v>
      </c>
      <c r="BL61" s="20">
        <v>6</v>
      </c>
      <c r="BM61" s="22">
        <f t="shared" si="25"/>
        <v>3.6202735317779569</v>
      </c>
      <c r="BN61" s="21">
        <v>47</v>
      </c>
      <c r="BO61" s="21">
        <v>18</v>
      </c>
      <c r="BP61" s="23">
        <v>7.72</v>
      </c>
      <c r="BQ61" s="15">
        <v>5</v>
      </c>
      <c r="BR61" s="15">
        <v>1</v>
      </c>
      <c r="BS61" s="20">
        <v>1</v>
      </c>
      <c r="BT61" s="15">
        <v>4</v>
      </c>
      <c r="BU61" s="21">
        <v>3</v>
      </c>
      <c r="BV61" s="21">
        <v>2</v>
      </c>
      <c r="BW61" s="16">
        <f t="shared" si="26"/>
        <v>0.8</v>
      </c>
      <c r="BX61" s="20">
        <v>0</v>
      </c>
      <c r="BY61" s="21">
        <v>0</v>
      </c>
      <c r="BZ61" s="21">
        <v>1</v>
      </c>
      <c r="CA61" s="23">
        <v>8</v>
      </c>
      <c r="CB61" s="15">
        <v>0</v>
      </c>
      <c r="CC61" s="15">
        <v>0</v>
      </c>
      <c r="CD61" s="20">
        <v>0</v>
      </c>
      <c r="CE61" s="15">
        <v>0</v>
      </c>
      <c r="CF61" s="21">
        <v>0</v>
      </c>
      <c r="CG61" s="21">
        <v>1</v>
      </c>
      <c r="CH61" s="16">
        <f t="shared" si="27"/>
        <v>0</v>
      </c>
      <c r="CI61" s="20">
        <v>0</v>
      </c>
      <c r="CJ61" s="21">
        <v>4</v>
      </c>
      <c r="CK61" s="21">
        <v>5</v>
      </c>
      <c r="CX61" s="16" t="str">
        <f t="shared" si="28"/>
        <v xml:space="preserve"> </v>
      </c>
    </row>
    <row r="62" spans="1:104" x14ac:dyDescent="0.25">
      <c r="A62" s="13">
        <v>20</v>
      </c>
      <c r="B62" s="13" t="s">
        <v>412</v>
      </c>
      <c r="C62" s="13" t="s">
        <v>413</v>
      </c>
      <c r="D62" s="13"/>
      <c r="E62" s="13" t="s">
        <v>335</v>
      </c>
      <c r="F62" s="13">
        <v>72</v>
      </c>
      <c r="G62" s="13">
        <v>202</v>
      </c>
      <c r="H62" s="13" t="s">
        <v>107</v>
      </c>
      <c r="I62" s="13"/>
      <c r="J62">
        <v>38</v>
      </c>
      <c r="K62" t="s">
        <v>414</v>
      </c>
      <c r="L62" t="s">
        <v>415</v>
      </c>
      <c r="M62" s="14" t="s">
        <v>212</v>
      </c>
      <c r="N62" s="15">
        <v>41</v>
      </c>
      <c r="O62" s="1">
        <v>41</v>
      </c>
      <c r="P62" s="15">
        <v>23</v>
      </c>
      <c r="Q62" s="15">
        <v>11</v>
      </c>
      <c r="R62" s="15">
        <v>7</v>
      </c>
      <c r="S62" s="15">
        <v>1139</v>
      </c>
      <c r="T62" s="15">
        <v>103</v>
      </c>
      <c r="U62" s="15">
        <v>1036</v>
      </c>
      <c r="V62" s="2">
        <f t="shared" si="21"/>
        <v>2.4965662115213703</v>
      </c>
      <c r="W62" s="16">
        <f t="shared" si="22"/>
        <v>0.90956979806848115</v>
      </c>
      <c r="X62" s="15">
        <v>0</v>
      </c>
      <c r="Y62" s="15">
        <v>4</v>
      </c>
      <c r="Z62" s="15">
        <v>6</v>
      </c>
      <c r="AA62" s="17">
        <f>2475+24/60</f>
        <v>2475.4</v>
      </c>
      <c r="AB62" s="1">
        <v>3</v>
      </c>
      <c r="AC62" s="15">
        <v>0</v>
      </c>
      <c r="AD62" s="15">
        <v>0</v>
      </c>
      <c r="AE62" s="1">
        <v>103</v>
      </c>
      <c r="AF62" s="1">
        <v>1036</v>
      </c>
      <c r="AG62" s="1">
        <v>2477</v>
      </c>
      <c r="AH62" s="1">
        <v>22</v>
      </c>
      <c r="AI62" s="1">
        <v>5</v>
      </c>
      <c r="AJ62" s="16">
        <f t="shared" si="29"/>
        <v>0.90956979806848115</v>
      </c>
      <c r="AK62" s="2">
        <f t="shared" si="30"/>
        <v>2.4949535728704078</v>
      </c>
      <c r="AL62" s="18">
        <f t="shared" si="31"/>
        <v>0.53658536585365857</v>
      </c>
      <c r="AM62" s="1">
        <v>0</v>
      </c>
      <c r="AN62" s="1">
        <v>0</v>
      </c>
      <c r="AO62" s="1">
        <v>0</v>
      </c>
      <c r="AP62" s="1">
        <v>0</v>
      </c>
      <c r="AQ62" s="2">
        <v>0</v>
      </c>
      <c r="AR62" s="16">
        <v>0</v>
      </c>
      <c r="AS62" s="1" t="s">
        <v>128</v>
      </c>
      <c r="AT62" s="1" t="s">
        <v>129</v>
      </c>
      <c r="AU62" s="1">
        <v>2013</v>
      </c>
      <c r="AV62" s="19">
        <v>2750000</v>
      </c>
      <c r="AW62" s="19">
        <v>2750000</v>
      </c>
      <c r="AX62">
        <v>5.3</v>
      </c>
      <c r="AY62">
        <v>0.7</v>
      </c>
      <c r="AZ62">
        <v>0.8</v>
      </c>
      <c r="BA62">
        <v>6.7</v>
      </c>
      <c r="BB62" s="4">
        <f t="shared" si="23"/>
        <v>2.7487804878048787</v>
      </c>
      <c r="BC62" s="4">
        <v>6.7</v>
      </c>
      <c r="BD62" s="6">
        <v>2007.77</v>
      </c>
      <c r="BE62" s="15">
        <v>952</v>
      </c>
      <c r="BF62" s="15">
        <v>80</v>
      </c>
      <c r="BG62" s="20">
        <v>76</v>
      </c>
      <c r="BH62" s="15">
        <v>872</v>
      </c>
      <c r="BI62" s="21">
        <v>833</v>
      </c>
      <c r="BJ62" s="21">
        <v>408</v>
      </c>
      <c r="BK62" s="16">
        <f t="shared" si="24"/>
        <v>0.91596638655462181</v>
      </c>
      <c r="BL62" s="20">
        <v>89</v>
      </c>
      <c r="BM62" s="22">
        <f t="shared" si="25"/>
        <v>2.6596671929553684</v>
      </c>
      <c r="BN62" s="21">
        <v>920</v>
      </c>
      <c r="BO62" s="21">
        <v>351</v>
      </c>
      <c r="BP62" s="23">
        <v>185.73</v>
      </c>
      <c r="BQ62" s="15">
        <v>174</v>
      </c>
      <c r="BR62" s="15">
        <v>23</v>
      </c>
      <c r="BS62" s="20">
        <v>21</v>
      </c>
      <c r="BT62" s="15">
        <v>151</v>
      </c>
      <c r="BU62" s="21">
        <v>141</v>
      </c>
      <c r="BV62" s="21">
        <v>46</v>
      </c>
      <c r="BW62" s="16">
        <f t="shared" si="26"/>
        <v>0.86781609195402298</v>
      </c>
      <c r="BX62" s="20">
        <v>2</v>
      </c>
      <c r="BY62" s="21">
        <v>22</v>
      </c>
      <c r="BZ62" s="21">
        <v>4</v>
      </c>
      <c r="CA62" s="23">
        <v>186.96</v>
      </c>
      <c r="CB62" s="15">
        <v>13</v>
      </c>
      <c r="CC62" s="15">
        <v>0</v>
      </c>
      <c r="CD62" s="20">
        <v>0</v>
      </c>
      <c r="CE62" s="15">
        <v>13</v>
      </c>
      <c r="CF62" s="21">
        <v>13</v>
      </c>
      <c r="CG62" s="21">
        <v>8</v>
      </c>
      <c r="CH62" s="16">
        <f t="shared" si="27"/>
        <v>1</v>
      </c>
      <c r="CI62" s="20">
        <v>23</v>
      </c>
      <c r="CJ62" s="21">
        <v>139</v>
      </c>
      <c r="CK62" s="21">
        <v>57</v>
      </c>
      <c r="CL62" s="15">
        <v>1</v>
      </c>
      <c r="CM62" s="15">
        <v>0</v>
      </c>
      <c r="CN62" s="15">
        <v>2</v>
      </c>
      <c r="CO62" s="15">
        <v>0</v>
      </c>
      <c r="CP62" s="15">
        <v>3</v>
      </c>
      <c r="CQ62" s="15">
        <v>3</v>
      </c>
      <c r="CR62" s="15">
        <v>17</v>
      </c>
      <c r="CS62" s="15">
        <v>6</v>
      </c>
      <c r="CT62" s="15">
        <v>4</v>
      </c>
      <c r="CU62" s="15">
        <v>3</v>
      </c>
      <c r="CV62" s="15">
        <v>19</v>
      </c>
      <c r="CW62" s="15">
        <v>6</v>
      </c>
      <c r="CX62" s="16">
        <f t="shared" si="28"/>
        <v>0.68421052631578949</v>
      </c>
    </row>
    <row r="63" spans="1:104" x14ac:dyDescent="0.25">
      <c r="A63" s="13">
        <v>30</v>
      </c>
      <c r="B63" s="13" t="s">
        <v>416</v>
      </c>
      <c r="C63" s="13" t="s">
        <v>417</v>
      </c>
      <c r="D63" s="13"/>
      <c r="E63" s="13" t="s">
        <v>409</v>
      </c>
      <c r="F63" s="13">
        <v>73</v>
      </c>
      <c r="G63" s="13">
        <v>209</v>
      </c>
      <c r="H63" s="13" t="s">
        <v>107</v>
      </c>
      <c r="I63" s="13"/>
      <c r="J63">
        <v>25</v>
      </c>
      <c r="K63" t="s">
        <v>418</v>
      </c>
      <c r="L63" t="s">
        <v>419</v>
      </c>
      <c r="M63" s="14" t="s">
        <v>275</v>
      </c>
      <c r="N63" s="15">
        <v>13</v>
      </c>
      <c r="O63" s="1">
        <v>12</v>
      </c>
      <c r="P63" s="15">
        <v>4</v>
      </c>
      <c r="Q63" s="15">
        <v>5</v>
      </c>
      <c r="R63" s="15">
        <v>2</v>
      </c>
      <c r="S63" s="15">
        <v>367</v>
      </c>
      <c r="T63" s="15">
        <v>33</v>
      </c>
      <c r="U63" s="15">
        <v>334</v>
      </c>
      <c r="V63" s="2">
        <f t="shared" si="21"/>
        <v>2.7380842629298421</v>
      </c>
      <c r="W63" s="16">
        <f t="shared" si="22"/>
        <v>0.91008174386920981</v>
      </c>
      <c r="X63" s="15">
        <v>0</v>
      </c>
      <c r="Y63" s="15">
        <v>0</v>
      </c>
      <c r="Z63" s="15">
        <v>0</v>
      </c>
      <c r="AA63" s="17">
        <f>723+8/60</f>
        <v>723.13333333333333</v>
      </c>
      <c r="AB63" s="1">
        <v>0</v>
      </c>
      <c r="AC63" s="15">
        <v>0</v>
      </c>
      <c r="AD63" s="15">
        <v>0</v>
      </c>
      <c r="AE63" s="1">
        <v>32</v>
      </c>
      <c r="AF63" s="1">
        <v>324</v>
      </c>
      <c r="AG63" s="1">
        <v>696</v>
      </c>
      <c r="AH63" s="1">
        <v>7</v>
      </c>
      <c r="AI63" s="1">
        <v>2</v>
      </c>
      <c r="AJ63" s="16">
        <f t="shared" si="29"/>
        <v>0.9101123595505618</v>
      </c>
      <c r="AK63" s="2">
        <f t="shared" si="30"/>
        <v>2.7586206896551726</v>
      </c>
      <c r="AL63" s="18">
        <f t="shared" si="31"/>
        <v>0.58333333333333337</v>
      </c>
      <c r="AM63" s="1">
        <v>1</v>
      </c>
      <c r="AN63" s="1">
        <v>1</v>
      </c>
      <c r="AO63" s="1">
        <v>10</v>
      </c>
      <c r="AP63" s="1">
        <v>28</v>
      </c>
      <c r="AQ63" s="2">
        <f>IF(AP63&gt;0,AN63/AP63*60," ")</f>
        <v>2.1428571428571428</v>
      </c>
      <c r="AR63" s="16">
        <f>IF(AP63&gt;0,AO63/(AN63+AO63)," ")</f>
        <v>0.90909090909090906</v>
      </c>
      <c r="AS63" s="1" t="s">
        <v>128</v>
      </c>
      <c r="AT63" s="1" t="s">
        <v>113</v>
      </c>
      <c r="AU63" s="1">
        <v>2013</v>
      </c>
      <c r="AV63" s="19">
        <v>1150000</v>
      </c>
      <c r="AW63" s="19">
        <v>1150000</v>
      </c>
      <c r="AX63">
        <v>2</v>
      </c>
      <c r="AY63">
        <v>-0.2</v>
      </c>
      <c r="AZ63">
        <v>0</v>
      </c>
      <c r="BA63">
        <v>1.8</v>
      </c>
      <c r="BB63" s="4">
        <f t="shared" si="23"/>
        <v>0.6585365853658538</v>
      </c>
      <c r="BC63" s="4">
        <v>2.2000000000000002</v>
      </c>
      <c r="BD63" s="6">
        <v>579.28</v>
      </c>
      <c r="BE63" s="15">
        <v>289</v>
      </c>
      <c r="BF63" s="15">
        <v>24</v>
      </c>
      <c r="BG63" s="20">
        <v>23</v>
      </c>
      <c r="BH63" s="15">
        <v>265</v>
      </c>
      <c r="BI63" s="21">
        <v>254</v>
      </c>
      <c r="BJ63" s="21">
        <v>105</v>
      </c>
      <c r="BK63" s="16">
        <f t="shared" si="24"/>
        <v>0.91695501730103801</v>
      </c>
      <c r="BL63" s="20">
        <v>19</v>
      </c>
      <c r="BM63" s="22">
        <f t="shared" si="25"/>
        <v>1.9679602264880542</v>
      </c>
      <c r="BN63" s="21">
        <v>255</v>
      </c>
      <c r="BO63" s="21">
        <v>95</v>
      </c>
      <c r="BP63" s="23">
        <v>62.14</v>
      </c>
      <c r="BQ63" s="15">
        <v>73</v>
      </c>
      <c r="BR63" s="15">
        <v>9</v>
      </c>
      <c r="BS63" s="20">
        <v>6</v>
      </c>
      <c r="BT63" s="15">
        <v>64</v>
      </c>
      <c r="BU63" s="21">
        <v>55</v>
      </c>
      <c r="BV63" s="21">
        <v>19</v>
      </c>
      <c r="BW63" s="16">
        <f t="shared" si="26"/>
        <v>0.87671232876712324</v>
      </c>
      <c r="BX63" s="20">
        <v>0</v>
      </c>
      <c r="BY63" s="21">
        <v>7</v>
      </c>
      <c r="BZ63" s="21">
        <v>2</v>
      </c>
      <c r="CA63" s="23">
        <v>56.16</v>
      </c>
      <c r="CB63" s="15">
        <v>5</v>
      </c>
      <c r="CC63" s="15">
        <v>0</v>
      </c>
      <c r="CD63" s="20">
        <v>0</v>
      </c>
      <c r="CE63" s="15">
        <v>5</v>
      </c>
      <c r="CF63" s="21">
        <v>5</v>
      </c>
      <c r="CG63" s="21">
        <v>2</v>
      </c>
      <c r="CH63" s="16">
        <f t="shared" si="27"/>
        <v>1</v>
      </c>
      <c r="CI63" s="20">
        <v>5</v>
      </c>
      <c r="CJ63" s="21">
        <v>41</v>
      </c>
      <c r="CK63" s="21">
        <v>18</v>
      </c>
      <c r="CX63" s="16" t="str">
        <f t="shared" si="28"/>
        <v xml:space="preserve"> </v>
      </c>
      <c r="CY63">
        <v>4</v>
      </c>
      <c r="CZ63" t="s">
        <v>420</v>
      </c>
    </row>
    <row r="64" spans="1:104" x14ac:dyDescent="0.25">
      <c r="A64" s="13">
        <v>31</v>
      </c>
      <c r="B64" s="13" t="s">
        <v>421</v>
      </c>
      <c r="C64" s="13" t="s">
        <v>422</v>
      </c>
      <c r="D64" s="13"/>
      <c r="E64" s="13" t="s">
        <v>106</v>
      </c>
      <c r="F64" s="13">
        <v>74</v>
      </c>
      <c r="G64" s="13">
        <v>210</v>
      </c>
      <c r="H64" s="13" t="s">
        <v>107</v>
      </c>
      <c r="I64" s="13"/>
      <c r="J64">
        <v>30</v>
      </c>
      <c r="K64" t="s">
        <v>423</v>
      </c>
      <c r="L64" t="s">
        <v>424</v>
      </c>
      <c r="M64" s="14" t="s">
        <v>269</v>
      </c>
      <c r="N64" s="15">
        <v>43</v>
      </c>
      <c r="O64" s="1">
        <v>43</v>
      </c>
      <c r="P64" s="15">
        <v>24</v>
      </c>
      <c r="Q64" s="15">
        <v>12</v>
      </c>
      <c r="R64" s="15">
        <v>6</v>
      </c>
      <c r="S64" s="15">
        <v>1220</v>
      </c>
      <c r="T64" s="15">
        <v>93</v>
      </c>
      <c r="U64" s="15">
        <v>1127</v>
      </c>
      <c r="V64" s="2">
        <f t="shared" si="21"/>
        <v>2.162148198855637</v>
      </c>
      <c r="W64" s="16">
        <f t="shared" si="22"/>
        <v>0.92377049180327864</v>
      </c>
      <c r="X64" s="15">
        <v>0</v>
      </c>
      <c r="Y64" s="15">
        <v>1</v>
      </c>
      <c r="Z64" s="15">
        <v>2</v>
      </c>
      <c r="AA64" s="17">
        <f>2580+46/60</f>
        <v>2580.7666666666669</v>
      </c>
      <c r="AB64" s="1">
        <v>4</v>
      </c>
      <c r="AC64" s="15">
        <v>0</v>
      </c>
      <c r="AD64" s="15">
        <v>0</v>
      </c>
      <c r="AE64" s="1">
        <v>93</v>
      </c>
      <c r="AF64" s="1">
        <v>1127</v>
      </c>
      <c r="AG64" s="1">
        <v>2585</v>
      </c>
      <c r="AH64" s="1">
        <v>29</v>
      </c>
      <c r="AI64" s="1">
        <v>3</v>
      </c>
      <c r="AJ64" s="16">
        <f t="shared" si="29"/>
        <v>0.92377049180327864</v>
      </c>
      <c r="AK64" s="2">
        <f t="shared" si="30"/>
        <v>2.158607350096712</v>
      </c>
      <c r="AL64" s="18">
        <f t="shared" si="31"/>
        <v>0.67441860465116277</v>
      </c>
      <c r="AM64" s="1">
        <v>0</v>
      </c>
      <c r="AN64" s="1">
        <v>0</v>
      </c>
      <c r="AO64" s="1">
        <v>0</v>
      </c>
      <c r="AP64" s="1">
        <v>0</v>
      </c>
      <c r="AQ64" s="2">
        <v>0</v>
      </c>
      <c r="AR64" s="16">
        <v>0</v>
      </c>
      <c r="AS64" s="1" t="s">
        <v>128</v>
      </c>
      <c r="AT64" s="1" t="s">
        <v>129</v>
      </c>
      <c r="AU64" s="1">
        <v>2015</v>
      </c>
      <c r="AV64" s="19">
        <v>4000000</v>
      </c>
      <c r="AW64" s="5">
        <v>3800000</v>
      </c>
      <c r="AX64">
        <v>22.9</v>
      </c>
      <c r="AY64">
        <v>0.2</v>
      </c>
      <c r="AZ64">
        <v>2.6</v>
      </c>
      <c r="BA64">
        <v>25.7</v>
      </c>
      <c r="BB64" s="4">
        <f t="shared" si="23"/>
        <v>19.904878048780489</v>
      </c>
      <c r="BC64" s="4">
        <v>9.1999999999999993</v>
      </c>
      <c r="BD64" s="6">
        <v>2046.8</v>
      </c>
      <c r="BE64" s="15">
        <v>1012</v>
      </c>
      <c r="BF64" s="15">
        <v>71</v>
      </c>
      <c r="BG64" s="20">
        <v>65</v>
      </c>
      <c r="BH64" s="15">
        <v>941</v>
      </c>
      <c r="BI64" s="21">
        <v>890</v>
      </c>
      <c r="BJ64" s="21">
        <v>399</v>
      </c>
      <c r="BK64" s="16">
        <f t="shared" si="24"/>
        <v>0.92984189723320154</v>
      </c>
      <c r="BL64" s="20">
        <v>73</v>
      </c>
      <c r="BM64" s="22">
        <f t="shared" si="25"/>
        <v>2.1399257377369549</v>
      </c>
      <c r="BN64" s="21">
        <v>942</v>
      </c>
      <c r="BO64" s="21">
        <v>443</v>
      </c>
      <c r="BP64" s="23">
        <v>190.49</v>
      </c>
      <c r="BQ64" s="15">
        <v>163</v>
      </c>
      <c r="BR64" s="15">
        <v>19</v>
      </c>
      <c r="BS64" s="20">
        <v>17</v>
      </c>
      <c r="BT64" s="15">
        <v>144</v>
      </c>
      <c r="BU64" s="21">
        <v>130</v>
      </c>
      <c r="BV64" s="21">
        <v>63</v>
      </c>
      <c r="BW64" s="16">
        <f t="shared" si="26"/>
        <v>0.8834355828220859</v>
      </c>
      <c r="BX64" s="20">
        <v>3</v>
      </c>
      <c r="BY64" s="21">
        <v>20</v>
      </c>
      <c r="BZ64" s="21">
        <v>3</v>
      </c>
      <c r="CA64" s="23">
        <v>222.31</v>
      </c>
      <c r="CB64" s="15">
        <v>45</v>
      </c>
      <c r="CC64" s="15">
        <v>3</v>
      </c>
      <c r="CD64" s="20">
        <v>3</v>
      </c>
      <c r="CE64" s="15">
        <v>42</v>
      </c>
      <c r="CF64" s="21">
        <v>41</v>
      </c>
      <c r="CG64" s="21">
        <v>10</v>
      </c>
      <c r="CH64" s="16">
        <f t="shared" si="27"/>
        <v>0.93333333333333335</v>
      </c>
      <c r="CI64" s="20">
        <v>24</v>
      </c>
      <c r="CJ64" s="21">
        <v>196</v>
      </c>
      <c r="CK64" s="21">
        <v>77</v>
      </c>
      <c r="CL64" s="15">
        <v>5</v>
      </c>
      <c r="CM64" s="15">
        <v>4</v>
      </c>
      <c r="CN64" s="15">
        <v>23</v>
      </c>
      <c r="CO64" s="15">
        <v>6</v>
      </c>
      <c r="CP64" s="15">
        <v>3</v>
      </c>
      <c r="CQ64" s="15">
        <v>0</v>
      </c>
      <c r="CR64" s="15">
        <v>10</v>
      </c>
      <c r="CS64" s="15">
        <v>3</v>
      </c>
      <c r="CT64" s="15">
        <v>8</v>
      </c>
      <c r="CU64" s="15">
        <v>4</v>
      </c>
      <c r="CV64" s="15">
        <v>33</v>
      </c>
      <c r="CW64" s="15">
        <v>9</v>
      </c>
      <c r="CX64" s="16">
        <f t="shared" si="28"/>
        <v>0.72727272727272729</v>
      </c>
    </row>
    <row r="65" spans="1:104" x14ac:dyDescent="0.25">
      <c r="A65" s="13">
        <v>41</v>
      </c>
      <c r="B65" s="13" t="s">
        <v>425</v>
      </c>
      <c r="C65" s="13" t="s">
        <v>426</v>
      </c>
      <c r="D65" s="13"/>
      <c r="E65" s="13" t="s">
        <v>235</v>
      </c>
      <c r="F65" s="13">
        <v>75</v>
      </c>
      <c r="G65" s="13">
        <v>191</v>
      </c>
      <c r="H65" s="13" t="s">
        <v>203</v>
      </c>
      <c r="I65" s="13"/>
      <c r="J65">
        <v>29</v>
      </c>
      <c r="K65" t="s">
        <v>427</v>
      </c>
      <c r="L65" t="s">
        <v>428</v>
      </c>
      <c r="M65" s="14" t="s">
        <v>136</v>
      </c>
      <c r="N65" s="15">
        <v>5</v>
      </c>
      <c r="O65" s="1">
        <v>5</v>
      </c>
      <c r="P65" s="15">
        <v>1</v>
      </c>
      <c r="Q65" s="15">
        <v>3</v>
      </c>
      <c r="R65" s="15">
        <v>1</v>
      </c>
      <c r="S65" s="15">
        <v>146</v>
      </c>
      <c r="T65" s="15">
        <v>15</v>
      </c>
      <c r="U65" s="15">
        <v>131</v>
      </c>
      <c r="V65" s="2">
        <f t="shared" si="21"/>
        <v>3.0895983522142121</v>
      </c>
      <c r="W65" s="16">
        <f t="shared" si="22"/>
        <v>0.89726027397260277</v>
      </c>
      <c r="X65" s="15">
        <v>0</v>
      </c>
      <c r="Y65" s="15">
        <v>0</v>
      </c>
      <c r="Z65" s="15">
        <v>0</v>
      </c>
      <c r="AA65" s="17">
        <f>291+18/60</f>
        <v>291.3</v>
      </c>
      <c r="AB65" s="1">
        <v>0</v>
      </c>
      <c r="AC65" s="15">
        <v>0</v>
      </c>
      <c r="AD65" s="15">
        <v>0</v>
      </c>
      <c r="AE65" s="1">
        <v>15</v>
      </c>
      <c r="AF65" s="1">
        <v>131</v>
      </c>
      <c r="AG65" s="1">
        <v>291</v>
      </c>
      <c r="AH65" s="1">
        <v>2</v>
      </c>
      <c r="AI65" s="1">
        <v>2</v>
      </c>
      <c r="AJ65" s="16">
        <f t="shared" si="29"/>
        <v>0.89726027397260277</v>
      </c>
      <c r="AK65" s="2">
        <f t="shared" si="30"/>
        <v>3.0927835051546388</v>
      </c>
      <c r="AL65" s="18">
        <f t="shared" si="31"/>
        <v>0.4</v>
      </c>
      <c r="AM65" s="1">
        <v>0</v>
      </c>
      <c r="AN65" s="1">
        <v>0</v>
      </c>
      <c r="AO65" s="1">
        <v>0</v>
      </c>
      <c r="AP65" s="1">
        <v>0</v>
      </c>
      <c r="AQ65" s="2">
        <v>0</v>
      </c>
      <c r="AR65" s="16">
        <v>0</v>
      </c>
      <c r="AS65" s="1" t="s">
        <v>112</v>
      </c>
      <c r="AT65" s="1" t="s">
        <v>129</v>
      </c>
      <c r="AU65" s="1">
        <v>2013</v>
      </c>
      <c r="AV65" s="19">
        <v>1000000</v>
      </c>
      <c r="AW65" s="5">
        <v>1000000</v>
      </c>
      <c r="AX65">
        <v>-0.9</v>
      </c>
      <c r="AY65">
        <v>-0.1</v>
      </c>
      <c r="AZ65">
        <v>0</v>
      </c>
      <c r="BA65">
        <v>-1</v>
      </c>
      <c r="BB65" s="4">
        <f t="shared" si="23"/>
        <v>-1.8780487804878048</v>
      </c>
      <c r="BC65" s="4">
        <v>0.60000000000000009</v>
      </c>
      <c r="BD65" s="6">
        <v>214.35</v>
      </c>
      <c r="BE65" s="15">
        <v>111</v>
      </c>
      <c r="BF65" s="15">
        <v>12</v>
      </c>
      <c r="BG65" s="20">
        <v>9</v>
      </c>
      <c r="BH65" s="15">
        <v>99</v>
      </c>
      <c r="BI65" s="21">
        <v>96</v>
      </c>
      <c r="BJ65" s="21">
        <v>37</v>
      </c>
      <c r="BK65" s="16">
        <f t="shared" si="24"/>
        <v>0.89189189189189189</v>
      </c>
      <c r="BL65" s="20">
        <v>8</v>
      </c>
      <c r="BM65" s="22">
        <f t="shared" si="25"/>
        <v>2.2393282015395384</v>
      </c>
      <c r="BN65" s="21">
        <v>80</v>
      </c>
      <c r="BO65" s="21">
        <v>45</v>
      </c>
      <c r="BP65" s="23">
        <v>30.3</v>
      </c>
      <c r="BQ65" s="15">
        <v>30</v>
      </c>
      <c r="BR65" s="15">
        <v>3</v>
      </c>
      <c r="BS65" s="20">
        <v>1</v>
      </c>
      <c r="BT65" s="15">
        <v>27</v>
      </c>
      <c r="BU65" s="21">
        <v>20</v>
      </c>
      <c r="BV65" s="21">
        <v>13</v>
      </c>
      <c r="BW65" s="16">
        <f t="shared" si="26"/>
        <v>0.9</v>
      </c>
      <c r="BX65" s="20">
        <v>0</v>
      </c>
      <c r="BY65" s="21">
        <v>4</v>
      </c>
      <c r="BZ65" s="21">
        <v>1</v>
      </c>
      <c r="CA65" s="23">
        <v>35.6</v>
      </c>
      <c r="CB65" s="15">
        <v>5</v>
      </c>
      <c r="CC65" s="15">
        <v>0</v>
      </c>
      <c r="CD65" s="20">
        <v>0</v>
      </c>
      <c r="CE65" s="15">
        <v>5</v>
      </c>
      <c r="CF65" s="21">
        <v>5</v>
      </c>
      <c r="CG65" s="21">
        <v>0</v>
      </c>
      <c r="CH65" s="16">
        <f t="shared" si="27"/>
        <v>1</v>
      </c>
      <c r="CI65" s="20">
        <v>4</v>
      </c>
      <c r="CJ65" s="21">
        <v>16</v>
      </c>
      <c r="CK65" s="21">
        <v>9</v>
      </c>
      <c r="CX65" s="16" t="str">
        <f t="shared" si="28"/>
        <v xml:space="preserve"> </v>
      </c>
      <c r="CY65">
        <v>4</v>
      </c>
      <c r="CZ65" t="s">
        <v>281</v>
      </c>
    </row>
    <row r="66" spans="1:104" x14ac:dyDescent="0.25">
      <c r="A66" s="13">
        <v>31</v>
      </c>
      <c r="B66" s="13" t="s">
        <v>429</v>
      </c>
      <c r="C66" s="13" t="s">
        <v>430</v>
      </c>
      <c r="D66" s="13"/>
      <c r="E66" s="13" t="s">
        <v>409</v>
      </c>
      <c r="F66" s="13">
        <v>75</v>
      </c>
      <c r="G66" s="13">
        <v>220</v>
      </c>
      <c r="H66" s="13" t="s">
        <v>107</v>
      </c>
      <c r="I66" s="13"/>
      <c r="J66">
        <v>26</v>
      </c>
      <c r="K66" t="s">
        <v>431</v>
      </c>
      <c r="L66" t="s">
        <v>432</v>
      </c>
      <c r="M66" s="14" t="s">
        <v>406</v>
      </c>
      <c r="N66" s="15">
        <v>44</v>
      </c>
      <c r="O66" s="1">
        <v>43</v>
      </c>
      <c r="P66" s="15">
        <v>21</v>
      </c>
      <c r="Q66" s="15">
        <v>20</v>
      </c>
      <c r="R66" s="15">
        <v>3</v>
      </c>
      <c r="S66" s="15">
        <v>1251</v>
      </c>
      <c r="T66" s="15">
        <v>119</v>
      </c>
      <c r="U66" s="15">
        <v>1132</v>
      </c>
      <c r="V66" s="2">
        <f t="shared" ref="V66:V83" si="32">T66/AA66*60</f>
        <v>2.7970201680562536</v>
      </c>
      <c r="W66" s="16">
        <f t="shared" ref="W66:W83" si="33">U66/S66</f>
        <v>0.90487609912070344</v>
      </c>
      <c r="X66" s="15">
        <v>0</v>
      </c>
      <c r="Y66" s="15">
        <v>0</v>
      </c>
      <c r="Z66" s="15">
        <v>2</v>
      </c>
      <c r="AA66" s="17">
        <f>2552+43/60</f>
        <v>2552.7166666666667</v>
      </c>
      <c r="AB66" s="1">
        <v>0</v>
      </c>
      <c r="AC66" s="15">
        <v>2</v>
      </c>
      <c r="AD66" s="15">
        <v>1</v>
      </c>
      <c r="AE66" s="1">
        <v>118</v>
      </c>
      <c r="AF66" s="1">
        <v>1122</v>
      </c>
      <c r="AG66" s="1">
        <v>2534</v>
      </c>
      <c r="AH66" s="1">
        <v>19</v>
      </c>
      <c r="AI66" s="1">
        <v>8</v>
      </c>
      <c r="AJ66" s="16">
        <f t="shared" si="29"/>
        <v>0.90483870967741931</v>
      </c>
      <c r="AK66" s="2">
        <f t="shared" si="30"/>
        <v>2.7940015785319652</v>
      </c>
      <c r="AL66" s="18">
        <f t="shared" si="31"/>
        <v>0.44186046511627908</v>
      </c>
      <c r="AM66" s="1">
        <v>1</v>
      </c>
      <c r="AN66" s="1">
        <v>1</v>
      </c>
      <c r="AO66" s="1">
        <v>10</v>
      </c>
      <c r="AP66" s="1">
        <v>19</v>
      </c>
      <c r="AQ66" s="2">
        <f t="shared" ref="AQ66:AQ74" si="34">IF(AP66&gt;0,AN66/AP66*60," ")</f>
        <v>3.1578947368421053</v>
      </c>
      <c r="AR66" s="16">
        <f t="shared" ref="AR66:AR74" si="35">IF(AP66&gt;0,AO66/(AN66+AO66)," ")</f>
        <v>0.90909090909090906</v>
      </c>
      <c r="AS66" s="1" t="s">
        <v>128</v>
      </c>
      <c r="AT66" s="1" t="s">
        <v>129</v>
      </c>
      <c r="AU66" s="1">
        <v>2017</v>
      </c>
      <c r="AV66" s="19">
        <v>3250000</v>
      </c>
      <c r="AW66" s="5">
        <v>3900000</v>
      </c>
      <c r="AX66">
        <v>-0.8</v>
      </c>
      <c r="AY66">
        <v>-0.1</v>
      </c>
      <c r="AZ66">
        <v>1.4</v>
      </c>
      <c r="BA66">
        <v>0.5</v>
      </c>
      <c r="BB66" s="4">
        <f t="shared" ref="BB66:BB97" si="36">BA66-(48/82)*3*(AW66-500000)/1000000</f>
        <v>-5.4707317073170731</v>
      </c>
      <c r="BC66" s="4">
        <v>6.6</v>
      </c>
      <c r="BD66" s="6">
        <v>2081.1999999999998</v>
      </c>
      <c r="BE66" s="15">
        <v>1066</v>
      </c>
      <c r="BF66" s="15">
        <v>92</v>
      </c>
      <c r="BG66" s="20">
        <v>89</v>
      </c>
      <c r="BH66" s="15">
        <v>974</v>
      </c>
      <c r="BI66" s="21">
        <v>940</v>
      </c>
      <c r="BJ66" s="21">
        <v>416</v>
      </c>
      <c r="BK66" s="16">
        <f t="shared" ref="BK66:BK83" si="37">IF(BE66&gt;0,BH66/BE66,0)</f>
        <v>0.91369606003752346</v>
      </c>
      <c r="BL66" s="20">
        <v>86</v>
      </c>
      <c r="BM66" s="22">
        <f t="shared" ref="BM66:BM97" si="38">BL66/BD66*60</f>
        <v>2.4793388429752068</v>
      </c>
      <c r="BN66" s="21">
        <v>867</v>
      </c>
      <c r="BO66" s="21">
        <v>437</v>
      </c>
      <c r="BP66" s="23">
        <v>181.72</v>
      </c>
      <c r="BQ66" s="15">
        <v>160</v>
      </c>
      <c r="BR66" s="15">
        <v>25</v>
      </c>
      <c r="BS66" s="20">
        <v>20</v>
      </c>
      <c r="BT66" s="15">
        <v>135</v>
      </c>
      <c r="BU66" s="21">
        <v>126</v>
      </c>
      <c r="BV66" s="21">
        <v>48</v>
      </c>
      <c r="BW66" s="16">
        <f t="shared" ref="BW66:BW83" si="39">IF(BQ66&gt;0,BT66/BQ66,0)</f>
        <v>0.84375</v>
      </c>
      <c r="BX66" s="20">
        <v>1</v>
      </c>
      <c r="BY66" s="21">
        <v>30</v>
      </c>
      <c r="BZ66" s="21">
        <v>8</v>
      </c>
      <c r="CA66" s="23">
        <v>206.36</v>
      </c>
      <c r="CB66" s="15">
        <v>25</v>
      </c>
      <c r="CC66" s="15">
        <v>2</v>
      </c>
      <c r="CD66" s="20">
        <v>2</v>
      </c>
      <c r="CE66" s="15">
        <v>23</v>
      </c>
      <c r="CF66" s="21">
        <v>22</v>
      </c>
      <c r="CG66" s="21">
        <v>11</v>
      </c>
      <c r="CH66" s="16">
        <f t="shared" ref="CH66:CH83" si="40">IF(CB66&gt;0,CE66/CB66,0)</f>
        <v>0.92</v>
      </c>
      <c r="CI66" s="20">
        <v>15</v>
      </c>
      <c r="CJ66" s="21">
        <v>140</v>
      </c>
      <c r="CK66" s="21">
        <v>56</v>
      </c>
      <c r="CL66" s="15">
        <v>1</v>
      </c>
      <c r="CM66" s="15">
        <v>1</v>
      </c>
      <c r="CN66" s="15">
        <v>5</v>
      </c>
      <c r="CO66" s="15">
        <v>2</v>
      </c>
      <c r="CP66" s="15">
        <v>1</v>
      </c>
      <c r="CQ66" s="15">
        <v>2</v>
      </c>
      <c r="CR66" s="15">
        <v>16</v>
      </c>
      <c r="CS66" s="15">
        <v>4</v>
      </c>
      <c r="CT66" s="15">
        <v>2</v>
      </c>
      <c r="CU66" s="15">
        <v>3</v>
      </c>
      <c r="CV66" s="15">
        <v>21</v>
      </c>
      <c r="CW66" s="15">
        <v>6</v>
      </c>
      <c r="CX66" s="16">
        <f t="shared" ref="CX66:CX97" si="41">IF(CV66&gt;0,1-CW66/CV66," ")</f>
        <v>0.7142857142857143</v>
      </c>
      <c r="CY66">
        <v>1</v>
      </c>
      <c r="CZ66" t="s">
        <v>433</v>
      </c>
    </row>
    <row r="67" spans="1:104" x14ac:dyDescent="0.25">
      <c r="A67" s="13">
        <v>35</v>
      </c>
      <c r="B67" s="13" t="s">
        <v>434</v>
      </c>
      <c r="C67" s="13" t="s">
        <v>435</v>
      </c>
      <c r="D67" s="13" t="s">
        <v>220</v>
      </c>
      <c r="E67" s="13" t="s">
        <v>117</v>
      </c>
      <c r="F67" s="13">
        <v>73</v>
      </c>
      <c r="G67" s="13">
        <v>210</v>
      </c>
      <c r="H67" s="13" t="s">
        <v>107</v>
      </c>
      <c r="I67" s="13"/>
      <c r="J67">
        <v>27</v>
      </c>
      <c r="K67" t="s">
        <v>436</v>
      </c>
      <c r="L67" t="s">
        <v>437</v>
      </c>
      <c r="M67" s="14" t="s">
        <v>226</v>
      </c>
      <c r="N67" s="15">
        <v>19</v>
      </c>
      <c r="O67" s="1">
        <v>16</v>
      </c>
      <c r="P67" s="15">
        <v>4</v>
      </c>
      <c r="Q67" s="15">
        <v>11</v>
      </c>
      <c r="R67" s="15">
        <v>1</v>
      </c>
      <c r="S67" s="15">
        <v>506</v>
      </c>
      <c r="T67" s="15">
        <v>55</v>
      </c>
      <c r="U67" s="15">
        <v>451</v>
      </c>
      <c r="V67" s="2">
        <f t="shared" si="32"/>
        <v>3.4576697401508802</v>
      </c>
      <c r="W67" s="16">
        <f t="shared" si="33"/>
        <v>0.89130434782608692</v>
      </c>
      <c r="X67" s="15">
        <v>0</v>
      </c>
      <c r="Y67" s="15">
        <v>0</v>
      </c>
      <c r="Z67" s="15">
        <v>0</v>
      </c>
      <c r="AA67" s="17">
        <f>954+24/60</f>
        <v>954.4</v>
      </c>
      <c r="AB67" s="1">
        <v>1</v>
      </c>
      <c r="AC67" s="15">
        <v>0</v>
      </c>
      <c r="AD67" s="15">
        <v>0</v>
      </c>
      <c r="AE67" s="1">
        <v>53</v>
      </c>
      <c r="AF67" s="1">
        <v>433</v>
      </c>
      <c r="AG67" s="1">
        <v>902</v>
      </c>
      <c r="AH67" s="1">
        <v>5</v>
      </c>
      <c r="AI67" s="1">
        <v>3</v>
      </c>
      <c r="AJ67" s="16">
        <f t="shared" si="29"/>
        <v>0.89094650205761317</v>
      </c>
      <c r="AK67" s="2">
        <f t="shared" si="30"/>
        <v>3.5254988913525502</v>
      </c>
      <c r="AL67" s="18">
        <f t="shared" si="31"/>
        <v>0.3125</v>
      </c>
      <c r="AM67" s="1">
        <v>3</v>
      </c>
      <c r="AN67" s="1">
        <v>2</v>
      </c>
      <c r="AO67" s="1">
        <v>18</v>
      </c>
      <c r="AP67" s="1">
        <v>54</v>
      </c>
      <c r="AQ67" s="2">
        <f t="shared" si="34"/>
        <v>2.2222222222222223</v>
      </c>
      <c r="AR67" s="16">
        <f t="shared" si="35"/>
        <v>0.9</v>
      </c>
      <c r="AS67" s="1" t="s">
        <v>128</v>
      </c>
      <c r="AT67" s="1" t="s">
        <v>129</v>
      </c>
      <c r="AU67" s="1">
        <v>2014</v>
      </c>
      <c r="AV67" s="19">
        <v>525000</v>
      </c>
      <c r="AW67" s="5">
        <v>537500</v>
      </c>
      <c r="AX67">
        <v>-6.8</v>
      </c>
      <c r="AY67">
        <v>-0.5</v>
      </c>
      <c r="AZ67">
        <v>0</v>
      </c>
      <c r="BA67">
        <v>-7.3</v>
      </c>
      <c r="BB67" s="4">
        <f t="shared" si="36"/>
        <v>-7.3658536585365848</v>
      </c>
      <c r="BC67" s="4">
        <v>1.9</v>
      </c>
      <c r="BD67" s="6">
        <v>774.06</v>
      </c>
      <c r="BE67" s="15">
        <v>413</v>
      </c>
      <c r="BF67" s="15">
        <v>44</v>
      </c>
      <c r="BG67" s="20">
        <v>41</v>
      </c>
      <c r="BH67" s="15">
        <v>369</v>
      </c>
      <c r="BI67" s="21">
        <v>363</v>
      </c>
      <c r="BJ67" s="21">
        <v>178</v>
      </c>
      <c r="BK67" s="16">
        <f t="shared" si="37"/>
        <v>0.89346246973365617</v>
      </c>
      <c r="BL67" s="20">
        <v>28</v>
      </c>
      <c r="BM67" s="22">
        <f t="shared" si="38"/>
        <v>2.1703743895822032</v>
      </c>
      <c r="BN67" s="21">
        <v>390</v>
      </c>
      <c r="BO67" s="21">
        <v>175</v>
      </c>
      <c r="BP67" s="23">
        <v>77.709999999999994</v>
      </c>
      <c r="BQ67" s="15">
        <v>78</v>
      </c>
      <c r="BR67" s="15">
        <v>9</v>
      </c>
      <c r="BS67" s="20">
        <v>9</v>
      </c>
      <c r="BT67" s="15">
        <v>69</v>
      </c>
      <c r="BU67" s="21">
        <v>66</v>
      </c>
      <c r="BV67" s="21">
        <v>27</v>
      </c>
      <c r="BW67" s="16">
        <f t="shared" si="39"/>
        <v>0.88461538461538458</v>
      </c>
      <c r="BX67" s="20">
        <v>2</v>
      </c>
      <c r="BY67" s="21">
        <v>7</v>
      </c>
      <c r="BZ67" s="21">
        <v>4</v>
      </c>
      <c r="CA67" s="23">
        <v>83.6</v>
      </c>
      <c r="CB67" s="15">
        <v>15</v>
      </c>
      <c r="CC67" s="15">
        <v>2</v>
      </c>
      <c r="CD67" s="20">
        <v>2</v>
      </c>
      <c r="CE67" s="15">
        <v>13</v>
      </c>
      <c r="CF67" s="21">
        <v>13</v>
      </c>
      <c r="CG67" s="21">
        <v>5</v>
      </c>
      <c r="CH67" s="16">
        <f t="shared" si="40"/>
        <v>0.8666666666666667</v>
      </c>
      <c r="CI67" s="20">
        <v>5</v>
      </c>
      <c r="CJ67" s="21">
        <v>64</v>
      </c>
      <c r="CK67" s="21">
        <v>29</v>
      </c>
      <c r="CX67" s="16" t="str">
        <f t="shared" si="41"/>
        <v xml:space="preserve"> </v>
      </c>
    </row>
    <row r="68" spans="1:104" x14ac:dyDescent="0.25">
      <c r="A68" s="13">
        <v>60</v>
      </c>
      <c r="B68" s="13" t="s">
        <v>438</v>
      </c>
      <c r="C68" s="13" t="s">
        <v>171</v>
      </c>
      <c r="D68" s="13" t="s">
        <v>143</v>
      </c>
      <c r="E68" s="13" t="s">
        <v>117</v>
      </c>
      <c r="F68" s="13">
        <v>74</v>
      </c>
      <c r="G68" s="13">
        <v>192</v>
      </c>
      <c r="H68" s="13" t="s">
        <v>107</v>
      </c>
      <c r="I68" s="13"/>
      <c r="J68">
        <v>23</v>
      </c>
      <c r="K68" t="s">
        <v>439</v>
      </c>
      <c r="L68" t="s">
        <v>440</v>
      </c>
      <c r="M68" s="14" t="s">
        <v>212</v>
      </c>
      <c r="N68" s="15">
        <v>5</v>
      </c>
      <c r="O68" s="1">
        <v>4</v>
      </c>
      <c r="P68" s="15">
        <v>1</v>
      </c>
      <c r="Q68" s="15">
        <v>3</v>
      </c>
      <c r="R68" s="15">
        <v>0</v>
      </c>
      <c r="S68" s="15">
        <v>122</v>
      </c>
      <c r="T68" s="15">
        <v>13</v>
      </c>
      <c r="U68" s="15">
        <v>109</v>
      </c>
      <c r="V68" s="2">
        <f t="shared" si="32"/>
        <v>3.0277544154751892</v>
      </c>
      <c r="W68" s="16">
        <f t="shared" si="33"/>
        <v>0.89344262295081966</v>
      </c>
      <c r="X68" s="15">
        <v>0</v>
      </c>
      <c r="Y68" s="15">
        <v>0</v>
      </c>
      <c r="Z68" s="15">
        <v>0</v>
      </c>
      <c r="AA68" s="17">
        <f>257+37/60</f>
        <v>257.61666666666667</v>
      </c>
      <c r="AB68" s="1">
        <v>0</v>
      </c>
      <c r="AC68" s="15">
        <v>0</v>
      </c>
      <c r="AD68" s="15">
        <v>0</v>
      </c>
      <c r="AE68" s="1">
        <v>12</v>
      </c>
      <c r="AF68" s="1">
        <v>99</v>
      </c>
      <c r="AG68" s="1">
        <v>237</v>
      </c>
      <c r="AH68" s="1">
        <v>2</v>
      </c>
      <c r="AI68" s="1">
        <v>1</v>
      </c>
      <c r="AJ68" s="16">
        <f t="shared" si="29"/>
        <v>0.89189189189189189</v>
      </c>
      <c r="AK68" s="2">
        <f t="shared" si="30"/>
        <v>3.0379746835443036</v>
      </c>
      <c r="AL68" s="18">
        <f t="shared" si="31"/>
        <v>0.5</v>
      </c>
      <c r="AM68" s="1">
        <v>1</v>
      </c>
      <c r="AN68" s="1">
        <v>1</v>
      </c>
      <c r="AO68" s="1">
        <v>10</v>
      </c>
      <c r="AP68" s="1">
        <v>20</v>
      </c>
      <c r="AQ68" s="2">
        <f t="shared" si="34"/>
        <v>3</v>
      </c>
      <c r="AR68" s="16">
        <f t="shared" si="35"/>
        <v>0.90909090909090906</v>
      </c>
      <c r="AS68" s="1" t="s">
        <v>112</v>
      </c>
      <c r="AT68" s="1" t="s">
        <v>113</v>
      </c>
      <c r="AU68" s="1">
        <v>2013</v>
      </c>
      <c r="AV68" s="19">
        <v>612500</v>
      </c>
      <c r="AW68" s="5">
        <v>891666</v>
      </c>
      <c r="AX68">
        <v>-1.4</v>
      </c>
      <c r="AY68">
        <v>0</v>
      </c>
      <c r="AZ68">
        <v>0</v>
      </c>
      <c r="BA68">
        <v>-1.4</v>
      </c>
      <c r="BB68" s="4">
        <f t="shared" si="36"/>
        <v>-2.087803707317073</v>
      </c>
      <c r="BC68" s="4">
        <v>0.5</v>
      </c>
      <c r="BD68" s="6">
        <v>216.15</v>
      </c>
      <c r="BE68" s="15">
        <v>96</v>
      </c>
      <c r="BF68" s="15">
        <v>9</v>
      </c>
      <c r="BG68" s="20">
        <v>9</v>
      </c>
      <c r="BH68" s="15">
        <v>87</v>
      </c>
      <c r="BI68" s="21">
        <v>85</v>
      </c>
      <c r="BJ68" s="21">
        <v>45</v>
      </c>
      <c r="BK68" s="16">
        <f t="shared" si="37"/>
        <v>0.90625</v>
      </c>
      <c r="BL68" s="20">
        <v>9</v>
      </c>
      <c r="BM68" s="22">
        <f t="shared" si="38"/>
        <v>2.4982650936849411</v>
      </c>
      <c r="BN68" s="21">
        <v>96</v>
      </c>
      <c r="BO68" s="21">
        <v>47</v>
      </c>
      <c r="BP68" s="23">
        <v>18.899999999999999</v>
      </c>
      <c r="BQ68" s="15">
        <v>25</v>
      </c>
      <c r="BR68" s="15">
        <v>4</v>
      </c>
      <c r="BS68" s="20">
        <v>4</v>
      </c>
      <c r="BT68" s="15">
        <v>21</v>
      </c>
      <c r="BU68" s="21">
        <v>21</v>
      </c>
      <c r="BV68" s="21">
        <v>7</v>
      </c>
      <c r="BW68" s="16">
        <f t="shared" si="39"/>
        <v>0.84</v>
      </c>
      <c r="BX68" s="20">
        <v>0</v>
      </c>
      <c r="BY68" s="21">
        <v>3</v>
      </c>
      <c r="BZ68" s="21">
        <v>1</v>
      </c>
      <c r="CA68" s="23">
        <v>19.05</v>
      </c>
      <c r="CB68" s="15">
        <v>1</v>
      </c>
      <c r="CC68" s="15">
        <v>0</v>
      </c>
      <c r="CD68" s="20">
        <v>0</v>
      </c>
      <c r="CE68" s="15">
        <v>1</v>
      </c>
      <c r="CF68" s="21">
        <v>1</v>
      </c>
      <c r="CG68" s="21">
        <v>0</v>
      </c>
      <c r="CH68" s="16">
        <f t="shared" si="40"/>
        <v>1</v>
      </c>
      <c r="CI68" s="20">
        <v>1</v>
      </c>
      <c r="CJ68" s="21">
        <v>15</v>
      </c>
      <c r="CK68" s="21">
        <v>8</v>
      </c>
      <c r="CX68" s="16" t="str">
        <f t="shared" si="41"/>
        <v xml:space="preserve"> </v>
      </c>
    </row>
    <row r="69" spans="1:104" x14ac:dyDescent="0.25">
      <c r="A69" s="13">
        <v>31</v>
      </c>
      <c r="B69" s="13" t="s">
        <v>441</v>
      </c>
      <c r="C69" s="13" t="s">
        <v>442</v>
      </c>
      <c r="D69" s="13" t="s">
        <v>353</v>
      </c>
      <c r="E69" s="13" t="s">
        <v>117</v>
      </c>
      <c r="F69" s="13">
        <v>75</v>
      </c>
      <c r="G69" s="13">
        <v>209</v>
      </c>
      <c r="H69" s="13" t="s">
        <v>107</v>
      </c>
      <c r="I69" s="13"/>
      <c r="J69">
        <v>26</v>
      </c>
      <c r="K69" t="s">
        <v>443</v>
      </c>
      <c r="L69" t="s">
        <v>444</v>
      </c>
      <c r="M69" s="14" t="s">
        <v>184</v>
      </c>
      <c r="N69" s="15">
        <v>39</v>
      </c>
      <c r="O69" s="1">
        <v>38</v>
      </c>
      <c r="P69" s="15">
        <v>21</v>
      </c>
      <c r="Q69" s="15">
        <v>13</v>
      </c>
      <c r="R69" s="15">
        <v>4</v>
      </c>
      <c r="S69" s="15">
        <v>1018</v>
      </c>
      <c r="T69" s="15">
        <v>97</v>
      </c>
      <c r="U69" s="15">
        <v>921</v>
      </c>
      <c r="V69" s="2">
        <f t="shared" si="32"/>
        <v>2.5877976300753662</v>
      </c>
      <c r="W69" s="16">
        <f t="shared" si="33"/>
        <v>0.9047151277013753</v>
      </c>
      <c r="X69" s="15">
        <v>0</v>
      </c>
      <c r="Y69" s="15">
        <v>0</v>
      </c>
      <c r="Z69" s="15">
        <v>0</v>
      </c>
      <c r="AA69" s="17">
        <f>2249+1/60</f>
        <v>2249.0166666666669</v>
      </c>
      <c r="AB69" s="1">
        <v>3</v>
      </c>
      <c r="AC69" s="15">
        <v>2</v>
      </c>
      <c r="AD69" s="15">
        <v>0</v>
      </c>
      <c r="AE69" s="1">
        <v>94</v>
      </c>
      <c r="AF69" s="1">
        <v>904</v>
      </c>
      <c r="AG69" s="1">
        <v>2210</v>
      </c>
      <c r="AH69" s="1">
        <v>21</v>
      </c>
      <c r="AI69" s="1">
        <v>8</v>
      </c>
      <c r="AJ69" s="16">
        <f t="shared" si="29"/>
        <v>0.905811623246493</v>
      </c>
      <c r="AK69" s="2">
        <f t="shared" si="30"/>
        <v>2.5520361990950229</v>
      </c>
      <c r="AL69" s="18">
        <f t="shared" si="31"/>
        <v>0.55263157894736847</v>
      </c>
      <c r="AM69" s="1">
        <v>1</v>
      </c>
      <c r="AN69" s="1">
        <v>3</v>
      </c>
      <c r="AO69" s="1">
        <v>17</v>
      </c>
      <c r="AP69" s="1">
        <v>40</v>
      </c>
      <c r="AQ69" s="2">
        <f t="shared" si="34"/>
        <v>4.5</v>
      </c>
      <c r="AR69" s="16">
        <f t="shared" si="35"/>
        <v>0.85</v>
      </c>
      <c r="AS69" s="1" t="s">
        <v>128</v>
      </c>
      <c r="AT69" s="1" t="s">
        <v>129</v>
      </c>
      <c r="AU69" s="1">
        <v>2018</v>
      </c>
      <c r="AV69" s="19">
        <v>5500000</v>
      </c>
      <c r="AW69" s="5">
        <v>6500000</v>
      </c>
      <c r="AX69">
        <v>1.6</v>
      </c>
      <c r="AY69">
        <v>0.60000000000000009</v>
      </c>
      <c r="AZ69">
        <v>0.9</v>
      </c>
      <c r="BA69">
        <v>3.1</v>
      </c>
      <c r="BB69" s="4">
        <f t="shared" si="36"/>
        <v>-7.4365853658536576</v>
      </c>
      <c r="BC69" s="4">
        <v>5.4</v>
      </c>
      <c r="BD69" s="6">
        <v>1737.45</v>
      </c>
      <c r="BE69" s="15">
        <v>827</v>
      </c>
      <c r="BF69" s="15">
        <v>66</v>
      </c>
      <c r="BG69" s="20">
        <v>60</v>
      </c>
      <c r="BH69" s="15">
        <v>761</v>
      </c>
      <c r="BI69" s="21">
        <v>727</v>
      </c>
      <c r="BJ69" s="21">
        <v>287</v>
      </c>
      <c r="BK69" s="16">
        <f t="shared" si="37"/>
        <v>0.92019347037484889</v>
      </c>
      <c r="BL69" s="20">
        <v>71</v>
      </c>
      <c r="BM69" s="22">
        <f t="shared" si="38"/>
        <v>2.451869118535785</v>
      </c>
      <c r="BN69" s="21">
        <v>779</v>
      </c>
      <c r="BO69" s="21">
        <v>350</v>
      </c>
      <c r="BP69" s="23">
        <v>186.81</v>
      </c>
      <c r="BQ69" s="15">
        <v>153</v>
      </c>
      <c r="BR69" s="15">
        <v>30</v>
      </c>
      <c r="BS69" s="20">
        <v>27</v>
      </c>
      <c r="BT69" s="15">
        <v>123</v>
      </c>
      <c r="BU69" s="21">
        <v>116</v>
      </c>
      <c r="BV69" s="21">
        <v>61</v>
      </c>
      <c r="BW69" s="16">
        <f t="shared" si="39"/>
        <v>0.80392156862745101</v>
      </c>
      <c r="BX69" s="20">
        <v>1</v>
      </c>
      <c r="BY69" s="21">
        <v>20</v>
      </c>
      <c r="BZ69" s="21">
        <v>7</v>
      </c>
      <c r="CA69" s="23">
        <v>225.81</v>
      </c>
      <c r="CB69" s="15">
        <v>38</v>
      </c>
      <c r="CC69" s="15">
        <v>1</v>
      </c>
      <c r="CD69" s="20">
        <v>1</v>
      </c>
      <c r="CE69" s="15">
        <v>37</v>
      </c>
      <c r="CF69" s="21">
        <v>31</v>
      </c>
      <c r="CG69" s="21">
        <v>6</v>
      </c>
      <c r="CH69" s="16">
        <f t="shared" si="40"/>
        <v>0.97368421052631582</v>
      </c>
      <c r="CI69" s="20">
        <v>27</v>
      </c>
      <c r="CJ69" s="21">
        <v>150</v>
      </c>
      <c r="CK69" s="21">
        <v>66</v>
      </c>
      <c r="CL69" s="15">
        <v>1</v>
      </c>
      <c r="CM69" s="15">
        <v>0</v>
      </c>
      <c r="CN69" s="15">
        <v>3</v>
      </c>
      <c r="CO69" s="15">
        <v>1</v>
      </c>
      <c r="CP69" s="15">
        <v>1</v>
      </c>
      <c r="CQ69" s="15">
        <v>1</v>
      </c>
      <c r="CR69" s="15">
        <v>8</v>
      </c>
      <c r="CS69" s="15">
        <v>2</v>
      </c>
      <c r="CT69" s="15">
        <v>2</v>
      </c>
      <c r="CU69" s="15">
        <v>1</v>
      </c>
      <c r="CV69" s="15">
        <v>11</v>
      </c>
      <c r="CW69" s="15">
        <v>3</v>
      </c>
      <c r="CX69" s="16">
        <f t="shared" si="41"/>
        <v>0.72727272727272729</v>
      </c>
      <c r="CY69">
        <v>1</v>
      </c>
      <c r="CZ69" t="s">
        <v>433</v>
      </c>
    </row>
    <row r="70" spans="1:104" x14ac:dyDescent="0.25">
      <c r="A70" s="13">
        <v>32</v>
      </c>
      <c r="B70" s="13" t="s">
        <v>445</v>
      </c>
      <c r="C70" s="13" t="s">
        <v>446</v>
      </c>
      <c r="D70" s="13" t="s">
        <v>447</v>
      </c>
      <c r="E70" s="13" t="s">
        <v>124</v>
      </c>
      <c r="F70" s="13">
        <v>73</v>
      </c>
      <c r="G70" s="13">
        <v>218</v>
      </c>
      <c r="H70" s="13" t="s">
        <v>107</v>
      </c>
      <c r="I70" s="13"/>
      <c r="J70">
        <v>27</v>
      </c>
      <c r="K70" t="s">
        <v>448</v>
      </c>
      <c r="L70" t="s">
        <v>145</v>
      </c>
      <c r="M70" s="14" t="s">
        <v>146</v>
      </c>
      <c r="N70" s="15">
        <v>37</v>
      </c>
      <c r="O70" s="1">
        <v>36</v>
      </c>
      <c r="P70" s="15">
        <v>18</v>
      </c>
      <c r="Q70" s="15">
        <v>13</v>
      </c>
      <c r="R70" s="15">
        <v>4</v>
      </c>
      <c r="S70" s="15">
        <v>889</v>
      </c>
      <c r="T70" s="15">
        <v>87</v>
      </c>
      <c r="U70" s="15">
        <v>802</v>
      </c>
      <c r="V70" s="2">
        <f t="shared" si="32"/>
        <v>2.4464545156301263</v>
      </c>
      <c r="W70" s="16">
        <f t="shared" si="33"/>
        <v>0.90213723284589431</v>
      </c>
      <c r="X70" s="15">
        <v>0</v>
      </c>
      <c r="Y70" s="15">
        <v>0</v>
      </c>
      <c r="Z70" s="15">
        <v>2</v>
      </c>
      <c r="AA70" s="17">
        <f>2133+42/60</f>
        <v>2133.6999999999998</v>
      </c>
      <c r="AB70" s="1">
        <v>1</v>
      </c>
      <c r="AC70" s="15">
        <v>0</v>
      </c>
      <c r="AD70" s="15">
        <v>0</v>
      </c>
      <c r="AE70" s="1">
        <v>86</v>
      </c>
      <c r="AF70" s="1">
        <v>797</v>
      </c>
      <c r="AG70" s="1">
        <v>2095</v>
      </c>
      <c r="AH70" s="1">
        <v>22</v>
      </c>
      <c r="AI70" s="1">
        <v>9</v>
      </c>
      <c r="AJ70" s="16">
        <f t="shared" si="29"/>
        <v>0.90260475651189132</v>
      </c>
      <c r="AK70" s="2">
        <f t="shared" si="30"/>
        <v>2.4630071599045342</v>
      </c>
      <c r="AL70" s="18">
        <f t="shared" si="31"/>
        <v>0.61111111111111116</v>
      </c>
      <c r="AM70" s="1">
        <v>1</v>
      </c>
      <c r="AN70" s="1">
        <v>1</v>
      </c>
      <c r="AO70" s="1">
        <v>5</v>
      </c>
      <c r="AP70" s="1">
        <v>39</v>
      </c>
      <c r="AQ70" s="2">
        <f t="shared" si="34"/>
        <v>1.5384615384615383</v>
      </c>
      <c r="AR70" s="16">
        <f t="shared" si="35"/>
        <v>0.83333333333333337</v>
      </c>
      <c r="AS70" s="1" t="s">
        <v>128</v>
      </c>
      <c r="AT70" s="1" t="s">
        <v>129</v>
      </c>
      <c r="AU70" s="1">
        <v>2013</v>
      </c>
      <c r="AV70" s="19">
        <v>1700000</v>
      </c>
      <c r="AW70" s="5">
        <v>1800000</v>
      </c>
      <c r="AX70">
        <v>-0.8</v>
      </c>
      <c r="AY70">
        <v>1.6</v>
      </c>
      <c r="AZ70">
        <v>-2</v>
      </c>
      <c r="BA70">
        <v>-1.3</v>
      </c>
      <c r="BB70" s="4">
        <f t="shared" si="36"/>
        <v>-3.5829268292682928</v>
      </c>
      <c r="BC70" s="4">
        <v>4.4000000000000004</v>
      </c>
      <c r="BD70" s="6">
        <v>1667.96</v>
      </c>
      <c r="BE70" s="15">
        <v>731</v>
      </c>
      <c r="BF70" s="15">
        <v>66</v>
      </c>
      <c r="BG70" s="20">
        <v>65</v>
      </c>
      <c r="BH70" s="15">
        <v>665</v>
      </c>
      <c r="BI70" s="21">
        <v>637</v>
      </c>
      <c r="BJ70" s="21">
        <v>270</v>
      </c>
      <c r="BK70" s="16">
        <f t="shared" si="37"/>
        <v>0.90971272229822164</v>
      </c>
      <c r="BL70" s="20">
        <v>60</v>
      </c>
      <c r="BM70" s="22">
        <f t="shared" si="38"/>
        <v>2.1583251396915992</v>
      </c>
      <c r="BN70" s="21">
        <v>787</v>
      </c>
      <c r="BO70" s="21">
        <v>375</v>
      </c>
      <c r="BP70" s="23">
        <v>182.78</v>
      </c>
      <c r="BQ70" s="15">
        <v>146</v>
      </c>
      <c r="BR70" s="15">
        <v>20</v>
      </c>
      <c r="BS70" s="20">
        <v>15</v>
      </c>
      <c r="BT70" s="15">
        <v>126</v>
      </c>
      <c r="BU70" s="21">
        <v>110</v>
      </c>
      <c r="BV70" s="21">
        <v>69</v>
      </c>
      <c r="BW70" s="16">
        <f t="shared" si="39"/>
        <v>0.86301369863013699</v>
      </c>
      <c r="BX70" s="20">
        <v>2</v>
      </c>
      <c r="BY70" s="21">
        <v>21</v>
      </c>
      <c r="BZ70" s="21">
        <v>12</v>
      </c>
      <c r="CA70" s="23">
        <v>186.85</v>
      </c>
      <c r="CB70" s="15">
        <v>12</v>
      </c>
      <c r="CC70" s="15">
        <v>1</v>
      </c>
      <c r="CD70" s="20">
        <v>1</v>
      </c>
      <c r="CE70" s="15">
        <v>11</v>
      </c>
      <c r="CF70" s="21">
        <v>11</v>
      </c>
      <c r="CG70" s="21">
        <v>8</v>
      </c>
      <c r="CH70" s="16">
        <f t="shared" si="40"/>
        <v>0.91666666666666663</v>
      </c>
      <c r="CI70" s="20">
        <v>21</v>
      </c>
      <c r="CJ70" s="21">
        <v>121</v>
      </c>
      <c r="CK70" s="21">
        <v>68</v>
      </c>
      <c r="CL70" s="15">
        <v>2</v>
      </c>
      <c r="CM70" s="15">
        <v>1</v>
      </c>
      <c r="CN70" s="15">
        <v>13</v>
      </c>
      <c r="CO70" s="15">
        <v>5</v>
      </c>
      <c r="CP70" s="15">
        <v>0</v>
      </c>
      <c r="CQ70" s="15">
        <v>2</v>
      </c>
      <c r="CR70" s="15">
        <v>6</v>
      </c>
      <c r="CS70" s="15">
        <v>4</v>
      </c>
      <c r="CT70" s="15">
        <v>2</v>
      </c>
      <c r="CU70" s="15">
        <v>3</v>
      </c>
      <c r="CV70" s="15">
        <v>19</v>
      </c>
      <c r="CW70" s="15">
        <v>9</v>
      </c>
      <c r="CX70" s="16">
        <f t="shared" si="41"/>
        <v>0.52631578947368429</v>
      </c>
    </row>
    <row r="71" spans="1:104" x14ac:dyDescent="0.25">
      <c r="A71" s="13">
        <v>40</v>
      </c>
      <c r="B71" s="13" t="s">
        <v>449</v>
      </c>
      <c r="C71" s="13" t="s">
        <v>450</v>
      </c>
      <c r="D71" s="13"/>
      <c r="E71" s="13" t="s">
        <v>106</v>
      </c>
      <c r="F71" s="13">
        <v>75</v>
      </c>
      <c r="G71" s="13">
        <v>185</v>
      </c>
      <c r="H71" s="13" t="s">
        <v>107</v>
      </c>
      <c r="I71" s="13"/>
      <c r="J71">
        <v>26</v>
      </c>
      <c r="K71" t="s">
        <v>451</v>
      </c>
      <c r="L71" t="s">
        <v>452</v>
      </c>
      <c r="M71" s="14" t="s">
        <v>338</v>
      </c>
      <c r="N71" s="15">
        <v>36</v>
      </c>
      <c r="O71" s="1">
        <v>34</v>
      </c>
      <c r="P71" s="15">
        <v>19</v>
      </c>
      <c r="Q71" s="15">
        <v>10</v>
      </c>
      <c r="R71" s="15">
        <v>5</v>
      </c>
      <c r="S71" s="15">
        <v>980</v>
      </c>
      <c r="T71" s="15">
        <v>70</v>
      </c>
      <c r="U71" s="15">
        <v>910</v>
      </c>
      <c r="V71" s="2">
        <f t="shared" si="32"/>
        <v>1.9960554143003113</v>
      </c>
      <c r="W71" s="16">
        <f t="shared" si="33"/>
        <v>0.9285714285714286</v>
      </c>
      <c r="X71" s="15">
        <v>0</v>
      </c>
      <c r="Y71" s="15">
        <v>1</v>
      </c>
      <c r="Z71" s="15">
        <v>0</v>
      </c>
      <c r="AA71" s="17">
        <f>2104+9/60</f>
        <v>2104.15</v>
      </c>
      <c r="AB71" s="1">
        <v>5</v>
      </c>
      <c r="AC71" s="15">
        <v>0</v>
      </c>
      <c r="AD71" s="15">
        <v>0</v>
      </c>
      <c r="AE71" s="1">
        <v>68</v>
      </c>
      <c r="AF71" s="1">
        <v>897</v>
      </c>
      <c r="AG71" s="1">
        <v>2069</v>
      </c>
      <c r="AH71" s="1">
        <v>26</v>
      </c>
      <c r="AI71" s="1">
        <v>4</v>
      </c>
      <c r="AJ71" s="16">
        <f t="shared" si="29"/>
        <v>0.92953367875647663</v>
      </c>
      <c r="AK71" s="2">
        <f t="shared" si="30"/>
        <v>1.971967133881102</v>
      </c>
      <c r="AL71" s="18">
        <f t="shared" si="31"/>
        <v>0.76470588235294112</v>
      </c>
      <c r="AM71" s="1">
        <v>2</v>
      </c>
      <c r="AN71" s="1">
        <v>2</v>
      </c>
      <c r="AO71" s="1">
        <v>13</v>
      </c>
      <c r="AP71" s="1">
        <v>38</v>
      </c>
      <c r="AQ71" s="2">
        <f t="shared" si="34"/>
        <v>3.1578947368421053</v>
      </c>
      <c r="AR71" s="16">
        <f t="shared" si="35"/>
        <v>0.8666666666666667</v>
      </c>
      <c r="AS71" s="1" t="s">
        <v>128</v>
      </c>
      <c r="AT71" s="1" t="s">
        <v>113</v>
      </c>
      <c r="AU71" s="1">
        <v>2013</v>
      </c>
      <c r="AV71" s="19">
        <v>3500000</v>
      </c>
      <c r="AW71" s="5">
        <v>3500000</v>
      </c>
      <c r="AX71">
        <v>24</v>
      </c>
      <c r="AY71">
        <v>0.30000000000000004</v>
      </c>
      <c r="AZ71">
        <v>2.2000000000000002</v>
      </c>
      <c r="BA71">
        <v>26.5</v>
      </c>
      <c r="BB71" s="4">
        <f t="shared" si="36"/>
        <v>21.231707317073173</v>
      </c>
      <c r="BC71" s="4">
        <v>8</v>
      </c>
      <c r="BD71" s="6">
        <v>1706.4</v>
      </c>
      <c r="BE71" s="15">
        <v>832</v>
      </c>
      <c r="BF71" s="15">
        <v>52</v>
      </c>
      <c r="BG71" s="20">
        <v>50</v>
      </c>
      <c r="BH71" s="15">
        <v>780</v>
      </c>
      <c r="BI71" s="21">
        <v>751</v>
      </c>
      <c r="BJ71" s="21">
        <v>304</v>
      </c>
      <c r="BK71" s="16">
        <f t="shared" si="37"/>
        <v>0.9375</v>
      </c>
      <c r="BL71" s="20">
        <v>71</v>
      </c>
      <c r="BM71" s="22">
        <f t="shared" si="38"/>
        <v>2.4964838255977493</v>
      </c>
      <c r="BN71" s="21">
        <v>830</v>
      </c>
      <c r="BO71" s="21">
        <v>361</v>
      </c>
      <c r="BP71" s="23">
        <v>176.04</v>
      </c>
      <c r="BQ71" s="15">
        <v>126</v>
      </c>
      <c r="BR71" s="15">
        <v>17</v>
      </c>
      <c r="BS71" s="20">
        <v>15</v>
      </c>
      <c r="BT71" s="15">
        <v>109</v>
      </c>
      <c r="BU71" s="21">
        <v>101</v>
      </c>
      <c r="BV71" s="21">
        <v>59</v>
      </c>
      <c r="BW71" s="16">
        <f t="shared" si="39"/>
        <v>0.86507936507936511</v>
      </c>
      <c r="BX71" s="20">
        <v>1</v>
      </c>
      <c r="BY71" s="21">
        <v>34</v>
      </c>
      <c r="BZ71" s="21">
        <v>9</v>
      </c>
      <c r="CA71" s="23">
        <v>147.96</v>
      </c>
      <c r="CB71" s="15">
        <v>22</v>
      </c>
      <c r="CC71" s="15">
        <v>1</v>
      </c>
      <c r="CD71" s="20">
        <v>1</v>
      </c>
      <c r="CE71" s="15">
        <v>21</v>
      </c>
      <c r="CF71" s="21">
        <v>23</v>
      </c>
      <c r="CG71" s="21">
        <v>3</v>
      </c>
      <c r="CH71" s="16">
        <f t="shared" si="40"/>
        <v>0.95454545454545459</v>
      </c>
      <c r="CI71" s="20">
        <v>9</v>
      </c>
      <c r="CJ71" s="21">
        <v>116</v>
      </c>
      <c r="CK71" s="21">
        <v>47</v>
      </c>
      <c r="CL71" s="15">
        <v>3</v>
      </c>
      <c r="CM71" s="15">
        <v>2</v>
      </c>
      <c r="CN71" s="15">
        <v>22</v>
      </c>
      <c r="CO71" s="15">
        <v>6</v>
      </c>
      <c r="CP71" s="15">
        <v>1</v>
      </c>
      <c r="CQ71" s="15">
        <v>0</v>
      </c>
      <c r="CR71" s="15">
        <v>4</v>
      </c>
      <c r="CS71" s="15">
        <v>1</v>
      </c>
      <c r="CT71" s="15">
        <v>4</v>
      </c>
      <c r="CU71" s="15">
        <v>2</v>
      </c>
      <c r="CV71" s="15">
        <v>26</v>
      </c>
      <c r="CW71" s="15">
        <v>7</v>
      </c>
      <c r="CX71" s="16">
        <f t="shared" si="41"/>
        <v>0.73076923076923084</v>
      </c>
    </row>
    <row r="72" spans="1:104" x14ac:dyDescent="0.25">
      <c r="A72" s="13">
        <v>34</v>
      </c>
      <c r="B72" s="13" t="s">
        <v>453</v>
      </c>
      <c r="C72" s="13" t="s">
        <v>454</v>
      </c>
      <c r="D72" s="13" t="s">
        <v>455</v>
      </c>
      <c r="E72" s="13" t="s">
        <v>117</v>
      </c>
      <c r="F72" s="13">
        <v>74</v>
      </c>
      <c r="G72" s="13">
        <v>208</v>
      </c>
      <c r="H72" s="13" t="s">
        <v>107</v>
      </c>
      <c r="I72" s="13"/>
      <c r="J72">
        <v>25</v>
      </c>
      <c r="K72" t="s">
        <v>456</v>
      </c>
      <c r="L72" t="s">
        <v>457</v>
      </c>
      <c r="M72" s="14" t="s">
        <v>458</v>
      </c>
      <c r="N72" s="15">
        <v>33</v>
      </c>
      <c r="O72" s="1">
        <v>31</v>
      </c>
      <c r="P72" s="15">
        <v>19</v>
      </c>
      <c r="Q72" s="15">
        <v>8</v>
      </c>
      <c r="R72" s="15">
        <v>5</v>
      </c>
      <c r="S72" s="15">
        <v>995</v>
      </c>
      <c r="T72" s="15">
        <v>76</v>
      </c>
      <c r="U72" s="15">
        <v>919</v>
      </c>
      <c r="V72" s="2">
        <f t="shared" si="32"/>
        <v>2.4566980039328721</v>
      </c>
      <c r="W72" s="16">
        <f t="shared" si="33"/>
        <v>0.92361809045226129</v>
      </c>
      <c r="X72" s="15">
        <v>0</v>
      </c>
      <c r="Y72" s="15">
        <v>1</v>
      </c>
      <c r="Z72" s="15">
        <v>0</v>
      </c>
      <c r="AA72" s="17">
        <f>1856+9/60</f>
        <v>1856.15</v>
      </c>
      <c r="AB72" s="1">
        <v>4</v>
      </c>
      <c r="AC72" s="15">
        <v>1</v>
      </c>
      <c r="AD72" s="15">
        <v>0</v>
      </c>
      <c r="AE72" s="1">
        <v>75</v>
      </c>
      <c r="AF72" s="1">
        <v>905</v>
      </c>
      <c r="AG72" s="1">
        <v>1817</v>
      </c>
      <c r="AH72" s="1">
        <v>16</v>
      </c>
      <c r="AI72" s="1">
        <v>2</v>
      </c>
      <c r="AJ72" s="16">
        <f t="shared" si="29"/>
        <v>0.92346938775510201</v>
      </c>
      <c r="AK72" s="2">
        <f t="shared" si="30"/>
        <v>2.4766097963676388</v>
      </c>
      <c r="AL72" s="18">
        <f t="shared" si="31"/>
        <v>0.5161290322580645</v>
      </c>
      <c r="AM72" s="1">
        <v>2</v>
      </c>
      <c r="AN72" s="1">
        <v>1</v>
      </c>
      <c r="AO72" s="1">
        <v>14</v>
      </c>
      <c r="AP72" s="1">
        <v>39</v>
      </c>
      <c r="AQ72" s="2">
        <f t="shared" si="34"/>
        <v>1.5384615384615383</v>
      </c>
      <c r="AR72" s="16">
        <f t="shared" si="35"/>
        <v>0.93333333333333335</v>
      </c>
      <c r="AS72" s="1" t="s">
        <v>128</v>
      </c>
      <c r="AT72" s="1" t="s">
        <v>113</v>
      </c>
      <c r="AU72" s="1">
        <v>2014</v>
      </c>
      <c r="AV72" s="19">
        <v>1600000</v>
      </c>
      <c r="AW72" s="5">
        <v>1800000</v>
      </c>
      <c r="AX72">
        <v>18.2</v>
      </c>
      <c r="AY72">
        <v>-1.2</v>
      </c>
      <c r="AZ72">
        <v>-0.4</v>
      </c>
      <c r="BA72">
        <v>16.7</v>
      </c>
      <c r="BB72" s="4">
        <f t="shared" si="36"/>
        <v>14.417073170731706</v>
      </c>
      <c r="BC72" s="4">
        <v>7.5</v>
      </c>
      <c r="BD72" s="6">
        <v>1471.14</v>
      </c>
      <c r="BE72" s="15">
        <v>857</v>
      </c>
      <c r="BF72" s="15">
        <v>65</v>
      </c>
      <c r="BG72" s="20">
        <v>63</v>
      </c>
      <c r="BH72" s="15">
        <v>792</v>
      </c>
      <c r="BI72" s="21">
        <v>760</v>
      </c>
      <c r="BJ72" s="21">
        <v>356</v>
      </c>
      <c r="BK72" s="16">
        <f t="shared" si="37"/>
        <v>0.92415402567094518</v>
      </c>
      <c r="BL72" s="20">
        <v>76</v>
      </c>
      <c r="BM72" s="22">
        <f t="shared" si="38"/>
        <v>3.0996370161915245</v>
      </c>
      <c r="BN72" s="21">
        <v>527</v>
      </c>
      <c r="BO72" s="21">
        <v>262</v>
      </c>
      <c r="BP72" s="23">
        <v>157.74</v>
      </c>
      <c r="BQ72" s="15">
        <v>112</v>
      </c>
      <c r="BR72" s="15">
        <v>9</v>
      </c>
      <c r="BS72" s="20">
        <v>9</v>
      </c>
      <c r="BT72" s="15">
        <v>103</v>
      </c>
      <c r="BU72" s="21">
        <v>97</v>
      </c>
      <c r="BV72" s="21">
        <v>56</v>
      </c>
      <c r="BW72" s="16">
        <f t="shared" si="39"/>
        <v>0.9196428571428571</v>
      </c>
      <c r="BX72" s="20">
        <v>2</v>
      </c>
      <c r="BY72" s="21">
        <v>11</v>
      </c>
      <c r="BZ72" s="21">
        <v>2</v>
      </c>
      <c r="CA72" s="23">
        <v>159.72</v>
      </c>
      <c r="CB72" s="15">
        <v>26</v>
      </c>
      <c r="CC72" s="15">
        <v>2</v>
      </c>
      <c r="CD72" s="20">
        <v>2</v>
      </c>
      <c r="CE72" s="15">
        <v>24</v>
      </c>
      <c r="CF72" s="21">
        <v>24</v>
      </c>
      <c r="CG72" s="21">
        <v>8</v>
      </c>
      <c r="CH72" s="16">
        <f t="shared" si="40"/>
        <v>0.92307692307692313</v>
      </c>
      <c r="CI72" s="20">
        <v>19</v>
      </c>
      <c r="CJ72" s="21">
        <v>83</v>
      </c>
      <c r="CK72" s="21">
        <v>55</v>
      </c>
      <c r="CL72" s="15">
        <v>0</v>
      </c>
      <c r="CM72" s="15">
        <v>2</v>
      </c>
      <c r="CN72" s="15">
        <v>12</v>
      </c>
      <c r="CO72" s="15">
        <v>4</v>
      </c>
      <c r="CP72" s="15">
        <v>0</v>
      </c>
      <c r="CQ72" s="15">
        <v>3</v>
      </c>
      <c r="CR72" s="15">
        <v>12</v>
      </c>
      <c r="CS72" s="15">
        <v>5</v>
      </c>
      <c r="CT72" s="15">
        <v>0</v>
      </c>
      <c r="CU72" s="15">
        <v>5</v>
      </c>
      <c r="CV72" s="15">
        <v>24</v>
      </c>
      <c r="CW72" s="15">
        <v>9</v>
      </c>
      <c r="CX72" s="16">
        <f t="shared" si="41"/>
        <v>0.625</v>
      </c>
      <c r="CY72">
        <v>7</v>
      </c>
      <c r="CZ72" t="s">
        <v>347</v>
      </c>
    </row>
    <row r="73" spans="1:104" x14ac:dyDescent="0.25">
      <c r="A73" s="13">
        <v>35</v>
      </c>
      <c r="B73" s="13" t="s">
        <v>459</v>
      </c>
      <c r="C73" s="13" t="s">
        <v>460</v>
      </c>
      <c r="D73" s="13"/>
      <c r="E73" s="13" t="s">
        <v>106</v>
      </c>
      <c r="F73" s="13">
        <v>77</v>
      </c>
      <c r="G73" s="13">
        <v>204</v>
      </c>
      <c r="H73" s="13" t="s">
        <v>107</v>
      </c>
      <c r="I73" s="13"/>
      <c r="J73">
        <v>31</v>
      </c>
      <c r="K73" t="s">
        <v>461</v>
      </c>
      <c r="L73" t="s">
        <v>462</v>
      </c>
      <c r="M73" s="14" t="s">
        <v>392</v>
      </c>
      <c r="N73" s="15">
        <v>43</v>
      </c>
      <c r="O73" s="1">
        <v>42</v>
      </c>
      <c r="P73" s="15">
        <v>15</v>
      </c>
      <c r="Q73" s="15">
        <v>16</v>
      </c>
      <c r="R73" s="15">
        <v>8</v>
      </c>
      <c r="S73" s="15">
        <v>1101</v>
      </c>
      <c r="T73" s="15">
        <v>99</v>
      </c>
      <c r="U73" s="15">
        <v>1002</v>
      </c>
      <c r="V73" s="2">
        <f t="shared" si="32"/>
        <v>2.4306739595978883</v>
      </c>
      <c r="W73" s="16">
        <f t="shared" si="33"/>
        <v>0.91008174386920981</v>
      </c>
      <c r="X73" s="15">
        <v>0</v>
      </c>
      <c r="Y73" s="15">
        <v>1</v>
      </c>
      <c r="Z73" s="15">
        <v>8</v>
      </c>
      <c r="AA73" s="17">
        <f>2443+46/60</f>
        <v>2443.7666666666669</v>
      </c>
      <c r="AB73" s="1">
        <v>5</v>
      </c>
      <c r="AC73" s="15">
        <v>1</v>
      </c>
      <c r="AD73" s="15">
        <v>1</v>
      </c>
      <c r="AE73" s="1">
        <v>99</v>
      </c>
      <c r="AF73" s="1">
        <v>992</v>
      </c>
      <c r="AG73" s="1">
        <v>2420</v>
      </c>
      <c r="AH73" s="1">
        <v>24</v>
      </c>
      <c r="AI73" s="1">
        <v>10</v>
      </c>
      <c r="AJ73" s="16">
        <f t="shared" si="29"/>
        <v>0.90925756186984419</v>
      </c>
      <c r="AK73" s="2">
        <f t="shared" si="30"/>
        <v>2.4545454545454546</v>
      </c>
      <c r="AL73" s="18">
        <f t="shared" si="31"/>
        <v>0.5714285714285714</v>
      </c>
      <c r="AM73" s="1">
        <v>1</v>
      </c>
      <c r="AN73" s="1">
        <v>0</v>
      </c>
      <c r="AO73" s="1">
        <v>10</v>
      </c>
      <c r="AP73" s="1">
        <v>24</v>
      </c>
      <c r="AQ73" s="2">
        <f t="shared" si="34"/>
        <v>0</v>
      </c>
      <c r="AR73" s="16">
        <f t="shared" si="35"/>
        <v>1</v>
      </c>
      <c r="AS73" s="1" t="s">
        <v>128</v>
      </c>
      <c r="AT73" s="1" t="s">
        <v>129</v>
      </c>
      <c r="AU73" s="1">
        <v>2019</v>
      </c>
      <c r="AV73" s="19">
        <v>7000000</v>
      </c>
      <c r="AW73" s="19">
        <v>7000000</v>
      </c>
      <c r="AX73">
        <v>5.6</v>
      </c>
      <c r="AY73">
        <v>1</v>
      </c>
      <c r="AZ73">
        <v>-2.4</v>
      </c>
      <c r="BA73">
        <v>4.2</v>
      </c>
      <c r="BB73" s="4">
        <f t="shared" si="36"/>
        <v>-7.2146341463414609</v>
      </c>
      <c r="BC73" s="4">
        <v>6.5</v>
      </c>
      <c r="BD73" s="6">
        <v>1985.31</v>
      </c>
      <c r="BE73" s="15">
        <v>937</v>
      </c>
      <c r="BF73" s="15">
        <v>68</v>
      </c>
      <c r="BG73" s="20">
        <v>64</v>
      </c>
      <c r="BH73" s="15">
        <v>869</v>
      </c>
      <c r="BI73" s="21">
        <v>831</v>
      </c>
      <c r="BJ73" s="21">
        <v>377</v>
      </c>
      <c r="BK73" s="16">
        <f t="shared" si="37"/>
        <v>0.92742796157950902</v>
      </c>
      <c r="BL73" s="20">
        <v>59</v>
      </c>
      <c r="BM73" s="22">
        <f t="shared" si="38"/>
        <v>1.7830968463363404</v>
      </c>
      <c r="BN73" s="21">
        <v>771</v>
      </c>
      <c r="BO73" s="21">
        <v>318</v>
      </c>
      <c r="BP73" s="23">
        <v>181.03</v>
      </c>
      <c r="BQ73" s="15">
        <v>148</v>
      </c>
      <c r="BR73" s="15">
        <v>27</v>
      </c>
      <c r="BS73" s="20">
        <v>24</v>
      </c>
      <c r="BT73" s="15">
        <v>121</v>
      </c>
      <c r="BU73" s="21">
        <v>112</v>
      </c>
      <c r="BV73" s="21">
        <v>51</v>
      </c>
      <c r="BW73" s="16">
        <f t="shared" si="39"/>
        <v>0.81756756756756754</v>
      </c>
      <c r="BX73" s="20">
        <v>1</v>
      </c>
      <c r="BY73" s="21">
        <v>12</v>
      </c>
      <c r="BZ73" s="21">
        <v>7</v>
      </c>
      <c r="CA73" s="23">
        <v>185.33</v>
      </c>
      <c r="CB73" s="15">
        <v>16</v>
      </c>
      <c r="CC73" s="15">
        <v>4</v>
      </c>
      <c r="CD73" s="20">
        <v>4</v>
      </c>
      <c r="CE73" s="15">
        <v>12</v>
      </c>
      <c r="CF73" s="21">
        <v>13</v>
      </c>
      <c r="CG73" s="21">
        <v>8</v>
      </c>
      <c r="CH73" s="16">
        <f t="shared" si="40"/>
        <v>0.75</v>
      </c>
      <c r="CI73" s="20">
        <v>18</v>
      </c>
      <c r="CJ73" s="21">
        <v>119</v>
      </c>
      <c r="CK73" s="21">
        <v>46</v>
      </c>
      <c r="CL73" s="15">
        <v>0</v>
      </c>
      <c r="CM73" s="15">
        <v>4</v>
      </c>
      <c r="CN73" s="15">
        <v>14</v>
      </c>
      <c r="CO73" s="15">
        <v>8</v>
      </c>
      <c r="CP73" s="15">
        <v>2</v>
      </c>
      <c r="CQ73" s="15">
        <v>2</v>
      </c>
      <c r="CR73" s="15">
        <v>18</v>
      </c>
      <c r="CS73" s="15">
        <v>6</v>
      </c>
      <c r="CT73" s="15">
        <v>2</v>
      </c>
      <c r="CU73" s="15">
        <v>6</v>
      </c>
      <c r="CV73" s="15">
        <v>32</v>
      </c>
      <c r="CW73" s="15">
        <v>14</v>
      </c>
      <c r="CX73" s="16">
        <f t="shared" si="41"/>
        <v>0.5625</v>
      </c>
    </row>
    <row r="74" spans="1:104" x14ac:dyDescent="0.25">
      <c r="A74" s="13">
        <v>40</v>
      </c>
      <c r="B74" s="13" t="s">
        <v>463</v>
      </c>
      <c r="C74" s="13" t="s">
        <v>464</v>
      </c>
      <c r="D74" s="13"/>
      <c r="E74" s="13" t="s">
        <v>106</v>
      </c>
      <c r="F74" s="13">
        <v>77</v>
      </c>
      <c r="G74" s="13">
        <v>205</v>
      </c>
      <c r="H74" s="13" t="s">
        <v>107</v>
      </c>
      <c r="I74" s="13" t="s">
        <v>108</v>
      </c>
      <c r="J74">
        <v>26</v>
      </c>
      <c r="K74" t="s">
        <v>465</v>
      </c>
      <c r="L74" t="s">
        <v>466</v>
      </c>
      <c r="M74" s="14" t="s">
        <v>458</v>
      </c>
      <c r="N74" s="15">
        <v>1</v>
      </c>
      <c r="O74" s="1">
        <v>0</v>
      </c>
      <c r="P74" s="15">
        <v>0</v>
      </c>
      <c r="Q74" s="15">
        <v>0</v>
      </c>
      <c r="R74" s="15">
        <v>0</v>
      </c>
      <c r="S74" s="15">
        <v>6</v>
      </c>
      <c r="T74" s="15">
        <v>0</v>
      </c>
      <c r="U74" s="15">
        <v>6</v>
      </c>
      <c r="V74" s="2">
        <f t="shared" si="32"/>
        <v>0</v>
      </c>
      <c r="W74" s="16">
        <f t="shared" si="33"/>
        <v>1</v>
      </c>
      <c r="X74" s="15">
        <v>0</v>
      </c>
      <c r="Y74" s="15">
        <v>0</v>
      </c>
      <c r="Z74" s="15">
        <v>0</v>
      </c>
      <c r="AA74" s="17">
        <f>10+20/60</f>
        <v>10.333333333333334</v>
      </c>
      <c r="AB74" s="1">
        <v>0</v>
      </c>
      <c r="AC74" s="15">
        <v>0</v>
      </c>
      <c r="AD74" s="15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6">
        <v>0</v>
      </c>
      <c r="AK74" s="2">
        <v>0</v>
      </c>
      <c r="AL74" s="18">
        <f>IF(O74&gt;0,AH74/O74,0)</f>
        <v>0</v>
      </c>
      <c r="AM74" s="1">
        <v>1</v>
      </c>
      <c r="AN74" s="1">
        <v>0</v>
      </c>
      <c r="AO74" s="1">
        <v>6</v>
      </c>
      <c r="AP74" s="1">
        <v>10</v>
      </c>
      <c r="AQ74" s="2">
        <f t="shared" si="34"/>
        <v>0</v>
      </c>
      <c r="AR74" s="16">
        <f t="shared" si="35"/>
        <v>1</v>
      </c>
      <c r="AS74" s="1" t="s">
        <v>128</v>
      </c>
      <c r="AT74" s="1" t="s">
        <v>113</v>
      </c>
      <c r="AU74" s="1">
        <v>2013</v>
      </c>
      <c r="AV74" s="19">
        <v>600000</v>
      </c>
      <c r="AW74" s="5">
        <v>600000</v>
      </c>
      <c r="AX74">
        <v>0.60000000000000009</v>
      </c>
      <c r="AY74">
        <v>0</v>
      </c>
      <c r="AZ74">
        <v>0</v>
      </c>
      <c r="BA74">
        <v>0.60000000000000009</v>
      </c>
      <c r="BB74" s="4">
        <f t="shared" si="36"/>
        <v>0.42439024390243912</v>
      </c>
      <c r="BC74" s="4">
        <v>0.1</v>
      </c>
      <c r="BD74" s="6">
        <v>6.33</v>
      </c>
      <c r="BE74" s="15">
        <v>2</v>
      </c>
      <c r="BF74" s="15">
        <v>0</v>
      </c>
      <c r="BG74" s="20">
        <v>0</v>
      </c>
      <c r="BH74" s="15">
        <v>2</v>
      </c>
      <c r="BI74" s="21">
        <v>2</v>
      </c>
      <c r="BJ74" s="21">
        <v>3</v>
      </c>
      <c r="BK74" s="16">
        <f t="shared" si="37"/>
        <v>1</v>
      </c>
      <c r="BL74" s="20">
        <v>1</v>
      </c>
      <c r="BM74" s="22">
        <f t="shared" si="38"/>
        <v>9.4786729857819907</v>
      </c>
      <c r="BN74" s="21">
        <v>2</v>
      </c>
      <c r="BO74" s="21">
        <v>4</v>
      </c>
      <c r="BP74" s="23">
        <v>2</v>
      </c>
      <c r="BQ74" s="15">
        <v>3</v>
      </c>
      <c r="BR74" s="15">
        <v>0</v>
      </c>
      <c r="BS74" s="20">
        <v>0</v>
      </c>
      <c r="BT74" s="15">
        <v>3</v>
      </c>
      <c r="BU74" s="21">
        <v>3</v>
      </c>
      <c r="BV74" s="21">
        <v>0</v>
      </c>
      <c r="BW74" s="16">
        <f t="shared" si="39"/>
        <v>1</v>
      </c>
      <c r="BX74" s="20">
        <v>0</v>
      </c>
      <c r="BY74" s="21">
        <v>0</v>
      </c>
      <c r="BZ74" s="21">
        <v>0</v>
      </c>
      <c r="CA74" s="23">
        <v>2</v>
      </c>
      <c r="CB74" s="15">
        <v>1</v>
      </c>
      <c r="CC74" s="15">
        <v>0</v>
      </c>
      <c r="CD74" s="20">
        <v>0</v>
      </c>
      <c r="CE74" s="15">
        <v>1</v>
      </c>
      <c r="CF74" s="21">
        <v>1</v>
      </c>
      <c r="CG74" s="21">
        <v>0</v>
      </c>
      <c r="CH74" s="16">
        <f t="shared" si="40"/>
        <v>1</v>
      </c>
      <c r="CI74" s="20">
        <v>0</v>
      </c>
      <c r="CJ74" s="21">
        <v>2</v>
      </c>
      <c r="CK74" s="21">
        <v>1</v>
      </c>
      <c r="CX74" s="16" t="str">
        <f t="shared" si="41"/>
        <v xml:space="preserve"> </v>
      </c>
    </row>
    <row r="75" spans="1:104" x14ac:dyDescent="0.25">
      <c r="A75" s="13">
        <v>35</v>
      </c>
      <c r="B75" s="13" t="s">
        <v>467</v>
      </c>
      <c r="C75" s="13" t="s">
        <v>468</v>
      </c>
      <c r="D75" s="13" t="s">
        <v>209</v>
      </c>
      <c r="E75" s="13" t="s">
        <v>124</v>
      </c>
      <c r="F75" s="13">
        <v>74</v>
      </c>
      <c r="G75" s="13">
        <v>195</v>
      </c>
      <c r="H75" s="13" t="s">
        <v>107</v>
      </c>
      <c r="I75" s="13"/>
      <c r="J75">
        <v>27</v>
      </c>
      <c r="K75" t="s">
        <v>469</v>
      </c>
      <c r="L75" t="s">
        <v>470</v>
      </c>
      <c r="M75" s="14" t="s">
        <v>379</v>
      </c>
      <c r="N75" s="15">
        <v>30</v>
      </c>
      <c r="O75" s="1">
        <v>30</v>
      </c>
      <c r="P75" s="15">
        <v>17</v>
      </c>
      <c r="Q75" s="15">
        <v>9</v>
      </c>
      <c r="R75" s="15">
        <v>4</v>
      </c>
      <c r="S75" s="15">
        <v>835</v>
      </c>
      <c r="T75" s="15">
        <v>61</v>
      </c>
      <c r="U75" s="15">
        <v>774</v>
      </c>
      <c r="V75" s="2">
        <f t="shared" si="32"/>
        <v>2.1115587649881249</v>
      </c>
      <c r="W75" s="16">
        <f t="shared" si="33"/>
        <v>0.92694610778443109</v>
      </c>
      <c r="X75" s="15">
        <v>0</v>
      </c>
      <c r="Y75" s="15">
        <v>1</v>
      </c>
      <c r="Z75" s="15">
        <v>0</v>
      </c>
      <c r="AA75" s="17">
        <f>1733+19/60</f>
        <v>1733.3166666666666</v>
      </c>
      <c r="AB75" s="1">
        <v>5</v>
      </c>
      <c r="AC75" s="15">
        <v>0</v>
      </c>
      <c r="AD75" s="15">
        <v>0</v>
      </c>
      <c r="AE75" s="1">
        <v>61</v>
      </c>
      <c r="AF75" s="1">
        <v>774</v>
      </c>
      <c r="AG75" s="1">
        <v>1734</v>
      </c>
      <c r="AH75" s="1">
        <v>21</v>
      </c>
      <c r="AI75" s="1">
        <v>4</v>
      </c>
      <c r="AJ75" s="16">
        <f>AF75/(AE75+AF75)</f>
        <v>0.92694610778443109</v>
      </c>
      <c r="AK75" s="2">
        <f>AE75/AG75*60</f>
        <v>2.1107266435986158</v>
      </c>
      <c r="AL75" s="18">
        <f>IF(O75&gt;0,AH75/O75,"0_")</f>
        <v>0.7</v>
      </c>
      <c r="AM75" s="1">
        <v>0</v>
      </c>
      <c r="AN75" s="1">
        <v>0</v>
      </c>
      <c r="AO75" s="1">
        <v>0</v>
      </c>
      <c r="AP75" s="1">
        <v>0</v>
      </c>
      <c r="AQ75" s="2">
        <v>0</v>
      </c>
      <c r="AR75" s="16">
        <v>0</v>
      </c>
      <c r="AS75" s="1" t="s">
        <v>128</v>
      </c>
      <c r="AT75" s="1" t="s">
        <v>129</v>
      </c>
      <c r="AU75" s="1">
        <v>2015</v>
      </c>
      <c r="AV75" s="19">
        <v>3500000</v>
      </c>
      <c r="AW75" s="5">
        <v>4000000</v>
      </c>
      <c r="AX75">
        <v>19.100000000000001</v>
      </c>
      <c r="AY75">
        <v>-0.2</v>
      </c>
      <c r="AZ75">
        <v>0.5</v>
      </c>
      <c r="BA75">
        <v>19.399999999999999</v>
      </c>
      <c r="BB75" s="4">
        <f t="shared" si="36"/>
        <v>13.253658536585366</v>
      </c>
      <c r="BC75" s="4">
        <v>6.6</v>
      </c>
      <c r="BD75" s="6">
        <v>1337.4</v>
      </c>
      <c r="BE75" s="15">
        <v>685</v>
      </c>
      <c r="BF75" s="15">
        <v>47</v>
      </c>
      <c r="BG75" s="20">
        <v>45</v>
      </c>
      <c r="BH75" s="15">
        <v>638</v>
      </c>
      <c r="BI75" s="21">
        <v>595</v>
      </c>
      <c r="BJ75" s="21">
        <v>212</v>
      </c>
      <c r="BK75" s="16">
        <f t="shared" si="37"/>
        <v>0.93138686131386861</v>
      </c>
      <c r="BL75" s="20">
        <v>53</v>
      </c>
      <c r="BM75" s="22">
        <f t="shared" si="38"/>
        <v>2.3777478689995513</v>
      </c>
      <c r="BN75" s="21">
        <v>555</v>
      </c>
      <c r="BO75" s="21">
        <v>247</v>
      </c>
      <c r="BP75" s="23">
        <v>166.5</v>
      </c>
      <c r="BQ75" s="15">
        <v>128</v>
      </c>
      <c r="BR75" s="15">
        <v>13</v>
      </c>
      <c r="BS75" s="20">
        <v>13</v>
      </c>
      <c r="BT75" s="15">
        <v>115</v>
      </c>
      <c r="BU75" s="21">
        <v>113</v>
      </c>
      <c r="BV75" s="21">
        <v>52</v>
      </c>
      <c r="BW75" s="16">
        <f t="shared" si="39"/>
        <v>0.8984375</v>
      </c>
      <c r="BX75" s="20">
        <v>2</v>
      </c>
      <c r="BY75" s="21">
        <v>17</v>
      </c>
      <c r="BZ75" s="21">
        <v>8</v>
      </c>
      <c r="CA75" s="23">
        <v>160.80000000000001</v>
      </c>
      <c r="CB75" s="15">
        <v>22</v>
      </c>
      <c r="CC75" s="15">
        <v>1</v>
      </c>
      <c r="CD75" s="20">
        <v>1</v>
      </c>
      <c r="CE75" s="15">
        <v>21</v>
      </c>
      <c r="CF75" s="21">
        <v>23</v>
      </c>
      <c r="CG75" s="21">
        <v>4</v>
      </c>
      <c r="CH75" s="16">
        <f t="shared" si="40"/>
        <v>0.95454545454545459</v>
      </c>
      <c r="CI75" s="20">
        <v>14</v>
      </c>
      <c r="CJ75" s="21">
        <v>99</v>
      </c>
      <c r="CK75" s="21">
        <v>51</v>
      </c>
      <c r="CL75" s="15">
        <v>3</v>
      </c>
      <c r="CM75" s="15">
        <v>1</v>
      </c>
      <c r="CN75" s="15">
        <v>15</v>
      </c>
      <c r="CO75" s="15">
        <v>3</v>
      </c>
      <c r="CP75" s="15">
        <v>0</v>
      </c>
      <c r="CQ75" s="15">
        <v>2</v>
      </c>
      <c r="CR75" s="15">
        <v>6</v>
      </c>
      <c r="CS75" s="15">
        <v>4</v>
      </c>
      <c r="CT75" s="15">
        <v>3</v>
      </c>
      <c r="CU75" s="15">
        <v>3</v>
      </c>
      <c r="CV75" s="15">
        <v>21</v>
      </c>
      <c r="CW75" s="15">
        <v>7</v>
      </c>
      <c r="CX75" s="16">
        <f t="shared" si="41"/>
        <v>0.66666666666666674</v>
      </c>
      <c r="CY75">
        <v>3</v>
      </c>
      <c r="CZ75" t="s">
        <v>471</v>
      </c>
    </row>
    <row r="76" spans="1:104" x14ac:dyDescent="0.25">
      <c r="A76" s="13">
        <v>30</v>
      </c>
      <c r="B76" s="13" t="s">
        <v>472</v>
      </c>
      <c r="C76" s="13" t="s">
        <v>473</v>
      </c>
      <c r="D76" s="13" t="s">
        <v>319</v>
      </c>
      <c r="E76" s="13" t="s">
        <v>117</v>
      </c>
      <c r="F76" s="13">
        <v>74</v>
      </c>
      <c r="G76" s="13">
        <v>192</v>
      </c>
      <c r="H76" s="13" t="s">
        <v>107</v>
      </c>
      <c r="I76" s="13"/>
      <c r="J76">
        <v>27</v>
      </c>
      <c r="K76" t="s">
        <v>474</v>
      </c>
      <c r="L76" t="s">
        <v>156</v>
      </c>
      <c r="M76" s="14" t="s">
        <v>458</v>
      </c>
      <c r="N76" s="15">
        <v>20</v>
      </c>
      <c r="O76" s="1">
        <v>17</v>
      </c>
      <c r="P76" s="15">
        <v>7</v>
      </c>
      <c r="Q76" s="15">
        <v>9</v>
      </c>
      <c r="R76" s="15">
        <v>0</v>
      </c>
      <c r="S76" s="15">
        <v>542</v>
      </c>
      <c r="T76" s="15">
        <v>46</v>
      </c>
      <c r="U76" s="15">
        <v>496</v>
      </c>
      <c r="V76" s="2">
        <f t="shared" si="32"/>
        <v>2.6930770356637557</v>
      </c>
      <c r="W76" s="16">
        <f t="shared" si="33"/>
        <v>0.91512915129151295</v>
      </c>
      <c r="X76" s="15">
        <v>0</v>
      </c>
      <c r="Y76" s="15">
        <v>0</v>
      </c>
      <c r="Z76" s="15">
        <v>6</v>
      </c>
      <c r="AA76" s="17">
        <f>1024+51/60</f>
        <v>1024.8499999999999</v>
      </c>
      <c r="AB76" s="1">
        <v>2</v>
      </c>
      <c r="AC76" s="15">
        <v>0</v>
      </c>
      <c r="AD76" s="15">
        <v>0</v>
      </c>
      <c r="AE76" s="1">
        <v>44</v>
      </c>
      <c r="AF76" s="1">
        <v>454</v>
      </c>
      <c r="AG76" s="1">
        <v>964</v>
      </c>
      <c r="AH76" s="1">
        <v>10</v>
      </c>
      <c r="AI76" s="1">
        <v>3</v>
      </c>
      <c r="AJ76" s="16">
        <f>AF76/(AE76+AF76)</f>
        <v>0.91164658634538154</v>
      </c>
      <c r="AK76" s="2">
        <f>AE76/AG76*60</f>
        <v>2.7385892116182573</v>
      </c>
      <c r="AL76" s="18">
        <f>IF(O76&gt;0,AH76/O76,"0_")</f>
        <v>0.58823529411764708</v>
      </c>
      <c r="AM76" s="1">
        <v>3</v>
      </c>
      <c r="AN76" s="1">
        <v>2</v>
      </c>
      <c r="AO76" s="1">
        <v>42</v>
      </c>
      <c r="AP76" s="1">
        <v>62</v>
      </c>
      <c r="AQ76" s="2">
        <f>IF(AP76&gt;0,AN76/AP76*60," ")</f>
        <v>1.935483870967742</v>
      </c>
      <c r="AR76" s="16">
        <f>IF(AP76&gt;0,AO76/(AN76+AO76)," ")</f>
        <v>0.95454545454545459</v>
      </c>
      <c r="AS76" s="1" t="s">
        <v>128</v>
      </c>
      <c r="AT76" s="1" t="s">
        <v>129</v>
      </c>
      <c r="AU76" s="1">
        <v>2014</v>
      </c>
      <c r="AV76" s="19">
        <v>600000</v>
      </c>
      <c r="AW76" s="5">
        <v>612500</v>
      </c>
      <c r="AX76">
        <v>5.4</v>
      </c>
      <c r="AY76">
        <v>-0.5</v>
      </c>
      <c r="AZ76">
        <v>0</v>
      </c>
      <c r="BA76">
        <v>4.9000000000000004</v>
      </c>
      <c r="BB76" s="4">
        <f t="shared" si="36"/>
        <v>4.7024390243902445</v>
      </c>
      <c r="BC76" s="4">
        <v>3.5</v>
      </c>
      <c r="BD76" s="6">
        <v>815.8</v>
      </c>
      <c r="BE76" s="15">
        <v>451</v>
      </c>
      <c r="BF76" s="15">
        <v>36</v>
      </c>
      <c r="BG76" s="20">
        <v>36</v>
      </c>
      <c r="BH76" s="15">
        <v>415</v>
      </c>
      <c r="BI76" s="21">
        <v>409</v>
      </c>
      <c r="BJ76" s="21">
        <v>179</v>
      </c>
      <c r="BK76" s="16">
        <f t="shared" si="37"/>
        <v>0.92017738359201773</v>
      </c>
      <c r="BL76" s="20">
        <v>31</v>
      </c>
      <c r="BM76" s="22">
        <f t="shared" si="38"/>
        <v>2.2799705810247612</v>
      </c>
      <c r="BN76" s="21">
        <v>343</v>
      </c>
      <c r="BO76" s="21">
        <v>158</v>
      </c>
      <c r="BP76" s="23">
        <v>104.8</v>
      </c>
      <c r="BQ76" s="15">
        <v>78</v>
      </c>
      <c r="BR76" s="15">
        <v>10</v>
      </c>
      <c r="BS76" s="20">
        <v>10</v>
      </c>
      <c r="BT76" s="15">
        <v>68</v>
      </c>
      <c r="BU76" s="21">
        <v>66</v>
      </c>
      <c r="BV76" s="21">
        <v>33</v>
      </c>
      <c r="BW76" s="16">
        <f t="shared" si="39"/>
        <v>0.87179487179487181</v>
      </c>
      <c r="BX76" s="20">
        <v>0</v>
      </c>
      <c r="BY76" s="21">
        <v>7</v>
      </c>
      <c r="BZ76" s="21">
        <v>8</v>
      </c>
      <c r="CA76" s="23">
        <v>80.8</v>
      </c>
      <c r="CB76" s="15">
        <v>13</v>
      </c>
      <c r="CC76" s="15">
        <v>0</v>
      </c>
      <c r="CD76" s="20">
        <v>0</v>
      </c>
      <c r="CE76" s="15">
        <v>13</v>
      </c>
      <c r="CF76" s="21">
        <v>13</v>
      </c>
      <c r="CG76" s="21">
        <v>2</v>
      </c>
      <c r="CH76" s="16">
        <f t="shared" si="40"/>
        <v>1</v>
      </c>
      <c r="CI76" s="20">
        <v>7</v>
      </c>
      <c r="CJ76" s="21">
        <v>64</v>
      </c>
      <c r="CK76" s="21">
        <v>19</v>
      </c>
      <c r="CX76" s="16" t="str">
        <f t="shared" si="41"/>
        <v xml:space="preserve"> </v>
      </c>
    </row>
    <row r="77" spans="1:104" x14ac:dyDescent="0.25">
      <c r="A77" s="13">
        <v>41</v>
      </c>
      <c r="B77" s="13" t="s">
        <v>475</v>
      </c>
      <c r="C77" s="13" t="s">
        <v>476</v>
      </c>
      <c r="D77" s="13" t="s">
        <v>220</v>
      </c>
      <c r="E77" s="13" t="s">
        <v>117</v>
      </c>
      <c r="F77" s="13">
        <v>76</v>
      </c>
      <c r="G77" s="13">
        <v>215</v>
      </c>
      <c r="H77" s="13" t="s">
        <v>107</v>
      </c>
      <c r="I77" s="13"/>
      <c r="J77">
        <v>31</v>
      </c>
      <c r="K77" t="s">
        <v>477</v>
      </c>
      <c r="L77" t="s">
        <v>478</v>
      </c>
      <c r="M77" s="14" t="s">
        <v>327</v>
      </c>
      <c r="N77" s="15">
        <v>34</v>
      </c>
      <c r="O77" s="1">
        <v>34</v>
      </c>
      <c r="P77" s="15">
        <v>15</v>
      </c>
      <c r="Q77" s="15">
        <v>12</v>
      </c>
      <c r="R77" s="15">
        <v>5</v>
      </c>
      <c r="S77" s="15">
        <v>938</v>
      </c>
      <c r="T77" s="15">
        <v>84</v>
      </c>
      <c r="U77" s="15">
        <v>854</v>
      </c>
      <c r="V77" s="2">
        <f t="shared" si="32"/>
        <v>2.5772800490910486</v>
      </c>
      <c r="W77" s="16">
        <f t="shared" si="33"/>
        <v>0.91044776119402981</v>
      </c>
      <c r="X77" s="15">
        <v>0</v>
      </c>
      <c r="Y77" s="15">
        <v>0</v>
      </c>
      <c r="Z77" s="15">
        <v>0</v>
      </c>
      <c r="AA77" s="17">
        <f>1955+33/60</f>
        <v>1955.55</v>
      </c>
      <c r="AB77" s="1">
        <v>5</v>
      </c>
      <c r="AC77" s="15">
        <v>0</v>
      </c>
      <c r="AD77" s="15">
        <v>0</v>
      </c>
      <c r="AE77" s="1">
        <v>84</v>
      </c>
      <c r="AF77" s="1">
        <v>854</v>
      </c>
      <c r="AG77" s="1">
        <v>1957</v>
      </c>
      <c r="AH77" s="1">
        <v>15</v>
      </c>
      <c r="AI77" s="1">
        <v>7</v>
      </c>
      <c r="AJ77" s="16">
        <f>AF77/(AE77+AF77)</f>
        <v>0.91044776119402981</v>
      </c>
      <c r="AK77" s="2">
        <f>AE77/AG77*60</f>
        <v>2.5753704649974454</v>
      </c>
      <c r="AL77" s="18">
        <f>IF(O77&gt;0,AH77/O77,"0_")</f>
        <v>0.44117647058823528</v>
      </c>
      <c r="AM77" s="1">
        <v>0</v>
      </c>
      <c r="AN77" s="1">
        <v>0</v>
      </c>
      <c r="AO77" s="1">
        <v>0</v>
      </c>
      <c r="AP77" s="1">
        <v>0</v>
      </c>
      <c r="AQ77" s="2">
        <v>0</v>
      </c>
      <c r="AR77" s="16">
        <v>0</v>
      </c>
      <c r="AS77" s="1" t="s">
        <v>128</v>
      </c>
      <c r="AT77" s="1" t="s">
        <v>129</v>
      </c>
      <c r="AU77" s="1">
        <v>2013</v>
      </c>
      <c r="AV77" s="19">
        <v>2000000</v>
      </c>
      <c r="AW77" s="19">
        <v>2000000</v>
      </c>
      <c r="AX77">
        <v>6.1</v>
      </c>
      <c r="AY77">
        <v>-0.1</v>
      </c>
      <c r="AZ77">
        <v>-1.6</v>
      </c>
      <c r="BA77">
        <v>4.3</v>
      </c>
      <c r="BB77" s="4">
        <f t="shared" si="36"/>
        <v>1.6658536585365855</v>
      </c>
      <c r="BC77" s="4">
        <v>5.6</v>
      </c>
      <c r="BD77" s="6">
        <v>1510.96</v>
      </c>
      <c r="BE77" s="15">
        <v>773</v>
      </c>
      <c r="BF77" s="15">
        <v>59</v>
      </c>
      <c r="BG77" s="20">
        <v>56</v>
      </c>
      <c r="BH77" s="15">
        <v>714</v>
      </c>
      <c r="BI77" s="21">
        <v>690</v>
      </c>
      <c r="BJ77" s="21">
        <v>287</v>
      </c>
      <c r="BK77" s="16">
        <f t="shared" si="37"/>
        <v>0.92367399741267786</v>
      </c>
      <c r="BL77" s="20">
        <v>56</v>
      </c>
      <c r="BM77" s="22">
        <f t="shared" si="38"/>
        <v>2.2237517869434003</v>
      </c>
      <c r="BN77" s="21">
        <v>715</v>
      </c>
      <c r="BO77" s="21">
        <v>320</v>
      </c>
      <c r="BP77" s="23">
        <v>167.62</v>
      </c>
      <c r="BQ77" s="15">
        <v>142</v>
      </c>
      <c r="BR77" s="15">
        <v>24</v>
      </c>
      <c r="BS77" s="20">
        <v>21</v>
      </c>
      <c r="BT77" s="15">
        <v>118</v>
      </c>
      <c r="BU77" s="21">
        <v>106</v>
      </c>
      <c r="BV77" s="21">
        <v>56</v>
      </c>
      <c r="BW77" s="16">
        <f t="shared" si="39"/>
        <v>0.83098591549295775</v>
      </c>
      <c r="BX77" s="20">
        <v>1</v>
      </c>
      <c r="BY77" s="21">
        <v>19</v>
      </c>
      <c r="BZ77" s="21">
        <v>8</v>
      </c>
      <c r="CA77" s="23">
        <v>190.4</v>
      </c>
      <c r="CB77" s="15">
        <v>23</v>
      </c>
      <c r="CC77" s="15">
        <v>1</v>
      </c>
      <c r="CD77" s="20">
        <v>1</v>
      </c>
      <c r="CE77" s="15">
        <v>22</v>
      </c>
      <c r="CF77" s="21">
        <v>22</v>
      </c>
      <c r="CG77" s="21">
        <v>13</v>
      </c>
      <c r="CH77" s="16">
        <f t="shared" si="40"/>
        <v>0.95652173913043481</v>
      </c>
      <c r="CI77" s="20">
        <v>15</v>
      </c>
      <c r="CJ77" s="21">
        <v>121</v>
      </c>
      <c r="CK77" s="21">
        <v>51</v>
      </c>
      <c r="CL77" s="15">
        <v>2</v>
      </c>
      <c r="CM77" s="15">
        <v>1</v>
      </c>
      <c r="CN77" s="15">
        <v>10</v>
      </c>
      <c r="CO77" s="15">
        <v>3</v>
      </c>
      <c r="CP77" s="15">
        <v>2</v>
      </c>
      <c r="CQ77" s="15">
        <v>3</v>
      </c>
      <c r="CR77" s="15">
        <v>13</v>
      </c>
      <c r="CS77" s="15">
        <v>7</v>
      </c>
      <c r="CT77" s="15">
        <v>4</v>
      </c>
      <c r="CU77" s="15">
        <v>4</v>
      </c>
      <c r="CV77" s="15">
        <v>23</v>
      </c>
      <c r="CW77" s="15">
        <v>10</v>
      </c>
      <c r="CX77" s="16">
        <f t="shared" si="41"/>
        <v>0.56521739130434789</v>
      </c>
      <c r="CY77">
        <v>12</v>
      </c>
      <c r="CZ77" t="s">
        <v>479</v>
      </c>
    </row>
    <row r="78" spans="1:104" x14ac:dyDescent="0.25">
      <c r="A78" s="13">
        <v>32</v>
      </c>
      <c r="B78" s="13" t="s">
        <v>480</v>
      </c>
      <c r="C78" s="13" t="s">
        <v>481</v>
      </c>
      <c r="D78" s="13" t="s">
        <v>253</v>
      </c>
      <c r="E78" s="13" t="s">
        <v>124</v>
      </c>
      <c r="F78" s="13">
        <v>72</v>
      </c>
      <c r="G78" s="13">
        <v>185</v>
      </c>
      <c r="H78" s="13" t="s">
        <v>107</v>
      </c>
      <c r="I78" s="13" t="s">
        <v>108</v>
      </c>
      <c r="J78">
        <v>26</v>
      </c>
      <c r="K78" t="s">
        <v>482</v>
      </c>
      <c r="L78" t="s">
        <v>483</v>
      </c>
      <c r="M78" s="14" t="s">
        <v>269</v>
      </c>
      <c r="N78" s="15">
        <v>2</v>
      </c>
      <c r="O78" s="1">
        <v>0</v>
      </c>
      <c r="P78" s="15">
        <v>0</v>
      </c>
      <c r="Q78" s="15">
        <v>0</v>
      </c>
      <c r="R78" s="15">
        <v>1</v>
      </c>
      <c r="S78" s="15">
        <v>13</v>
      </c>
      <c r="T78" s="15">
        <v>2</v>
      </c>
      <c r="U78" s="15">
        <v>11</v>
      </c>
      <c r="V78" s="2">
        <f t="shared" si="32"/>
        <v>2.8696691909127141</v>
      </c>
      <c r="W78" s="16">
        <f t="shared" si="33"/>
        <v>0.84615384615384615</v>
      </c>
      <c r="X78" s="15">
        <v>0</v>
      </c>
      <c r="Y78" s="15">
        <v>0</v>
      </c>
      <c r="Z78" s="15">
        <v>0</v>
      </c>
      <c r="AA78" s="17">
        <f>41+49/60</f>
        <v>41.81666666666667</v>
      </c>
      <c r="AB78" s="1">
        <v>0</v>
      </c>
      <c r="AC78" s="15">
        <v>0</v>
      </c>
      <c r="AD78" s="15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6">
        <v>0</v>
      </c>
      <c r="AK78" s="2">
        <v>0</v>
      </c>
      <c r="AL78" s="18">
        <f>IF(O78&gt;0,AH78/O78,0)</f>
        <v>0</v>
      </c>
      <c r="AM78" s="1">
        <v>2</v>
      </c>
      <c r="AN78" s="1">
        <v>2</v>
      </c>
      <c r="AO78" s="1">
        <v>11</v>
      </c>
      <c r="AP78" s="1">
        <v>42</v>
      </c>
      <c r="AQ78" s="2">
        <f>IF(AP78&gt;0,AN78/AP78*60," ")</f>
        <v>2.8571428571428568</v>
      </c>
      <c r="AR78" s="16">
        <f>IF(AP78&gt;0,AO78/(AN78+AO78)," ")</f>
        <v>0.84615384615384615</v>
      </c>
      <c r="AS78" s="1" t="s">
        <v>128</v>
      </c>
      <c r="AT78" s="1" t="s">
        <v>113</v>
      </c>
      <c r="AU78" s="1">
        <v>2013</v>
      </c>
      <c r="AV78" s="19">
        <v>687500</v>
      </c>
      <c r="AW78" s="19">
        <v>687500</v>
      </c>
      <c r="AX78">
        <v>-0.7</v>
      </c>
      <c r="AY78">
        <v>0.1</v>
      </c>
      <c r="AZ78">
        <v>0</v>
      </c>
      <c r="BA78">
        <v>-0.60000000000000009</v>
      </c>
      <c r="BB78" s="4">
        <f t="shared" si="36"/>
        <v>-0.92926829268292688</v>
      </c>
      <c r="BC78" s="4">
        <v>0</v>
      </c>
      <c r="BD78" s="6">
        <v>32.56</v>
      </c>
      <c r="BE78" s="15">
        <v>11</v>
      </c>
      <c r="BF78" s="15">
        <v>2</v>
      </c>
      <c r="BG78" s="20">
        <v>1</v>
      </c>
      <c r="BH78" s="15">
        <v>9</v>
      </c>
      <c r="BI78" s="21">
        <v>8</v>
      </c>
      <c r="BJ78" s="21">
        <v>6</v>
      </c>
      <c r="BK78" s="16">
        <f t="shared" si="37"/>
        <v>0.81818181818181823</v>
      </c>
      <c r="BL78" s="20">
        <v>0</v>
      </c>
      <c r="BM78" s="22">
        <f t="shared" si="38"/>
        <v>0</v>
      </c>
      <c r="BN78" s="21">
        <v>10</v>
      </c>
      <c r="BO78" s="21">
        <v>4</v>
      </c>
      <c r="BP78" s="23">
        <v>4</v>
      </c>
      <c r="BQ78" s="15">
        <v>2</v>
      </c>
      <c r="BR78" s="15">
        <v>0</v>
      </c>
      <c r="BS78" s="20">
        <v>0</v>
      </c>
      <c r="BT78" s="15">
        <v>2</v>
      </c>
      <c r="BU78" s="21">
        <v>2</v>
      </c>
      <c r="BV78" s="21">
        <v>1</v>
      </c>
      <c r="BW78" s="16">
        <f t="shared" si="39"/>
        <v>1</v>
      </c>
      <c r="BX78" s="20">
        <v>0</v>
      </c>
      <c r="BY78" s="21">
        <v>0</v>
      </c>
      <c r="BZ78" s="21">
        <v>0</v>
      </c>
      <c r="CA78" s="23">
        <v>4.0599999999999996</v>
      </c>
      <c r="CB78" s="15">
        <v>0</v>
      </c>
      <c r="CC78" s="15">
        <v>0</v>
      </c>
      <c r="CD78" s="20">
        <v>0</v>
      </c>
      <c r="CE78" s="15">
        <v>0</v>
      </c>
      <c r="CF78" s="21">
        <v>0</v>
      </c>
      <c r="CG78" s="21">
        <v>1</v>
      </c>
      <c r="CH78" s="16">
        <f t="shared" si="40"/>
        <v>0</v>
      </c>
      <c r="CI78" s="20">
        <v>1</v>
      </c>
      <c r="CJ78" s="21">
        <v>1</v>
      </c>
      <c r="CK78" s="21">
        <v>1</v>
      </c>
      <c r="CX78" s="16" t="str">
        <f t="shared" si="41"/>
        <v xml:space="preserve"> </v>
      </c>
    </row>
    <row r="79" spans="1:104" x14ac:dyDescent="0.25">
      <c r="A79" s="13">
        <v>41</v>
      </c>
      <c r="B79" s="13" t="s">
        <v>484</v>
      </c>
      <c r="C79" s="13" t="s">
        <v>485</v>
      </c>
      <c r="D79" s="13"/>
      <c r="E79" s="13" t="s">
        <v>486</v>
      </c>
      <c r="F79" s="13">
        <v>72</v>
      </c>
      <c r="G79" s="13">
        <v>198</v>
      </c>
      <c r="H79" s="13" t="s">
        <v>107</v>
      </c>
      <c r="I79" s="13"/>
      <c r="J79">
        <v>27</v>
      </c>
      <c r="K79" t="s">
        <v>487</v>
      </c>
      <c r="L79" t="s">
        <v>488</v>
      </c>
      <c r="M79" s="14" t="s">
        <v>322</v>
      </c>
      <c r="N79" s="15">
        <v>2</v>
      </c>
      <c r="O79" s="1">
        <v>2</v>
      </c>
      <c r="P79" s="15">
        <v>1</v>
      </c>
      <c r="Q79" s="15">
        <v>1</v>
      </c>
      <c r="R79" s="15">
        <v>0</v>
      </c>
      <c r="S79" s="15">
        <v>68</v>
      </c>
      <c r="T79" s="15">
        <v>6</v>
      </c>
      <c r="U79" s="15">
        <v>62</v>
      </c>
      <c r="V79" s="2">
        <f t="shared" si="32"/>
        <v>3</v>
      </c>
      <c r="W79" s="16">
        <f t="shared" si="33"/>
        <v>0.91176470588235292</v>
      </c>
      <c r="X79" s="15">
        <v>0</v>
      </c>
      <c r="Y79" s="15">
        <v>0</v>
      </c>
      <c r="Z79" s="15">
        <v>0</v>
      </c>
      <c r="AA79" s="17">
        <f>120</f>
        <v>120</v>
      </c>
      <c r="AB79" s="1">
        <v>0</v>
      </c>
      <c r="AC79" s="15">
        <v>0</v>
      </c>
      <c r="AD79" s="15">
        <v>0</v>
      </c>
      <c r="AE79" s="1">
        <v>6</v>
      </c>
      <c r="AF79" s="1">
        <v>62</v>
      </c>
      <c r="AG79" s="1">
        <v>120</v>
      </c>
      <c r="AH79" s="1">
        <v>1</v>
      </c>
      <c r="AI79" s="1">
        <v>0</v>
      </c>
      <c r="AJ79" s="16">
        <f>AF79/(AE79+AF79)</f>
        <v>0.91176470588235292</v>
      </c>
      <c r="AK79" s="2">
        <f>AE79/AG79*60</f>
        <v>3</v>
      </c>
      <c r="AL79" s="18">
        <f>IF(O79&gt;0,AH79/O79,"0_")</f>
        <v>0.5</v>
      </c>
      <c r="AM79" s="1">
        <v>0</v>
      </c>
      <c r="AN79" s="1">
        <v>0</v>
      </c>
      <c r="AO79" s="1">
        <v>0</v>
      </c>
      <c r="AP79" s="1">
        <v>0</v>
      </c>
      <c r="AQ79" s="2">
        <v>0</v>
      </c>
      <c r="AR79" s="16">
        <v>0</v>
      </c>
      <c r="AS79" s="1" t="s">
        <v>128</v>
      </c>
      <c r="AT79" s="1" t="s">
        <v>129</v>
      </c>
      <c r="AU79" s="1">
        <v>2013</v>
      </c>
      <c r="AV79" s="19">
        <v>525000</v>
      </c>
      <c r="AW79" s="5">
        <v>525000</v>
      </c>
      <c r="AX79">
        <v>0.4</v>
      </c>
      <c r="AY79">
        <v>-0.1</v>
      </c>
      <c r="AZ79">
        <v>0</v>
      </c>
      <c r="BA79">
        <v>0.30000000000000004</v>
      </c>
      <c r="BB79" s="4">
        <f t="shared" si="36"/>
        <v>0.25609756097560982</v>
      </c>
      <c r="BC79" s="4">
        <v>0.4</v>
      </c>
      <c r="BD79" s="6">
        <v>105.68</v>
      </c>
      <c r="BE79" s="15">
        <v>62</v>
      </c>
      <c r="BF79" s="15">
        <v>6</v>
      </c>
      <c r="BG79" s="20">
        <v>6</v>
      </c>
      <c r="BH79" s="15">
        <v>56</v>
      </c>
      <c r="BI79" s="21">
        <v>56</v>
      </c>
      <c r="BJ79" s="21">
        <v>23</v>
      </c>
      <c r="BK79" s="16">
        <f t="shared" si="37"/>
        <v>0.90322580645161288</v>
      </c>
      <c r="BL79" s="20">
        <v>3</v>
      </c>
      <c r="BM79" s="22">
        <f t="shared" si="38"/>
        <v>1.7032551097653292</v>
      </c>
      <c r="BN79" s="21">
        <v>47</v>
      </c>
      <c r="BO79" s="21">
        <v>22</v>
      </c>
      <c r="BP79" s="23">
        <v>5.34</v>
      </c>
      <c r="BQ79" s="15">
        <v>4</v>
      </c>
      <c r="BR79" s="15">
        <v>0</v>
      </c>
      <c r="BS79" s="20">
        <v>0</v>
      </c>
      <c r="BT79" s="15">
        <v>4</v>
      </c>
      <c r="BU79" s="21">
        <v>4</v>
      </c>
      <c r="BV79" s="21">
        <v>2</v>
      </c>
      <c r="BW79" s="16">
        <f t="shared" si="39"/>
        <v>1</v>
      </c>
      <c r="BX79" s="20">
        <v>0</v>
      </c>
      <c r="BY79" s="21">
        <v>0</v>
      </c>
      <c r="BZ79" s="21">
        <v>0</v>
      </c>
      <c r="CA79" s="23">
        <v>8.32</v>
      </c>
      <c r="CB79" s="15">
        <v>2</v>
      </c>
      <c r="CC79" s="15">
        <v>0</v>
      </c>
      <c r="CD79" s="20">
        <v>0</v>
      </c>
      <c r="CE79" s="15">
        <v>2</v>
      </c>
      <c r="CF79" s="21">
        <v>2</v>
      </c>
      <c r="CG79" s="21">
        <v>0</v>
      </c>
      <c r="CH79" s="16">
        <f t="shared" si="40"/>
        <v>1</v>
      </c>
      <c r="CI79" s="20">
        <v>1</v>
      </c>
      <c r="CJ79" s="21">
        <v>4</v>
      </c>
      <c r="CK79" s="21">
        <v>5</v>
      </c>
      <c r="CX79" s="16" t="str">
        <f t="shared" si="41"/>
        <v xml:space="preserve"> </v>
      </c>
    </row>
    <row r="80" spans="1:104" x14ac:dyDescent="0.25">
      <c r="A80" s="13">
        <v>60</v>
      </c>
      <c r="B80" s="13" t="s">
        <v>489</v>
      </c>
      <c r="C80" s="13" t="s">
        <v>142</v>
      </c>
      <c r="D80" s="13" t="s">
        <v>143</v>
      </c>
      <c r="E80" s="13" t="s">
        <v>117</v>
      </c>
      <c r="F80" s="13">
        <v>71</v>
      </c>
      <c r="G80" s="13">
        <v>172</v>
      </c>
      <c r="H80" s="13" t="s">
        <v>203</v>
      </c>
      <c r="I80" s="13"/>
      <c r="J80">
        <v>37</v>
      </c>
      <c r="K80" t="s">
        <v>490</v>
      </c>
      <c r="L80" t="s">
        <v>491</v>
      </c>
      <c r="M80" s="14" t="s">
        <v>190</v>
      </c>
      <c r="N80" s="15">
        <v>15</v>
      </c>
      <c r="O80" s="1">
        <v>14</v>
      </c>
      <c r="P80" s="15">
        <v>4</v>
      </c>
      <c r="Q80" s="15">
        <v>6</v>
      </c>
      <c r="R80" s="15">
        <v>3</v>
      </c>
      <c r="S80" s="15">
        <v>391</v>
      </c>
      <c r="T80" s="15">
        <v>42</v>
      </c>
      <c r="U80" s="15">
        <v>349</v>
      </c>
      <c r="V80" s="2">
        <f t="shared" si="32"/>
        <v>3.2878142124032355</v>
      </c>
      <c r="W80" s="16">
        <f t="shared" si="33"/>
        <v>0.89258312020460362</v>
      </c>
      <c r="X80" s="15">
        <v>0</v>
      </c>
      <c r="Y80" s="15">
        <v>0</v>
      </c>
      <c r="Z80" s="15">
        <v>2</v>
      </c>
      <c r="AA80" s="17">
        <f>766+28/60</f>
        <v>766.4666666666667</v>
      </c>
      <c r="AB80" s="1">
        <v>0</v>
      </c>
      <c r="AC80" s="15">
        <v>1</v>
      </c>
      <c r="AD80" s="15">
        <v>0</v>
      </c>
      <c r="AE80" s="1">
        <v>42</v>
      </c>
      <c r="AF80" s="1">
        <v>334</v>
      </c>
      <c r="AG80" s="1">
        <v>718</v>
      </c>
      <c r="AH80" s="1">
        <v>4</v>
      </c>
      <c r="AI80" s="1">
        <v>5</v>
      </c>
      <c r="AJ80" s="16">
        <f>AF80/(AE80+AF80)</f>
        <v>0.88829787234042556</v>
      </c>
      <c r="AK80" s="2">
        <f>AE80/AG80*60</f>
        <v>3.5097493036211698</v>
      </c>
      <c r="AL80" s="18">
        <f>IF(O80&gt;0,AH80/O80,"0_")</f>
        <v>0.2857142857142857</v>
      </c>
      <c r="AM80" s="1">
        <v>1</v>
      </c>
      <c r="AN80" s="1">
        <v>0</v>
      </c>
      <c r="AO80" s="1">
        <v>15</v>
      </c>
      <c r="AP80" s="1">
        <v>48</v>
      </c>
      <c r="AQ80" s="2">
        <f>IF(AP80&gt;0,AN80/AP80*60," ")</f>
        <v>0</v>
      </c>
      <c r="AR80" s="16">
        <f>IF(AP80&gt;0,AO80/(AN80+AO80)," ")</f>
        <v>1</v>
      </c>
      <c r="AS80" s="1" t="s">
        <v>128</v>
      </c>
      <c r="AT80" s="1" t="s">
        <v>129</v>
      </c>
      <c r="AU80" s="1">
        <v>2013</v>
      </c>
      <c r="AV80" s="19">
        <v>1500000</v>
      </c>
      <c r="AW80" s="19">
        <v>1500000</v>
      </c>
      <c r="AX80">
        <v>-4.9000000000000004</v>
      </c>
      <c r="AY80">
        <v>-0.2</v>
      </c>
      <c r="AZ80">
        <v>-0.5</v>
      </c>
      <c r="BA80">
        <v>-5.6</v>
      </c>
      <c r="BB80" s="4">
        <f t="shared" si="36"/>
        <v>-7.3560975609756092</v>
      </c>
      <c r="BC80" s="4">
        <v>1.5</v>
      </c>
      <c r="BD80" s="6">
        <v>595.04999999999995</v>
      </c>
      <c r="BE80" s="15">
        <v>324</v>
      </c>
      <c r="BF80" s="15">
        <v>32</v>
      </c>
      <c r="BG80" s="20">
        <v>30</v>
      </c>
      <c r="BH80" s="15">
        <v>292</v>
      </c>
      <c r="BI80" s="21">
        <v>281</v>
      </c>
      <c r="BJ80" s="21">
        <v>103</v>
      </c>
      <c r="BK80" s="16">
        <f t="shared" si="37"/>
        <v>0.90123456790123457</v>
      </c>
      <c r="BL80" s="20">
        <v>15</v>
      </c>
      <c r="BM80" s="22">
        <f t="shared" si="38"/>
        <v>1.5124779430299977</v>
      </c>
      <c r="BN80" s="21">
        <v>282</v>
      </c>
      <c r="BO80" s="21">
        <v>93</v>
      </c>
      <c r="BP80" s="23">
        <v>66.45</v>
      </c>
      <c r="BQ80" s="15">
        <v>60</v>
      </c>
      <c r="BR80" s="15">
        <v>10</v>
      </c>
      <c r="BS80" s="20">
        <v>8</v>
      </c>
      <c r="BT80" s="15">
        <v>50</v>
      </c>
      <c r="BU80" s="21">
        <v>45</v>
      </c>
      <c r="BV80" s="21">
        <v>27</v>
      </c>
      <c r="BW80" s="16">
        <f t="shared" si="39"/>
        <v>0.83333333333333337</v>
      </c>
      <c r="BX80" s="20">
        <v>1</v>
      </c>
      <c r="BY80" s="21">
        <v>10</v>
      </c>
      <c r="BZ80" s="21">
        <v>3</v>
      </c>
      <c r="CA80" s="23">
        <v>70.95</v>
      </c>
      <c r="CB80" s="15">
        <v>7</v>
      </c>
      <c r="CC80" s="15">
        <v>0</v>
      </c>
      <c r="CD80" s="20">
        <v>0</v>
      </c>
      <c r="CE80" s="15">
        <v>7</v>
      </c>
      <c r="CF80" s="21">
        <v>7</v>
      </c>
      <c r="CG80" s="21">
        <v>2</v>
      </c>
      <c r="CH80" s="16">
        <f t="shared" si="40"/>
        <v>1</v>
      </c>
      <c r="CI80" s="20">
        <v>11</v>
      </c>
      <c r="CJ80" s="21">
        <v>51</v>
      </c>
      <c r="CK80" s="21">
        <v>9</v>
      </c>
      <c r="CL80" s="15">
        <v>0</v>
      </c>
      <c r="CM80" s="15">
        <v>1</v>
      </c>
      <c r="CN80" s="15">
        <v>2</v>
      </c>
      <c r="CO80" s="15">
        <v>2</v>
      </c>
      <c r="CP80" s="15">
        <v>1</v>
      </c>
      <c r="CQ80" s="15">
        <v>0</v>
      </c>
      <c r="CR80" s="15">
        <v>2</v>
      </c>
      <c r="CS80" s="15">
        <v>0</v>
      </c>
      <c r="CT80" s="15">
        <v>1</v>
      </c>
      <c r="CU80" s="15">
        <v>1</v>
      </c>
      <c r="CV80" s="15">
        <v>4</v>
      </c>
      <c r="CW80" s="15">
        <v>2</v>
      </c>
      <c r="CX80" s="16">
        <f t="shared" si="41"/>
        <v>0.5</v>
      </c>
      <c r="CY80">
        <v>27</v>
      </c>
      <c r="CZ80" t="s">
        <v>281</v>
      </c>
    </row>
    <row r="81" spans="1:104" x14ac:dyDescent="0.25">
      <c r="A81" s="13">
        <v>1</v>
      </c>
      <c r="B81" s="13" t="s">
        <v>492</v>
      </c>
      <c r="C81" s="13" t="s">
        <v>493</v>
      </c>
      <c r="D81" s="13"/>
      <c r="E81" s="13" t="s">
        <v>160</v>
      </c>
      <c r="F81" s="13">
        <v>74</v>
      </c>
      <c r="G81" s="13">
        <v>209</v>
      </c>
      <c r="H81" s="13" t="s">
        <v>107</v>
      </c>
      <c r="I81" s="13"/>
      <c r="J81">
        <v>25</v>
      </c>
      <c r="K81" t="s">
        <v>494</v>
      </c>
      <c r="L81" t="s">
        <v>495</v>
      </c>
      <c r="M81" s="14" t="s">
        <v>111</v>
      </c>
      <c r="N81" s="15">
        <v>35</v>
      </c>
      <c r="O81" s="1">
        <v>33</v>
      </c>
      <c r="P81" s="15">
        <v>11</v>
      </c>
      <c r="Q81" s="15">
        <v>21</v>
      </c>
      <c r="R81" s="15">
        <v>3</v>
      </c>
      <c r="S81" s="15">
        <v>1007</v>
      </c>
      <c r="T81" s="15">
        <v>98</v>
      </c>
      <c r="U81" s="15">
        <v>909</v>
      </c>
      <c r="V81" s="2">
        <f t="shared" si="32"/>
        <v>3.0159259354243066</v>
      </c>
      <c r="W81" s="16">
        <f t="shared" si="33"/>
        <v>0.90268123138033762</v>
      </c>
      <c r="X81" s="15">
        <v>0</v>
      </c>
      <c r="Y81" s="15">
        <v>1</v>
      </c>
      <c r="Z81" s="15">
        <v>0</v>
      </c>
      <c r="AA81" s="17">
        <f>1949+39/60</f>
        <v>1949.65</v>
      </c>
      <c r="AB81" s="1">
        <v>3</v>
      </c>
      <c r="AC81" s="15">
        <v>0</v>
      </c>
      <c r="AD81" s="15">
        <v>0</v>
      </c>
      <c r="AE81" s="1">
        <v>96</v>
      </c>
      <c r="AF81" s="1">
        <v>891</v>
      </c>
      <c r="AG81" s="1">
        <v>1902</v>
      </c>
      <c r="AH81" s="1">
        <v>11</v>
      </c>
      <c r="AI81" s="1">
        <v>7</v>
      </c>
      <c r="AJ81" s="16">
        <f>AF81/(AE81+AF81)</f>
        <v>0.90273556231003038</v>
      </c>
      <c r="AK81" s="2">
        <f>AE81/AG81*60</f>
        <v>3.0283911671924288</v>
      </c>
      <c r="AL81" s="18">
        <f>IF(O81&gt;0,AH81/O81,"0_")</f>
        <v>0.33333333333333331</v>
      </c>
      <c r="AM81" s="1">
        <v>2</v>
      </c>
      <c r="AN81" s="1">
        <v>2</v>
      </c>
      <c r="AO81" s="1">
        <v>18</v>
      </c>
      <c r="AP81" s="1">
        <v>47</v>
      </c>
      <c r="AQ81" s="2">
        <f>IF(AP81&gt;0,AN81/AP81*60," ")</f>
        <v>2.5531914893617023</v>
      </c>
      <c r="AR81" s="16">
        <f>IF(AP81&gt;0,AO81/(AN81+AO81)," ")</f>
        <v>0.9</v>
      </c>
      <c r="AS81" s="1" t="s">
        <v>128</v>
      </c>
      <c r="AT81" s="1" t="s">
        <v>113</v>
      </c>
      <c r="AU81" s="1">
        <v>2014</v>
      </c>
      <c r="AV81" s="19">
        <v>3000000</v>
      </c>
      <c r="AW81" s="5">
        <v>2833333</v>
      </c>
      <c r="AX81">
        <v>-1.1000000000000001</v>
      </c>
      <c r="AY81">
        <v>-1</v>
      </c>
      <c r="AZ81">
        <v>0.1</v>
      </c>
      <c r="BA81">
        <v>-2</v>
      </c>
      <c r="BB81" s="4">
        <f t="shared" si="36"/>
        <v>-6.0975603902439017</v>
      </c>
      <c r="BC81" s="4">
        <v>5.0999999999999996</v>
      </c>
      <c r="BD81" s="6">
        <v>1523.2</v>
      </c>
      <c r="BE81" s="15">
        <v>795</v>
      </c>
      <c r="BF81" s="15">
        <v>71</v>
      </c>
      <c r="BG81" s="20">
        <v>68</v>
      </c>
      <c r="BH81" s="15">
        <v>724</v>
      </c>
      <c r="BI81" s="21">
        <v>691</v>
      </c>
      <c r="BJ81" s="21">
        <v>315</v>
      </c>
      <c r="BK81" s="16">
        <f t="shared" si="37"/>
        <v>0.91069182389937109</v>
      </c>
      <c r="BL81" s="20">
        <v>50</v>
      </c>
      <c r="BM81" s="22">
        <f t="shared" si="38"/>
        <v>1.9695378151260505</v>
      </c>
      <c r="BN81" s="21">
        <v>693</v>
      </c>
      <c r="BO81" s="21">
        <v>274</v>
      </c>
      <c r="BP81" s="23">
        <v>203.7</v>
      </c>
      <c r="BQ81" s="15">
        <v>189</v>
      </c>
      <c r="BR81" s="15">
        <v>25</v>
      </c>
      <c r="BS81" s="20">
        <v>21</v>
      </c>
      <c r="BT81" s="15">
        <v>164</v>
      </c>
      <c r="BU81" s="21">
        <v>146</v>
      </c>
      <c r="BV81" s="21">
        <v>77</v>
      </c>
      <c r="BW81" s="16">
        <f t="shared" si="39"/>
        <v>0.86772486772486768</v>
      </c>
      <c r="BX81" s="20">
        <v>2</v>
      </c>
      <c r="BY81" s="21">
        <v>21</v>
      </c>
      <c r="BZ81" s="21">
        <v>4</v>
      </c>
      <c r="CA81" s="23">
        <v>153.65</v>
      </c>
      <c r="CB81" s="15">
        <v>23</v>
      </c>
      <c r="CC81" s="15">
        <v>2</v>
      </c>
      <c r="CD81" s="20">
        <v>2</v>
      </c>
      <c r="CE81" s="15">
        <v>21</v>
      </c>
      <c r="CF81" s="21">
        <v>21</v>
      </c>
      <c r="CG81" s="21">
        <v>7</v>
      </c>
      <c r="CH81" s="16">
        <f t="shared" si="40"/>
        <v>0.91304347826086951</v>
      </c>
      <c r="CI81" s="20">
        <v>8</v>
      </c>
      <c r="CJ81" s="21">
        <v>111</v>
      </c>
      <c r="CK81" s="21">
        <v>47</v>
      </c>
      <c r="CL81" s="15">
        <v>0</v>
      </c>
      <c r="CM81" s="15">
        <v>0</v>
      </c>
      <c r="CN81" s="15">
        <v>0</v>
      </c>
      <c r="CO81" s="15">
        <v>0</v>
      </c>
      <c r="CP81" s="15">
        <v>1</v>
      </c>
      <c r="CQ81" s="15">
        <v>1</v>
      </c>
      <c r="CR81" s="15">
        <v>6</v>
      </c>
      <c r="CS81" s="15">
        <v>2</v>
      </c>
      <c r="CT81" s="15">
        <v>1</v>
      </c>
      <c r="CU81" s="15">
        <v>1</v>
      </c>
      <c r="CV81" s="15">
        <v>6</v>
      </c>
      <c r="CW81" s="15">
        <v>2</v>
      </c>
      <c r="CX81" s="16">
        <f t="shared" si="41"/>
        <v>0.66666666666666674</v>
      </c>
      <c r="CY81">
        <v>3</v>
      </c>
      <c r="CZ81" t="s">
        <v>496</v>
      </c>
    </row>
    <row r="82" spans="1:104" x14ac:dyDescent="0.25">
      <c r="A82" s="13">
        <v>92</v>
      </c>
      <c r="B82" s="13" t="s">
        <v>497</v>
      </c>
      <c r="C82" s="13" t="s">
        <v>498</v>
      </c>
      <c r="D82" s="13"/>
      <c r="E82" s="13" t="s">
        <v>409</v>
      </c>
      <c r="F82" s="13">
        <v>73</v>
      </c>
      <c r="G82" s="13">
        <v>210</v>
      </c>
      <c r="H82" s="13" t="s">
        <v>203</v>
      </c>
      <c r="I82" s="13"/>
      <c r="J82">
        <v>37</v>
      </c>
      <c r="K82" t="s">
        <v>499</v>
      </c>
      <c r="L82" t="s">
        <v>500</v>
      </c>
      <c r="M82" s="14" t="s">
        <v>249</v>
      </c>
      <c r="N82" s="15">
        <v>20</v>
      </c>
      <c r="O82" s="1">
        <v>17</v>
      </c>
      <c r="P82" s="15">
        <v>13</v>
      </c>
      <c r="Q82" s="15">
        <v>4</v>
      </c>
      <c r="R82" s="15">
        <v>0</v>
      </c>
      <c r="S82" s="15">
        <v>519</v>
      </c>
      <c r="T82" s="15">
        <v>42</v>
      </c>
      <c r="U82" s="15">
        <v>477</v>
      </c>
      <c r="V82" s="2">
        <f t="shared" si="32"/>
        <v>2.4500907441016331</v>
      </c>
      <c r="W82" s="16">
        <f t="shared" si="33"/>
        <v>0.91907514450867056</v>
      </c>
      <c r="X82" s="15">
        <v>0</v>
      </c>
      <c r="Y82" s="15">
        <v>2</v>
      </c>
      <c r="Z82" s="15">
        <v>2</v>
      </c>
      <c r="AA82" s="17">
        <f>1028+32/60</f>
        <v>1028.5333333333333</v>
      </c>
      <c r="AB82" s="1">
        <v>3</v>
      </c>
      <c r="AC82" s="15">
        <v>0</v>
      </c>
      <c r="AD82" s="15">
        <v>0</v>
      </c>
      <c r="AE82" s="1">
        <v>42</v>
      </c>
      <c r="AF82" s="1">
        <v>444</v>
      </c>
      <c r="AG82" s="1">
        <v>949</v>
      </c>
      <c r="AH82" s="1">
        <v>8</v>
      </c>
      <c r="AI82" s="1">
        <v>5</v>
      </c>
      <c r="AJ82" s="16">
        <f>AF82/(AE82+AF82)</f>
        <v>0.9135802469135802</v>
      </c>
      <c r="AK82" s="2">
        <f>AE82/AG82*60</f>
        <v>2.6554267650158061</v>
      </c>
      <c r="AL82" s="18">
        <f>IF(O82&gt;0,AH82/O82,"0_")</f>
        <v>0.47058823529411764</v>
      </c>
      <c r="AM82" s="1">
        <v>3</v>
      </c>
      <c r="AN82" s="1">
        <v>0</v>
      </c>
      <c r="AO82" s="1">
        <v>33</v>
      </c>
      <c r="AP82" s="1">
        <v>80</v>
      </c>
      <c r="AQ82" s="2">
        <f>IF(AP82&gt;0,AN82/AP82*60," ")</f>
        <v>0</v>
      </c>
      <c r="AR82" s="16">
        <f>IF(AP82&gt;0,AO82/(AN82+AO82)," ")</f>
        <v>1</v>
      </c>
      <c r="AS82" s="1" t="s">
        <v>128</v>
      </c>
      <c r="AT82" s="1" t="s">
        <v>129</v>
      </c>
      <c r="AU82" s="1">
        <v>2014</v>
      </c>
      <c r="AV82" s="5">
        <v>2000000</v>
      </c>
      <c r="AW82" s="5">
        <v>2000000</v>
      </c>
      <c r="AX82">
        <v>7.6</v>
      </c>
      <c r="AY82">
        <v>-0.30000000000000004</v>
      </c>
      <c r="AZ82">
        <v>0</v>
      </c>
      <c r="BA82">
        <v>7.4</v>
      </c>
      <c r="BB82" s="4">
        <f t="shared" si="36"/>
        <v>4.765853658536586</v>
      </c>
      <c r="BC82" s="4">
        <v>3.6</v>
      </c>
      <c r="BD82" s="6">
        <v>812.6</v>
      </c>
      <c r="BE82" s="15">
        <v>434</v>
      </c>
      <c r="BF82" s="15">
        <v>26</v>
      </c>
      <c r="BG82" s="20">
        <v>26</v>
      </c>
      <c r="BH82" s="15">
        <v>408</v>
      </c>
      <c r="BI82" s="21">
        <v>395</v>
      </c>
      <c r="BJ82" s="21">
        <v>156</v>
      </c>
      <c r="BK82" s="16">
        <f t="shared" si="37"/>
        <v>0.94009216589861755</v>
      </c>
      <c r="BL82" s="20">
        <v>46</v>
      </c>
      <c r="BM82" s="22">
        <f t="shared" si="38"/>
        <v>3.3965050455328574</v>
      </c>
      <c r="BN82" s="21">
        <v>358</v>
      </c>
      <c r="BO82" s="21">
        <v>148</v>
      </c>
      <c r="BP82" s="23">
        <v>87</v>
      </c>
      <c r="BQ82" s="15">
        <v>79</v>
      </c>
      <c r="BR82" s="15">
        <v>14</v>
      </c>
      <c r="BS82" s="20">
        <v>13</v>
      </c>
      <c r="BT82" s="15">
        <v>65</v>
      </c>
      <c r="BU82" s="21">
        <v>58</v>
      </c>
      <c r="BV82" s="21">
        <v>24</v>
      </c>
      <c r="BW82" s="16">
        <f t="shared" si="39"/>
        <v>0.82278481012658233</v>
      </c>
      <c r="BX82" s="20">
        <v>1</v>
      </c>
      <c r="BY82" s="21">
        <v>4</v>
      </c>
      <c r="BZ82" s="21">
        <v>0</v>
      </c>
      <c r="CA82" s="23">
        <v>83</v>
      </c>
      <c r="CB82" s="15">
        <v>6</v>
      </c>
      <c r="CC82" s="15">
        <v>2</v>
      </c>
      <c r="CD82" s="20">
        <v>2</v>
      </c>
      <c r="CE82" s="15">
        <v>4</v>
      </c>
      <c r="CF82" s="21">
        <v>5</v>
      </c>
      <c r="CG82" s="21">
        <v>3</v>
      </c>
      <c r="CH82" s="16">
        <f t="shared" si="40"/>
        <v>0.66666666666666663</v>
      </c>
      <c r="CI82" s="20">
        <v>14</v>
      </c>
      <c r="CJ82" s="21">
        <v>66</v>
      </c>
      <c r="CK82" s="21">
        <v>37</v>
      </c>
      <c r="CX82" s="16" t="str">
        <f t="shared" si="41"/>
        <v xml:space="preserve"> </v>
      </c>
    </row>
    <row r="83" spans="1:104" x14ac:dyDescent="0.25">
      <c r="A83" s="13">
        <v>30</v>
      </c>
      <c r="B83" s="13" t="s">
        <v>501</v>
      </c>
      <c r="C83" s="13" t="s">
        <v>223</v>
      </c>
      <c r="D83" s="13" t="s">
        <v>215</v>
      </c>
      <c r="E83" s="13" t="s">
        <v>117</v>
      </c>
      <c r="F83" s="13">
        <v>73</v>
      </c>
      <c r="G83" s="13">
        <v>185</v>
      </c>
      <c r="H83" s="13" t="s">
        <v>107</v>
      </c>
      <c r="I83" s="13"/>
      <c r="J83">
        <v>29</v>
      </c>
      <c r="K83" t="s">
        <v>502</v>
      </c>
      <c r="L83" t="s">
        <v>503</v>
      </c>
      <c r="M83" s="14" t="s">
        <v>226</v>
      </c>
      <c r="N83" s="15">
        <v>17</v>
      </c>
      <c r="O83" s="1">
        <v>16</v>
      </c>
      <c r="P83" s="15">
        <v>9</v>
      </c>
      <c r="Q83" s="15">
        <v>6</v>
      </c>
      <c r="R83" s="15">
        <v>1</v>
      </c>
      <c r="S83" s="15">
        <v>477</v>
      </c>
      <c r="T83" s="15">
        <v>44</v>
      </c>
      <c r="U83" s="15">
        <v>433</v>
      </c>
      <c r="V83" s="2">
        <f t="shared" si="32"/>
        <v>2.8403894776480714</v>
      </c>
      <c r="W83" s="16">
        <f t="shared" si="33"/>
        <v>0.90775681341719072</v>
      </c>
      <c r="X83" s="15">
        <v>0</v>
      </c>
      <c r="Y83" s="15">
        <v>0</v>
      </c>
      <c r="Z83" s="15">
        <v>0</v>
      </c>
      <c r="AA83" s="17">
        <f>929+27/60</f>
        <v>929.45</v>
      </c>
      <c r="AB83" s="1">
        <v>0</v>
      </c>
      <c r="AC83" s="15">
        <v>0</v>
      </c>
      <c r="AD83" s="15">
        <v>0</v>
      </c>
      <c r="AE83" s="1">
        <v>43</v>
      </c>
      <c r="AF83" s="1">
        <v>422</v>
      </c>
      <c r="AG83" s="1">
        <v>893</v>
      </c>
      <c r="AH83" s="1">
        <v>7</v>
      </c>
      <c r="AI83" s="1">
        <v>3</v>
      </c>
      <c r="AJ83" s="16">
        <f>AF83/(AE83+AF83)</f>
        <v>0.90752688172043006</v>
      </c>
      <c r="AK83" s="2">
        <f>AE83/AG83*60</f>
        <v>2.8891377379619261</v>
      </c>
      <c r="AL83" s="18">
        <f>IF(O83&gt;0,AH83/O83,"0_")</f>
        <v>0.4375</v>
      </c>
      <c r="AM83" s="1">
        <v>1</v>
      </c>
      <c r="AN83" s="1">
        <v>1</v>
      </c>
      <c r="AO83" s="1">
        <v>11</v>
      </c>
      <c r="AP83" s="1">
        <v>37</v>
      </c>
      <c r="AQ83" s="2">
        <f>IF(AP83&gt;0,AN83/AP83*60," ")</f>
        <v>1.6216216216216217</v>
      </c>
      <c r="AR83" s="16">
        <f>IF(AP83&gt;0,AO83/(AN83+AO83)," ")</f>
        <v>0.91666666666666663</v>
      </c>
      <c r="AS83" s="1" t="s">
        <v>128</v>
      </c>
      <c r="AT83" s="1" t="s">
        <v>129</v>
      </c>
      <c r="AU83" s="1">
        <v>2016</v>
      </c>
      <c r="AV83" s="19">
        <v>6400000</v>
      </c>
      <c r="AW83" s="5">
        <v>6300000</v>
      </c>
      <c r="AX83">
        <v>1.5</v>
      </c>
      <c r="AY83">
        <v>-0.30000000000000004</v>
      </c>
      <c r="AZ83">
        <v>0</v>
      </c>
      <c r="BA83">
        <v>1.1000000000000001</v>
      </c>
      <c r="BB83" s="4">
        <f t="shared" si="36"/>
        <v>-9.0853658536585353</v>
      </c>
      <c r="BC83" s="4">
        <v>2.7</v>
      </c>
      <c r="BD83" s="6">
        <v>708.22</v>
      </c>
      <c r="BE83" s="15">
        <v>375</v>
      </c>
      <c r="BF83" s="15">
        <v>31</v>
      </c>
      <c r="BG83" s="20">
        <v>29</v>
      </c>
      <c r="BH83" s="15">
        <v>344</v>
      </c>
      <c r="BI83" s="21">
        <v>327</v>
      </c>
      <c r="BJ83" s="21">
        <v>157</v>
      </c>
      <c r="BK83" s="16">
        <f t="shared" si="37"/>
        <v>0.91733333333333333</v>
      </c>
      <c r="BL83" s="20">
        <v>40</v>
      </c>
      <c r="BM83" s="22">
        <f t="shared" si="38"/>
        <v>3.3887774985174097</v>
      </c>
      <c r="BN83" s="21">
        <v>335</v>
      </c>
      <c r="BO83" s="21">
        <v>130</v>
      </c>
      <c r="BP83" s="23">
        <v>87.04</v>
      </c>
      <c r="BQ83" s="15">
        <v>87</v>
      </c>
      <c r="BR83" s="15">
        <v>12</v>
      </c>
      <c r="BS83" s="20">
        <v>11</v>
      </c>
      <c r="BT83" s="15">
        <v>75</v>
      </c>
      <c r="BU83" s="21">
        <v>71</v>
      </c>
      <c r="BV83" s="21">
        <v>18</v>
      </c>
      <c r="BW83" s="16">
        <f t="shared" si="39"/>
        <v>0.86206896551724133</v>
      </c>
      <c r="BX83" s="20">
        <v>1</v>
      </c>
      <c r="BY83" s="21">
        <v>11</v>
      </c>
      <c r="BZ83" s="21">
        <v>2</v>
      </c>
      <c r="CA83" s="23">
        <v>101.15</v>
      </c>
      <c r="CB83" s="15">
        <v>15</v>
      </c>
      <c r="CC83" s="15">
        <v>1</v>
      </c>
      <c r="CD83" s="20">
        <v>1</v>
      </c>
      <c r="CE83" s="15">
        <v>14</v>
      </c>
      <c r="CF83" s="21">
        <v>14</v>
      </c>
      <c r="CG83" s="21">
        <v>4</v>
      </c>
      <c r="CH83" s="16">
        <f t="shared" si="40"/>
        <v>0.93333333333333335</v>
      </c>
      <c r="CI83" s="20">
        <v>7</v>
      </c>
      <c r="CJ83" s="21">
        <v>70</v>
      </c>
      <c r="CK83" s="21">
        <v>34</v>
      </c>
      <c r="CX83" s="16" t="str">
        <f t="shared" si="41"/>
        <v xml:space="preserve"> </v>
      </c>
      <c r="CY83">
        <v>27</v>
      </c>
      <c r="CZ83" t="s">
        <v>347</v>
      </c>
    </row>
    <row r="84" spans="1:104" x14ac:dyDescent="0.25">
      <c r="AK84" s="2"/>
      <c r="BB84" s="4"/>
      <c r="BK84" s="3"/>
      <c r="BW84" s="3"/>
      <c r="CH84" s="3"/>
      <c r="CX84" s="3"/>
    </row>
    <row r="85" spans="1:104" x14ac:dyDescent="0.25">
      <c r="AK85" s="2"/>
      <c r="BB85" s="4"/>
      <c r="BK85" s="3"/>
      <c r="BW85" s="3"/>
      <c r="CH85" s="3"/>
      <c r="CX85" s="3"/>
    </row>
    <row r="86" spans="1:104" x14ac:dyDescent="0.25">
      <c r="AK86" s="2"/>
      <c r="BB86" s="4"/>
      <c r="BK86" s="3"/>
      <c r="BW86" s="3"/>
      <c r="CH86" s="3"/>
      <c r="CX86" s="3"/>
    </row>
    <row r="87" spans="1:104" x14ac:dyDescent="0.25">
      <c r="AK87" s="2"/>
      <c r="BB87" s="4"/>
      <c r="BK87" s="3"/>
      <c r="BW87" s="3"/>
      <c r="CH87" s="3"/>
      <c r="CX87" s="3"/>
    </row>
    <row r="88" spans="1:104" x14ac:dyDescent="0.25">
      <c r="AK88" s="2"/>
      <c r="BB88" s="4"/>
      <c r="BK88" s="3"/>
      <c r="BW88" s="3"/>
      <c r="CH88" s="3"/>
      <c r="CX88" s="3"/>
    </row>
    <row r="89" spans="1:104" x14ac:dyDescent="0.25">
      <c r="AK89" s="2"/>
      <c r="BB89" s="4"/>
      <c r="BK89" s="3"/>
      <c r="BW89" s="3"/>
      <c r="CH89" s="3"/>
      <c r="CX89" s="3"/>
    </row>
    <row r="90" spans="1:104" x14ac:dyDescent="0.25">
      <c r="AK90" s="2"/>
      <c r="BB90" s="4"/>
      <c r="BK90" s="3"/>
      <c r="BW90" s="3"/>
      <c r="CH90" s="3"/>
      <c r="CX90" s="3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opLeftCell="A64" workbookViewId="0">
      <selection activeCell="B9" sqref="B9"/>
    </sheetView>
  </sheetViews>
  <sheetFormatPr defaultRowHeight="15" x14ac:dyDescent="0.25"/>
  <cols>
    <col min="1" max="1" width="10.5703125" customWidth="1"/>
    <col min="2" max="2" width="47.5703125" customWidth="1"/>
  </cols>
  <sheetData>
    <row r="1" spans="1:2" x14ac:dyDescent="0.25">
      <c r="A1" t="s">
        <v>0</v>
      </c>
      <c r="B1" t="s">
        <v>504</v>
      </c>
    </row>
    <row r="2" spans="1:2" x14ac:dyDescent="0.25">
      <c r="A2" s="24" t="s">
        <v>70</v>
      </c>
      <c r="B2" t="s">
        <v>505</v>
      </c>
    </row>
    <row r="3" spans="1:2" x14ac:dyDescent="0.25">
      <c r="A3" s="24" t="s">
        <v>75</v>
      </c>
      <c r="B3" t="s">
        <v>506</v>
      </c>
    </row>
    <row r="4" spans="1:2" x14ac:dyDescent="0.25">
      <c r="A4" s="24" t="s">
        <v>73</v>
      </c>
      <c r="B4" t="s">
        <v>507</v>
      </c>
    </row>
    <row r="5" spans="1:2" x14ac:dyDescent="0.25">
      <c r="A5" s="24" t="s">
        <v>72</v>
      </c>
      <c r="B5" t="s">
        <v>508</v>
      </c>
    </row>
    <row r="6" spans="1:2" x14ac:dyDescent="0.25">
      <c r="A6" s="25" t="s">
        <v>67</v>
      </c>
      <c r="B6" t="s">
        <v>509</v>
      </c>
    </row>
    <row r="7" spans="1:2" x14ac:dyDescent="0.25">
      <c r="A7" s="24" t="s">
        <v>81</v>
      </c>
      <c r="B7" t="s">
        <v>510</v>
      </c>
    </row>
    <row r="8" spans="1:2" x14ac:dyDescent="0.25">
      <c r="A8" s="24" t="s">
        <v>86</v>
      </c>
      <c r="B8" t="s">
        <v>511</v>
      </c>
    </row>
    <row r="9" spans="1:2" x14ac:dyDescent="0.25">
      <c r="A9" s="24" t="s">
        <v>84</v>
      </c>
      <c r="B9" t="s">
        <v>512</v>
      </c>
    </row>
    <row r="10" spans="1:2" x14ac:dyDescent="0.25">
      <c r="A10" s="24" t="s">
        <v>83</v>
      </c>
      <c r="B10" t="s">
        <v>513</v>
      </c>
    </row>
    <row r="11" spans="1:2" x14ac:dyDescent="0.25">
      <c r="A11" s="25" t="s">
        <v>78</v>
      </c>
      <c r="B11" t="s">
        <v>514</v>
      </c>
    </row>
    <row r="12" spans="1:2" x14ac:dyDescent="0.25">
      <c r="A12" s="24" t="s">
        <v>58</v>
      </c>
      <c r="B12" t="s">
        <v>515</v>
      </c>
    </row>
    <row r="13" spans="1:2" x14ac:dyDescent="0.25">
      <c r="A13" s="24" t="s">
        <v>63</v>
      </c>
      <c r="B13" t="s">
        <v>516</v>
      </c>
    </row>
    <row r="14" spans="1:2" x14ac:dyDescent="0.25">
      <c r="A14" s="24" t="s">
        <v>64</v>
      </c>
      <c r="B14" t="s">
        <v>517</v>
      </c>
    </row>
    <row r="15" spans="1:2" x14ac:dyDescent="0.25">
      <c r="A15" s="24" t="s">
        <v>61</v>
      </c>
      <c r="B15" t="s">
        <v>518</v>
      </c>
    </row>
    <row r="16" spans="1:2" x14ac:dyDescent="0.25">
      <c r="A16" s="24" t="s">
        <v>60</v>
      </c>
      <c r="B16" t="s">
        <v>519</v>
      </c>
    </row>
    <row r="17" spans="1:2" x14ac:dyDescent="0.25">
      <c r="A17" s="25" t="s">
        <v>55</v>
      </c>
      <c r="B17" t="s">
        <v>520</v>
      </c>
    </row>
    <row r="18" spans="1:2" x14ac:dyDescent="0.25">
      <c r="A18" t="s">
        <v>24</v>
      </c>
    </row>
    <row r="19" spans="1:2" x14ac:dyDescent="0.25">
      <c r="A19" t="s">
        <v>9</v>
      </c>
    </row>
    <row r="20" spans="1:2" x14ac:dyDescent="0.25">
      <c r="A20" t="s">
        <v>521</v>
      </c>
      <c r="B20" t="s">
        <v>522</v>
      </c>
    </row>
    <row r="21" spans="1:2" x14ac:dyDescent="0.25">
      <c r="A21" t="s">
        <v>523</v>
      </c>
      <c r="B21" t="s">
        <v>524</v>
      </c>
    </row>
    <row r="22" spans="1:2" x14ac:dyDescent="0.25">
      <c r="A22" t="s">
        <v>525</v>
      </c>
      <c r="B22" t="s">
        <v>526</v>
      </c>
    </row>
    <row r="23" spans="1:2" x14ac:dyDescent="0.25">
      <c r="A23" t="s">
        <v>48</v>
      </c>
    </row>
    <row r="24" spans="1:2" x14ac:dyDescent="0.25">
      <c r="A24" t="s">
        <v>527</v>
      </c>
      <c r="B24" t="s">
        <v>528</v>
      </c>
    </row>
    <row r="25" spans="1:2" x14ac:dyDescent="0.25">
      <c r="A25" t="s">
        <v>50</v>
      </c>
      <c r="B25" t="s">
        <v>529</v>
      </c>
    </row>
    <row r="26" spans="1:2" x14ac:dyDescent="0.25">
      <c r="A26" t="s">
        <v>530</v>
      </c>
      <c r="B26" t="s">
        <v>531</v>
      </c>
    </row>
    <row r="27" spans="1:2" x14ac:dyDescent="0.25">
      <c r="A27" t="s">
        <v>57</v>
      </c>
      <c r="B27" t="s">
        <v>532</v>
      </c>
    </row>
    <row r="28" spans="1:2" x14ac:dyDescent="0.25">
      <c r="A28" t="s">
        <v>56</v>
      </c>
      <c r="B28" t="s">
        <v>533</v>
      </c>
    </row>
    <row r="29" spans="1:2" x14ac:dyDescent="0.25">
      <c r="A29" t="s">
        <v>62</v>
      </c>
      <c r="B29" t="s">
        <v>534</v>
      </c>
    </row>
    <row r="30" spans="1:2" x14ac:dyDescent="0.25">
      <c r="A30" t="s">
        <v>59</v>
      </c>
      <c r="B30" t="s">
        <v>535</v>
      </c>
    </row>
    <row r="31" spans="1:2" x14ac:dyDescent="0.25">
      <c r="A31" t="s">
        <v>46</v>
      </c>
      <c r="B31" t="s">
        <v>536</v>
      </c>
    </row>
    <row r="32" spans="1:2" x14ac:dyDescent="0.25">
      <c r="A32" t="s">
        <v>11</v>
      </c>
    </row>
    <row r="33" spans="1:2" x14ac:dyDescent="0.25">
      <c r="A33" t="s">
        <v>23</v>
      </c>
      <c r="B33" t="s">
        <v>537</v>
      </c>
    </row>
    <row r="34" spans="1:2" x14ac:dyDescent="0.25">
      <c r="A34" t="s">
        <v>19</v>
      </c>
      <c r="B34" t="s">
        <v>538</v>
      </c>
    </row>
    <row r="35" spans="1:2" x14ac:dyDescent="0.25">
      <c r="A35" t="s">
        <v>21</v>
      </c>
      <c r="B35" t="s">
        <v>539</v>
      </c>
    </row>
    <row r="36" spans="1:2" x14ac:dyDescent="0.25">
      <c r="A36" t="s">
        <v>49</v>
      </c>
      <c r="B36" t="s">
        <v>540</v>
      </c>
    </row>
    <row r="37" spans="1:2" x14ac:dyDescent="0.25">
      <c r="A37" t="s">
        <v>102</v>
      </c>
      <c r="B37" t="s">
        <v>541</v>
      </c>
    </row>
    <row r="38" spans="1:2" x14ac:dyDescent="0.25">
      <c r="A38" t="s">
        <v>542</v>
      </c>
      <c r="B38" t="s">
        <v>543</v>
      </c>
    </row>
    <row r="39" spans="1:2" x14ac:dyDescent="0.25">
      <c r="A39" t="s">
        <v>54</v>
      </c>
      <c r="B39" t="s">
        <v>544</v>
      </c>
    </row>
    <row r="40" spans="1:2" x14ac:dyDescent="0.25">
      <c r="A40" t="s">
        <v>38</v>
      </c>
      <c r="B40" t="s">
        <v>545</v>
      </c>
    </row>
    <row r="41" spans="1:2" x14ac:dyDescent="0.25">
      <c r="A41" t="s">
        <v>14</v>
      </c>
      <c r="B41" t="s">
        <v>546</v>
      </c>
    </row>
    <row r="42" spans="1:2" x14ac:dyDescent="0.25">
      <c r="A42" t="s">
        <v>53</v>
      </c>
      <c r="B42" t="s">
        <v>547</v>
      </c>
    </row>
    <row r="43" spans="1:2" x14ac:dyDescent="0.25">
      <c r="A43" t="s">
        <v>52</v>
      </c>
      <c r="B43" t="s">
        <v>548</v>
      </c>
    </row>
    <row r="44" spans="1:2" x14ac:dyDescent="0.25">
      <c r="A44" t="s">
        <v>92</v>
      </c>
      <c r="B44" t="s">
        <v>549</v>
      </c>
    </row>
    <row r="45" spans="1:2" x14ac:dyDescent="0.25">
      <c r="A45" t="s">
        <v>90</v>
      </c>
      <c r="B45" t="s">
        <v>550</v>
      </c>
    </row>
    <row r="46" spans="1:2" x14ac:dyDescent="0.25">
      <c r="A46" t="s">
        <v>89</v>
      </c>
      <c r="B46" t="s">
        <v>551</v>
      </c>
    </row>
    <row r="47" spans="1:2" x14ac:dyDescent="0.25">
      <c r="A47" t="s">
        <v>91</v>
      </c>
      <c r="B47" t="s">
        <v>552</v>
      </c>
    </row>
    <row r="48" spans="1:2" x14ac:dyDescent="0.25">
      <c r="A48" t="s">
        <v>553</v>
      </c>
      <c r="B48" t="s">
        <v>554</v>
      </c>
    </row>
    <row r="49" spans="1:2" x14ac:dyDescent="0.25">
      <c r="A49" t="s">
        <v>103</v>
      </c>
      <c r="B49" t="s">
        <v>555</v>
      </c>
    </row>
    <row r="50" spans="1:2" x14ac:dyDescent="0.25">
      <c r="A50" t="s">
        <v>107</v>
      </c>
      <c r="B50" t="s">
        <v>556</v>
      </c>
    </row>
    <row r="51" spans="1:2" x14ac:dyDescent="0.25">
      <c r="A51" t="s">
        <v>10</v>
      </c>
    </row>
    <row r="52" spans="1:2" x14ac:dyDescent="0.25">
      <c r="A52" t="s">
        <v>26</v>
      </c>
      <c r="B52" t="s">
        <v>557</v>
      </c>
    </row>
    <row r="53" spans="1:2" x14ac:dyDescent="0.25">
      <c r="A53" t="s">
        <v>558</v>
      </c>
      <c r="B53" t="s">
        <v>559</v>
      </c>
    </row>
    <row r="54" spans="1:2" x14ac:dyDescent="0.25">
      <c r="A54" t="s">
        <v>25</v>
      </c>
      <c r="B54" t="s">
        <v>560</v>
      </c>
    </row>
    <row r="55" spans="1:2" x14ac:dyDescent="0.25">
      <c r="A55" t="s">
        <v>80</v>
      </c>
      <c r="B55" t="s">
        <v>561</v>
      </c>
    </row>
    <row r="56" spans="1:2" x14ac:dyDescent="0.25">
      <c r="A56" t="s">
        <v>79</v>
      </c>
      <c r="B56" t="s">
        <v>562</v>
      </c>
    </row>
    <row r="57" spans="1:2" x14ac:dyDescent="0.25">
      <c r="A57" t="s">
        <v>82</v>
      </c>
      <c r="B57" t="s">
        <v>563</v>
      </c>
    </row>
    <row r="58" spans="1:2" x14ac:dyDescent="0.25">
      <c r="A58" t="s">
        <v>85</v>
      </c>
      <c r="B58" t="s">
        <v>564</v>
      </c>
    </row>
    <row r="59" spans="1:2" x14ac:dyDescent="0.25">
      <c r="A59" t="s">
        <v>28</v>
      </c>
      <c r="B59" t="s">
        <v>565</v>
      </c>
    </row>
    <row r="60" spans="1:2" x14ac:dyDescent="0.25">
      <c r="A60" t="s">
        <v>29</v>
      </c>
      <c r="B60" t="s">
        <v>566</v>
      </c>
    </row>
    <row r="61" spans="1:2" x14ac:dyDescent="0.25">
      <c r="A61" t="s">
        <v>33</v>
      </c>
      <c r="B61" t="s">
        <v>567</v>
      </c>
    </row>
    <row r="62" spans="1:2" x14ac:dyDescent="0.25">
      <c r="A62" t="s">
        <v>37</v>
      </c>
      <c r="B62" t="s">
        <v>568</v>
      </c>
    </row>
    <row r="63" spans="1:2" x14ac:dyDescent="0.25">
      <c r="A63" s="24" t="s">
        <v>34</v>
      </c>
      <c r="B63" t="s">
        <v>569</v>
      </c>
    </row>
    <row r="64" spans="1:2" x14ac:dyDescent="0.25">
      <c r="A64" t="s">
        <v>39</v>
      </c>
      <c r="B64" t="s">
        <v>570</v>
      </c>
    </row>
    <row r="65" spans="1:2" x14ac:dyDescent="0.25">
      <c r="A65" t="s">
        <v>42</v>
      </c>
      <c r="B65" t="s">
        <v>571</v>
      </c>
    </row>
    <row r="66" spans="1:2" x14ac:dyDescent="0.25">
      <c r="A66" t="s">
        <v>41</v>
      </c>
      <c r="B66" t="s">
        <v>572</v>
      </c>
    </row>
    <row r="67" spans="1:2" x14ac:dyDescent="0.25">
      <c r="A67" t="s">
        <v>40</v>
      </c>
      <c r="B67" t="s">
        <v>573</v>
      </c>
    </row>
    <row r="68" spans="1:2" x14ac:dyDescent="0.25">
      <c r="A68" t="s">
        <v>43</v>
      </c>
      <c r="B68" t="s">
        <v>574</v>
      </c>
    </row>
    <row r="69" spans="1:2" x14ac:dyDescent="0.25">
      <c r="A69" t="s">
        <v>575</v>
      </c>
      <c r="B69" t="s">
        <v>576</v>
      </c>
    </row>
    <row r="70" spans="1:2" x14ac:dyDescent="0.25">
      <c r="A70" t="s">
        <v>96</v>
      </c>
      <c r="B70" t="s">
        <v>577</v>
      </c>
    </row>
    <row r="71" spans="1:2" x14ac:dyDescent="0.25">
      <c r="A71" t="s">
        <v>94</v>
      </c>
      <c r="B71" t="s">
        <v>578</v>
      </c>
    </row>
    <row r="72" spans="1:2" x14ac:dyDescent="0.25">
      <c r="A72" t="s">
        <v>93</v>
      </c>
      <c r="B72" t="s">
        <v>579</v>
      </c>
    </row>
    <row r="73" spans="1:2" x14ac:dyDescent="0.25">
      <c r="A73" t="s">
        <v>95</v>
      </c>
      <c r="B73" t="s">
        <v>580</v>
      </c>
    </row>
    <row r="74" spans="1:2" x14ac:dyDescent="0.25">
      <c r="A74" t="s">
        <v>581</v>
      </c>
      <c r="B74" t="s">
        <v>582</v>
      </c>
    </row>
    <row r="75" spans="1:2" x14ac:dyDescent="0.25">
      <c r="A75" t="s">
        <v>18</v>
      </c>
      <c r="B75" t="s">
        <v>583</v>
      </c>
    </row>
    <row r="76" spans="1:2" x14ac:dyDescent="0.25">
      <c r="A76" s="26" t="s">
        <v>47</v>
      </c>
    </row>
    <row r="77" spans="1:2" x14ac:dyDescent="0.25">
      <c r="A77" t="s">
        <v>100</v>
      </c>
      <c r="B77" t="s">
        <v>584</v>
      </c>
    </row>
    <row r="78" spans="1:2" x14ac:dyDescent="0.25">
      <c r="A78" t="s">
        <v>51</v>
      </c>
      <c r="B78" t="s">
        <v>585</v>
      </c>
    </row>
    <row r="79" spans="1:2" x14ac:dyDescent="0.25">
      <c r="A79" t="s">
        <v>69</v>
      </c>
      <c r="B79" t="s">
        <v>586</v>
      </c>
    </row>
    <row r="80" spans="1:2" x14ac:dyDescent="0.25">
      <c r="A80" t="s">
        <v>68</v>
      </c>
      <c r="B80" t="s">
        <v>587</v>
      </c>
    </row>
    <row r="81" spans="1:2" x14ac:dyDescent="0.25">
      <c r="A81" t="s">
        <v>71</v>
      </c>
      <c r="B81" t="s">
        <v>588</v>
      </c>
    </row>
    <row r="82" spans="1:2" x14ac:dyDescent="0.25">
      <c r="A82" t="s">
        <v>74</v>
      </c>
      <c r="B82" t="s">
        <v>589</v>
      </c>
    </row>
    <row r="83" spans="1:2" x14ac:dyDescent="0.25">
      <c r="A83" t="s">
        <v>590</v>
      </c>
      <c r="B83" t="s">
        <v>591</v>
      </c>
    </row>
    <row r="84" spans="1:2" x14ac:dyDescent="0.25">
      <c r="A84" t="s">
        <v>98</v>
      </c>
      <c r="B84" t="s">
        <v>592</v>
      </c>
    </row>
    <row r="85" spans="1:2" x14ac:dyDescent="0.25">
      <c r="A85" t="s">
        <v>101</v>
      </c>
      <c r="B85" t="s">
        <v>593</v>
      </c>
    </row>
    <row r="86" spans="1:2" x14ac:dyDescent="0.25">
      <c r="A86" t="s">
        <v>97</v>
      </c>
      <c r="B86" t="s">
        <v>594</v>
      </c>
    </row>
    <row r="87" spans="1:2" x14ac:dyDescent="0.25">
      <c r="A87" t="s">
        <v>99</v>
      </c>
      <c r="B87" t="s">
        <v>595</v>
      </c>
    </row>
    <row r="88" spans="1:2" x14ac:dyDescent="0.25">
      <c r="A88" t="s">
        <v>45</v>
      </c>
      <c r="B88" t="s">
        <v>596</v>
      </c>
    </row>
    <row r="89" spans="1:2" x14ac:dyDescent="0.25">
      <c r="A89" t="s">
        <v>30</v>
      </c>
      <c r="B89" t="s">
        <v>597</v>
      </c>
    </row>
    <row r="90" spans="1:2" x14ac:dyDescent="0.25">
      <c r="A90" t="s">
        <v>36</v>
      </c>
      <c r="B90" t="s">
        <v>598</v>
      </c>
    </row>
    <row r="91" spans="1:2" x14ac:dyDescent="0.25">
      <c r="A91" t="s">
        <v>32</v>
      </c>
      <c r="B91" t="s">
        <v>599</v>
      </c>
    </row>
    <row r="92" spans="1:2" x14ac:dyDescent="0.25">
      <c r="A92" t="s">
        <v>31</v>
      </c>
      <c r="B92" t="s">
        <v>600</v>
      </c>
    </row>
    <row r="93" spans="1:2" x14ac:dyDescent="0.25">
      <c r="A93" t="s">
        <v>35</v>
      </c>
      <c r="B93" t="s">
        <v>601</v>
      </c>
    </row>
    <row r="94" spans="1:2" x14ac:dyDescent="0.25">
      <c r="A94" t="s">
        <v>20</v>
      </c>
      <c r="B94" t="s">
        <v>602</v>
      </c>
    </row>
    <row r="95" spans="1:2" x14ac:dyDescent="0.25">
      <c r="A95" t="s">
        <v>22</v>
      </c>
      <c r="B95" t="s">
        <v>603</v>
      </c>
    </row>
    <row r="96" spans="1:2" x14ac:dyDescent="0.25">
      <c r="A96" t="s">
        <v>12</v>
      </c>
    </row>
    <row r="97" spans="1:2" x14ac:dyDescent="0.25">
      <c r="A97" s="27" t="s">
        <v>66</v>
      </c>
      <c r="B97" t="s">
        <v>604</v>
      </c>
    </row>
    <row r="98" spans="1:2" x14ac:dyDescent="0.25">
      <c r="A98" s="27" t="s">
        <v>65</v>
      </c>
      <c r="B98" t="s">
        <v>605</v>
      </c>
    </row>
    <row r="99" spans="1:2" x14ac:dyDescent="0.25">
      <c r="A99" s="27" t="s">
        <v>88</v>
      </c>
      <c r="B99" t="s">
        <v>606</v>
      </c>
    </row>
    <row r="100" spans="1:2" x14ac:dyDescent="0.25">
      <c r="A100" s="27" t="s">
        <v>87</v>
      </c>
      <c r="B100" t="s">
        <v>607</v>
      </c>
    </row>
    <row r="101" spans="1:2" x14ac:dyDescent="0.25">
      <c r="A101" s="27" t="s">
        <v>77</v>
      </c>
      <c r="B101" s="20" t="s">
        <v>608</v>
      </c>
    </row>
    <row r="102" spans="1:2" x14ac:dyDescent="0.25">
      <c r="A102" s="27" t="s">
        <v>76</v>
      </c>
      <c r="B102" s="20" t="s">
        <v>609</v>
      </c>
    </row>
    <row r="103" spans="1:2" x14ac:dyDescent="0.25">
      <c r="A103" s="24" t="s">
        <v>44</v>
      </c>
      <c r="B103" t="s">
        <v>610</v>
      </c>
    </row>
    <row r="104" spans="1:2" x14ac:dyDescent="0.25">
      <c r="A104" t="s">
        <v>611</v>
      </c>
      <c r="B104" t="s">
        <v>612</v>
      </c>
    </row>
    <row r="105" spans="1:2" x14ac:dyDescent="0.25">
      <c r="A105" t="s">
        <v>613</v>
      </c>
      <c r="B105" t="s">
        <v>614</v>
      </c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1" sqref="A21"/>
    </sheetView>
  </sheetViews>
  <sheetFormatPr defaultRowHeight="15" x14ac:dyDescent="0.25"/>
  <cols>
    <col min="1" max="1" width="68.7109375" customWidth="1"/>
  </cols>
  <sheetData>
    <row r="1" spans="1:1" x14ac:dyDescent="0.25">
      <c r="A1" t="s">
        <v>615</v>
      </c>
    </row>
    <row r="2" spans="1:1" x14ac:dyDescent="0.25">
      <c r="A2" t="s">
        <v>616</v>
      </c>
    </row>
    <row r="3" spans="1:1" x14ac:dyDescent="0.25">
      <c r="A3" t="s">
        <v>617</v>
      </c>
    </row>
    <row r="4" spans="1:1" x14ac:dyDescent="0.25">
      <c r="A4" t="s">
        <v>618</v>
      </c>
    </row>
    <row r="5" spans="1:1" x14ac:dyDescent="0.25">
      <c r="A5" t="s">
        <v>619</v>
      </c>
    </row>
    <row r="8" spans="1:1" x14ac:dyDescent="0.25">
      <c r="A8" t="s">
        <v>620</v>
      </c>
    </row>
    <row r="9" spans="1:1" x14ac:dyDescent="0.25">
      <c r="A9" t="s">
        <v>621</v>
      </c>
    </row>
    <row r="10" spans="1:1" x14ac:dyDescent="0.25">
      <c r="A10" t="s">
        <v>622</v>
      </c>
    </row>
    <row r="11" spans="1:1" x14ac:dyDescent="0.25">
      <c r="A11" t="s">
        <v>623</v>
      </c>
    </row>
    <row r="12" spans="1:1" x14ac:dyDescent="0.25">
      <c r="A12" t="s">
        <v>624</v>
      </c>
    </row>
    <row r="13" spans="1:1" x14ac:dyDescent="0.25">
      <c r="A13" t="s">
        <v>625</v>
      </c>
    </row>
    <row r="14" spans="1:1" x14ac:dyDescent="0.25">
      <c r="A14" t="s">
        <v>626</v>
      </c>
    </row>
    <row r="15" spans="1:1" x14ac:dyDescent="0.25">
      <c r="A15" t="s">
        <v>627</v>
      </c>
    </row>
    <row r="16" spans="1:1" x14ac:dyDescent="0.25">
      <c r="A16" t="s">
        <v>628</v>
      </c>
    </row>
  </sheetData>
  <sheetProtection selectLockedCells="1" selectUnlockedCells="1"/>
  <hyperlinks>
    <hyperlink ref="A14" r:id="rId1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Goalies</vt:lpstr>
      <vt:lpstr>Legend</vt:lpstr>
      <vt:lpstr>ABOUT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2015-11-24T19:20:15Z</dcterms:created>
  <dcterms:modified xsi:type="dcterms:W3CDTF">2015-11-24T19:20:15Z</dcterms:modified>
</cp:coreProperties>
</file>