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-38400" yWindow="0" windowWidth="38400" windowHeight="21140" tabRatio="500"/>
  </bookViews>
  <sheets>
    <sheet name="Hardware" sheetId="1" r:id="rId1"/>
    <sheet name="Testing" sheetId="2" r:id="rId2"/>
    <sheet name="Graph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0" i="2" l="1"/>
  <c r="F33" i="2"/>
  <c r="F58" i="2"/>
  <c r="C63" i="2"/>
  <c r="F22" i="3"/>
  <c r="F10" i="2"/>
  <c r="B29" i="3"/>
  <c r="F21" i="3"/>
  <c r="F20" i="3"/>
  <c r="G12" i="1"/>
  <c r="G13" i="1"/>
  <c r="G14" i="1"/>
  <c r="B28" i="1"/>
  <c r="B27" i="3"/>
  <c r="F19" i="3"/>
  <c r="G20" i="1"/>
  <c r="G3" i="1"/>
  <c r="G4" i="1"/>
  <c r="G5" i="1"/>
  <c r="G6" i="1"/>
  <c r="G8" i="1"/>
  <c r="G9" i="1"/>
  <c r="G10" i="1"/>
  <c r="G16" i="1"/>
  <c r="G17" i="1"/>
  <c r="G18" i="1"/>
  <c r="G19" i="1"/>
  <c r="G21" i="1"/>
  <c r="B27" i="1"/>
  <c r="B26" i="3"/>
  <c r="F18" i="3"/>
  <c r="C31" i="3"/>
  <c r="D83" i="3"/>
  <c r="E83" i="3"/>
  <c r="B43" i="3"/>
  <c r="D87" i="3"/>
  <c r="C87" i="3"/>
  <c r="C83" i="3"/>
  <c r="B83" i="3"/>
  <c r="E79" i="3"/>
  <c r="D79" i="3"/>
  <c r="C79" i="3"/>
  <c r="B79" i="3"/>
  <c r="E80" i="3"/>
  <c r="D80" i="3"/>
  <c r="C80" i="3"/>
  <c r="B80" i="3"/>
  <c r="E81" i="3"/>
  <c r="D81" i="3"/>
  <c r="C81" i="3"/>
  <c r="B81" i="3"/>
  <c r="C73" i="3"/>
  <c r="C74" i="3"/>
  <c r="D73" i="3"/>
  <c r="D74" i="3"/>
  <c r="E74" i="3"/>
  <c r="E82" i="3"/>
  <c r="D82" i="3"/>
  <c r="C72" i="3"/>
  <c r="C82" i="3"/>
  <c r="C71" i="3"/>
  <c r="D71" i="3"/>
  <c r="B82" i="3"/>
  <c r="C66" i="3"/>
  <c r="C67" i="3"/>
  <c r="D66" i="3"/>
  <c r="D67" i="3"/>
  <c r="E67" i="3"/>
  <c r="F67" i="3"/>
  <c r="F66" i="3"/>
  <c r="D65" i="3"/>
  <c r="F65" i="3"/>
  <c r="D64" i="3"/>
  <c r="C64" i="3"/>
  <c r="F64" i="3"/>
  <c r="C42" i="3"/>
  <c r="B49" i="3"/>
  <c r="C57" i="3"/>
  <c r="C58" i="3"/>
  <c r="C59" i="3"/>
  <c r="D57" i="3"/>
  <c r="C60" i="3"/>
  <c r="B50" i="3"/>
  <c r="B60" i="3"/>
  <c r="C61" i="3"/>
  <c r="B61" i="3"/>
  <c r="B51" i="3"/>
  <c r="B52" i="3"/>
  <c r="F48" i="2"/>
  <c r="B33" i="3"/>
  <c r="F3" i="2"/>
  <c r="F4" i="2"/>
  <c r="F5" i="2"/>
  <c r="F6" i="2"/>
  <c r="F7" i="2"/>
  <c r="F8" i="2"/>
  <c r="F9" i="2"/>
  <c r="F11" i="2"/>
  <c r="F12" i="2"/>
  <c r="F13" i="2"/>
  <c r="F14" i="2"/>
  <c r="F15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4" i="2"/>
  <c r="F36" i="2"/>
  <c r="F37" i="2"/>
  <c r="F39" i="2"/>
  <c r="F41" i="2"/>
  <c r="F42" i="2"/>
  <c r="F43" i="2"/>
  <c r="F38" i="2"/>
  <c r="B45" i="2"/>
  <c r="F45" i="2"/>
  <c r="F46" i="2"/>
  <c r="F47" i="2"/>
  <c r="F44" i="2"/>
  <c r="F49" i="2"/>
  <c r="F51" i="2"/>
  <c r="G28" i="1"/>
  <c r="B53" i="2"/>
  <c r="C55" i="2"/>
  <c r="B34" i="3"/>
  <c r="B32" i="3"/>
  <c r="B31" i="3"/>
  <c r="D51" i="2"/>
  <c r="C51" i="2"/>
  <c r="F2" i="2"/>
  <c r="B28" i="3"/>
  <c r="B30" i="3"/>
  <c r="C28" i="3"/>
  <c r="C26" i="3"/>
  <c r="C27" i="3"/>
  <c r="G30" i="1"/>
  <c r="G29" i="1"/>
  <c r="B37" i="3"/>
  <c r="B51" i="2"/>
  <c r="I12" i="3"/>
  <c r="K10" i="3"/>
  <c r="K30" i="2"/>
  <c r="L3" i="3"/>
  <c r="L2" i="3"/>
  <c r="G11" i="1"/>
  <c r="G2" i="1"/>
  <c r="H38" i="1"/>
  <c r="G15" i="1"/>
  <c r="G7" i="1"/>
  <c r="H56" i="2"/>
  <c r="B55" i="2"/>
  <c r="C27" i="1"/>
  <c r="G51" i="2"/>
  <c r="E27" i="1"/>
</calcChain>
</file>

<file path=xl/sharedStrings.xml><?xml version="1.0" encoding="utf-8"?>
<sst xmlns="http://schemas.openxmlformats.org/spreadsheetml/2006/main" count="322" uniqueCount="190">
  <si>
    <t>Item</t>
  </si>
  <si>
    <t>Unit cost (USD)</t>
  </si>
  <si>
    <t>Quantity (#)</t>
  </si>
  <si>
    <t>Shipping + Handling (USD)</t>
  </si>
  <si>
    <t>Processing/Shipping Time (+/-)</t>
  </si>
  <si>
    <t>Overall Cost (USD)</t>
  </si>
  <si>
    <t>Margin (+/-)</t>
  </si>
  <si>
    <t>Purpose</t>
  </si>
  <si>
    <t>Track</t>
  </si>
  <si>
    <t>Stock</t>
  </si>
  <si>
    <t>1.00” X 1.00” Tube Profile
Double 0.5” Flanges on One Side</t>
  </si>
  <si>
    <t>Highly Machinable MIC6 Aluminum Sheet,
 5/16" Thick, 6" x 6"</t>
  </si>
  <si>
    <t>1 wk</t>
  </si>
  <si>
    <t>3 days</t>
  </si>
  <si>
    <t>Runners for plate</t>
  </si>
  <si>
    <t>Sensor package raw material</t>
  </si>
  <si>
    <t>0.5"OD 6061 Aluminum rod, 6 ft</t>
  </si>
  <si>
    <t>Connections and support</t>
  </si>
  <si>
    <t>End pieces</t>
  </si>
  <si>
    <t>Test Stand dowel</t>
  </si>
  <si>
    <t>6061 Aluminum, 5/8" Thick, 6" x 6"</t>
  </si>
  <si>
    <t>Test stand construction</t>
  </si>
  <si>
    <t>2 days</t>
  </si>
  <si>
    <t>Feet adapters</t>
  </si>
  <si>
    <t>Sensor package construction</t>
  </si>
  <si>
    <t>Sensors</t>
  </si>
  <si>
    <t>Adjustment feet</t>
  </si>
  <si>
    <t>Mid-plane connectors</t>
  </si>
  <si>
    <t>16 Gage, 0.037 Inch Diameter x 274 Ft. Long, 302/304 Music Wire Coil</t>
  </si>
  <si>
    <t>Wiring pull for winch</t>
  </si>
  <si>
    <t>https://www.mscdirect.com/browse/tnpla/31981053?cid=ppc-google-New+-+Raw+Materials+-+PLA_sxRU4eYE2___164124449459_c_S&amp;mkwid=sxRU4eYE2|dc&amp;pcrid=164124449459&amp;rd=k&amp;product_id=31981053&amp;gclid=Cj0KCQiAjO_QBRC4ARIsAD2FsXNAGd8m7DqFIJOaAa5fggO65Ce4BQuufzgoRCi6YipHfXOnWkKiGB4aAoyjEALw_wcB</t>
  </si>
  <si>
    <t>Target Stand</t>
  </si>
  <si>
    <t>03D301 3D Camera from IFM</t>
  </si>
  <si>
    <t>2 wks</t>
  </si>
  <si>
    <t>Orientation sensor</t>
  </si>
  <si>
    <t>SF30-C High Speed Laser Rangefinder</t>
  </si>
  <si>
    <t>Roller For Base</t>
  </si>
  <si>
    <t>6061 Aluminum Sheet
0.19" Thick, 12" x 24"</t>
  </si>
  <si>
    <t>Base plate</t>
  </si>
  <si>
    <t>50mm X 50mm T-Slotted Profile
Eight Open T-Slots w/ end tap</t>
  </si>
  <si>
    <t>Stand arm</t>
  </si>
  <si>
    <t>25 Series Floor Mount Base Plate</t>
  </si>
  <si>
    <t>Base mount</t>
  </si>
  <si>
    <t>Tracking sensor</t>
  </si>
  <si>
    <t>Secure arm</t>
  </si>
  <si>
    <t>6061 Aluminum
3/16" Thick x 4" Wide</t>
  </si>
  <si>
    <t>DFK AFUJ003-M12
USB 3.0 color autofocus camera</t>
  </si>
  <si>
    <t>Motor mount</t>
  </si>
  <si>
    <t>Low-Profile Mounted Ball Bearing
Self-Aligning 52100 Steel, for 5/8"
Shaft Diameter</t>
  </si>
  <si>
    <t>Shaft mount</t>
  </si>
  <si>
    <t>Clamping Precision Flexible Shaft Coupling
7075 Aluminum, for 10mm x 1/2" 
Shaft Diameter, 38mm Overall Length</t>
  </si>
  <si>
    <t>Shaft coupler</t>
  </si>
  <si>
    <t>Nema 24 Stepper Motor 4Nm 3A 8-wire
8mm Dual Shaft CNC</t>
  </si>
  <si>
    <t>Rotation Motor</t>
  </si>
  <si>
    <t>Acquire sensor</t>
  </si>
  <si>
    <t>Rotation motor mount</t>
  </si>
  <si>
    <t>Angle Measurement</t>
  </si>
  <si>
    <t>Yaw sensor angle finder</t>
  </si>
  <si>
    <t>TLL-90S Super High Precision Angle Meter
0.005 Professional Dual-axis Digital Level</t>
  </si>
  <si>
    <t>Encoder for Winch</t>
  </si>
  <si>
    <t>Roll and pitch sensor angles</t>
  </si>
  <si>
    <t>Tight-Tolerance High-Strength 2024 
Aluminum Rod - 3/4" Diameter</t>
  </si>
  <si>
    <t>Rotating shaft</t>
  </si>
  <si>
    <t>Target (large)</t>
  </si>
  <si>
    <t>12 in. x 48 in. Tube for Concrete</t>
  </si>
  <si>
    <t>1 day</t>
  </si>
  <si>
    <t>Leveling test stand</t>
  </si>
  <si>
    <t>Electronics and connectors</t>
  </si>
  <si>
    <t>Base circle</t>
  </si>
  <si>
    <t>Rock64 Board (4DRAM)</t>
  </si>
  <si>
    <t>12x12x24in Box</t>
  </si>
  <si>
    <t>Microcontroller</t>
  </si>
  <si>
    <t>5V 2A Barrel Jack</t>
  </si>
  <si>
    <t>Outter Shell</t>
  </si>
  <si>
    <t>1/4in birch plywood (48x48in sheet)</t>
  </si>
  <si>
    <t>Rock64 power</t>
  </si>
  <si>
    <t>EVC004 5-pin connector for 03D301</t>
  </si>
  <si>
    <t>Wings</t>
  </si>
  <si>
    <t>Ikea Blanda Blank Serving Bowl</t>
  </si>
  <si>
    <t>2 day</t>
  </si>
  <si>
    <t>With LiDAR</t>
  </si>
  <si>
    <t>Dish</t>
  </si>
  <si>
    <t>03D301 power</t>
  </si>
  <si>
    <t>E11898 Ethernet Adapter for 03D301</t>
  </si>
  <si>
    <t>ships with LiDAR</t>
  </si>
  <si>
    <t>03D301 data transfer</t>
  </si>
  <si>
    <t>USB 3.0 Cable</t>
  </si>
  <si>
    <t>DFK camera data transfer</t>
  </si>
  <si>
    <t>USB 2.0 Cable</t>
  </si>
  <si>
    <t>TOTAL</t>
  </si>
  <si>
    <t>LRF data transfer</t>
  </si>
  <si>
    <t>Engineering Excellence Fund</t>
  </si>
  <si>
    <t>Target</t>
  </si>
  <si>
    <t>Discount ($)</t>
  </si>
  <si>
    <t>TOTAL(Testing)</t>
  </si>
  <si>
    <t>MARGIN</t>
  </si>
  <si>
    <t>BUDGET</t>
  </si>
  <si>
    <t>Printing</t>
  </si>
  <si>
    <t>FFR Reports</t>
  </si>
  <si>
    <t>DFK AFUP031-M12 + TBL25 5 MP</t>
  </si>
  <si>
    <t>Bought</t>
  </si>
  <si>
    <t>Ships with Rock64</t>
  </si>
  <si>
    <t>ALL HARDWARE</t>
  </si>
  <si>
    <t>SHIPS TOGETHER</t>
  </si>
  <si>
    <t>Bought?</t>
  </si>
  <si>
    <t>NEMA 23 Stepper Motor Alloy 
Steel Mounting Bracket and Driver</t>
  </si>
  <si>
    <t xml:space="preserve">
Autonics E40S8-1024-3-T-24</t>
  </si>
  <si>
    <t>Autonics E50S8-8000-3-T-24 Encoder</t>
  </si>
  <si>
    <t>Economy Leveling Foot: 3/8-16 x 2.000"(2191)</t>
  </si>
  <si>
    <t>Threaded End Bracket: 3/8-16 (9351)</t>
  </si>
  <si>
    <t>Quick connect 3 Way Corner Connector (9150)</t>
  </si>
  <si>
    <t xml:space="preserve">1.00” X 1.00” Square Tube Profile </t>
  </si>
  <si>
    <t>Quick connect 4 Way Corner Connector(9270)</t>
  </si>
  <si>
    <t>Projected Margin</t>
  </si>
  <si>
    <t>Arrived</t>
  </si>
  <si>
    <t>LiDAR</t>
  </si>
  <si>
    <t>Laser Rangefinder</t>
  </si>
  <si>
    <t>Optical Camera</t>
  </si>
  <si>
    <t>Received</t>
  </si>
  <si>
    <t>Pending</t>
  </si>
  <si>
    <t>Planned</t>
  </si>
  <si>
    <t>Margin</t>
  </si>
  <si>
    <t>Gfpiping systems PVC pipe Fitting 3/4in</t>
  </si>
  <si>
    <t>Target Mount</t>
  </si>
  <si>
    <t>80/20</t>
  </si>
  <si>
    <t>Ships with above</t>
  </si>
  <si>
    <t>BIOLOID BPF-F13/F14 Wheel &amp; Tire(AX series)</t>
  </si>
  <si>
    <t>Lynxmotion HUB-02 Universal Hub-6mm</t>
  </si>
  <si>
    <t>ships with above</t>
  </si>
  <si>
    <t>4-8days</t>
  </si>
  <si>
    <t>Hub for wheels</t>
  </si>
  <si>
    <t>McMaster-shipping</t>
  </si>
  <si>
    <t>McMaster</t>
  </si>
  <si>
    <t>Easy to Machine 303 Stainless Rod 6mm diameter</t>
  </si>
  <si>
    <t>Oil-Embedded Mounted Sleeve Bearing</t>
  </si>
  <si>
    <t>McMater</t>
  </si>
  <si>
    <t>Pulley</t>
  </si>
  <si>
    <t>Pivoting Bolt-on Tie-Down Ring</t>
  </si>
  <si>
    <t>6061 Aluminum 1/4" thick 6" x 6"</t>
  </si>
  <si>
    <t>McMAster</t>
  </si>
  <si>
    <t>6061 Aluminum 7/16" diameter</t>
  </si>
  <si>
    <t>6061 1/4" thick 2"x1ft</t>
  </si>
  <si>
    <t>Nylon Tube 1/4" thick 2"x1ft</t>
  </si>
  <si>
    <t>Color-Coded Plastic Slotted Shim Set</t>
  </si>
  <si>
    <t>6061 Aluminum Sheet .05" thick 6"x6"</t>
  </si>
  <si>
    <t>Mic6 Aluminum sheet 5/8" thick 6"x6"</t>
  </si>
  <si>
    <t>McMaster - 2 weeks</t>
  </si>
  <si>
    <t>2-3weeks</t>
  </si>
  <si>
    <t>SCOPE</t>
  </si>
  <si>
    <t>SCOPE(Test Stand)</t>
  </si>
  <si>
    <t>Test Stand</t>
  </si>
  <si>
    <t xml:space="preserve"> 240Pcs hardware</t>
  </si>
  <si>
    <t>Misc Hardware</t>
  </si>
  <si>
    <t>Misc</t>
  </si>
  <si>
    <t>Nuts and bolts</t>
  </si>
  <si>
    <t>instant</t>
  </si>
  <si>
    <t>Furniture Leveling Feet</t>
  </si>
  <si>
    <t>80/20 T-nuts</t>
  </si>
  <si>
    <t>1 week</t>
  </si>
  <si>
    <t>Nuts and Bolts</t>
  </si>
  <si>
    <t>Total</t>
  </si>
  <si>
    <t>Wifi Module</t>
  </si>
  <si>
    <t>PI</t>
  </si>
  <si>
    <t>100m Wire</t>
  </si>
  <si>
    <t>https://www.amazon.com/Channels-Extension-Electric-Connector-RGBW/dp/B00UBSQPEG/ref=sr_1_4?ie=UTF8&amp;qid=1519938649&amp;sr=8-4&amp;keywords=100m+electrical+wire</t>
  </si>
  <si>
    <t>2 Days</t>
  </si>
  <si>
    <t xml:space="preserve">RS232 </t>
  </si>
  <si>
    <t xml:space="preserve">LRF </t>
  </si>
  <si>
    <t>Communication MISC</t>
  </si>
  <si>
    <t>Testing MISC</t>
  </si>
  <si>
    <t>Dec/Jan</t>
  </si>
  <si>
    <t>Feb</t>
  </si>
  <si>
    <t>Mar</t>
  </si>
  <si>
    <t>Apr</t>
  </si>
  <si>
    <t>Amazon</t>
  </si>
  <si>
    <t>CDR Projection</t>
  </si>
  <si>
    <t>Actual</t>
  </si>
  <si>
    <t>Projected</t>
  </si>
  <si>
    <t>Dec</t>
  </si>
  <si>
    <t>Jan</t>
  </si>
  <si>
    <t>includes track</t>
  </si>
  <si>
    <t>Includes connections and measurements</t>
  </si>
  <si>
    <t>Budget Alloted</t>
  </si>
  <si>
    <t>Actual Spending</t>
  </si>
  <si>
    <t xml:space="preserve">Test Stand </t>
  </si>
  <si>
    <t>CDR Projected</t>
  </si>
  <si>
    <t>MSR Projected</t>
  </si>
  <si>
    <t>Total Spent</t>
  </si>
  <si>
    <t>sd card</t>
  </si>
  <si>
    <t>low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</si>
</sst>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164" formatCode="&quot;$&quot;#,##0"/>
    <numFmt numFmtId="165" formatCode="&quot;$&quot;#,##0.00"/>
  </numFmts>
  <fonts count="1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2942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b/>
      <sz val="10"/>
      <color rgb="FF002942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sz val="12"/>
      <color rgb="FF222222"/>
      <name val="Arial"/>
      <family val="2"/>
    </font>
    <font>
      <sz val="12"/>
      <color rgb="FF111111"/>
      <name val="Arial"/>
      <family val="2"/>
    </font>
    <font>
      <sz val="13.9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6" fontId="0" fillId="0" borderId="0" xfId="0" applyNumberFormat="1" applyFont="1" applyAlignment="1"/>
    <xf numFmtId="0" fontId="10" fillId="0" borderId="0" xfId="0" applyFont="1" applyAlignment="1"/>
    <xf numFmtId="10" fontId="7" fillId="0" borderId="0" xfId="0" applyNumberFormat="1" applyFont="1" applyAlignment="1"/>
    <xf numFmtId="0" fontId="7" fillId="0" borderId="0" xfId="0" applyFont="1" applyAlignment="1">
      <alignment wrapText="1"/>
    </xf>
    <xf numFmtId="165" fontId="0" fillId="0" borderId="0" xfId="0" applyNumberFormat="1" applyFont="1" applyAlignment="1"/>
    <xf numFmtId="165" fontId="7" fillId="0" borderId="0" xfId="0" applyNumberFormat="1" applyFont="1" applyAlignment="1"/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/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4" fontId="0" fillId="0" borderId="0" xfId="0" applyNumberFormat="1" applyFont="1" applyAlignment="1"/>
    <xf numFmtId="4" fontId="8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6" fillId="2" borderId="0" xfId="0" applyFont="1" applyFill="1" applyAlignment="1"/>
    <xf numFmtId="0" fontId="0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4" fillId="2" borderId="0" xfId="0" applyFont="1" applyFill="1" applyAlignment="1"/>
    <xf numFmtId="0" fontId="2" fillId="4" borderId="0" xfId="0" applyFont="1" applyFill="1" applyAlignment="1">
      <alignment wrapText="1"/>
    </xf>
    <xf numFmtId="0" fontId="4" fillId="4" borderId="0" xfId="0" applyFont="1" applyFill="1" applyAlignment="1"/>
    <xf numFmtId="0" fontId="4" fillId="5" borderId="0" xfId="0" applyFont="1" applyFill="1" applyAlignment="1"/>
    <xf numFmtId="0" fontId="13" fillId="4" borderId="0" xfId="4" applyFont="1" applyFill="1" applyAlignment="1"/>
    <xf numFmtId="0" fontId="12" fillId="2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4" fontId="7" fillId="0" borderId="0" xfId="0" applyNumberFormat="1" applyFont="1" applyAlignment="1"/>
    <xf numFmtId="0" fontId="15" fillId="0" borderId="0" xfId="0" applyFont="1" applyAlignment="1"/>
    <xf numFmtId="0" fontId="16" fillId="4" borderId="0" xfId="0" applyFont="1" applyFill="1" applyAlignment="1"/>
    <xf numFmtId="0" fontId="16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2" borderId="0" xfId="0" applyFont="1" applyFill="1" applyAlignment="1">
      <alignment wrapText="1"/>
    </xf>
    <xf numFmtId="0" fontId="2" fillId="5" borderId="0" xfId="0" applyFont="1" applyFill="1" applyAlignment="1"/>
    <xf numFmtId="0" fontId="4" fillId="6" borderId="0" xfId="0" applyFont="1" applyFill="1" applyAlignment="1"/>
    <xf numFmtId="0" fontId="12" fillId="5" borderId="0" xfId="0" applyFont="1" applyFill="1" applyAlignment="1"/>
    <xf numFmtId="0" fontId="0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4" fillId="5" borderId="0" xfId="0" applyFont="1" applyFill="1" applyAlignment="1"/>
    <xf numFmtId="0" fontId="2" fillId="5" borderId="0" xfId="0" applyFont="1" applyFill="1" applyAlignment="1">
      <alignment horizontal="left"/>
    </xf>
    <xf numFmtId="0" fontId="1" fillId="0" borderId="0" xfId="0" applyFont="1" applyFill="1" applyAlignment="1"/>
    <xf numFmtId="0" fontId="2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" fontId="17" fillId="0" borderId="0" xfId="0" applyNumberFormat="1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0"/>
  <tableStyles count="0" defaultTableStyle="TableStyleMedium9" defaultPivotStyle="PivotStyleMedium7"/>
  <colors>
    <mruColors>
      <color rgb="FFF50045"/>
      <color rgb="FFF2419F"/>
      <color rgb="FFD5B800"/>
      <color rgb="FFE31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Graph!$H$2:$H$11</c:f>
              <c:strCache>
                <c:ptCount val="10"/>
                <c:pt idx="0">
                  <c:v>LiDAR</c:v>
                </c:pt>
                <c:pt idx="1">
                  <c:v>Laser Rangefinder</c:v>
                </c:pt>
                <c:pt idx="2">
                  <c:v>Optical Camera</c:v>
                </c:pt>
                <c:pt idx="3">
                  <c:v>Stock</c:v>
                </c:pt>
                <c:pt idx="4">
                  <c:v>Angle Measurement</c:v>
                </c:pt>
                <c:pt idx="5">
                  <c:v>Electronics and connectors</c:v>
                </c:pt>
                <c:pt idx="6">
                  <c:v>Track</c:v>
                </c:pt>
                <c:pt idx="7">
                  <c:v>Target Stand</c:v>
                </c:pt>
                <c:pt idx="8">
                  <c:v>Target</c:v>
                </c:pt>
                <c:pt idx="9">
                  <c:v>Printing</c:v>
                </c:pt>
              </c:strCache>
            </c:strRef>
          </c:cat>
          <c:val>
            <c:numRef>
              <c:f>Graph!$I$2:$I$11</c:f>
              <c:numCache>
                <c:formatCode>#,##0.00</c:formatCode>
                <c:ptCount val="10"/>
                <c:pt idx="0">
                  <c:v>716.42</c:v>
                </c:pt>
                <c:pt idx="1">
                  <c:v>719.0</c:v>
                </c:pt>
                <c:pt idx="2">
                  <c:v>509.05</c:v>
                </c:pt>
                <c:pt idx="3">
                  <c:v>175.38</c:v>
                </c:pt>
                <c:pt idx="4">
                  <c:v>436.71</c:v>
                </c:pt>
                <c:pt idx="5">
                  <c:v>123.44</c:v>
                </c:pt>
                <c:pt idx="6">
                  <c:v>341.8</c:v>
                </c:pt>
                <c:pt idx="7">
                  <c:v>841.9399999999999</c:v>
                </c:pt>
                <c:pt idx="8">
                  <c:v>48.0</c:v>
                </c:pt>
                <c:pt idx="9">
                  <c:v>50.3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20-BE47-AB7B-3CE9218015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-27"/>
        <c:axId val="-2111799864"/>
        <c:axId val="-2111803336"/>
      </c:barChart>
      <c:catAx>
        <c:axId val="-211179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803336"/>
        <c:crosses val="autoZero"/>
        <c:auto val="1"/>
        <c:lblAlgn val="ctr"/>
        <c:lblOffset val="100"/>
        <c:noMultiLvlLbl val="0"/>
      </c:catAx>
      <c:valAx>
        <c:axId val="-211180333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799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98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74816265139808"/>
          <c:y val="0.100625586542406"/>
          <c:w val="0.931317181292065"/>
          <c:h val="0.8349863631641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EF8C-764B-BAE0-0A84BCB6714E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EF8C-764B-BAE0-0A84BCB6714E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EF8C-764B-BAE0-0A84BCB6714E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EF8C-764B-BAE0-0A84BCB6714E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EF8C-764B-BAE0-0A84BCB6714E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F8C-764B-BAE0-0A84BCB6714E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5B23-D44B-A8EE-8051B15C2EAE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3F23-6C48-ACB4-E49C9306557F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3F23-6C48-ACB4-E49C930655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Graph!$E$18:$E$25</c:f>
              <c:strCache>
                <c:ptCount val="8"/>
                <c:pt idx="0">
                  <c:v>SCOPE</c:v>
                </c:pt>
                <c:pt idx="1">
                  <c:v>Test Stand </c:v>
                </c:pt>
                <c:pt idx="2">
                  <c:v>Track</c:v>
                </c:pt>
                <c:pt idx="3">
                  <c:v>Target Stand</c:v>
                </c:pt>
                <c:pt idx="4">
                  <c:v>Misc</c:v>
                </c:pt>
                <c:pt idx="5">
                  <c:v>CDR Projected</c:v>
                </c:pt>
                <c:pt idx="6">
                  <c:v>MSR Projected</c:v>
                </c:pt>
                <c:pt idx="7">
                  <c:v>Total Spent</c:v>
                </c:pt>
              </c:strCache>
            </c:strRef>
          </c:cat>
          <c:val>
            <c:numRef>
              <c:f>Graph!$F$18:$F$25</c:f>
              <c:numCache>
                <c:formatCode>General</c:formatCode>
                <c:ptCount val="8"/>
                <c:pt idx="0">
                  <c:v>2310.25</c:v>
                </c:pt>
                <c:pt idx="1">
                  <c:v>357.3700000000001</c:v>
                </c:pt>
                <c:pt idx="2" formatCode="#,##0.00">
                  <c:v>375.4</c:v>
                </c:pt>
                <c:pt idx="3" formatCode="#,##0.00">
                  <c:v>1108.67</c:v>
                </c:pt>
                <c:pt idx="4" formatCode="#,##0.00">
                  <c:v>136.35</c:v>
                </c:pt>
                <c:pt idx="5">
                  <c:v>4996.45</c:v>
                </c:pt>
                <c:pt idx="6">
                  <c:v>4103.96</c:v>
                </c:pt>
                <c:pt idx="7">
                  <c:v>4357.15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8C-764B-BAE0-0A84BCB671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1579032"/>
        <c:axId val="2061566472"/>
      </c:barChart>
      <c:catAx>
        <c:axId val="206157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566472"/>
        <c:crosses val="autoZero"/>
        <c:auto val="1"/>
        <c:lblAlgn val="ctr"/>
        <c:lblOffset val="100"/>
        <c:noMultiLvlLbl val="0"/>
      </c:catAx>
      <c:valAx>
        <c:axId val="2061566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157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 w="6350">
                  <a:solidFill>
                    <a:schemeClr val="tx1">
                      <a:alpha val="44000"/>
                    </a:schemeClr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Budget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Graph!$A$77</c:f>
              <c:strCache>
                <c:ptCount val="1"/>
                <c:pt idx="0">
                  <c:v>Budget Alloted</c:v>
                </c:pt>
              </c:strCache>
            </c:strRef>
          </c:tx>
          <c:spPr>
            <a:noFill/>
            <a:ln w="22225">
              <a:solidFill>
                <a:srgbClr val="FF0000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Graph!$B$77:$E$77</c:f>
              <c:numCache>
                <c:formatCode>General</c:formatCode>
                <c:ptCount val="4"/>
                <c:pt idx="0">
                  <c:v>5000.0</c:v>
                </c:pt>
                <c:pt idx="1">
                  <c:v>5000.0</c:v>
                </c:pt>
                <c:pt idx="2">
                  <c:v>5000.0</c:v>
                </c:pt>
                <c:pt idx="3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6DC-B041-8204-2290D4B73C9A}"/>
            </c:ext>
          </c:extLst>
        </c:ser>
        <c:ser>
          <c:idx val="1"/>
          <c:order val="1"/>
          <c:tx>
            <c:strRef>
              <c:f>Graph!$A$79</c:f>
              <c:strCache>
                <c:ptCount val="1"/>
                <c:pt idx="0">
                  <c:v>SCOPE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Graph!$B$79:$E$79</c:f>
              <c:numCache>
                <c:formatCode>General</c:formatCode>
                <c:ptCount val="4"/>
                <c:pt idx="0">
                  <c:v>4996.55</c:v>
                </c:pt>
                <c:pt idx="1">
                  <c:v>4107.75</c:v>
                </c:pt>
                <c:pt idx="2">
                  <c:v>4239.66</c:v>
                </c:pt>
                <c:pt idx="3">
                  <c:v>4357.16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EF2-7A46-8DF3-44F5CE7BBE58}"/>
            </c:ext>
          </c:extLst>
        </c:ser>
        <c:ser>
          <c:idx val="2"/>
          <c:order val="2"/>
          <c:tx>
            <c:strRef>
              <c:f>Graph!$A$80</c:f>
              <c:strCache>
                <c:ptCount val="1"/>
                <c:pt idx="0">
                  <c:v>Test Stand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Graph!$B$80:$E$80</c:f>
              <c:numCache>
                <c:formatCode>General</c:formatCode>
                <c:ptCount val="4"/>
                <c:pt idx="0">
                  <c:v>2382.55</c:v>
                </c:pt>
                <c:pt idx="1">
                  <c:v>1798.29</c:v>
                </c:pt>
                <c:pt idx="2">
                  <c:v>1930.2</c:v>
                </c:pt>
                <c:pt idx="3">
                  <c:v>2047.7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EF2-7A46-8DF3-44F5CE7BBE58}"/>
            </c:ext>
          </c:extLst>
        </c:ser>
        <c:ser>
          <c:idx val="3"/>
          <c:order val="3"/>
          <c:tx>
            <c:strRef>
              <c:f>Graph!$A$81</c:f>
              <c:strCache>
                <c:ptCount val="1"/>
                <c:pt idx="0">
                  <c:v>Target Stand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Graph!$B$81:$E$81</c:f>
              <c:numCache>
                <c:formatCode>General</c:formatCode>
                <c:ptCount val="4"/>
                <c:pt idx="0">
                  <c:v>793.55</c:v>
                </c:pt>
                <c:pt idx="1">
                  <c:v>484.71</c:v>
                </c:pt>
                <c:pt idx="2">
                  <c:v>525.26</c:v>
                </c:pt>
                <c:pt idx="3">
                  <c:v>525.26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EF2-7A46-8DF3-44F5CE7BBE58}"/>
            </c:ext>
          </c:extLst>
        </c:ser>
        <c:ser>
          <c:idx val="4"/>
          <c:order val="4"/>
          <c:tx>
            <c:strRef>
              <c:f>Graph!$A$82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Graph!$B$82:$E$82</c:f>
              <c:numCache>
                <c:formatCode>General</c:formatCode>
                <c:ptCount val="4"/>
                <c:pt idx="0">
                  <c:v>232.0</c:v>
                </c:pt>
                <c:pt idx="1">
                  <c:v>48.0</c:v>
                </c:pt>
                <c:pt idx="2">
                  <c:v>71.53</c:v>
                </c:pt>
                <c:pt idx="3">
                  <c:v>71.53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4EF2-7A46-8DF3-44F5CE7BBE58}"/>
            </c:ext>
          </c:extLst>
        </c:ser>
        <c:ser>
          <c:idx val="5"/>
          <c:order val="5"/>
          <c:tx>
            <c:strRef>
              <c:f>Graph!$A$83</c:f>
              <c:strCache>
                <c:ptCount val="1"/>
                <c:pt idx="0">
                  <c:v>Actual Spending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</a:ln>
            <a:effectLst/>
          </c:spPr>
          <c:cat>
            <c:strRef>
              <c:f>Graph!$B$76:$E$76</c:f>
              <c:strCache>
                <c:ptCount val="4"/>
                <c:pt idx="0">
                  <c:v>Dec/Jan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Graph!$B$83:$E$83</c:f>
              <c:numCache>
                <c:formatCode>General</c:formatCode>
                <c:ptCount val="4"/>
                <c:pt idx="0">
                  <c:v>2473.87</c:v>
                </c:pt>
                <c:pt idx="1">
                  <c:v>4091.34</c:v>
                </c:pt>
                <c:pt idx="2">
                  <c:v>4239.66</c:v>
                </c:pt>
                <c:pt idx="3">
                  <c:v>4357.16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16-D244-B7E6-A0A1A0366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503336"/>
        <c:axId val="-2110457048"/>
      </c:areaChart>
      <c:catAx>
        <c:axId val="2061503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tx1">
                      <a:alpha val="44000"/>
                    </a:schemeClr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457048"/>
        <c:crosses val="autoZero"/>
        <c:auto val="1"/>
        <c:lblAlgn val="ctr"/>
        <c:lblOffset val="100"/>
        <c:noMultiLvlLbl val="0"/>
      </c:catAx>
      <c:valAx>
        <c:axId val="-211045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tx1">
                      <a:alpha val="44000"/>
                    </a:schemeClr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50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chemeClr val="tx1">
                    <a:alpha val="44000"/>
                  </a:schemeClr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6350">
            <a:solidFill>
              <a:schemeClr val="tx1">
                <a:alpha val="44000"/>
              </a:schemeClr>
            </a:solidFill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244802</xdr:colOff>
      <xdr:row>0</xdr:row>
      <xdr:rowOff>153274</xdr:rowOff>
    </xdr:from>
    <xdr:to>
      <xdr:col>21</xdr:col>
      <xdr:colOff>477928</xdr:colOff>
      <xdr:row>29</xdr:row>
      <xdr:rowOff>85542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238527</xdr:colOff>
      <xdr:row>36</xdr:row>
      <xdr:rowOff>148318</xdr:rowOff>
    </xdr:from>
    <xdr:to>
      <xdr:col>24</xdr:col>
      <xdr:colOff>67734</xdr:colOff>
      <xdr:row>58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416DCF-A61C-524A-BD64-482ABF6A4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161653</xdr:colOff>
      <xdr:row>36</xdr:row>
      <xdr:rowOff>152139</xdr:rowOff>
    </xdr:from>
    <xdr:to>
      <xdr:col>19</xdr:col>
      <xdr:colOff>461434</xdr:colOff>
      <xdr:row>61</xdr:row>
      <xdr:rowOff>55033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C953E359-5E2B-A641-820A-23E7C88C5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quipment.net/Autonics/E50S8-8000-3-T-24/Rotary-Encod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scdirect.com/browse/tnpla/31981053?cid=ppc-google-New+-+Raw+Materials+-+PLA_sxRU4eYE2___164124449459_c_S&amp;mkwid=sxRU4eYE2%7Cdc&amp;pcrid=164124449459&amp;rd=k&amp;product_id=31981053&amp;gclid=Cj0KCQiAjO_QBRC4ARIsAD2FsXNAGd8m7DqFIJOaAa5fggO65Ce4BQuufzgoRCi6YipHfXOnWkKiGB4aAoyjEALw_wc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A2" workbookViewId="0">
      <selection activeCell="A9" sqref="A9"/>
    </sheetView>
  </sheetViews>
  <sheetFormatPr baseColWidth="10" defaultColWidth="14.5" defaultRowHeight="15.75" customHeight="1" x14ac:dyDescent="0"/>
  <cols>
    <col min="1" max="1" width="38.83203125" customWidth="1"/>
    <col min="5" max="5" width="24.6640625" customWidth="1"/>
    <col min="6" max="6" width="32.1640625" customWidth="1"/>
    <col min="7" max="7" width="20.1640625" customWidth="1"/>
    <col min="9" max="9" width="27.5" customWidth="1"/>
  </cols>
  <sheetData>
    <row r="1" spans="1:28" ht="15.75" customHeight="1">
      <c r="A1" s="1" t="s">
        <v>0</v>
      </c>
      <c r="B1" s="2" t="s">
        <v>1</v>
      </c>
      <c r="C1" s="2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100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1" t="s">
        <v>9</v>
      </c>
      <c r="B2" s="5"/>
      <c r="C2" s="34"/>
      <c r="D2" s="5"/>
      <c r="E2" s="5"/>
      <c r="F2" s="5"/>
      <c r="G2" s="21">
        <f>145.38+G6+E3</f>
        <v>160.38</v>
      </c>
      <c r="H2" s="21"/>
      <c r="I2" s="5"/>
    </row>
    <row r="3" spans="1:28" ht="15.75" customHeight="1">
      <c r="A3" s="41" t="s">
        <v>11</v>
      </c>
      <c r="B3" s="8">
        <v>16.350000000000001</v>
      </c>
      <c r="C3" s="8"/>
      <c r="D3" s="32">
        <v>8</v>
      </c>
      <c r="E3" s="8">
        <v>15</v>
      </c>
      <c r="F3" s="5" t="s">
        <v>13</v>
      </c>
      <c r="G3" s="8">
        <f>(B3:B21)*(D3:D21)*(1-C3:C21/100)+(E3:E21)</f>
        <v>145.80000000000001</v>
      </c>
      <c r="H3" s="7"/>
      <c r="I3" s="5" t="s">
        <v>15</v>
      </c>
      <c r="J3">
        <v>1</v>
      </c>
    </row>
    <row r="4" spans="1:28" ht="15.75" customHeight="1">
      <c r="A4" s="38" t="s">
        <v>16</v>
      </c>
      <c r="B4" s="8">
        <v>15</v>
      </c>
      <c r="C4" s="8"/>
      <c r="D4" s="32">
        <v>1</v>
      </c>
      <c r="E4" s="8">
        <v>0</v>
      </c>
      <c r="F4" s="5" t="s">
        <v>102</v>
      </c>
      <c r="G4" s="8">
        <f>(B4:B22)*(D4:D22)+(E4:E22)</f>
        <v>15</v>
      </c>
      <c r="H4" s="7"/>
      <c r="I4" s="5" t="s">
        <v>19</v>
      </c>
      <c r="J4">
        <v>1</v>
      </c>
    </row>
    <row r="5" spans="1:28" ht="15.75" customHeight="1">
      <c r="A5" s="42" t="s">
        <v>20</v>
      </c>
      <c r="B5" s="8">
        <v>21.25</v>
      </c>
      <c r="C5" s="8"/>
      <c r="D5" s="32">
        <v>3</v>
      </c>
      <c r="E5" s="8">
        <v>0</v>
      </c>
      <c r="F5" s="5" t="s">
        <v>103</v>
      </c>
      <c r="G5" s="8">
        <f>(B5:B27)*(D5:D27)+(E5:E27)</f>
        <v>63.75</v>
      </c>
      <c r="H5" s="7"/>
      <c r="I5" s="5" t="s">
        <v>21</v>
      </c>
      <c r="J5">
        <v>1</v>
      </c>
    </row>
    <row r="6" spans="1:28" ht="15.75" customHeight="1">
      <c r="A6" s="60"/>
      <c r="B6" s="8"/>
      <c r="C6" s="8"/>
      <c r="D6" s="32"/>
      <c r="E6" s="8"/>
      <c r="F6" s="5"/>
      <c r="G6" s="8">
        <f>(B6:B28)*(D6:D28)+(E6:E28)</f>
        <v>0</v>
      </c>
      <c r="H6" s="7"/>
      <c r="I6" s="5" t="s">
        <v>24</v>
      </c>
    </row>
    <row r="7" spans="1:28" ht="15.75" customHeight="1">
      <c r="A7" s="1" t="s">
        <v>25</v>
      </c>
      <c r="B7" s="21"/>
      <c r="C7" s="21"/>
      <c r="D7" s="33"/>
      <c r="E7" s="21"/>
      <c r="F7" s="2"/>
      <c r="G7" s="21">
        <f>SUM(G8:G10)</f>
        <v>1944.47</v>
      </c>
      <c r="H7" s="9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>
      <c r="A8" s="38" t="s">
        <v>32</v>
      </c>
      <c r="B8" s="8">
        <v>1312</v>
      </c>
      <c r="C8" s="8">
        <v>612</v>
      </c>
      <c r="D8" s="32">
        <v>1</v>
      </c>
      <c r="E8" s="8">
        <v>16.420000000000002</v>
      </c>
      <c r="F8" s="5" t="s">
        <v>33</v>
      </c>
      <c r="G8" s="8">
        <f>(B8:B30)*(D8:D30)+(E8:E30)-C8</f>
        <v>716.42000000000007</v>
      </c>
      <c r="H8" s="7"/>
      <c r="I8" s="5" t="s">
        <v>34</v>
      </c>
      <c r="J8">
        <v>1</v>
      </c>
    </row>
    <row r="9" spans="1:28" ht="15.75" customHeight="1">
      <c r="A9" s="39" t="s">
        <v>35</v>
      </c>
      <c r="B9" s="8">
        <v>699</v>
      </c>
      <c r="C9" s="8"/>
      <c r="D9" s="32">
        <v>1</v>
      </c>
      <c r="E9" s="8">
        <v>20</v>
      </c>
      <c r="F9" s="5" t="s">
        <v>33</v>
      </c>
      <c r="G9" s="8">
        <f>(B9:B31)*(D9:D31)+(E9:E31)</f>
        <v>719</v>
      </c>
      <c r="H9" s="7"/>
      <c r="I9" s="5" t="s">
        <v>43</v>
      </c>
      <c r="J9">
        <v>1</v>
      </c>
    </row>
    <row r="10" spans="1:28" ht="15.75" customHeight="1">
      <c r="A10" s="40" t="s">
        <v>99</v>
      </c>
      <c r="B10" s="8">
        <v>484.05</v>
      </c>
      <c r="C10" s="8">
        <v>0</v>
      </c>
      <c r="D10" s="32">
        <v>1</v>
      </c>
      <c r="E10" s="8">
        <v>25</v>
      </c>
      <c r="F10" s="5" t="s">
        <v>12</v>
      </c>
      <c r="G10" s="8">
        <f>(B10:B33)*(D10:D32)+(E10:E32)-C10</f>
        <v>509.05</v>
      </c>
      <c r="H10" s="7"/>
      <c r="I10" s="5" t="s">
        <v>54</v>
      </c>
      <c r="J10">
        <v>1</v>
      </c>
    </row>
    <row r="11" spans="1:28" ht="15.75" customHeight="1">
      <c r="A11" s="13" t="s">
        <v>56</v>
      </c>
      <c r="B11" s="21"/>
      <c r="C11" s="21"/>
      <c r="D11" s="33"/>
      <c r="E11" s="21"/>
      <c r="F11" s="2"/>
      <c r="G11" s="21">
        <f>SUM(G12:G14)</f>
        <v>357.37000000000006</v>
      </c>
      <c r="H11" s="9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>
      <c r="A12" s="47" t="s">
        <v>107</v>
      </c>
      <c r="B12" s="8">
        <v>180.72</v>
      </c>
      <c r="C12" s="8"/>
      <c r="D12" s="32">
        <v>1</v>
      </c>
      <c r="E12" s="8">
        <v>0</v>
      </c>
      <c r="F12" s="5" t="s">
        <v>12</v>
      </c>
      <c r="G12" s="8">
        <f>(B12:B35)*(D12:D34)+(E12:E34)</f>
        <v>180.72</v>
      </c>
      <c r="H12" s="7"/>
      <c r="I12" s="5" t="s">
        <v>57</v>
      </c>
      <c r="J12">
        <v>1</v>
      </c>
    </row>
    <row r="13" spans="1:28" ht="15.75" customHeight="1">
      <c r="A13" s="44" t="s">
        <v>58</v>
      </c>
      <c r="B13" s="8">
        <v>145.99</v>
      </c>
      <c r="C13" s="8"/>
      <c r="D13" s="32">
        <v>1</v>
      </c>
      <c r="E13" s="8">
        <v>10</v>
      </c>
      <c r="F13" s="5" t="s">
        <v>12</v>
      </c>
      <c r="G13" s="8">
        <f>(B13:B36)*(D13:D35)+(E13:E35)</f>
        <v>155.99</v>
      </c>
      <c r="H13" s="7"/>
      <c r="I13" s="5" t="s">
        <v>60</v>
      </c>
      <c r="J13">
        <v>1</v>
      </c>
    </row>
    <row r="14" spans="1:28" ht="15.75" customHeight="1">
      <c r="A14" s="61" t="s">
        <v>156</v>
      </c>
      <c r="B14" s="8">
        <v>10.33</v>
      </c>
      <c r="C14" s="8"/>
      <c r="D14" s="32">
        <v>2</v>
      </c>
      <c r="E14" s="8">
        <v>0</v>
      </c>
      <c r="F14" s="5" t="s">
        <v>12</v>
      </c>
      <c r="G14" s="8">
        <f>(B14:B37)*(D14:D36)+(E14:E36)</f>
        <v>20.66</v>
      </c>
      <c r="H14" s="7"/>
      <c r="I14" s="5" t="s">
        <v>66</v>
      </c>
    </row>
    <row r="15" spans="1:28" ht="15.75" customHeight="1">
      <c r="A15" s="1" t="s">
        <v>67</v>
      </c>
      <c r="B15" s="8"/>
      <c r="C15" s="8"/>
      <c r="D15" s="32"/>
      <c r="E15" s="8"/>
      <c r="F15" s="5"/>
      <c r="G15" s="21">
        <f>SUM(G16:G21)</f>
        <v>124.23</v>
      </c>
      <c r="H15" s="22"/>
      <c r="I15" s="5"/>
    </row>
    <row r="16" spans="1:28" ht="15.75" customHeight="1">
      <c r="A16" s="38" t="s">
        <v>69</v>
      </c>
      <c r="B16" s="8">
        <v>55</v>
      </c>
      <c r="C16" s="8"/>
      <c r="D16" s="32">
        <v>1</v>
      </c>
      <c r="E16" s="8">
        <v>7.99</v>
      </c>
      <c r="F16" s="5" t="s">
        <v>33</v>
      </c>
      <c r="G16" s="8">
        <f>(B16:B39)*(D16:D38)+(E16:E38)</f>
        <v>62.99</v>
      </c>
      <c r="H16" s="7"/>
      <c r="I16" s="5" t="s">
        <v>71</v>
      </c>
      <c r="J16">
        <v>1</v>
      </c>
    </row>
    <row r="17" spans="1:10" ht="15.75" customHeight="1">
      <c r="A17" s="38" t="s">
        <v>72</v>
      </c>
      <c r="B17" s="8">
        <v>6.99</v>
      </c>
      <c r="C17" s="8"/>
      <c r="D17" s="32">
        <v>1</v>
      </c>
      <c r="E17" s="8" t="s">
        <v>101</v>
      </c>
      <c r="F17" s="5" t="s">
        <v>12</v>
      </c>
      <c r="G17" s="8">
        <f>(B17:B40)*(D17:D39)</f>
        <v>6.99</v>
      </c>
      <c r="H17" s="7"/>
      <c r="I17" s="5" t="s">
        <v>75</v>
      </c>
      <c r="J17">
        <v>1</v>
      </c>
    </row>
    <row r="18" spans="1:10" ht="15.75" customHeight="1">
      <c r="A18" s="38" t="s">
        <v>76</v>
      </c>
      <c r="B18" s="8">
        <v>6.96</v>
      </c>
      <c r="C18" s="8"/>
      <c r="D18" s="32">
        <v>1</v>
      </c>
      <c r="E18" s="8"/>
      <c r="F18" s="5" t="s">
        <v>80</v>
      </c>
      <c r="G18" s="8">
        <f>(B18:B41)*(D18:D40)+(E18:E40)</f>
        <v>6.96</v>
      </c>
      <c r="H18" s="7"/>
      <c r="I18" s="5" t="s">
        <v>82</v>
      </c>
      <c r="J18">
        <v>1</v>
      </c>
    </row>
    <row r="19" spans="1:10" ht="15.75" customHeight="1">
      <c r="A19" s="38" t="s">
        <v>83</v>
      </c>
      <c r="B19" s="8">
        <v>31.5</v>
      </c>
      <c r="C19" s="8"/>
      <c r="D19" s="32">
        <v>1</v>
      </c>
      <c r="E19" s="8"/>
      <c r="F19" s="5" t="s">
        <v>84</v>
      </c>
      <c r="G19" s="8">
        <f>(B19:B42)*(D19:D41)+(E19:E41)</f>
        <v>31.5</v>
      </c>
      <c r="H19" s="7"/>
      <c r="I19" s="5" t="s">
        <v>85</v>
      </c>
      <c r="J19">
        <v>1</v>
      </c>
    </row>
    <row r="20" spans="1:10" ht="15.75" customHeight="1">
      <c r="A20" s="38" t="s">
        <v>86</v>
      </c>
      <c r="B20" s="8">
        <v>5.79</v>
      </c>
      <c r="C20" s="8"/>
      <c r="D20" s="32">
        <v>1</v>
      </c>
      <c r="E20" s="8">
        <v>0</v>
      </c>
      <c r="F20" s="5" t="s">
        <v>22</v>
      </c>
      <c r="G20" s="8">
        <f>(B20:B43)*(D20:D42)+(E20:E42)</f>
        <v>5.79</v>
      </c>
      <c r="H20" s="7"/>
      <c r="I20" s="5" t="s">
        <v>87</v>
      </c>
      <c r="J20">
        <v>1</v>
      </c>
    </row>
    <row r="21" spans="1:10" ht="15.75" customHeight="1">
      <c r="A21" s="38" t="s">
        <v>88</v>
      </c>
      <c r="B21" s="8">
        <v>5</v>
      </c>
      <c r="C21" s="8"/>
      <c r="D21" s="32">
        <v>2</v>
      </c>
      <c r="E21" s="8">
        <v>0</v>
      </c>
      <c r="F21" s="5" t="s">
        <v>22</v>
      </c>
      <c r="G21" s="8">
        <f>(B21:B44)*(D21:D43)+(E21:E43)</f>
        <v>10</v>
      </c>
      <c r="H21" s="7"/>
      <c r="I21" s="5" t="s">
        <v>90</v>
      </c>
      <c r="J21">
        <v>1</v>
      </c>
    </row>
    <row r="22" spans="1:10" ht="15.75" customHeight="1">
      <c r="A22" s="57" t="s">
        <v>151</v>
      </c>
      <c r="B22" s="7">
        <v>16.899999999999999</v>
      </c>
      <c r="C22" s="7"/>
      <c r="D22" s="5">
        <v>1</v>
      </c>
      <c r="E22" s="7">
        <v>0</v>
      </c>
      <c r="F22" s="4" t="s">
        <v>22</v>
      </c>
      <c r="G22" s="7">
        <v>17</v>
      </c>
      <c r="H22" s="7"/>
      <c r="I22" s="5"/>
    </row>
    <row r="23" spans="1:10" ht="15.75" customHeight="1">
      <c r="A23" s="58" t="s">
        <v>188</v>
      </c>
      <c r="B23" s="7">
        <v>11.99</v>
      </c>
      <c r="C23" s="7"/>
      <c r="D23" s="5"/>
      <c r="E23" s="7"/>
      <c r="F23" s="5"/>
      <c r="G23" s="7"/>
      <c r="H23" s="22"/>
      <c r="I23" s="18"/>
    </row>
    <row r="24" spans="1:10" ht="15.75" customHeight="1">
      <c r="A24" s="58" t="s">
        <v>189</v>
      </c>
      <c r="B24" s="7">
        <v>14.5</v>
      </c>
      <c r="C24" s="7"/>
      <c r="D24" s="5">
        <v>1</v>
      </c>
      <c r="E24" s="7"/>
      <c r="F24" s="5"/>
      <c r="G24" s="7"/>
      <c r="H24" s="22"/>
      <c r="I24" s="18"/>
    </row>
    <row r="25" spans="1:10" ht="15.75" customHeight="1">
      <c r="A25" s="58"/>
      <c r="B25" s="7"/>
      <c r="C25" s="7"/>
      <c r="D25" s="5"/>
      <c r="E25" s="7"/>
      <c r="F25" s="5"/>
      <c r="G25" s="7"/>
      <c r="H25" s="22"/>
      <c r="I25" s="18"/>
    </row>
    <row r="26" spans="1:10" ht="15.75" customHeight="1">
      <c r="A26" s="58"/>
      <c r="B26" s="7"/>
      <c r="C26" s="7"/>
      <c r="D26" s="5"/>
      <c r="E26" s="7"/>
      <c r="F26" s="5"/>
      <c r="G26" s="7"/>
    </row>
    <row r="27" spans="1:10" ht="15.75" customHeight="1">
      <c r="A27" s="1" t="s">
        <v>148</v>
      </c>
      <c r="B27" s="21">
        <f>SUM(G3:G6,G8:G10,G16:G22)</f>
        <v>2310.2499999999995</v>
      </c>
      <c r="C27" s="18">
        <f>SUM(C2:C21)</f>
        <v>612</v>
      </c>
      <c r="D27" s="18"/>
      <c r="E27" s="22">
        <f>SUM(E3:E21)</f>
        <v>94.41</v>
      </c>
      <c r="F27" s="18"/>
      <c r="G27" s="21"/>
    </row>
    <row r="28" spans="1:10" ht="15.75" customHeight="1">
      <c r="A28" s="13" t="s">
        <v>149</v>
      </c>
      <c r="B28" s="28">
        <f>SUM(G12:G14)</f>
        <v>357.37000000000006</v>
      </c>
      <c r="G28" s="28">
        <f>SUM(B27,B28)</f>
        <v>2667.6199999999994</v>
      </c>
    </row>
    <row r="29" spans="1:10" ht="15.75" customHeight="1">
      <c r="A29" s="13" t="s">
        <v>97</v>
      </c>
      <c r="G29" s="28">
        <f>50.3</f>
        <v>50.3</v>
      </c>
    </row>
    <row r="30" spans="1:10" ht="15.75" customHeight="1">
      <c r="A30" t="s">
        <v>98</v>
      </c>
      <c r="B30" s="27">
        <v>35.25</v>
      </c>
      <c r="D30">
        <v>2</v>
      </c>
      <c r="G30" s="28">
        <f>50.3</f>
        <v>50.3</v>
      </c>
    </row>
    <row r="31" spans="1:10" ht="15.75" customHeight="1">
      <c r="A31" t="s">
        <v>152</v>
      </c>
    </row>
    <row r="33" spans="1:8" ht="15.75" customHeight="1">
      <c r="A33" s="43" t="s">
        <v>118</v>
      </c>
    </row>
    <row r="34" spans="1:8" ht="15.75" customHeight="1">
      <c r="A34" s="45" t="s">
        <v>119</v>
      </c>
    </row>
    <row r="35" spans="1:8" ht="15.75" customHeight="1">
      <c r="A35" s="46" t="s">
        <v>120</v>
      </c>
    </row>
    <row r="38" spans="1:8" ht="15.75" customHeight="1">
      <c r="B38" s="54"/>
      <c r="C38" s="49"/>
      <c r="H38" s="27">
        <f>SUM(G16:G21,G8:G10)</f>
        <v>2068.7000000000003</v>
      </c>
    </row>
    <row r="39" spans="1:8" ht="15.75" customHeight="1">
      <c r="B39" s="54"/>
      <c r="C39" s="49"/>
    </row>
    <row r="40" spans="1:8" ht="15.75" customHeight="1">
      <c r="B40" s="54"/>
      <c r="C40" s="49"/>
    </row>
  </sheetData>
  <hyperlinks>
    <hyperlink ref="A12" r:id="rId1" display="https://www.tequipment.net/Autonics/E50S8-8000-3-T-24/Rotary-Encoders/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28" workbookViewId="0">
      <selection activeCell="C53" sqref="C53"/>
    </sheetView>
  </sheetViews>
  <sheetFormatPr baseColWidth="10" defaultColWidth="14.5" defaultRowHeight="15.75" customHeight="1" x14ac:dyDescent="0"/>
  <cols>
    <col min="1" max="1" width="36.83203125" customWidth="1"/>
    <col min="2" max="2" width="18.5" customWidth="1"/>
    <col min="3" max="3" width="19.5" customWidth="1"/>
    <col min="4" max="4" width="27.83203125" customWidth="1"/>
    <col min="5" max="5" width="31.1640625" customWidth="1"/>
    <col min="6" max="6" width="23.5" customWidth="1"/>
    <col min="7" max="7" width="17.83203125" customWidth="1"/>
    <col min="8" max="8" width="24.332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104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8</v>
      </c>
      <c r="B2" s="4"/>
      <c r="C2" s="4"/>
      <c r="D2" s="4"/>
      <c r="E2" s="4"/>
      <c r="F2" s="29">
        <f>SUM(F3:F9)</f>
        <v>375.4</v>
      </c>
      <c r="G2" s="4"/>
      <c r="H2" s="4"/>
      <c r="I2">
        <v>1</v>
      </c>
    </row>
    <row r="3" spans="1:26" ht="15.75" customHeight="1">
      <c r="A3" s="62" t="s">
        <v>10</v>
      </c>
      <c r="B3" s="7">
        <v>8</v>
      </c>
      <c r="C3" s="5">
        <v>30</v>
      </c>
      <c r="D3" s="34">
        <v>54.52</v>
      </c>
      <c r="E3" s="5" t="s">
        <v>12</v>
      </c>
      <c r="F3" s="34">
        <f>220</f>
        <v>220</v>
      </c>
      <c r="G3" s="7">
        <v>10</v>
      </c>
      <c r="H3" s="5" t="s">
        <v>14</v>
      </c>
      <c r="I3">
        <v>1</v>
      </c>
    </row>
    <row r="4" spans="1:26" ht="15.75" customHeight="1">
      <c r="A4" s="62" t="s">
        <v>111</v>
      </c>
      <c r="B4" s="8">
        <v>4.2</v>
      </c>
      <c r="C4" s="5">
        <v>8</v>
      </c>
      <c r="D4" s="34">
        <v>0</v>
      </c>
      <c r="E4" s="5" t="s">
        <v>12</v>
      </c>
      <c r="F4" s="34">
        <f>B4*C4+D4</f>
        <v>33.6</v>
      </c>
      <c r="G4" s="7">
        <v>5</v>
      </c>
      <c r="H4" s="5" t="s">
        <v>17</v>
      </c>
      <c r="I4">
        <v>1</v>
      </c>
    </row>
    <row r="5" spans="1:26" ht="15.75" customHeight="1">
      <c r="A5" s="62" t="s">
        <v>110</v>
      </c>
      <c r="B5" s="8">
        <v>2.6</v>
      </c>
      <c r="C5" s="5">
        <v>4</v>
      </c>
      <c r="D5" s="34">
        <v>0</v>
      </c>
      <c r="E5" s="5" t="s">
        <v>12</v>
      </c>
      <c r="F5" s="34">
        <f t="shared" ref="F5:F9" si="0">B5*C5+D5</f>
        <v>10.4</v>
      </c>
      <c r="G5" s="7">
        <v>2</v>
      </c>
      <c r="H5" s="5" t="s">
        <v>18</v>
      </c>
      <c r="I5">
        <v>1</v>
      </c>
    </row>
    <row r="6" spans="1:26" ht="15.75" customHeight="1">
      <c r="A6" s="63" t="s">
        <v>109</v>
      </c>
      <c r="B6" s="8">
        <v>1.35</v>
      </c>
      <c r="C6" s="5">
        <v>14</v>
      </c>
      <c r="D6" s="34">
        <v>0</v>
      </c>
      <c r="E6" s="5" t="s">
        <v>12</v>
      </c>
      <c r="F6" s="34">
        <f t="shared" si="0"/>
        <v>18.900000000000002</v>
      </c>
      <c r="G6" s="7">
        <v>3</v>
      </c>
      <c r="H6" s="5" t="s">
        <v>23</v>
      </c>
      <c r="I6">
        <v>1</v>
      </c>
    </row>
    <row r="7" spans="1:26" ht="15.75" customHeight="1">
      <c r="A7" s="62" t="s">
        <v>108</v>
      </c>
      <c r="B7" s="8">
        <v>2.65</v>
      </c>
      <c r="C7" s="5">
        <v>14</v>
      </c>
      <c r="D7" s="34">
        <v>0</v>
      </c>
      <c r="E7" s="5" t="s">
        <v>12</v>
      </c>
      <c r="F7" s="34">
        <f t="shared" si="0"/>
        <v>37.1</v>
      </c>
      <c r="G7" s="7">
        <v>3</v>
      </c>
      <c r="H7" s="5" t="s">
        <v>26</v>
      </c>
      <c r="I7">
        <v>1</v>
      </c>
    </row>
    <row r="8" spans="1:26" ht="15.75" customHeight="1">
      <c r="A8" s="62" t="s">
        <v>112</v>
      </c>
      <c r="B8" s="8">
        <v>2.6</v>
      </c>
      <c r="C8" s="5">
        <v>10</v>
      </c>
      <c r="D8" s="34">
        <v>0</v>
      </c>
      <c r="E8" s="5" t="s">
        <v>12</v>
      </c>
      <c r="F8" s="34">
        <f t="shared" si="0"/>
        <v>26</v>
      </c>
      <c r="G8" s="7">
        <v>3</v>
      </c>
      <c r="H8" s="5" t="s">
        <v>27</v>
      </c>
      <c r="I8">
        <v>1</v>
      </c>
    </row>
    <row r="9" spans="1:26" ht="15.75" customHeight="1">
      <c r="A9" s="64" t="s">
        <v>28</v>
      </c>
      <c r="B9" s="8">
        <v>29.4</v>
      </c>
      <c r="C9" s="5">
        <v>1</v>
      </c>
      <c r="D9" s="34">
        <v>0</v>
      </c>
      <c r="E9" s="5" t="s">
        <v>12</v>
      </c>
      <c r="F9" s="34">
        <f t="shared" si="0"/>
        <v>29.4</v>
      </c>
      <c r="G9" s="7">
        <v>3</v>
      </c>
      <c r="H9" s="5" t="s">
        <v>29</v>
      </c>
      <c r="I9" s="10">
        <v>1</v>
      </c>
      <c r="J9" s="10" t="s">
        <v>30</v>
      </c>
    </row>
    <row r="10" spans="1:26" ht="15.75" customHeight="1">
      <c r="A10" s="69" t="s">
        <v>31</v>
      </c>
      <c r="B10" s="8"/>
      <c r="C10" s="5"/>
      <c r="D10" s="34"/>
      <c r="E10" s="5"/>
      <c r="F10" s="29">
        <f>SUM(F11:F37)</f>
        <v>1108.67</v>
      </c>
      <c r="G10" s="7"/>
      <c r="H10" s="5"/>
    </row>
    <row r="11" spans="1:26" ht="15.75" customHeight="1">
      <c r="A11" s="62" t="s">
        <v>126</v>
      </c>
      <c r="B11" s="8">
        <v>2.9</v>
      </c>
      <c r="C11" s="5">
        <v>3</v>
      </c>
      <c r="D11" s="34">
        <v>2.99</v>
      </c>
      <c r="E11" s="5" t="s">
        <v>129</v>
      </c>
      <c r="F11" s="34">
        <f t="shared" ref="F11:F37" si="1">B11*C11+D11</f>
        <v>11.69</v>
      </c>
      <c r="G11" s="7">
        <v>0</v>
      </c>
      <c r="H11" s="5" t="s">
        <v>36</v>
      </c>
      <c r="I11">
        <v>1</v>
      </c>
    </row>
    <row r="12" spans="1:26" ht="15.75" customHeight="1">
      <c r="A12" s="62" t="s">
        <v>127</v>
      </c>
      <c r="B12" s="8">
        <v>7.65</v>
      </c>
      <c r="C12" s="5">
        <v>3</v>
      </c>
      <c r="D12" s="34">
        <v>0</v>
      </c>
      <c r="E12" s="5" t="s">
        <v>128</v>
      </c>
      <c r="F12" s="34">
        <f t="shared" si="1"/>
        <v>22.950000000000003</v>
      </c>
      <c r="G12" s="7">
        <v>0</v>
      </c>
      <c r="H12" s="5" t="s">
        <v>130</v>
      </c>
      <c r="I12">
        <v>1</v>
      </c>
    </row>
    <row r="13" spans="1:26" ht="15.75" customHeight="1">
      <c r="A13" s="62" t="s">
        <v>37</v>
      </c>
      <c r="B13" s="8">
        <v>52.06</v>
      </c>
      <c r="C13" s="5">
        <v>1</v>
      </c>
      <c r="D13" s="56">
        <v>51.37</v>
      </c>
      <c r="E13" s="56">
        <v>51.37</v>
      </c>
      <c r="F13" s="34">
        <f t="shared" si="1"/>
        <v>103.43</v>
      </c>
      <c r="G13" s="7">
        <v>5</v>
      </c>
      <c r="H13" s="5" t="s">
        <v>38</v>
      </c>
      <c r="I13">
        <v>1</v>
      </c>
      <c r="J13" s="12" t="s">
        <v>131</v>
      </c>
    </row>
    <row r="14" spans="1:26" ht="15.75" customHeight="1">
      <c r="A14" s="65" t="s">
        <v>39</v>
      </c>
      <c r="B14" s="7">
        <v>35.119999999999997</v>
      </c>
      <c r="C14" s="5">
        <v>1</v>
      </c>
      <c r="D14" s="34">
        <v>28.92</v>
      </c>
      <c r="E14" s="5" t="s">
        <v>12</v>
      </c>
      <c r="F14" s="34">
        <f t="shared" si="1"/>
        <v>64.039999999999992</v>
      </c>
      <c r="G14" s="7">
        <v>3</v>
      </c>
      <c r="H14" s="5" t="s">
        <v>40</v>
      </c>
      <c r="I14">
        <v>1</v>
      </c>
      <c r="J14" s="12" t="s">
        <v>124</v>
      </c>
    </row>
    <row r="15" spans="1:26" ht="15.75" customHeight="1">
      <c r="A15" s="62" t="s">
        <v>41</v>
      </c>
      <c r="B15" s="8">
        <v>33.1</v>
      </c>
      <c r="C15" s="5">
        <v>1</v>
      </c>
      <c r="D15" s="34">
        <v>0</v>
      </c>
      <c r="E15" s="5" t="s">
        <v>125</v>
      </c>
      <c r="F15" s="34">
        <f t="shared" si="1"/>
        <v>33.1</v>
      </c>
      <c r="G15" s="7">
        <v>3</v>
      </c>
      <c r="H15" s="5" t="s">
        <v>42</v>
      </c>
      <c r="I15">
        <v>1</v>
      </c>
      <c r="J15" s="12" t="s">
        <v>124</v>
      </c>
    </row>
    <row r="16" spans="1:26" ht="15.75" customHeight="1">
      <c r="A16" s="46"/>
      <c r="B16" s="7"/>
      <c r="C16" s="5"/>
      <c r="D16" s="34"/>
      <c r="E16" s="5"/>
      <c r="F16" s="34"/>
      <c r="G16" s="7"/>
      <c r="H16" s="5"/>
    </row>
    <row r="17" spans="1:11" ht="15.75" customHeight="1">
      <c r="A17" s="62"/>
      <c r="B17" s="8"/>
      <c r="C17" s="5"/>
      <c r="D17" s="34"/>
      <c r="E17" s="5"/>
      <c r="F17" s="34">
        <f t="shared" si="1"/>
        <v>0</v>
      </c>
      <c r="G17" s="7">
        <v>0</v>
      </c>
      <c r="H17" s="5" t="s">
        <v>44</v>
      </c>
    </row>
    <row r="18" spans="1:11" ht="15.75" customHeight="1">
      <c r="A18" s="62" t="s">
        <v>45</v>
      </c>
      <c r="B18" s="8">
        <v>9.5500000000000007</v>
      </c>
      <c r="C18" s="5">
        <v>1</v>
      </c>
      <c r="D18" s="34">
        <v>0</v>
      </c>
      <c r="E18" s="5" t="s">
        <v>132</v>
      </c>
      <c r="F18" s="34">
        <f>B18*C18+D18</f>
        <v>9.5500000000000007</v>
      </c>
      <c r="G18" s="7">
        <v>0</v>
      </c>
      <c r="H18" s="5" t="s">
        <v>47</v>
      </c>
      <c r="I18">
        <v>1</v>
      </c>
      <c r="J18" s="12" t="s">
        <v>132</v>
      </c>
    </row>
    <row r="19" spans="1:11" ht="15.75" customHeight="1">
      <c r="A19" s="62" t="s">
        <v>48</v>
      </c>
      <c r="B19" s="8">
        <v>10.95</v>
      </c>
      <c r="C19" s="5">
        <v>4</v>
      </c>
      <c r="D19" s="34">
        <v>0</v>
      </c>
      <c r="E19" s="5" t="s">
        <v>132</v>
      </c>
      <c r="F19" s="34">
        <f t="shared" si="1"/>
        <v>43.8</v>
      </c>
      <c r="G19" s="7">
        <v>0</v>
      </c>
      <c r="H19" s="5" t="s">
        <v>49</v>
      </c>
      <c r="I19">
        <v>1</v>
      </c>
      <c r="J19" s="12" t="s">
        <v>132</v>
      </c>
    </row>
    <row r="20" spans="1:11" ht="15.75" customHeight="1">
      <c r="A20" s="62" t="s">
        <v>50</v>
      </c>
      <c r="B20" s="8">
        <v>68.64</v>
      </c>
      <c r="C20" s="5">
        <v>2</v>
      </c>
      <c r="D20" s="34">
        <v>0</v>
      </c>
      <c r="E20" s="5" t="s">
        <v>132</v>
      </c>
      <c r="F20" s="34">
        <f t="shared" si="1"/>
        <v>137.28</v>
      </c>
      <c r="G20" s="7">
        <v>0</v>
      </c>
      <c r="H20" s="5" t="s">
        <v>51</v>
      </c>
      <c r="I20">
        <v>1</v>
      </c>
      <c r="J20" s="12" t="s">
        <v>132</v>
      </c>
    </row>
    <row r="21" spans="1:11" ht="15.75" customHeight="1">
      <c r="A21" s="62" t="s">
        <v>134</v>
      </c>
      <c r="B21" s="8">
        <v>10.35</v>
      </c>
      <c r="C21" s="5">
        <v>4</v>
      </c>
      <c r="D21" s="34">
        <v>6</v>
      </c>
      <c r="E21" s="5" t="s">
        <v>146</v>
      </c>
      <c r="F21" s="34">
        <f t="shared" si="1"/>
        <v>47.4</v>
      </c>
      <c r="G21" s="7">
        <v>0</v>
      </c>
      <c r="H21" s="5"/>
      <c r="I21">
        <v>1</v>
      </c>
      <c r="J21" s="12" t="s">
        <v>135</v>
      </c>
    </row>
    <row r="22" spans="1:11" ht="15.75" customHeight="1">
      <c r="A22" s="62" t="s">
        <v>136</v>
      </c>
      <c r="B22" s="8">
        <v>17.77</v>
      </c>
      <c r="C22" s="5">
        <v>1</v>
      </c>
      <c r="D22" s="34">
        <v>0</v>
      </c>
      <c r="E22" s="5" t="s">
        <v>132</v>
      </c>
      <c r="F22" s="34">
        <f t="shared" si="1"/>
        <v>17.77</v>
      </c>
      <c r="G22" s="7"/>
      <c r="H22" s="5"/>
      <c r="I22">
        <v>1</v>
      </c>
      <c r="J22" s="12" t="s">
        <v>132</v>
      </c>
    </row>
    <row r="23" spans="1:11" ht="15.75" customHeight="1">
      <c r="A23" s="62" t="s">
        <v>133</v>
      </c>
      <c r="B23" s="8">
        <v>11.03</v>
      </c>
      <c r="C23" s="5">
        <v>1</v>
      </c>
      <c r="D23" s="34">
        <v>0</v>
      </c>
      <c r="E23" s="5" t="s">
        <v>132</v>
      </c>
      <c r="F23" s="34">
        <f t="shared" si="1"/>
        <v>11.03</v>
      </c>
      <c r="G23" s="7">
        <v>0</v>
      </c>
      <c r="H23" s="5"/>
      <c r="I23">
        <v>1</v>
      </c>
      <c r="J23" s="12" t="s">
        <v>132</v>
      </c>
    </row>
    <row r="24" spans="1:11" ht="15.75" customHeight="1">
      <c r="A24" s="62" t="s">
        <v>137</v>
      </c>
      <c r="B24" s="8">
        <v>2.19</v>
      </c>
      <c r="C24" s="5">
        <v>2</v>
      </c>
      <c r="D24" s="34">
        <v>0</v>
      </c>
      <c r="E24" s="5" t="s">
        <v>132</v>
      </c>
      <c r="F24" s="34">
        <f t="shared" si="1"/>
        <v>4.38</v>
      </c>
      <c r="G24" s="7">
        <v>0</v>
      </c>
      <c r="H24" s="5"/>
      <c r="I24">
        <v>1</v>
      </c>
      <c r="J24" s="12" t="s">
        <v>132</v>
      </c>
    </row>
    <row r="25" spans="1:11" ht="15.75" customHeight="1">
      <c r="A25" s="62" t="s">
        <v>138</v>
      </c>
      <c r="B25" s="8">
        <v>7.22</v>
      </c>
      <c r="C25" s="5">
        <v>1</v>
      </c>
      <c r="D25" s="34">
        <v>0</v>
      </c>
      <c r="E25" s="5" t="s">
        <v>139</v>
      </c>
      <c r="F25" s="34">
        <f t="shared" si="1"/>
        <v>7.22</v>
      </c>
      <c r="G25" s="7">
        <v>0</v>
      </c>
      <c r="H25" s="5"/>
      <c r="I25">
        <v>1</v>
      </c>
      <c r="J25" s="12" t="s">
        <v>132</v>
      </c>
    </row>
    <row r="26" spans="1:11" ht="15.75" customHeight="1">
      <c r="A26" s="62" t="s">
        <v>140</v>
      </c>
      <c r="B26" s="8">
        <v>6.19</v>
      </c>
      <c r="C26" s="5">
        <v>1</v>
      </c>
      <c r="D26" s="34">
        <v>0</v>
      </c>
      <c r="E26" s="5" t="s">
        <v>132</v>
      </c>
      <c r="F26" s="34">
        <f t="shared" si="1"/>
        <v>6.19</v>
      </c>
      <c r="G26" s="7">
        <v>0</v>
      </c>
      <c r="H26" s="5"/>
      <c r="I26">
        <v>1</v>
      </c>
      <c r="J26" s="12" t="s">
        <v>132</v>
      </c>
    </row>
    <row r="27" spans="1:11" ht="15.75" customHeight="1">
      <c r="A27" s="62" t="s">
        <v>141</v>
      </c>
      <c r="B27" s="8">
        <v>4.42</v>
      </c>
      <c r="C27" s="5">
        <v>2</v>
      </c>
      <c r="D27" s="34">
        <v>0</v>
      </c>
      <c r="E27" s="5" t="s">
        <v>132</v>
      </c>
      <c r="F27" s="34">
        <f t="shared" si="1"/>
        <v>8.84</v>
      </c>
      <c r="G27" s="7">
        <v>0</v>
      </c>
      <c r="H27" s="5"/>
      <c r="I27">
        <v>1</v>
      </c>
      <c r="J27" s="12" t="s">
        <v>132</v>
      </c>
    </row>
    <row r="28" spans="1:11" ht="15.75" customHeight="1">
      <c r="A28" s="62" t="s">
        <v>142</v>
      </c>
      <c r="B28" s="8">
        <v>10.64</v>
      </c>
      <c r="C28" s="5">
        <v>1</v>
      </c>
      <c r="D28" s="34">
        <v>0</v>
      </c>
      <c r="E28" s="5" t="s">
        <v>132</v>
      </c>
      <c r="F28" s="34">
        <f t="shared" si="1"/>
        <v>10.64</v>
      </c>
      <c r="G28" s="7">
        <v>0</v>
      </c>
      <c r="H28" s="5"/>
      <c r="I28">
        <v>1</v>
      </c>
      <c r="J28" s="12" t="s">
        <v>132</v>
      </c>
    </row>
    <row r="29" spans="1:11" ht="15.75" customHeight="1">
      <c r="A29" s="62" t="s">
        <v>143</v>
      </c>
      <c r="B29" s="8">
        <v>44.92</v>
      </c>
      <c r="C29" s="5">
        <v>1</v>
      </c>
      <c r="D29" s="34">
        <v>0</v>
      </c>
      <c r="E29" s="5" t="s">
        <v>132</v>
      </c>
      <c r="F29" s="34">
        <f t="shared" si="1"/>
        <v>44.92</v>
      </c>
      <c r="G29" s="7">
        <v>0</v>
      </c>
      <c r="H29" s="5"/>
      <c r="I29">
        <v>1</v>
      </c>
      <c r="J29" s="12" t="s">
        <v>132</v>
      </c>
    </row>
    <row r="30" spans="1:11" ht="15.75" customHeight="1">
      <c r="A30" s="62" t="s">
        <v>144</v>
      </c>
      <c r="B30" s="8">
        <v>5.24</v>
      </c>
      <c r="C30" s="5">
        <v>1</v>
      </c>
      <c r="D30" s="34">
        <v>0</v>
      </c>
      <c r="E30" s="5" t="s">
        <v>132</v>
      </c>
      <c r="F30" s="34">
        <f t="shared" si="1"/>
        <v>5.24</v>
      </c>
      <c r="G30" s="7">
        <v>0</v>
      </c>
      <c r="H30" s="5"/>
      <c r="I30">
        <v>1</v>
      </c>
      <c r="J30" s="12" t="s">
        <v>132</v>
      </c>
      <c r="K30" s="36">
        <f>SUM(F18:F31,F13)</f>
        <v>483.19</v>
      </c>
    </row>
    <row r="31" spans="1:11" ht="15.75" customHeight="1">
      <c r="A31" s="62" t="s">
        <v>145</v>
      </c>
      <c r="B31" s="8">
        <v>25.5</v>
      </c>
      <c r="C31" s="5">
        <v>1</v>
      </c>
      <c r="D31" s="34">
        <v>0</v>
      </c>
      <c r="E31" s="5" t="s">
        <v>132</v>
      </c>
      <c r="F31" s="34">
        <f t="shared" si="1"/>
        <v>25.5</v>
      </c>
      <c r="G31" s="7">
        <v>0</v>
      </c>
      <c r="H31" s="5"/>
      <c r="I31">
        <v>1</v>
      </c>
      <c r="J31" s="12" t="s">
        <v>132</v>
      </c>
    </row>
    <row r="32" spans="1:11" ht="15.75" customHeight="1">
      <c r="A32" s="62" t="s">
        <v>52</v>
      </c>
      <c r="B32" s="8">
        <v>56</v>
      </c>
      <c r="C32" s="5">
        <v>2</v>
      </c>
      <c r="D32" s="34">
        <v>0</v>
      </c>
      <c r="E32" s="5" t="s">
        <v>22</v>
      </c>
      <c r="F32" s="34">
        <f t="shared" si="1"/>
        <v>112</v>
      </c>
      <c r="G32" s="7">
        <v>0</v>
      </c>
      <c r="H32" s="5" t="s">
        <v>53</v>
      </c>
      <c r="I32">
        <v>1</v>
      </c>
    </row>
    <row r="33" spans="1:15" ht="15.75" customHeight="1">
      <c r="A33" s="66" t="s">
        <v>105</v>
      </c>
      <c r="B33" s="8">
        <v>47.8</v>
      </c>
      <c r="C33" s="5">
        <v>2</v>
      </c>
      <c r="D33" s="34">
        <v>0</v>
      </c>
      <c r="E33" s="5" t="s">
        <v>22</v>
      </c>
      <c r="F33" s="34">
        <f t="shared" si="1"/>
        <v>95.6</v>
      </c>
      <c r="G33" s="7">
        <v>0</v>
      </c>
      <c r="H33" s="5" t="s">
        <v>55</v>
      </c>
      <c r="I33">
        <v>1</v>
      </c>
    </row>
    <row r="34" spans="1:15" ht="15.75" customHeight="1">
      <c r="A34" s="67" t="s">
        <v>122</v>
      </c>
      <c r="B34" s="8">
        <v>6.46</v>
      </c>
      <c r="C34" s="5">
        <v>2</v>
      </c>
      <c r="D34" s="34">
        <v>0</v>
      </c>
      <c r="E34" s="5" t="s">
        <v>22</v>
      </c>
      <c r="F34" s="34">
        <f t="shared" si="1"/>
        <v>12.92</v>
      </c>
      <c r="G34" s="7">
        <v>0</v>
      </c>
      <c r="H34" s="5" t="s">
        <v>123</v>
      </c>
      <c r="I34">
        <v>1</v>
      </c>
    </row>
    <row r="35" spans="1:15" ht="15.75" customHeight="1">
      <c r="A35" s="66"/>
      <c r="B35" s="51"/>
      <c r="C35" s="52"/>
      <c r="D35" s="53"/>
      <c r="E35" s="52"/>
      <c r="F35" s="53"/>
      <c r="G35" s="52"/>
      <c r="H35" s="52"/>
      <c r="I35" s="54"/>
      <c r="J35" s="54"/>
      <c r="K35" s="54"/>
      <c r="L35" s="54"/>
      <c r="M35" s="54"/>
      <c r="N35" s="54"/>
      <c r="O35" s="54"/>
    </row>
    <row r="36" spans="1:15" ht="15.75" customHeight="1">
      <c r="A36" s="66" t="s">
        <v>106</v>
      </c>
      <c r="B36" s="14">
        <v>117.68</v>
      </c>
      <c r="C36" s="15">
        <v>2</v>
      </c>
      <c r="D36" s="37">
        <v>-0.18</v>
      </c>
      <c r="E36" s="5" t="s">
        <v>147</v>
      </c>
      <c r="F36" s="37">
        <f t="shared" si="1"/>
        <v>235.18</v>
      </c>
      <c r="G36" s="16">
        <v>0</v>
      </c>
      <c r="H36" s="15" t="s">
        <v>59</v>
      </c>
      <c r="I36">
        <v>1</v>
      </c>
    </row>
    <row r="37" spans="1:15" ht="15.75" customHeight="1">
      <c r="A37" s="62" t="s">
        <v>61</v>
      </c>
      <c r="B37" s="34">
        <v>35</v>
      </c>
      <c r="C37" s="5">
        <v>1</v>
      </c>
      <c r="D37" s="34">
        <v>3</v>
      </c>
      <c r="E37" s="5" t="s">
        <v>132</v>
      </c>
      <c r="F37" s="34">
        <f t="shared" si="1"/>
        <v>38</v>
      </c>
      <c r="G37" s="7">
        <v>0</v>
      </c>
      <c r="H37" s="5" t="s">
        <v>62</v>
      </c>
      <c r="I37">
        <v>1</v>
      </c>
      <c r="J37" s="12" t="s">
        <v>132</v>
      </c>
    </row>
    <row r="38" spans="1:15" ht="15.75" customHeight="1">
      <c r="A38" s="1" t="s">
        <v>63</v>
      </c>
      <c r="B38" s="34"/>
      <c r="C38" s="4"/>
      <c r="D38" s="34"/>
      <c r="E38" s="4"/>
      <c r="F38" s="29">
        <f>SUM(F39:F43)</f>
        <v>71.529999999999987</v>
      </c>
      <c r="G38" s="4"/>
      <c r="H38" s="4"/>
    </row>
    <row r="39" spans="1:15" ht="15.75" customHeight="1">
      <c r="A39" s="62" t="s">
        <v>64</v>
      </c>
      <c r="B39" s="34">
        <v>53.98</v>
      </c>
      <c r="C39" s="5">
        <v>1</v>
      </c>
      <c r="D39" s="34">
        <v>0</v>
      </c>
      <c r="E39" s="5" t="s">
        <v>65</v>
      </c>
      <c r="F39" s="34">
        <f t="shared" ref="F39:F43" si="2">B39*C39+D39</f>
        <v>53.98</v>
      </c>
      <c r="G39" s="7">
        <v>0</v>
      </c>
      <c r="H39" s="5" t="s">
        <v>68</v>
      </c>
      <c r="I39">
        <v>1</v>
      </c>
    </row>
    <row r="40" spans="1:15" ht="15.75" customHeight="1">
      <c r="A40" s="50"/>
      <c r="B40" s="34"/>
      <c r="C40" s="5"/>
      <c r="D40" s="34"/>
      <c r="E40" s="5"/>
      <c r="F40" s="34"/>
      <c r="G40" s="7"/>
      <c r="H40" s="5"/>
    </row>
    <row r="41" spans="1:15" ht="15.75" customHeight="1">
      <c r="A41" s="68" t="s">
        <v>70</v>
      </c>
      <c r="B41" s="34">
        <v>3.58</v>
      </c>
      <c r="C41" s="5">
        <v>1</v>
      </c>
      <c r="D41" s="34">
        <v>0</v>
      </c>
      <c r="E41" s="5" t="s">
        <v>65</v>
      </c>
      <c r="F41" s="34">
        <f t="shared" si="2"/>
        <v>3.58</v>
      </c>
      <c r="G41" s="7">
        <v>1</v>
      </c>
      <c r="H41" s="5" t="s">
        <v>73</v>
      </c>
      <c r="I41">
        <v>1</v>
      </c>
    </row>
    <row r="42" spans="1:15" ht="15.75" customHeight="1">
      <c r="A42" s="68" t="s">
        <v>74</v>
      </c>
      <c r="B42" s="34">
        <v>10.48</v>
      </c>
      <c r="C42" s="5">
        <v>1</v>
      </c>
      <c r="D42" s="34">
        <v>0</v>
      </c>
      <c r="E42" s="5" t="s">
        <v>65</v>
      </c>
      <c r="F42" s="34">
        <f t="shared" si="2"/>
        <v>10.48</v>
      </c>
      <c r="G42" s="7">
        <v>0</v>
      </c>
      <c r="H42" s="5" t="s">
        <v>77</v>
      </c>
      <c r="I42">
        <v>1</v>
      </c>
    </row>
    <row r="43" spans="1:15" ht="15.75" customHeight="1">
      <c r="A43" s="68" t="s">
        <v>78</v>
      </c>
      <c r="B43" s="34">
        <v>3.49</v>
      </c>
      <c r="C43" s="5">
        <v>1</v>
      </c>
      <c r="D43" s="34">
        <v>0</v>
      </c>
      <c r="E43" s="5" t="s">
        <v>79</v>
      </c>
      <c r="F43" s="34">
        <f t="shared" si="2"/>
        <v>3.49</v>
      </c>
      <c r="G43" s="7">
        <v>0</v>
      </c>
      <c r="H43" s="5" t="s">
        <v>81</v>
      </c>
      <c r="I43">
        <v>1</v>
      </c>
    </row>
    <row r="44" spans="1:15" ht="15.75" customHeight="1">
      <c r="A44" s="59" t="s">
        <v>153</v>
      </c>
      <c r="B44" s="8"/>
      <c r="C44" s="5"/>
      <c r="D44" s="34"/>
      <c r="E44" s="5"/>
      <c r="F44" s="29">
        <f>SUM(F45:F47)</f>
        <v>82.360000000000014</v>
      </c>
      <c r="G44" s="7"/>
      <c r="H44" s="5"/>
    </row>
    <row r="45" spans="1:15" ht="15.75" customHeight="1">
      <c r="A45" s="68" t="s">
        <v>154</v>
      </c>
      <c r="B45" s="8">
        <f>31.63+10.48+80.17-SUM(B39:B43)</f>
        <v>50.750000000000014</v>
      </c>
      <c r="C45" s="5">
        <v>1</v>
      </c>
      <c r="D45" s="34">
        <v>0</v>
      </c>
      <c r="E45" s="5" t="s">
        <v>155</v>
      </c>
      <c r="F45" s="34">
        <f>B45*C45+D45</f>
        <v>50.750000000000014</v>
      </c>
      <c r="G45" s="7"/>
      <c r="H45" s="5"/>
      <c r="I45">
        <v>1</v>
      </c>
    </row>
    <row r="46" spans="1:15" ht="15.75" customHeight="1">
      <c r="A46" s="68" t="s">
        <v>157</v>
      </c>
      <c r="B46" s="5">
        <v>10</v>
      </c>
      <c r="C46" s="5">
        <v>1</v>
      </c>
      <c r="D46" s="5">
        <v>13.72</v>
      </c>
      <c r="E46" s="5" t="s">
        <v>158</v>
      </c>
      <c r="F46" s="34">
        <f>B46*C46+D46</f>
        <v>23.72</v>
      </c>
      <c r="G46" s="18"/>
      <c r="H46" s="18"/>
      <c r="I46">
        <v>1</v>
      </c>
    </row>
    <row r="47" spans="1:15" ht="15.75" customHeight="1">
      <c r="A47" s="70" t="s">
        <v>161</v>
      </c>
      <c r="B47" s="5">
        <v>7.89</v>
      </c>
      <c r="C47" s="5">
        <v>1</v>
      </c>
      <c r="D47" s="5">
        <v>0</v>
      </c>
      <c r="E47" s="5" t="s">
        <v>22</v>
      </c>
      <c r="F47" s="34">
        <f>B47*C47+D47</f>
        <v>7.89</v>
      </c>
      <c r="G47" s="18"/>
      <c r="H47" s="18" t="s">
        <v>162</v>
      </c>
      <c r="I47">
        <v>1</v>
      </c>
    </row>
    <row r="48" spans="1:15" ht="15.75" customHeight="1">
      <c r="A48" s="72" t="s">
        <v>163</v>
      </c>
      <c r="B48" s="5">
        <v>39.99</v>
      </c>
      <c r="C48" s="5">
        <v>1</v>
      </c>
      <c r="D48" s="5">
        <v>0</v>
      </c>
      <c r="E48" s="5" t="s">
        <v>165</v>
      </c>
      <c r="F48" s="34">
        <f>B48*C48+D48</f>
        <v>39.99</v>
      </c>
      <c r="G48" s="18"/>
      <c r="H48" s="18"/>
      <c r="I48">
        <v>0</v>
      </c>
      <c r="K48" t="s">
        <v>164</v>
      </c>
    </row>
    <row r="49" spans="1:8" ht="15.75" customHeight="1">
      <c r="A49" s="71" t="s">
        <v>166</v>
      </c>
      <c r="B49" s="5">
        <v>14</v>
      </c>
      <c r="C49" s="5">
        <v>1</v>
      </c>
      <c r="D49" s="5">
        <v>0</v>
      </c>
      <c r="E49" s="5" t="s">
        <v>165</v>
      </c>
      <c r="F49" s="34">
        <f>B49*C49+D49</f>
        <v>14</v>
      </c>
      <c r="G49" s="18"/>
      <c r="H49" s="18" t="s">
        <v>167</v>
      </c>
    </row>
    <row r="50" spans="1:8" ht="15.75" customHeight="1">
      <c r="A50" s="17"/>
      <c r="B50" s="18"/>
      <c r="C50" s="18"/>
      <c r="D50" s="18"/>
      <c r="E50" s="18"/>
      <c r="F50" s="29"/>
      <c r="G50" s="18"/>
      <c r="H50" s="18"/>
    </row>
    <row r="51" spans="1:8" ht="15.75" customHeight="1">
      <c r="A51" s="19" t="s">
        <v>94</v>
      </c>
      <c r="B51" s="30">
        <f>SUM(B3:B46)</f>
        <v>811.46000000000015</v>
      </c>
      <c r="C51" s="3">
        <f>SUM(C3:C49)</f>
        <v>131</v>
      </c>
      <c r="D51" s="20">
        <f>SUM(D3:D49)</f>
        <v>160.34</v>
      </c>
      <c r="E51" s="3"/>
      <c r="F51" s="30">
        <f>SUM(F3:F49)-F38-F10-F44</f>
        <v>1691.9499999999989</v>
      </c>
      <c r="G51" s="20">
        <f>SUM(G3:G45)</f>
        <v>41</v>
      </c>
      <c r="H51" s="3"/>
    </row>
    <row r="53" spans="1:8" ht="15.75" customHeight="1">
      <c r="A53" s="1" t="s">
        <v>89</v>
      </c>
      <c r="B53" s="30">
        <f>F51+Hardware!G28</f>
        <v>4359.5699999999979</v>
      </c>
      <c r="C53">
        <v>4318.62</v>
      </c>
    </row>
    <row r="54" spans="1:8" ht="15.75" customHeight="1">
      <c r="A54" s="13" t="s">
        <v>96</v>
      </c>
      <c r="B54" s="31">
        <v>5000</v>
      </c>
    </row>
    <row r="55" spans="1:8" ht="15.75" customHeight="1">
      <c r="A55" s="13" t="s">
        <v>95</v>
      </c>
      <c r="B55" s="25">
        <f>(B54-B53) / B54</f>
        <v>0.12808600000000042</v>
      </c>
      <c r="C55" s="55">
        <f>B54-B53</f>
        <v>640.43000000000211</v>
      </c>
    </row>
    <row r="56" spans="1:8" ht="15.75" customHeight="1">
      <c r="A56" s="46" t="s">
        <v>114</v>
      </c>
      <c r="D56" s="36"/>
      <c r="H56" s="35">
        <f>SUM(F18:F45)-F38</f>
        <v>1078.1000000000001</v>
      </c>
    </row>
    <row r="57" spans="1:8" ht="15.75" customHeight="1">
      <c r="A57" s="45" t="s">
        <v>119</v>
      </c>
    </row>
    <row r="58" spans="1:8" ht="15.75" customHeight="1">
      <c r="A58" s="48" t="s">
        <v>120</v>
      </c>
      <c r="F58" s="36">
        <f>SUM(F32,F33)</f>
        <v>207.6</v>
      </c>
    </row>
    <row r="60" spans="1:8" ht="15.75" customHeight="1">
      <c r="B60" s="6" t="s">
        <v>91</v>
      </c>
      <c r="D60">
        <f>8.81+38.99</f>
        <v>47.800000000000004</v>
      </c>
    </row>
    <row r="63" spans="1:8" ht="15.75" customHeight="1">
      <c r="C63">
        <f>6.46*2</f>
        <v>12.92</v>
      </c>
    </row>
  </sheetData>
  <hyperlinks>
    <hyperlink ref="J9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22" zoomScale="75" zoomScaleNormal="113" zoomScalePageLayoutView="113" workbookViewId="0">
      <selection activeCell="I42" sqref="I42"/>
    </sheetView>
  </sheetViews>
  <sheetFormatPr baseColWidth="10" defaultRowHeight="12" x14ac:dyDescent="0"/>
  <cols>
    <col min="1" max="1" width="19.33203125" customWidth="1"/>
    <col min="8" max="8" width="12.5" customWidth="1"/>
    <col min="11" max="11" width="13" customWidth="1"/>
  </cols>
  <sheetData>
    <row r="1" spans="1:12">
      <c r="A1" s="1"/>
      <c r="B1" s="21"/>
    </row>
    <row r="2" spans="1:12">
      <c r="A2" s="1" t="s">
        <v>9</v>
      </c>
      <c r="B2" s="21">
        <v>259.55</v>
      </c>
      <c r="D2" s="6" t="s">
        <v>32</v>
      </c>
      <c r="E2" s="8">
        <v>1342</v>
      </c>
      <c r="H2" s="1" t="s">
        <v>115</v>
      </c>
      <c r="I2" s="29">
        <v>716.42</v>
      </c>
      <c r="K2" s="12" t="s">
        <v>118</v>
      </c>
      <c r="L2" s="36">
        <f>SUM(I2,I3,I4,I5,I6,I7,I8,I11)</f>
        <v>3072.1000000000004</v>
      </c>
    </row>
    <row r="3" spans="1:12">
      <c r="A3" s="13" t="s">
        <v>56</v>
      </c>
      <c r="B3" s="22">
        <v>396.95</v>
      </c>
      <c r="D3" s="11" t="s">
        <v>35</v>
      </c>
      <c r="E3" s="8">
        <v>719</v>
      </c>
      <c r="H3" s="24" t="s">
        <v>116</v>
      </c>
      <c r="I3" s="29">
        <v>719</v>
      </c>
      <c r="K3" s="12" t="s">
        <v>120</v>
      </c>
      <c r="L3" s="36">
        <f>I9+I10</f>
        <v>889.93999999999994</v>
      </c>
    </row>
    <row r="4" spans="1:12" ht="24">
      <c r="A4" s="1" t="s">
        <v>67</v>
      </c>
      <c r="B4" s="22">
        <v>204.95</v>
      </c>
      <c r="D4" s="12" t="s">
        <v>46</v>
      </c>
      <c r="E4" s="8">
        <v>553</v>
      </c>
      <c r="H4" s="26" t="s">
        <v>117</v>
      </c>
      <c r="I4" s="29">
        <v>509.05</v>
      </c>
      <c r="K4" s="12" t="s">
        <v>113</v>
      </c>
      <c r="L4" s="36">
        <v>746.35</v>
      </c>
    </row>
    <row r="5" spans="1:12">
      <c r="A5" s="1" t="s">
        <v>8</v>
      </c>
      <c r="B5" s="22">
        <v>447.22</v>
      </c>
      <c r="H5" s="1" t="s">
        <v>9</v>
      </c>
      <c r="I5" s="29">
        <v>175.38</v>
      </c>
    </row>
    <row r="6" spans="1:12">
      <c r="A6" s="1" t="s">
        <v>31</v>
      </c>
      <c r="B6" s="22">
        <v>841.93999999999994</v>
      </c>
      <c r="D6" s="13" t="s">
        <v>25</v>
      </c>
      <c r="E6" s="8">
        <v>1342</v>
      </c>
      <c r="H6" s="13" t="s">
        <v>56</v>
      </c>
      <c r="I6" s="29">
        <v>436.71</v>
      </c>
    </row>
    <row r="7" spans="1:12">
      <c r="A7" s="1" t="s">
        <v>92</v>
      </c>
      <c r="B7" s="22">
        <v>232.13000000000002</v>
      </c>
      <c r="E7" s="8">
        <v>719</v>
      </c>
      <c r="H7" s="1" t="s">
        <v>67</v>
      </c>
      <c r="I7" s="29">
        <v>123.44</v>
      </c>
    </row>
    <row r="8" spans="1:12">
      <c r="A8" s="1" t="s">
        <v>32</v>
      </c>
      <c r="B8" s="21">
        <v>1342</v>
      </c>
      <c r="E8" s="8">
        <v>553</v>
      </c>
      <c r="H8" s="1" t="s">
        <v>8</v>
      </c>
      <c r="I8" s="29">
        <v>341.8</v>
      </c>
    </row>
    <row r="9" spans="1:12">
      <c r="A9" s="24" t="s">
        <v>35</v>
      </c>
      <c r="B9" s="21">
        <v>719</v>
      </c>
      <c r="H9" s="1" t="s">
        <v>31</v>
      </c>
      <c r="I9" s="29">
        <v>841.93999999999994</v>
      </c>
    </row>
    <row r="10" spans="1:12">
      <c r="A10" s="13" t="s">
        <v>46</v>
      </c>
      <c r="B10" s="21">
        <v>553</v>
      </c>
      <c r="H10" s="1" t="s">
        <v>92</v>
      </c>
      <c r="I10" s="29">
        <v>48</v>
      </c>
      <c r="K10" s="36">
        <f>SUM(I2:I12)</f>
        <v>4602.470000000003</v>
      </c>
    </row>
    <row r="11" spans="1:12">
      <c r="A11" s="1" t="s">
        <v>9</v>
      </c>
      <c r="B11" s="21">
        <v>259.55</v>
      </c>
      <c r="H11" s="13" t="s">
        <v>97</v>
      </c>
      <c r="I11" s="29">
        <v>50.3</v>
      </c>
    </row>
    <row r="12" spans="1:12">
      <c r="A12" s="13" t="s">
        <v>56</v>
      </c>
      <c r="B12" s="22">
        <v>396.95</v>
      </c>
      <c r="H12" s="1" t="s">
        <v>121</v>
      </c>
      <c r="I12" s="36">
        <f>Testing!C55</f>
        <v>640.43000000000211</v>
      </c>
    </row>
    <row r="13" spans="1:12">
      <c r="A13" s="1" t="s">
        <v>67</v>
      </c>
      <c r="B13" s="22">
        <v>204.95</v>
      </c>
    </row>
    <row r="14" spans="1:12">
      <c r="A14" s="1" t="s">
        <v>8</v>
      </c>
      <c r="B14" s="22">
        <v>447.22</v>
      </c>
    </row>
    <row r="15" spans="1:12">
      <c r="A15" s="1" t="s">
        <v>31</v>
      </c>
      <c r="B15" s="22">
        <v>841.93999999999994</v>
      </c>
    </row>
    <row r="16" spans="1:12">
      <c r="A16" s="1" t="s">
        <v>92</v>
      </c>
      <c r="B16" s="22">
        <v>232.13000000000002</v>
      </c>
      <c r="C16" s="23">
        <v>1342</v>
      </c>
      <c r="D16" s="23">
        <v>719</v>
      </c>
      <c r="E16" s="23">
        <v>553</v>
      </c>
    </row>
    <row r="17" spans="1:6">
      <c r="B17" s="1" t="s">
        <v>9</v>
      </c>
      <c r="C17" s="21">
        <v>259.55</v>
      </c>
    </row>
    <row r="18" spans="1:6">
      <c r="B18" s="13" t="s">
        <v>56</v>
      </c>
      <c r="C18" s="22">
        <v>396.95</v>
      </c>
      <c r="E18" t="s">
        <v>148</v>
      </c>
      <c r="F18">
        <f>B26</f>
        <v>2310.2499999999995</v>
      </c>
    </row>
    <row r="19" spans="1:6">
      <c r="B19" s="1" t="s">
        <v>67</v>
      </c>
      <c r="C19" s="22">
        <v>204.95</v>
      </c>
      <c r="E19" t="s">
        <v>184</v>
      </c>
      <c r="F19">
        <f>B27</f>
        <v>357.37000000000006</v>
      </c>
    </row>
    <row r="20" spans="1:6">
      <c r="B20" s="1" t="s">
        <v>8</v>
      </c>
      <c r="C20" s="22">
        <v>447.22</v>
      </c>
      <c r="E20" t="s">
        <v>8</v>
      </c>
      <c r="F20" s="36">
        <f>B28</f>
        <v>375.4</v>
      </c>
    </row>
    <row r="21" spans="1:6">
      <c r="B21" s="1" t="s">
        <v>31</v>
      </c>
      <c r="C21" s="22">
        <v>841.93999999999994</v>
      </c>
      <c r="E21" t="s">
        <v>31</v>
      </c>
      <c r="F21" s="36">
        <f>B29</f>
        <v>1108.67</v>
      </c>
    </row>
    <row r="22" spans="1:6">
      <c r="B22" s="1" t="s">
        <v>92</v>
      </c>
      <c r="C22" s="22">
        <v>232.13000000000002</v>
      </c>
      <c r="E22" t="s">
        <v>153</v>
      </c>
      <c r="F22" s="36">
        <f>C31</f>
        <v>136.35000000000002</v>
      </c>
    </row>
    <row r="23" spans="1:6">
      <c r="E23" t="s">
        <v>185</v>
      </c>
      <c r="F23">
        <v>4996.45</v>
      </c>
    </row>
    <row r="24" spans="1:6">
      <c r="E24" t="s">
        <v>186</v>
      </c>
      <c r="F24">
        <v>4103.96</v>
      </c>
    </row>
    <row r="25" spans="1:6">
      <c r="E25" t="s">
        <v>187</v>
      </c>
      <c r="F25">
        <v>4357.1499999999996</v>
      </c>
    </row>
    <row r="26" spans="1:6">
      <c r="A26" s="13" t="s">
        <v>148</v>
      </c>
      <c r="B26" s="13">
        <f>Hardware!B27</f>
        <v>2310.2499999999995</v>
      </c>
      <c r="C26" s="36">
        <f>SUM(B26,B27,B28,B29)</f>
        <v>4151.6899999999996</v>
      </c>
    </row>
    <row r="27" spans="1:6">
      <c r="A27" s="13" t="s">
        <v>150</v>
      </c>
      <c r="B27" s="13">
        <f>Hardware!B28</f>
        <v>357.37000000000006</v>
      </c>
      <c r="C27" s="36">
        <f>C26+B30</f>
        <v>4223.2199999999993</v>
      </c>
    </row>
    <row r="28" spans="1:6">
      <c r="A28" s="13" t="s">
        <v>8</v>
      </c>
      <c r="B28" s="55">
        <f>Testing!F2</f>
        <v>375.4</v>
      </c>
      <c r="C28">
        <f>SUM(B26:B31)</f>
        <v>4297.6899999999996</v>
      </c>
    </row>
    <row r="29" spans="1:6">
      <c r="A29" s="13" t="s">
        <v>31</v>
      </c>
      <c r="B29" s="55">
        <f>Testing!F10</f>
        <v>1108.67</v>
      </c>
    </row>
    <row r="30" spans="1:6">
      <c r="A30" s="13" t="s">
        <v>92</v>
      </c>
      <c r="B30" s="55">
        <f>Testing!F38</f>
        <v>71.529999999999987</v>
      </c>
    </row>
    <row r="31" spans="1:6">
      <c r="A31" s="13" t="s">
        <v>159</v>
      </c>
      <c r="B31" s="55">
        <f>SUM(Testing!F45,Testing!F46)</f>
        <v>74.470000000000013</v>
      </c>
      <c r="C31" s="36">
        <f>SUM(B31,B32,B33)</f>
        <v>136.35000000000002</v>
      </c>
    </row>
    <row r="32" spans="1:6">
      <c r="A32" s="13" t="s">
        <v>168</v>
      </c>
      <c r="B32" s="36">
        <f>SUM(Testing!F47,Testing!F49)</f>
        <v>21.89</v>
      </c>
    </row>
    <row r="33" spans="1:3">
      <c r="A33" s="13" t="s">
        <v>169</v>
      </c>
      <c r="B33" s="55">
        <f>Testing!F48</f>
        <v>39.99</v>
      </c>
    </row>
    <row r="34" spans="1:3">
      <c r="A34" s="13" t="s">
        <v>121</v>
      </c>
      <c r="B34" s="55">
        <f>Testing!C55</f>
        <v>640.43000000000211</v>
      </c>
    </row>
    <row r="35" spans="1:3">
      <c r="A35" s="13"/>
      <c r="B35" s="36"/>
    </row>
    <row r="37" spans="1:3">
      <c r="A37" s="13" t="s">
        <v>160</v>
      </c>
      <c r="B37" s="36">
        <f>SUM(B26:B35)</f>
        <v>5000.0000000000018</v>
      </c>
    </row>
    <row r="42" spans="1:3">
      <c r="A42" s="12" t="s">
        <v>174</v>
      </c>
      <c r="B42">
        <v>398.32</v>
      </c>
      <c r="C42">
        <f>B42/2</f>
        <v>199.16</v>
      </c>
    </row>
    <row r="43" spans="1:3">
      <c r="A43" s="12"/>
      <c r="B43">
        <f>B42-250</f>
        <v>148.32</v>
      </c>
    </row>
    <row r="44" spans="1:3">
      <c r="A44" s="12"/>
    </row>
    <row r="45" spans="1:3">
      <c r="A45" s="12"/>
    </row>
    <row r="46" spans="1:3">
      <c r="A46" s="12"/>
    </row>
    <row r="47" spans="1:3">
      <c r="A47" s="12"/>
    </row>
    <row r="48" spans="1:3">
      <c r="A48" s="12"/>
      <c r="B48" s="12" t="s">
        <v>176</v>
      </c>
      <c r="C48" s="12" t="s">
        <v>177</v>
      </c>
    </row>
    <row r="49" spans="1:15" ht="17">
      <c r="A49" t="s">
        <v>170</v>
      </c>
      <c r="B49" s="73">
        <f>2223.87+C42</f>
        <v>2423.0299999999997</v>
      </c>
      <c r="C49">
        <v>4996.45</v>
      </c>
    </row>
    <row r="50" spans="1:15">
      <c r="A50" t="s">
        <v>171</v>
      </c>
      <c r="B50" s="36">
        <f>B49+1617.47+C42</f>
        <v>4239.66</v>
      </c>
      <c r="C50">
        <v>4996.45</v>
      </c>
    </row>
    <row r="51" spans="1:15">
      <c r="A51" t="s">
        <v>172</v>
      </c>
      <c r="B51" s="36">
        <f>B50+117.5</f>
        <v>4357.16</v>
      </c>
      <c r="C51">
        <v>4996.45</v>
      </c>
    </row>
    <row r="52" spans="1:15">
      <c r="A52" t="s">
        <v>173</v>
      </c>
      <c r="B52" s="36">
        <f>B51+0</f>
        <v>4357.16</v>
      </c>
      <c r="C52">
        <v>4996.45</v>
      </c>
    </row>
    <row r="54" spans="1:15">
      <c r="A54" s="12" t="s">
        <v>175</v>
      </c>
      <c r="B54">
        <v>4996.45</v>
      </c>
    </row>
    <row r="56" spans="1:15">
      <c r="B56" s="12" t="s">
        <v>177</v>
      </c>
      <c r="C56" s="12" t="s">
        <v>176</v>
      </c>
    </row>
    <row r="57" spans="1:15" ht="17">
      <c r="A57" s="12" t="s">
        <v>178</v>
      </c>
      <c r="B57">
        <v>4996.45</v>
      </c>
      <c r="C57" s="73">
        <f>B49/2</f>
        <v>1211.5149999999999</v>
      </c>
      <c r="D57" s="36">
        <f>C57+C58</f>
        <v>2423.0299999999997</v>
      </c>
    </row>
    <row r="58" spans="1:15" ht="17">
      <c r="A58" s="12" t="s">
        <v>179</v>
      </c>
      <c r="B58">
        <v>4199.66</v>
      </c>
      <c r="C58" s="73">
        <f>B49/2</f>
        <v>1211.5149999999999</v>
      </c>
    </row>
    <row r="59" spans="1:15">
      <c r="A59" t="s">
        <v>171</v>
      </c>
      <c r="B59">
        <v>4199.66</v>
      </c>
      <c r="C59" s="36">
        <f>C57+C58+1617.47+C42</f>
        <v>4239.66</v>
      </c>
    </row>
    <row r="60" spans="1:15">
      <c r="A60" t="s">
        <v>172</v>
      </c>
      <c r="B60" s="36">
        <f>C59</f>
        <v>4239.66</v>
      </c>
      <c r="C60" s="36">
        <f>C59+117.5</f>
        <v>4357.16</v>
      </c>
      <c r="D60" s="36"/>
      <c r="N60" s="54"/>
      <c r="O60" s="49"/>
    </row>
    <row r="61" spans="1:15">
      <c r="A61" t="s">
        <v>173</v>
      </c>
      <c r="B61" s="36">
        <f>C61</f>
        <v>4357.16</v>
      </c>
      <c r="C61" s="36">
        <f>C60+0</f>
        <v>4357.16</v>
      </c>
      <c r="N61" s="54"/>
      <c r="O61" s="49"/>
    </row>
    <row r="62" spans="1:15">
      <c r="B62" s="12" t="s">
        <v>25</v>
      </c>
      <c r="C62" s="12" t="s">
        <v>181</v>
      </c>
      <c r="D62" s="12" t="s">
        <v>180</v>
      </c>
    </row>
    <row r="63" spans="1:15">
      <c r="B63" s="12" t="s">
        <v>148</v>
      </c>
      <c r="C63" s="12" t="s">
        <v>150</v>
      </c>
      <c r="D63" s="12" t="s">
        <v>31</v>
      </c>
      <c r="E63" s="12" t="s">
        <v>92</v>
      </c>
      <c r="F63" s="12" t="s">
        <v>160</v>
      </c>
    </row>
    <row r="64" spans="1:15">
      <c r="A64" s="12" t="s">
        <v>170</v>
      </c>
      <c r="B64">
        <v>2614</v>
      </c>
      <c r="C64">
        <f>197+105+259.55</f>
        <v>561.54999999999995</v>
      </c>
      <c r="D64">
        <f>842+100+200+447</f>
        <v>1589</v>
      </c>
      <c r="E64">
        <v>232</v>
      </c>
      <c r="F64">
        <f>SUM(B64:E64)</f>
        <v>4996.55</v>
      </c>
    </row>
    <row r="65" spans="1:6">
      <c r="A65" s="12" t="s">
        <v>171</v>
      </c>
      <c r="B65">
        <v>2309.46</v>
      </c>
      <c r="C65">
        <v>436.71</v>
      </c>
      <c r="D65">
        <f>938.18+375.4</f>
        <v>1313.58</v>
      </c>
      <c r="E65">
        <v>48</v>
      </c>
      <c r="F65">
        <f>SUM(B65:E65)</f>
        <v>4107.75</v>
      </c>
    </row>
    <row r="66" spans="1:6">
      <c r="A66" s="12" t="s">
        <v>172</v>
      </c>
      <c r="B66">
        <v>2309.46</v>
      </c>
      <c r="C66">
        <f>357.37+74.47+21.89</f>
        <v>453.73</v>
      </c>
      <c r="D66">
        <f>989.55+375.4+39.99</f>
        <v>1404.9399999999998</v>
      </c>
      <c r="E66">
        <v>71.53</v>
      </c>
      <c r="F66">
        <f>SUM(B66:E66)</f>
        <v>4239.66</v>
      </c>
    </row>
    <row r="67" spans="1:6">
      <c r="A67" s="12" t="s">
        <v>173</v>
      </c>
      <c r="B67">
        <v>2309.46</v>
      </c>
      <c r="C67">
        <f>C66</f>
        <v>453.73</v>
      </c>
      <c r="D67">
        <f>D66+117.5</f>
        <v>1522.4399999999998</v>
      </c>
      <c r="E67">
        <f>E66</f>
        <v>71.53</v>
      </c>
      <c r="F67">
        <f>SUM(B67:E67)</f>
        <v>4357.16</v>
      </c>
    </row>
    <row r="70" spans="1:6">
      <c r="B70" s="12" t="s">
        <v>148</v>
      </c>
      <c r="C70" s="12" t="s">
        <v>150</v>
      </c>
      <c r="D70" s="12" t="s">
        <v>31</v>
      </c>
      <c r="E70" s="12" t="s">
        <v>92</v>
      </c>
    </row>
    <row r="71" spans="1:6">
      <c r="A71" s="12" t="s">
        <v>170</v>
      </c>
      <c r="B71">
        <v>2614</v>
      </c>
      <c r="C71">
        <f>842+100+200+447</f>
        <v>1589</v>
      </c>
      <c r="D71">
        <f>197+105+259.55</f>
        <v>561.54999999999995</v>
      </c>
      <c r="E71">
        <v>232</v>
      </c>
    </row>
    <row r="72" spans="1:6">
      <c r="A72" s="12" t="s">
        <v>171</v>
      </c>
      <c r="B72">
        <v>2309.46</v>
      </c>
      <c r="C72">
        <f>938.18+375.4</f>
        <v>1313.58</v>
      </c>
      <c r="D72">
        <v>436.71</v>
      </c>
      <c r="E72">
        <v>48</v>
      </c>
    </row>
    <row r="73" spans="1:6">
      <c r="A73" s="12" t="s">
        <v>172</v>
      </c>
      <c r="B73">
        <v>2309.46</v>
      </c>
      <c r="C73">
        <f>989.55+375.4+39.99</f>
        <v>1404.9399999999998</v>
      </c>
      <c r="D73">
        <f>357.37+74.47+21.89</f>
        <v>453.73</v>
      </c>
      <c r="E73">
        <v>71.53</v>
      </c>
    </row>
    <row r="74" spans="1:6">
      <c r="A74" s="12" t="s">
        <v>173</v>
      </c>
      <c r="B74">
        <v>2309.46</v>
      </c>
      <c r="C74">
        <f>C73+117.5</f>
        <v>1522.4399999999998</v>
      </c>
      <c r="D74">
        <f>D73</f>
        <v>453.73</v>
      </c>
      <c r="E74">
        <f>E73</f>
        <v>71.53</v>
      </c>
    </row>
    <row r="76" spans="1:6">
      <c r="B76" s="12" t="s">
        <v>170</v>
      </c>
      <c r="C76" s="12" t="s">
        <v>171</v>
      </c>
      <c r="D76" s="12" t="s">
        <v>172</v>
      </c>
      <c r="E76" s="12" t="s">
        <v>173</v>
      </c>
    </row>
    <row r="77" spans="1:6">
      <c r="A77" t="s">
        <v>182</v>
      </c>
      <c r="B77" s="12">
        <v>5000</v>
      </c>
      <c r="C77" s="12">
        <v>5000</v>
      </c>
      <c r="D77" s="12">
        <v>5000</v>
      </c>
      <c r="E77" s="12">
        <v>5000</v>
      </c>
    </row>
    <row r="78" spans="1:6">
      <c r="A78" s="12"/>
    </row>
    <row r="79" spans="1:6">
      <c r="A79" s="12" t="s">
        <v>148</v>
      </c>
      <c r="B79">
        <f>B71+B80</f>
        <v>4996.55</v>
      </c>
      <c r="C79">
        <f>B72+C80</f>
        <v>4107.75</v>
      </c>
      <c r="D79">
        <f>B73+D80</f>
        <v>4239.66</v>
      </c>
      <c r="E79">
        <f>B74+E80</f>
        <v>4357.16</v>
      </c>
    </row>
    <row r="80" spans="1:6">
      <c r="A80" s="12" t="s">
        <v>150</v>
      </c>
      <c r="B80">
        <f>C71+B81</f>
        <v>2382.5500000000002</v>
      </c>
      <c r="C80">
        <f>C72+C81</f>
        <v>1798.29</v>
      </c>
      <c r="D80">
        <f>C73+D81</f>
        <v>1930.1999999999998</v>
      </c>
      <c r="E80">
        <f>C74+E81</f>
        <v>2047.6999999999998</v>
      </c>
    </row>
    <row r="81" spans="1:5">
      <c r="A81" s="12" t="s">
        <v>31</v>
      </c>
      <c r="B81">
        <f>D71+B82</f>
        <v>793.55</v>
      </c>
      <c r="C81">
        <f>D72+C82</f>
        <v>484.71</v>
      </c>
      <c r="D81">
        <f>D74+D82</f>
        <v>525.26</v>
      </c>
      <c r="E81">
        <f>D74+E82</f>
        <v>525.26</v>
      </c>
    </row>
    <row r="82" spans="1:5">
      <c r="A82" s="12" t="s">
        <v>92</v>
      </c>
      <c r="B82">
        <f>E71</f>
        <v>232</v>
      </c>
      <c r="C82">
        <f>E72</f>
        <v>48</v>
      </c>
      <c r="D82">
        <f>E73</f>
        <v>71.53</v>
      </c>
      <c r="E82">
        <f>E74</f>
        <v>71.53</v>
      </c>
    </row>
    <row r="83" spans="1:5">
      <c r="A83" s="12" t="s">
        <v>183</v>
      </c>
      <c r="B83">
        <f>250+2223.87</f>
        <v>2473.87</v>
      </c>
      <c r="C83">
        <f>B83+1617.47</f>
        <v>4091.34</v>
      </c>
      <c r="D83">
        <f>C83+148.32</f>
        <v>4239.66</v>
      </c>
      <c r="E83">
        <f>D83+117.5</f>
        <v>4357.16</v>
      </c>
    </row>
    <row r="87" spans="1:5">
      <c r="C87">
        <f>D79-C79</f>
        <v>131.90999999999985</v>
      </c>
      <c r="D87">
        <f>E79-D79</f>
        <v>117.5</v>
      </c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Testing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Markle</cp:lastModifiedBy>
  <dcterms:created xsi:type="dcterms:W3CDTF">2018-05-06T12:50:34Z</dcterms:created>
  <dcterms:modified xsi:type="dcterms:W3CDTF">2018-05-06T12:50:34Z</dcterms:modified>
</cp:coreProperties>
</file>