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CKERS" sheetId="1" r:id="rId4"/>
    <sheet state="visible" name="AAPL" sheetId="2" r:id="rId5"/>
    <sheet state="visible" name="AMZN" sheetId="3" r:id="rId6"/>
    <sheet state="visible" name="BABA" sheetId="4" r:id="rId7"/>
    <sheet state="visible" name="BRK.B" sheetId="5" r:id="rId8"/>
    <sheet state="visible" name="GOOG" sheetId="6" r:id="rId9"/>
    <sheet state="visible" name="JPM" sheetId="7" r:id="rId10"/>
    <sheet state="visible" name="META" sheetId="8" r:id="rId11"/>
    <sheet state="visible" name="MSFT" sheetId="9" r:id="rId12"/>
    <sheet state="visible" name="NFLX" sheetId="10" r:id="rId13"/>
    <sheet state="visible" name="NVDA" sheetId="11" r:id="rId14"/>
    <sheet state="visible" name="SNOW" sheetId="12" r:id="rId15"/>
    <sheet state="visible" name="TSLA" sheetId="13" r:id="rId16"/>
    <sheet state="visible" name="UNH" sheetId="14" r:id="rId17"/>
    <sheet state="visible" name="V" sheetId="15" r:id="rId18"/>
  </sheets>
  <definedNames/>
  <calcPr/>
</workbook>
</file>

<file path=xl/sharedStrings.xml><?xml version="1.0" encoding="utf-8"?>
<sst xmlns="http://schemas.openxmlformats.org/spreadsheetml/2006/main" count="28" uniqueCount="28">
  <si>
    <t>Ticker Symbol</t>
  </si>
  <si>
    <t>Symbol Name</t>
  </si>
  <si>
    <t>Last Trade Time</t>
  </si>
  <si>
    <t>Last Price</t>
  </si>
  <si>
    <t>Previous Close</t>
  </si>
  <si>
    <t>Open</t>
  </si>
  <si>
    <t>Volume</t>
  </si>
  <si>
    <t>Average Volume</t>
  </si>
  <si>
    <t>Day High</t>
  </si>
  <si>
    <t>Day Low</t>
  </si>
  <si>
    <t xml:space="preserve">P/E Ratio </t>
  </si>
  <si>
    <t xml:space="preserve">EPS </t>
  </si>
  <si>
    <t>Market Cap</t>
  </si>
  <si>
    <t>Change</t>
  </si>
  <si>
    <t>AAPL</t>
  </si>
  <si>
    <t>AMZN</t>
  </si>
  <si>
    <t>BABA</t>
  </si>
  <si>
    <t>BRK.B</t>
  </si>
  <si>
    <t>GOOG</t>
  </si>
  <si>
    <t>JPM</t>
  </si>
  <si>
    <t>META</t>
  </si>
  <si>
    <t>MSFT</t>
  </si>
  <si>
    <t>NFLX</t>
  </si>
  <si>
    <t>NVDA</t>
  </si>
  <si>
    <t>SNOW</t>
  </si>
  <si>
    <t>TSLA</t>
  </si>
  <si>
    <t>UNH</t>
  </si>
  <si>
    <t>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</si>
</sst>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14</v>
      </c>
      <c r="B2" s="2" t="str">
        <f>IFERROR(__xludf.DUMMYFUNCTION("GOOGLEFINANCE(A2, ""name"")"),"Apple Inc")</f>
        <v>Apple Inc</v>
      </c>
      <c r="C2" s="3">
        <f>IFERROR(__xludf.DUMMYFUNCTION("GOOGLEFINANCE(A2, ""tradetime"")"),45455.52641203704)</f>
        <v>45455.52641</v>
      </c>
      <c r="D2" s="2">
        <f>IFERROR(__xludf.DUMMYFUNCTION("GOOGLEFINANCE(A2, ""price"")"),215.0)</f>
        <v>215</v>
      </c>
      <c r="E2" s="2">
        <f>IFERROR(__xludf.DUMMYFUNCTION("GOOGLEFINANCE(A2, ""closeyest"")"),207.15)</f>
        <v>207.15</v>
      </c>
      <c r="F2" s="2">
        <f>IFERROR(__xludf.DUMMYFUNCTION("GOOGLEFINANCE(A2, ""priceopen"")"),207.37)</f>
        <v>207.37</v>
      </c>
      <c r="G2" s="2">
        <f>IFERROR(__xludf.DUMMYFUNCTION("GOOGLEFINANCE(A2, ""volume"")"),1.00049407E8)</f>
        <v>100049407</v>
      </c>
      <c r="H2" s="2">
        <f>IFERROR(__xludf.DUMMYFUNCTION("GOOGLEFINANCE(A2, ""volumeavg"")"),6.3937824E7)</f>
        <v>63937824</v>
      </c>
      <c r="I2" s="2">
        <f>IFERROR(__xludf.DUMMYFUNCTION("GOOGLEFINANCE(A2, ""high"")"),218.12)</f>
        <v>218.12</v>
      </c>
      <c r="J2" s="2">
        <f>IFERROR(__xludf.DUMMYFUNCTION("GOOGLEFINANCE(A2, ""low"")"),206.9)</f>
        <v>206.9</v>
      </c>
      <c r="K2" s="2">
        <f>IFERROR(__xludf.DUMMYFUNCTION("GOOGLEFINANCE(A2, ""pe"")"),33.62)</f>
        <v>33.62</v>
      </c>
      <c r="L2" s="2">
        <f>IFERROR(__xludf.DUMMYFUNCTION("GOOGLEFINANCE(A2, ""eps"")"),6.43)</f>
        <v>6.43</v>
      </c>
      <c r="M2" s="2">
        <f>IFERROR(__xludf.DUMMYFUNCTION("GOOGLEFINANCE(A2, ""marketcap"")"),3.310781268955E12)</f>
        <v>3310781268955</v>
      </c>
      <c r="N2" s="2">
        <f>IFERROR(__xludf.DUMMYFUNCTION("GOOGLEFINANCE(A2, ""change"")"),7.85)</f>
        <v>7.85</v>
      </c>
    </row>
    <row r="3">
      <c r="A3" s="1" t="s">
        <v>15</v>
      </c>
      <c r="B3" s="2" t="str">
        <f>IFERROR(__xludf.DUMMYFUNCTION("GOOGLEFINANCE(A3, ""name"")"),"Amazon.com Inc")</f>
        <v>Amazon.com Inc</v>
      </c>
      <c r="C3" s="3">
        <f>IFERROR(__xludf.DUMMYFUNCTION("GOOGLEFINANCE(A3, ""tradetime"")"),45455.526342592595)</f>
        <v>45455.52634</v>
      </c>
      <c r="D3" s="2">
        <f>IFERROR(__xludf.DUMMYFUNCTION("GOOGLEFINANCE(A3, ""price"")"),186.84)</f>
        <v>186.84</v>
      </c>
      <c r="E3" s="2">
        <f>IFERROR(__xludf.DUMMYFUNCTION("GOOGLEFINANCE(A3, ""closeyest"")"),187.23)</f>
        <v>187.23</v>
      </c>
      <c r="F3" s="2">
        <f>IFERROR(__xludf.DUMMYFUNCTION("GOOGLEFINANCE(A3, ""priceopen"")"),188.02)</f>
        <v>188.02</v>
      </c>
      <c r="G3" s="2">
        <f>IFERROR(__xludf.DUMMYFUNCTION("GOOGLEFINANCE(A3, ""volume"")"),1.5486962E7)</f>
        <v>15486962</v>
      </c>
      <c r="H3" s="2">
        <f>IFERROR(__xludf.DUMMYFUNCTION("GOOGLEFINANCE(A3, ""volumeavg"")"),3.9941084E7)</f>
        <v>39941084</v>
      </c>
      <c r="I3" s="2">
        <f>IFERROR(__xludf.DUMMYFUNCTION("GOOGLEFINANCE(A3, ""high"")"),188.35)</f>
        <v>188.35</v>
      </c>
      <c r="J3" s="2">
        <f>IFERROR(__xludf.DUMMYFUNCTION("GOOGLEFINANCE(A3, ""low"")"),185.94)</f>
        <v>185.94</v>
      </c>
      <c r="K3" s="2">
        <f>IFERROR(__xludf.DUMMYFUNCTION("GOOGLEFINANCE(A3, ""pe"")"),52.51)</f>
        <v>52.51</v>
      </c>
      <c r="L3" s="2">
        <f>IFERROR(__xludf.DUMMYFUNCTION("GOOGLEFINANCE(A3, ""eps"")"),3.56)</f>
        <v>3.56</v>
      </c>
      <c r="M3" s="2">
        <f>IFERROR(__xludf.DUMMYFUNCTION("GOOGLEFINANCE(A3, ""marketcap"")"),1.946870488655E12)</f>
        <v>1946870488655</v>
      </c>
      <c r="N3" s="2">
        <f>IFERROR(__xludf.DUMMYFUNCTION("GOOGLEFINANCE(A3, ""change"")"),-0.39)</f>
        <v>-0.39</v>
      </c>
    </row>
    <row r="4">
      <c r="A4" s="1" t="s">
        <v>16</v>
      </c>
      <c r="B4" s="2" t="str">
        <f>IFERROR(__xludf.DUMMYFUNCTION("GOOGLEFINANCE(A4, ""name"")"),"Alibaba Group Holding Ltd - ADR")</f>
        <v>Alibaba Group Holding Ltd - ADR</v>
      </c>
      <c r="C4" s="3">
        <f>IFERROR(__xludf.DUMMYFUNCTION("GOOGLEFINANCE(A4, ""tradetime"")"),45455.526354166665)</f>
        <v>45455.52635</v>
      </c>
      <c r="D4" s="2">
        <f>IFERROR(__xludf.DUMMYFUNCTION("GOOGLEFINANCE(A4, ""price"")"),78.47)</f>
        <v>78.47</v>
      </c>
      <c r="E4" s="2">
        <f>IFERROR(__xludf.DUMMYFUNCTION("GOOGLEFINANCE(A4, ""closeyest"")"),77.9)</f>
        <v>77.9</v>
      </c>
      <c r="F4" s="2">
        <f>IFERROR(__xludf.DUMMYFUNCTION("GOOGLEFINANCE(A4, ""priceopen"")"),78.75)</f>
        <v>78.75</v>
      </c>
      <c r="G4" s="2">
        <f>IFERROR(__xludf.DUMMYFUNCTION("GOOGLEFINANCE(A4, ""volume"")"),6783847.0)</f>
        <v>6783847</v>
      </c>
      <c r="H4" s="2">
        <f>IFERROR(__xludf.DUMMYFUNCTION("GOOGLEFINANCE(A4, ""volumeavg"")"),1.9440685E7)</f>
        <v>19440685</v>
      </c>
      <c r="I4" s="2">
        <f>IFERROR(__xludf.DUMMYFUNCTION("GOOGLEFINANCE(A4, ""high"")"),78.75)</f>
        <v>78.75</v>
      </c>
      <c r="J4" s="2">
        <f>IFERROR(__xludf.DUMMYFUNCTION("GOOGLEFINANCE(A4, ""low"")"),77.64)</f>
        <v>77.64</v>
      </c>
      <c r="K4" s="2">
        <f>IFERROR(__xludf.DUMMYFUNCTION("GOOGLEFINANCE(A4, ""pe"")"),18.19)</f>
        <v>18.19</v>
      </c>
      <c r="L4" s="2">
        <f>IFERROR(__xludf.DUMMYFUNCTION("GOOGLEFINANCE(A4, ""eps"")"),4.32)</f>
        <v>4.32</v>
      </c>
      <c r="M4" s="2">
        <f>IFERROR(__xludf.DUMMYFUNCTION("GOOGLEFINANCE(A4, ""marketcap"")"),1.8946486941E11)</f>
        <v>189464869410</v>
      </c>
      <c r="N4" s="2">
        <f>IFERROR(__xludf.DUMMYFUNCTION("GOOGLEFINANCE(A4, ""change"")"),0.57)</f>
        <v>0.57</v>
      </c>
    </row>
    <row r="5">
      <c r="A5" s="1" t="s">
        <v>17</v>
      </c>
      <c r="B5" s="2" t="str">
        <f>IFERROR(__xludf.DUMMYFUNCTION("GOOGLEFINANCE(A5, ""name"")"),"Berkshire Hathaway Inc Class B")</f>
        <v>Berkshire Hathaway Inc Class B</v>
      </c>
      <c r="C5" s="3">
        <f>IFERROR(__xludf.DUMMYFUNCTION("GOOGLEFINANCE(A5, ""tradetime"")"),45455.52615740741)</f>
        <v>45455.52616</v>
      </c>
      <c r="D5" s="2">
        <f>IFERROR(__xludf.DUMMYFUNCTION("GOOGLEFINANCE(A5, ""price"")"),409.86)</f>
        <v>409.86</v>
      </c>
      <c r="E5" s="2">
        <f>IFERROR(__xludf.DUMMYFUNCTION("GOOGLEFINANCE(A5, ""closeyest"")"),408.5)</f>
        <v>408.5</v>
      </c>
      <c r="F5" s="2">
        <f>IFERROR(__xludf.DUMMYFUNCTION("GOOGLEFINANCE(A5, ""priceopen"")"),411.09)</f>
        <v>411.09</v>
      </c>
      <c r="G5" s="2">
        <f>IFERROR(__xludf.DUMMYFUNCTION("GOOGLEFINANCE(A5, ""volume"")"),1377808.0)</f>
        <v>1377808</v>
      </c>
      <c r="H5" s="2">
        <f>IFERROR(__xludf.DUMMYFUNCTION("GOOGLEFINANCE(A5, ""volumeavg"")"),3184518.0)</f>
        <v>3184518</v>
      </c>
      <c r="I5" s="2">
        <f>IFERROR(__xludf.DUMMYFUNCTION("GOOGLEFINANCE(A5, ""high"")"),411.89)</f>
        <v>411.89</v>
      </c>
      <c r="J5" s="2">
        <f>IFERROR(__xludf.DUMMYFUNCTION("GOOGLEFINANCE(A5, ""low"")"),407.16)</f>
        <v>407.16</v>
      </c>
      <c r="K5" s="2">
        <f>IFERROR(__xludf.DUMMYFUNCTION("GOOGLEFINANCE(A5, ""pe"")"),0.01)</f>
        <v>0.01</v>
      </c>
      <c r="L5" s="2">
        <f>IFERROR(__xludf.DUMMYFUNCTION("GOOGLEFINANCE(A5, ""eps"")"),50819.77)</f>
        <v>50819.77</v>
      </c>
      <c r="M5" s="2">
        <f>IFERROR(__xludf.DUMMYFUNCTION("GOOGLEFINANCE(A5, ""marketcap"")"),8.8374345228E11)</f>
        <v>883743452280</v>
      </c>
      <c r="N5" s="2">
        <f>IFERROR(__xludf.DUMMYFUNCTION("GOOGLEFINANCE(A5, ""change"")"),1.36)</f>
        <v>1.36</v>
      </c>
    </row>
    <row r="6">
      <c r="A6" s="1" t="s">
        <v>18</v>
      </c>
      <c r="B6" s="2" t="str">
        <f>IFERROR(__xludf.DUMMYFUNCTION("GOOGLEFINANCE(A6, ""name"")"),"Alphabet Inc Class C")</f>
        <v>Alphabet Inc Class C</v>
      </c>
      <c r="C6" s="3">
        <f>IFERROR(__xludf.DUMMYFUNCTION("GOOGLEFINANCE(A6, ""tradetime"")"),45455.5262037037)</f>
        <v>45455.5262</v>
      </c>
      <c r="D6" s="2">
        <f>IFERROR(__xludf.DUMMYFUNCTION("GOOGLEFINANCE(A6, ""price"")"),178.0)</f>
        <v>178</v>
      </c>
      <c r="E6" s="2">
        <f>IFERROR(__xludf.DUMMYFUNCTION("GOOGLEFINANCE(A6, ""closeyest"")"),178.19)</f>
        <v>178.19</v>
      </c>
      <c r="F6" s="2">
        <f>IFERROR(__xludf.DUMMYFUNCTION("GOOGLEFINANCE(A6, ""priceopen"")"),179.75)</f>
        <v>179.75</v>
      </c>
      <c r="G6" s="2">
        <f>IFERROR(__xludf.DUMMYFUNCTION("GOOGLEFINANCE(A6, ""volume"")"),8022150.0)</f>
        <v>8022150</v>
      </c>
      <c r="H6" s="2">
        <f>IFERROR(__xludf.DUMMYFUNCTION("GOOGLEFINANCE(A6, ""volumeavg"")"),1.7731711E7)</f>
        <v>17731711</v>
      </c>
      <c r="I6" s="2">
        <f>IFERROR(__xludf.DUMMYFUNCTION("GOOGLEFINANCE(A6, ""high"")"),182.08)</f>
        <v>182.08</v>
      </c>
      <c r="J6" s="2">
        <f>IFERROR(__xludf.DUMMYFUNCTION("GOOGLEFINANCE(A6, ""low"")"),177.78)</f>
        <v>177.78</v>
      </c>
      <c r="K6" s="2">
        <f>IFERROR(__xludf.DUMMYFUNCTION("GOOGLEFINANCE(A6, ""pe"")"),27.81)</f>
        <v>27.81</v>
      </c>
      <c r="L6" s="2">
        <f>IFERROR(__xludf.DUMMYFUNCTION("GOOGLEFINANCE(A6, ""eps"")"),6.41)</f>
        <v>6.41</v>
      </c>
      <c r="M6" s="2">
        <f>IFERROR(__xludf.DUMMYFUNCTION("GOOGLEFINANCE(A6, ""marketcap"")"),2.187766308478E12)</f>
        <v>2187766308478</v>
      </c>
      <c r="N6" s="2">
        <f>IFERROR(__xludf.DUMMYFUNCTION("GOOGLEFINANCE(A6, ""change"")"),-0.19)</f>
        <v>-0.19</v>
      </c>
    </row>
    <row r="7">
      <c r="A7" s="1" t="s">
        <v>19</v>
      </c>
      <c r="B7" s="2" t="str">
        <f>IFERROR(__xludf.DUMMYFUNCTION("GOOGLEFINANCE(A7, ""name"")"),"JPMorgan Chase &amp; Co")</f>
        <v>JPMorgan Chase &amp; Co</v>
      </c>
      <c r="C7" s="3">
        <f>IFERROR(__xludf.DUMMYFUNCTION("GOOGLEFINANCE(A7, ""tradetime"")"),45455.52631944444)</f>
        <v>45455.52632</v>
      </c>
      <c r="D7" s="2">
        <f>IFERROR(__xludf.DUMMYFUNCTION("GOOGLEFINANCE(A7, ""price"")"),193.06)</f>
        <v>193.06</v>
      </c>
      <c r="E7" s="2">
        <f>IFERROR(__xludf.DUMMYFUNCTION("GOOGLEFINANCE(A7, ""closeyest"")"),194.36)</f>
        <v>194.36</v>
      </c>
      <c r="F7" s="2">
        <f>IFERROR(__xludf.DUMMYFUNCTION("GOOGLEFINANCE(A7, ""priceopen"")"),196.0)</f>
        <v>196</v>
      </c>
      <c r="G7" s="2">
        <f>IFERROR(__xludf.DUMMYFUNCTION("GOOGLEFINANCE(A7, ""volume"")"),5610757.0)</f>
        <v>5610757</v>
      </c>
      <c r="H7" s="2">
        <f>IFERROR(__xludf.DUMMYFUNCTION("GOOGLEFINANCE(A7, ""volumeavg"")"),8520388.0)</f>
        <v>8520388</v>
      </c>
      <c r="I7" s="2">
        <f>IFERROR(__xludf.DUMMYFUNCTION("GOOGLEFINANCE(A7, ""high"")"),196.72)</f>
        <v>196.72</v>
      </c>
      <c r="J7" s="2">
        <f>IFERROR(__xludf.DUMMYFUNCTION("GOOGLEFINANCE(A7, ""low"")"),192.26)</f>
        <v>192.26</v>
      </c>
      <c r="K7" s="2">
        <f>IFERROR(__xludf.DUMMYFUNCTION("GOOGLEFINANCE(A7, ""pe"")"),11.66)</f>
        <v>11.66</v>
      </c>
      <c r="L7" s="2">
        <f>IFERROR(__xludf.DUMMYFUNCTION("GOOGLEFINANCE(A7, ""eps"")"),16.56)</f>
        <v>16.56</v>
      </c>
      <c r="M7" s="2">
        <f>IFERROR(__xludf.DUMMYFUNCTION("GOOGLEFINANCE(A7, ""marketcap"")"),5.54203223094E11)</f>
        <v>554203223094</v>
      </c>
      <c r="N7" s="2">
        <f>IFERROR(__xludf.DUMMYFUNCTION("GOOGLEFINANCE(A7, ""change"")"),-1.3)</f>
        <v>-1.3</v>
      </c>
    </row>
    <row r="8">
      <c r="A8" s="1" t="s">
        <v>20</v>
      </c>
      <c r="B8" s="2" t="str">
        <f>IFERROR(__xludf.DUMMYFUNCTION("GOOGLEFINANCE(A8, ""name"")"),"Meta Platforms Inc")</f>
        <v>Meta Platforms Inc</v>
      </c>
      <c r="C8" s="3">
        <f>IFERROR(__xludf.DUMMYFUNCTION("GOOGLEFINANCE(A8, ""tradetime"")"),45455.52616898148)</f>
        <v>45455.52617</v>
      </c>
      <c r="D8" s="2">
        <f>IFERROR(__xludf.DUMMYFUNCTION("GOOGLEFINANCE(A8, ""price"")"),507.71)</f>
        <v>507.71</v>
      </c>
      <c r="E8" s="2">
        <f>IFERROR(__xludf.DUMMYFUNCTION("GOOGLEFINANCE(A8, ""closeyest"")"),507.47)</f>
        <v>507.47</v>
      </c>
      <c r="F8" s="2">
        <f>IFERROR(__xludf.DUMMYFUNCTION("GOOGLEFINANCE(A8, ""priceopen"")"),513.99)</f>
        <v>513.99</v>
      </c>
      <c r="G8" s="2">
        <f>IFERROR(__xludf.DUMMYFUNCTION("GOOGLEFINANCE(A8, ""volume"")"),5953905.0)</f>
        <v>5953905</v>
      </c>
      <c r="H8" s="2">
        <f>IFERROR(__xludf.DUMMYFUNCTION("GOOGLEFINANCE(A8, ""volumeavg"")"),1.2531117E7)</f>
        <v>12531117</v>
      </c>
      <c r="I8" s="2">
        <f>IFERROR(__xludf.DUMMYFUNCTION("GOOGLEFINANCE(A8, ""high"")"),514.01)</f>
        <v>514.01</v>
      </c>
      <c r="J8" s="2">
        <f>IFERROR(__xludf.DUMMYFUNCTION("GOOGLEFINANCE(A8, ""low"")"),504.47)</f>
        <v>504.47</v>
      </c>
      <c r="K8" s="2">
        <f>IFERROR(__xludf.DUMMYFUNCTION("GOOGLEFINANCE(A8, ""pe"")"),29.27)</f>
        <v>29.27</v>
      </c>
      <c r="L8" s="2">
        <f>IFERROR(__xludf.DUMMYFUNCTION("GOOGLEFINANCE(A8, ""eps"")"),17.37)</f>
        <v>17.37</v>
      </c>
      <c r="M8" s="2">
        <f>IFERROR(__xludf.DUMMYFUNCTION("GOOGLEFINANCE(A8, ""marketcap"")"),1.288977821784E12)</f>
        <v>1288977821784</v>
      </c>
      <c r="N8" s="2">
        <f>IFERROR(__xludf.DUMMYFUNCTION("GOOGLEFINANCE(A8, ""change"")"),0.24)</f>
        <v>0.24</v>
      </c>
    </row>
    <row r="9">
      <c r="A9" s="1" t="s">
        <v>21</v>
      </c>
      <c r="B9" s="2" t="str">
        <f>IFERROR(__xludf.DUMMYFUNCTION("GOOGLEFINANCE(A9, ""name"")"),"Microsoft Corp")</f>
        <v>Microsoft Corp</v>
      </c>
      <c r="C9" s="3">
        <f>IFERROR(__xludf.DUMMYFUNCTION("GOOGLEFINANCE(A9, ""tradetime"")"),45455.52626157408)</f>
        <v>45455.52626</v>
      </c>
      <c r="D9" s="2">
        <f>IFERROR(__xludf.DUMMYFUNCTION("GOOGLEFINANCE(A9, ""price"")"),438.25)</f>
        <v>438.25</v>
      </c>
      <c r="E9" s="2">
        <f>IFERROR(__xludf.DUMMYFUNCTION("GOOGLEFINANCE(A9, ""closeyest"")"),432.68)</f>
        <v>432.68</v>
      </c>
      <c r="F9" s="2">
        <f>IFERROR(__xludf.DUMMYFUNCTION("GOOGLEFINANCE(A9, ""priceopen"")"),435.32)</f>
        <v>435.32</v>
      </c>
      <c r="G9" s="2">
        <f>IFERROR(__xludf.DUMMYFUNCTION("GOOGLEFINANCE(A9, ""volume"")"),8485090.0)</f>
        <v>8485090</v>
      </c>
      <c r="H9" s="2">
        <f>IFERROR(__xludf.DUMMYFUNCTION("GOOGLEFINANCE(A9, ""volumeavg"")"),1.8281682E7)</f>
        <v>18281682</v>
      </c>
      <c r="I9" s="2">
        <f>IFERROR(__xludf.DUMMYFUNCTION("GOOGLEFINANCE(A9, ""high"")"),439.53)</f>
        <v>439.53</v>
      </c>
      <c r="J9" s="2">
        <f>IFERROR(__xludf.DUMMYFUNCTION("GOOGLEFINANCE(A9, ""low"")"),433.25)</f>
        <v>433.25</v>
      </c>
      <c r="K9" s="2">
        <f>IFERROR(__xludf.DUMMYFUNCTION("GOOGLEFINANCE(A9, ""pe"")"),38.01)</f>
        <v>38.01</v>
      </c>
      <c r="L9" s="2">
        <f>IFERROR(__xludf.DUMMYFUNCTION("GOOGLEFINANCE(A9, ""eps"")"),11.54)</f>
        <v>11.54</v>
      </c>
      <c r="M9" s="2">
        <f>IFERROR(__xludf.DUMMYFUNCTION("GOOGLEFINANCE(A9, ""marketcap"")"),3.25817390219E12)</f>
        <v>3258173902190</v>
      </c>
      <c r="N9" s="2">
        <f>IFERROR(__xludf.DUMMYFUNCTION("GOOGLEFINANCE(A9, ""change"")"),5.57)</f>
        <v>5.57</v>
      </c>
    </row>
    <row r="10">
      <c r="A10" s="1" t="s">
        <v>22</v>
      </c>
      <c r="B10" s="2" t="str">
        <f>IFERROR(__xludf.DUMMYFUNCTION("GOOGLEFINANCE(A10, ""name"")"),"Netflix Inc")</f>
        <v>Netflix Inc</v>
      </c>
      <c r="C10" s="3">
        <f>IFERROR(__xludf.DUMMYFUNCTION("GOOGLEFINANCE(A10, ""tradetime"")"),45455.52596064815)</f>
        <v>45455.52596</v>
      </c>
      <c r="D10" s="2">
        <f>IFERROR(__xludf.DUMMYFUNCTION("GOOGLEFINANCE(A10, ""price"")"),648.23)</f>
        <v>648.23</v>
      </c>
      <c r="E10" s="2">
        <f>IFERROR(__xludf.DUMMYFUNCTION("GOOGLEFINANCE(A10, ""closeyest"")"),648.55)</f>
        <v>648.55</v>
      </c>
      <c r="F10" s="2">
        <f>IFERROR(__xludf.DUMMYFUNCTION("GOOGLEFINANCE(A10, ""priceopen"")"),652.21)</f>
        <v>652.21</v>
      </c>
      <c r="G10" s="2">
        <f>IFERROR(__xludf.DUMMYFUNCTION("GOOGLEFINANCE(A10, ""volume"")"),888889.0)</f>
        <v>888889</v>
      </c>
      <c r="H10" s="2">
        <f>IFERROR(__xludf.DUMMYFUNCTION("GOOGLEFINANCE(A10, ""volumeavg"")"),2965229.0)</f>
        <v>2965229</v>
      </c>
      <c r="I10" s="2">
        <f>IFERROR(__xludf.DUMMYFUNCTION("GOOGLEFINANCE(A10, ""high"")"),655.78)</f>
        <v>655.78</v>
      </c>
      <c r="J10" s="2">
        <f>IFERROR(__xludf.DUMMYFUNCTION("GOOGLEFINANCE(A10, ""low"")"),640.52)</f>
        <v>640.52</v>
      </c>
      <c r="K10" s="2">
        <f>IFERROR(__xludf.DUMMYFUNCTION("GOOGLEFINANCE(A10, ""pe"")"),45.01)</f>
        <v>45.01</v>
      </c>
      <c r="L10" s="2">
        <f>IFERROR(__xludf.DUMMYFUNCTION("GOOGLEFINANCE(A10, ""eps"")"),14.41)</f>
        <v>14.41</v>
      </c>
      <c r="M10" s="2">
        <f>IFERROR(__xludf.DUMMYFUNCTION("GOOGLEFINANCE(A10, ""marketcap"")"),2.79577189976E11)</f>
        <v>279577189976</v>
      </c>
      <c r="N10" s="2">
        <f>IFERROR(__xludf.DUMMYFUNCTION("GOOGLEFINANCE(A10, ""change"")"),-0.33)</f>
        <v>-0.33</v>
      </c>
    </row>
    <row r="11">
      <c r="A11" s="1" t="s">
        <v>23</v>
      </c>
      <c r="B11" s="2" t="str">
        <f>IFERROR(__xludf.DUMMYFUNCTION("GOOGLEFINANCE(A11, ""name"")"),"NVIDIA Corp")</f>
        <v>NVIDIA Corp</v>
      </c>
      <c r="C11" s="3">
        <f>IFERROR(__xludf.DUMMYFUNCTION("GOOGLEFINANCE(A11, ""tradetime"")"),45455.52631944444)</f>
        <v>45455.52632</v>
      </c>
      <c r="D11" s="2">
        <f>IFERROR(__xludf.DUMMYFUNCTION("GOOGLEFINANCE(A11, ""price"")"),125.86)</f>
        <v>125.86</v>
      </c>
      <c r="E11" s="2">
        <f>IFERROR(__xludf.DUMMYFUNCTION("GOOGLEFINANCE(A11, ""closeyest"")"),120.91)</f>
        <v>120.91</v>
      </c>
      <c r="F11" s="2">
        <f>IFERROR(__xludf.DUMMYFUNCTION("GOOGLEFINANCE(A11, ""priceopen"")"),123.06)</f>
        <v>123.06</v>
      </c>
      <c r="G11" s="2">
        <f>IFERROR(__xludf.DUMMYFUNCTION("GOOGLEFINANCE(A11, ""volume"")"),1.66814291E8)</f>
        <v>166814291</v>
      </c>
      <c r="H11" s="2">
        <f>IFERROR(__xludf.DUMMYFUNCTION("GOOGLEFINANCE(A11, ""volumeavg"")"),4.33186427E8)</f>
        <v>433186427</v>
      </c>
      <c r="I11" s="2">
        <f>IFERROR(__xludf.DUMMYFUNCTION("GOOGLEFINANCE(A11, ""high"")"),126.88)</f>
        <v>126.88</v>
      </c>
      <c r="J11" s="2">
        <f>IFERROR(__xludf.DUMMYFUNCTION("GOOGLEFINANCE(A11, ""low"")"),122.57)</f>
        <v>122.57</v>
      </c>
      <c r="K11" s="2">
        <f>IFERROR(__xludf.DUMMYFUNCTION("GOOGLEFINANCE(A11, ""pe"")"),73.79)</f>
        <v>73.79</v>
      </c>
      <c r="L11" s="2">
        <f>IFERROR(__xludf.DUMMYFUNCTION("GOOGLEFINANCE(A11, ""eps"")"),1.71)</f>
        <v>1.71</v>
      </c>
      <c r="M11" s="2">
        <f>IFERROR(__xludf.DUMMYFUNCTION("GOOGLEFINANCE(A11, ""marketcap"")"),3.098835003662E12)</f>
        <v>3098835003662</v>
      </c>
      <c r="N11" s="2">
        <f>IFERROR(__xludf.DUMMYFUNCTION("GOOGLEFINANCE(A11, ""change"")"),4.94)</f>
        <v>4.94</v>
      </c>
    </row>
    <row r="12">
      <c r="A12" s="1" t="s">
        <v>24</v>
      </c>
      <c r="B12" s="2" t="str">
        <f>IFERROR(__xludf.DUMMYFUNCTION("GOOGLEFINANCE(A12, ""name"")"),"Snowflake Inc")</f>
        <v>Snowflake Inc</v>
      </c>
      <c r="C12" s="3">
        <f>IFERROR(__xludf.DUMMYFUNCTION("GOOGLEFINANCE(A12, ""tradetime"")"),45455.52616898148)</f>
        <v>45455.52617</v>
      </c>
      <c r="D12" s="2">
        <f>IFERROR(__xludf.DUMMYFUNCTION("GOOGLEFINANCE(A12, ""price"")"),131.26)</f>
        <v>131.26</v>
      </c>
      <c r="E12" s="2">
        <f>IFERROR(__xludf.DUMMYFUNCTION("GOOGLEFINANCE(A12, ""closeyest"")"),128.48)</f>
        <v>128.48</v>
      </c>
      <c r="F12" s="2">
        <f>IFERROR(__xludf.DUMMYFUNCTION("GOOGLEFINANCE(A12, ""priceopen"")"),130.66)</f>
        <v>130.66</v>
      </c>
      <c r="G12" s="2">
        <f>IFERROR(__xludf.DUMMYFUNCTION("GOOGLEFINANCE(A12, ""volume"")"),3756739.0)</f>
        <v>3756739</v>
      </c>
      <c r="H12" s="2">
        <f>IFERROR(__xludf.DUMMYFUNCTION("GOOGLEFINANCE(A12, ""volumeavg"")"),6292978.0)</f>
        <v>6292978</v>
      </c>
      <c r="I12" s="2">
        <f>IFERROR(__xludf.DUMMYFUNCTION("GOOGLEFINANCE(A12, ""high"")"),131.7)</f>
        <v>131.7</v>
      </c>
      <c r="J12" s="2">
        <f>IFERROR(__xludf.DUMMYFUNCTION("GOOGLEFINANCE(A12, ""low"")"),129.15)</f>
        <v>129.15</v>
      </c>
      <c r="K12" s="2" t="str">
        <f>IFERROR(__xludf.DUMMYFUNCTION("GOOGLEFINANCE(A12, ""pe"")"),"#N/A")</f>
        <v>#N/A</v>
      </c>
      <c r="L12" s="2">
        <f>IFERROR(__xludf.DUMMYFUNCTION("GOOGLEFINANCE(A12, ""eps"")"),-2.81)</f>
        <v>-2.81</v>
      </c>
      <c r="M12" s="2">
        <f>IFERROR(__xludf.DUMMYFUNCTION("GOOGLEFINANCE(A12, ""marketcap"")"),4.3952543591E10)</f>
        <v>43952543591</v>
      </c>
      <c r="N12" s="2">
        <f>IFERROR(__xludf.DUMMYFUNCTION("GOOGLEFINANCE(A12, ""change"")"),2.78)</f>
        <v>2.78</v>
      </c>
    </row>
    <row r="13">
      <c r="A13" s="1" t="s">
        <v>25</v>
      </c>
      <c r="B13" s="2" t="str">
        <f>IFERROR(__xludf.DUMMYFUNCTION("GOOGLEFINANCE(A13, ""name"")"),"Tesla Inc")</f>
        <v>Tesla Inc</v>
      </c>
      <c r="C13" s="3">
        <f>IFERROR(__xludf.DUMMYFUNCTION("GOOGLEFINANCE(A13, ""tradetime"")"),45455.526296296295)</f>
        <v>45455.5263</v>
      </c>
      <c r="D13" s="2">
        <f>IFERROR(__xludf.DUMMYFUNCTION("GOOGLEFINANCE(A13, ""price"")"),179.26)</f>
        <v>179.26</v>
      </c>
      <c r="E13" s="2">
        <f>IFERROR(__xludf.DUMMYFUNCTION("GOOGLEFINANCE(A13, ""closeyest"")"),170.66)</f>
        <v>170.66</v>
      </c>
      <c r="F13" s="2">
        <f>IFERROR(__xludf.DUMMYFUNCTION("GOOGLEFINANCE(A13, ""priceopen"")"),171.12)</f>
        <v>171.12</v>
      </c>
      <c r="G13" s="2">
        <f>IFERROR(__xludf.DUMMYFUNCTION("GOOGLEFINANCE(A13, ""volume"")"),5.1480894E7)</f>
        <v>51480894</v>
      </c>
      <c r="H13" s="2">
        <f>IFERROR(__xludf.DUMMYFUNCTION("GOOGLEFINANCE(A13, ""volumeavg"")"),7.4122004E7)</f>
        <v>74122004</v>
      </c>
      <c r="I13" s="2">
        <f>IFERROR(__xludf.DUMMYFUNCTION("GOOGLEFINANCE(A13, ""high"")"),180.27)</f>
        <v>180.27</v>
      </c>
      <c r="J13" s="2">
        <f>IFERROR(__xludf.DUMMYFUNCTION("GOOGLEFINANCE(A13, ""low"")"),169.8)</f>
        <v>169.8</v>
      </c>
      <c r="K13" s="2">
        <f>IFERROR(__xludf.DUMMYFUNCTION("GOOGLEFINANCE(A13, ""pe"")"),45.75)</f>
        <v>45.75</v>
      </c>
      <c r="L13" s="2">
        <f>IFERROR(__xludf.DUMMYFUNCTION("GOOGLEFINANCE(A13, ""eps"")"),3.91)</f>
        <v>3.91</v>
      </c>
      <c r="M13" s="2">
        <f>IFERROR(__xludf.DUMMYFUNCTION("GOOGLEFINANCE(A13, ""marketcap"")"),5.60828447212E11)</f>
        <v>560828447212</v>
      </c>
      <c r="N13" s="2">
        <f>IFERROR(__xludf.DUMMYFUNCTION("GOOGLEFINANCE(A13, ""change"")"),8.6)</f>
        <v>8.6</v>
      </c>
    </row>
    <row r="14">
      <c r="A14" s="1" t="s">
        <v>26</v>
      </c>
      <c r="B14" s="2" t="str">
        <f>IFERROR(__xludf.DUMMYFUNCTION("GOOGLEFINANCE(A14, ""name"")"),"UnitedHealth Group Inc")</f>
        <v>UnitedHealth Group Inc</v>
      </c>
      <c r="C14" s="3">
        <f>IFERROR(__xludf.DUMMYFUNCTION("GOOGLEFINANCE(A14, ""tradetime"")"),45455.526249999995)</f>
        <v>45455.52625</v>
      </c>
      <c r="D14" s="2">
        <f>IFERROR(__xludf.DUMMYFUNCTION("GOOGLEFINANCE(A14, ""price"")"),489.95)</f>
        <v>489.95</v>
      </c>
      <c r="E14" s="2">
        <f>IFERROR(__xludf.DUMMYFUNCTION("GOOGLEFINANCE(A14, ""closeyest"")"),496.22)</f>
        <v>496.22</v>
      </c>
      <c r="F14" s="2">
        <f>IFERROR(__xludf.DUMMYFUNCTION("GOOGLEFINANCE(A14, ""priceopen"")"),500.0)</f>
        <v>500</v>
      </c>
      <c r="G14" s="2">
        <f>IFERROR(__xludf.DUMMYFUNCTION("GOOGLEFINANCE(A14, ""volume"")"),940487.0)</f>
        <v>940487</v>
      </c>
      <c r="H14" s="2">
        <f>IFERROR(__xludf.DUMMYFUNCTION("GOOGLEFINANCE(A14, ""volumeavg"")"),3274048.0)</f>
        <v>3274048</v>
      </c>
      <c r="I14" s="2">
        <f>IFERROR(__xludf.DUMMYFUNCTION("GOOGLEFINANCE(A14, ""high"")"),500.0)</f>
        <v>500</v>
      </c>
      <c r="J14" s="2">
        <f>IFERROR(__xludf.DUMMYFUNCTION("GOOGLEFINANCE(A14, ""low"")"),489.46)</f>
        <v>489.46</v>
      </c>
      <c r="K14" s="2">
        <f>IFERROR(__xludf.DUMMYFUNCTION("GOOGLEFINANCE(A14, ""pe"")"),29.8)</f>
        <v>29.8</v>
      </c>
      <c r="L14" s="2">
        <f>IFERROR(__xludf.DUMMYFUNCTION("GOOGLEFINANCE(A14, ""eps"")"),16.39)</f>
        <v>16.39</v>
      </c>
      <c r="M14" s="2">
        <f>IFERROR(__xludf.DUMMYFUNCTION("GOOGLEFINANCE(A14, ""marketcap"")"),4.50611337738E11)</f>
        <v>450611337738</v>
      </c>
      <c r="N14" s="2">
        <f>IFERROR(__xludf.DUMMYFUNCTION("GOOGLEFINANCE(A14, ""change"")"),-6.27)</f>
        <v>-6.27</v>
      </c>
    </row>
    <row r="15">
      <c r="A15" s="1" t="s">
        <v>27</v>
      </c>
      <c r="B15" s="2" t="str">
        <f>IFERROR(__xludf.DUMMYFUNCTION("GOOGLEFINANCE(A15, ""name"")"),"Visa Inc")</f>
        <v>Visa Inc</v>
      </c>
      <c r="C15" s="3">
        <f>IFERROR(__xludf.DUMMYFUNCTION("GOOGLEFINANCE(A15, ""tradetime"")"),45455.52582175926)</f>
        <v>45455.52582</v>
      </c>
      <c r="D15" s="2">
        <f>IFERROR(__xludf.DUMMYFUNCTION("GOOGLEFINANCE(A15, ""price"")"),272.16)</f>
        <v>272.16</v>
      </c>
      <c r="E15" s="2">
        <f>IFERROR(__xludf.DUMMYFUNCTION("GOOGLEFINANCE(A15, ""closeyest"")"),274.67)</f>
        <v>274.67</v>
      </c>
      <c r="F15" s="2">
        <f>IFERROR(__xludf.DUMMYFUNCTION("GOOGLEFINANCE(A15, ""priceopen"")"),276.77)</f>
        <v>276.77</v>
      </c>
      <c r="G15" s="2">
        <f>IFERROR(__xludf.DUMMYFUNCTION("GOOGLEFINANCE(A15, ""volume"")"),2595595.0)</f>
        <v>2595595</v>
      </c>
      <c r="H15" s="2">
        <f>IFERROR(__xludf.DUMMYFUNCTION("GOOGLEFINANCE(A15, ""volumeavg"")"),7100471.0)</f>
        <v>7100471</v>
      </c>
      <c r="I15" s="2">
        <f>IFERROR(__xludf.DUMMYFUNCTION("GOOGLEFINANCE(A15, ""high"")"),277.6)</f>
        <v>277.6</v>
      </c>
      <c r="J15" s="2">
        <f>IFERROR(__xludf.DUMMYFUNCTION("GOOGLEFINANCE(A15, ""low"")"),271.96)</f>
        <v>271.96</v>
      </c>
      <c r="K15" s="2">
        <f>IFERROR(__xludf.DUMMYFUNCTION("GOOGLEFINANCE(A15, ""pe"")"),33.39)</f>
        <v>33.39</v>
      </c>
      <c r="L15" s="2">
        <f>IFERROR(__xludf.DUMMYFUNCTION("GOOGLEFINANCE(A15, ""eps"")"),8.14)</f>
        <v>8.14</v>
      </c>
      <c r="M15" s="2">
        <f>IFERROR(__xludf.DUMMYFUNCTION("GOOGLEFINANCE(A15, ""marketcap"")"),5.44371481473E11)</f>
        <v>544371481473</v>
      </c>
      <c r="N15" s="2">
        <f>IFERROR(__xludf.DUMMYFUNCTION("GOOGLEFINANCE(A15, ""change"")"),-2.51)</f>
        <v>-2.51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tr">
        <f>IFERROR(__xludf.DUMMYFUNCTION("(GOOGLEFINANCE(""NFLX"", ""all"", DATE(2023, 1, 1), today()))"),"Date")</f>
        <v>Date</v>
      </c>
      <c r="B1" s="2" t="str">
        <f>IFERROR(__xludf.DUMMYFUNCTION("""COMPUTED_VALUE"""),"Open")</f>
        <v>Open</v>
      </c>
      <c r="C1" s="2" t="str">
        <f>IFERROR(__xludf.DUMMYFUNCTION("""COMPUTED_VALUE"""),"High")</f>
        <v>High</v>
      </c>
      <c r="D1" s="2" t="str">
        <f>IFERROR(__xludf.DUMMYFUNCTION("""COMPUTED_VALUE"""),"Low")</f>
        <v>Low</v>
      </c>
      <c r="E1" s="2" t="str">
        <f>IFERROR(__xludf.DUMMYFUNCTION("""COMPUTED_VALUE"""),"Close")</f>
        <v>Close</v>
      </c>
      <c r="F1" s="2" t="str">
        <f>IFERROR(__xludf.DUMMYFUNCTION("""COMPUTED_VALUE"""),"Volume")</f>
        <v>Volume</v>
      </c>
    </row>
    <row r="2">
      <c r="A2" s="3">
        <f>IFERROR(__xludf.DUMMYFUNCTION("""COMPUTED_VALUE"""),44929.66666666667)</f>
        <v>44929.66667</v>
      </c>
      <c r="B2" s="2">
        <f>IFERROR(__xludf.DUMMYFUNCTION("""COMPUTED_VALUE"""),298.06)</f>
        <v>298.06</v>
      </c>
      <c r="C2" s="2">
        <f>IFERROR(__xludf.DUMMYFUNCTION("""COMPUTED_VALUE"""),298.39)</f>
        <v>298.39</v>
      </c>
      <c r="D2" s="2">
        <f>IFERROR(__xludf.DUMMYFUNCTION("""COMPUTED_VALUE"""),288.7)</f>
        <v>288.7</v>
      </c>
      <c r="E2" s="2">
        <f>IFERROR(__xludf.DUMMYFUNCTION("""COMPUTED_VALUE"""),294.95)</f>
        <v>294.95</v>
      </c>
      <c r="F2" s="2">
        <f>IFERROR(__xludf.DUMMYFUNCTION("""COMPUTED_VALUE"""),6763964.0)</f>
        <v>6763964</v>
      </c>
    </row>
    <row r="3">
      <c r="A3" s="3">
        <f>IFERROR(__xludf.DUMMYFUNCTION("""COMPUTED_VALUE"""),44930.66666666667)</f>
        <v>44930.66667</v>
      </c>
      <c r="B3" s="2">
        <f>IFERROR(__xludf.DUMMYFUNCTION("""COMPUTED_VALUE"""),298.24)</f>
        <v>298.24</v>
      </c>
      <c r="C3" s="2">
        <f>IFERROR(__xludf.DUMMYFUNCTION("""COMPUTED_VALUE"""),311.14)</f>
        <v>311.14</v>
      </c>
      <c r="D3" s="2">
        <f>IFERROR(__xludf.DUMMYFUNCTION("""COMPUTED_VALUE"""),295.51)</f>
        <v>295.51</v>
      </c>
      <c r="E3" s="2">
        <f>IFERROR(__xludf.DUMMYFUNCTION("""COMPUTED_VALUE"""),309.41)</f>
        <v>309.41</v>
      </c>
      <c r="F3" s="2">
        <f>IFERROR(__xludf.DUMMYFUNCTION("""COMPUTED_VALUE"""),9345054.0)</f>
        <v>9345054</v>
      </c>
    </row>
    <row r="4">
      <c r="A4" s="3">
        <f>IFERROR(__xludf.DUMMYFUNCTION("""COMPUTED_VALUE"""),44931.66666666667)</f>
        <v>44931.66667</v>
      </c>
      <c r="B4" s="2">
        <f>IFERROR(__xludf.DUMMYFUNCTION("""COMPUTED_VALUE"""),307.0)</f>
        <v>307</v>
      </c>
      <c r="C4" s="2">
        <f>IFERROR(__xludf.DUMMYFUNCTION("""COMPUTED_VALUE"""),314.18)</f>
        <v>314.18</v>
      </c>
      <c r="D4" s="2">
        <f>IFERROR(__xludf.DUMMYFUNCTION("""COMPUTED_VALUE"""),304.55)</f>
        <v>304.55</v>
      </c>
      <c r="E4" s="2">
        <f>IFERROR(__xludf.DUMMYFUNCTION("""COMPUTED_VALUE"""),309.7)</f>
        <v>309.7</v>
      </c>
      <c r="F4" s="2">
        <f>IFERROR(__xludf.DUMMYFUNCTION("""COMPUTED_VALUE"""),8328390.0)</f>
        <v>8328390</v>
      </c>
    </row>
    <row r="5">
      <c r="A5" s="3">
        <f>IFERROR(__xludf.DUMMYFUNCTION("""COMPUTED_VALUE"""),44932.66666666667)</f>
        <v>44932.66667</v>
      </c>
      <c r="B5" s="2">
        <f>IFERROR(__xludf.DUMMYFUNCTION("""COMPUTED_VALUE"""),311.57)</f>
        <v>311.57</v>
      </c>
      <c r="C5" s="2">
        <f>IFERROR(__xludf.DUMMYFUNCTION("""COMPUTED_VALUE"""),316.77)</f>
        <v>316.77</v>
      </c>
      <c r="D5" s="2">
        <f>IFERROR(__xludf.DUMMYFUNCTION("""COMPUTED_VALUE"""),303.69)</f>
        <v>303.69</v>
      </c>
      <c r="E5" s="2">
        <f>IFERROR(__xludf.DUMMYFUNCTION("""COMPUTED_VALUE"""),315.55)</f>
        <v>315.55</v>
      </c>
      <c r="F5" s="2">
        <f>IFERROR(__xludf.DUMMYFUNCTION("""COMPUTED_VALUE"""),8959839.0)</f>
        <v>8959839</v>
      </c>
    </row>
    <row r="6">
      <c r="A6" s="3">
        <f>IFERROR(__xludf.DUMMYFUNCTION("""COMPUTED_VALUE"""),44935.66666666667)</f>
        <v>44935.66667</v>
      </c>
      <c r="B6" s="2">
        <f>IFERROR(__xludf.DUMMYFUNCTION("""COMPUTED_VALUE"""),316.83)</f>
        <v>316.83</v>
      </c>
      <c r="C6" s="2">
        <f>IFERROR(__xludf.DUMMYFUNCTION("""COMPUTED_VALUE"""),321.7)</f>
        <v>321.7</v>
      </c>
      <c r="D6" s="2">
        <f>IFERROR(__xludf.DUMMYFUNCTION("""COMPUTED_VALUE"""),313.22)</f>
        <v>313.22</v>
      </c>
      <c r="E6" s="2">
        <f>IFERROR(__xludf.DUMMYFUNCTION("""COMPUTED_VALUE"""),315.17)</f>
        <v>315.17</v>
      </c>
      <c r="F6" s="2">
        <f>IFERROR(__xludf.DUMMYFUNCTION("""COMPUTED_VALUE"""),6766628.0)</f>
        <v>6766628</v>
      </c>
    </row>
    <row r="7">
      <c r="A7" s="3">
        <f>IFERROR(__xludf.DUMMYFUNCTION("""COMPUTED_VALUE"""),44936.66666666667)</f>
        <v>44936.66667</v>
      </c>
      <c r="B7" s="2">
        <f>IFERROR(__xludf.DUMMYFUNCTION("""COMPUTED_VALUE"""),311.07)</f>
        <v>311.07</v>
      </c>
      <c r="C7" s="2">
        <f>IFERROR(__xludf.DUMMYFUNCTION("""COMPUTED_VALUE"""),329.35)</f>
        <v>329.35</v>
      </c>
      <c r="D7" s="2">
        <f>IFERROR(__xludf.DUMMYFUNCTION("""COMPUTED_VALUE"""),311.07)</f>
        <v>311.07</v>
      </c>
      <c r="E7" s="2">
        <f>IFERROR(__xludf.DUMMYFUNCTION("""COMPUTED_VALUE"""),327.54)</f>
        <v>327.54</v>
      </c>
      <c r="F7" s="2">
        <f>IFERROR(__xludf.DUMMYFUNCTION("""COMPUTED_VALUE"""),1.3072286E7)</f>
        <v>13072286</v>
      </c>
    </row>
    <row r="8">
      <c r="A8" s="3">
        <f>IFERROR(__xludf.DUMMYFUNCTION("""COMPUTED_VALUE"""),44937.66666666667)</f>
        <v>44937.66667</v>
      </c>
      <c r="B8" s="2">
        <f>IFERROR(__xludf.DUMMYFUNCTION("""COMPUTED_VALUE"""),326.5)</f>
        <v>326.5</v>
      </c>
      <c r="C8" s="2">
        <f>IFERROR(__xludf.DUMMYFUNCTION("""COMPUTED_VALUE"""),328.88)</f>
        <v>328.88</v>
      </c>
      <c r="D8" s="2">
        <f>IFERROR(__xludf.DUMMYFUNCTION("""COMPUTED_VALUE"""),321.35)</f>
        <v>321.35</v>
      </c>
      <c r="E8" s="2">
        <f>IFERROR(__xludf.DUMMYFUNCTION("""COMPUTED_VALUE"""),327.26)</f>
        <v>327.26</v>
      </c>
      <c r="F8" s="2">
        <f>IFERROR(__xludf.DUMMYFUNCTION("""COMPUTED_VALUE"""),9579681.0)</f>
        <v>9579681</v>
      </c>
    </row>
    <row r="9">
      <c r="A9" s="3">
        <f>IFERROR(__xludf.DUMMYFUNCTION("""COMPUTED_VALUE"""),44938.66666666667)</f>
        <v>44938.66667</v>
      </c>
      <c r="B9" s="2">
        <f>IFERROR(__xludf.DUMMYFUNCTION("""COMPUTED_VALUE"""),332.5)</f>
        <v>332.5</v>
      </c>
      <c r="C9" s="2">
        <f>IFERROR(__xludf.DUMMYFUNCTION("""COMPUTED_VALUE"""),332.95)</f>
        <v>332.95</v>
      </c>
      <c r="D9" s="2">
        <f>IFERROR(__xludf.DUMMYFUNCTION("""COMPUTED_VALUE"""),323.14)</f>
        <v>323.14</v>
      </c>
      <c r="E9" s="2">
        <f>IFERROR(__xludf.DUMMYFUNCTION("""COMPUTED_VALUE"""),330.13)</f>
        <v>330.13</v>
      </c>
      <c r="F9" s="2">
        <f>IFERROR(__xludf.DUMMYFUNCTION("""COMPUTED_VALUE"""),1.0856246E7)</f>
        <v>10856246</v>
      </c>
    </row>
    <row r="10">
      <c r="A10" s="3">
        <f>IFERROR(__xludf.DUMMYFUNCTION("""COMPUTED_VALUE"""),44939.66666666667)</f>
        <v>44939.66667</v>
      </c>
      <c r="B10" s="2">
        <f>IFERROR(__xludf.DUMMYFUNCTION("""COMPUTED_VALUE"""),329.97)</f>
        <v>329.97</v>
      </c>
      <c r="C10" s="2">
        <f>IFERROR(__xludf.DUMMYFUNCTION("""COMPUTED_VALUE"""),336.65)</f>
        <v>336.65</v>
      </c>
      <c r="D10" s="2">
        <f>IFERROR(__xludf.DUMMYFUNCTION("""COMPUTED_VALUE"""),328.89)</f>
        <v>328.89</v>
      </c>
      <c r="E10" s="2">
        <f>IFERROR(__xludf.DUMMYFUNCTION("""COMPUTED_VALUE"""),332.82)</f>
        <v>332.82</v>
      </c>
      <c r="F10" s="2">
        <f>IFERROR(__xludf.DUMMYFUNCTION("""COMPUTED_VALUE"""),8286816.0)</f>
        <v>8286816</v>
      </c>
    </row>
    <row r="11">
      <c r="A11" s="3">
        <f>IFERROR(__xludf.DUMMYFUNCTION("""COMPUTED_VALUE"""),44943.66666666667)</f>
        <v>44943.66667</v>
      </c>
      <c r="B11" s="2">
        <f>IFERROR(__xludf.DUMMYFUNCTION("""COMPUTED_VALUE"""),331.08)</f>
        <v>331.08</v>
      </c>
      <c r="C11" s="2">
        <f>IFERROR(__xludf.DUMMYFUNCTION("""COMPUTED_VALUE"""),332.5)</f>
        <v>332.5</v>
      </c>
      <c r="D11" s="2">
        <f>IFERROR(__xludf.DUMMYFUNCTION("""COMPUTED_VALUE"""),323.6)</f>
        <v>323.6</v>
      </c>
      <c r="E11" s="2">
        <f>IFERROR(__xludf.DUMMYFUNCTION("""COMPUTED_VALUE"""),326.22)</f>
        <v>326.22</v>
      </c>
      <c r="F11" s="2">
        <f>IFERROR(__xludf.DUMMYFUNCTION("""COMPUTED_VALUE"""),9246987.0)</f>
        <v>9246987</v>
      </c>
    </row>
    <row r="12">
      <c r="A12" s="3">
        <f>IFERROR(__xludf.DUMMYFUNCTION("""COMPUTED_VALUE"""),44944.66666666667)</f>
        <v>44944.66667</v>
      </c>
      <c r="B12" s="2">
        <f>IFERROR(__xludf.DUMMYFUNCTION("""COMPUTED_VALUE"""),326.75)</f>
        <v>326.75</v>
      </c>
      <c r="C12" s="2">
        <f>IFERROR(__xludf.DUMMYFUNCTION("""COMPUTED_VALUE"""),330.08)</f>
        <v>330.08</v>
      </c>
      <c r="D12" s="2">
        <f>IFERROR(__xludf.DUMMYFUNCTION("""COMPUTED_VALUE"""),321.25)</f>
        <v>321.25</v>
      </c>
      <c r="E12" s="2">
        <f>IFERROR(__xludf.DUMMYFUNCTION("""COMPUTED_VALUE"""),326.33)</f>
        <v>326.33</v>
      </c>
      <c r="F12" s="2">
        <f>IFERROR(__xludf.DUMMYFUNCTION("""COMPUTED_VALUE"""),7814115.0)</f>
        <v>7814115</v>
      </c>
    </row>
    <row r="13">
      <c r="A13" s="3">
        <f>IFERROR(__xludf.DUMMYFUNCTION("""COMPUTED_VALUE"""),44945.66666666667)</f>
        <v>44945.66667</v>
      </c>
      <c r="B13" s="2">
        <f>IFERROR(__xludf.DUMMYFUNCTION("""COMPUTED_VALUE"""),322.57)</f>
        <v>322.57</v>
      </c>
      <c r="C13" s="2">
        <f>IFERROR(__xludf.DUMMYFUNCTION("""COMPUTED_VALUE"""),324.89)</f>
        <v>324.89</v>
      </c>
      <c r="D13" s="2">
        <f>IFERROR(__xludf.DUMMYFUNCTION("""COMPUTED_VALUE"""),313.39)</f>
        <v>313.39</v>
      </c>
      <c r="E13" s="2">
        <f>IFERROR(__xludf.DUMMYFUNCTION("""COMPUTED_VALUE"""),315.78)</f>
        <v>315.78</v>
      </c>
      <c r="F13" s="2">
        <f>IFERROR(__xludf.DUMMYFUNCTION("""COMPUTED_VALUE"""),1.8008195E7)</f>
        <v>18008195</v>
      </c>
    </row>
    <row r="14">
      <c r="A14" s="3">
        <f>IFERROR(__xludf.DUMMYFUNCTION("""COMPUTED_VALUE"""),44946.66666666667)</f>
        <v>44946.66667</v>
      </c>
      <c r="B14" s="2">
        <f>IFERROR(__xludf.DUMMYFUNCTION("""COMPUTED_VALUE"""),336.79)</f>
        <v>336.79</v>
      </c>
      <c r="C14" s="2">
        <f>IFERROR(__xludf.DUMMYFUNCTION("""COMPUTED_VALUE"""),344.0)</f>
        <v>344</v>
      </c>
      <c r="D14" s="2">
        <f>IFERROR(__xludf.DUMMYFUNCTION("""COMPUTED_VALUE"""),332.63)</f>
        <v>332.63</v>
      </c>
      <c r="E14" s="2">
        <f>IFERROR(__xludf.DUMMYFUNCTION("""COMPUTED_VALUE"""),342.5)</f>
        <v>342.5</v>
      </c>
      <c r="F14" s="2">
        <f>IFERROR(__xludf.DUMMYFUNCTION("""COMPUTED_VALUE"""),2.8430339E7)</f>
        <v>28430339</v>
      </c>
    </row>
    <row r="15">
      <c r="A15" s="3">
        <f>IFERROR(__xludf.DUMMYFUNCTION("""COMPUTED_VALUE"""),44949.66666666667)</f>
        <v>44949.66667</v>
      </c>
      <c r="B15" s="2">
        <f>IFERROR(__xludf.DUMMYFUNCTION("""COMPUTED_VALUE"""),341.72)</f>
        <v>341.72</v>
      </c>
      <c r="C15" s="2">
        <f>IFERROR(__xludf.DUMMYFUNCTION("""COMPUTED_VALUE"""),362.25)</f>
        <v>362.25</v>
      </c>
      <c r="D15" s="2">
        <f>IFERROR(__xludf.DUMMYFUNCTION("""COMPUTED_VALUE"""),340.63)</f>
        <v>340.63</v>
      </c>
      <c r="E15" s="2">
        <f>IFERROR(__xludf.DUMMYFUNCTION("""COMPUTED_VALUE"""),357.42)</f>
        <v>357.42</v>
      </c>
      <c r="F15" s="2">
        <f>IFERROR(__xludf.DUMMYFUNCTION("""COMPUTED_VALUE"""),1.5646853E7)</f>
        <v>15646853</v>
      </c>
    </row>
    <row r="16">
      <c r="A16" s="3">
        <f>IFERROR(__xludf.DUMMYFUNCTION("""COMPUTED_VALUE"""),44950.66666666667)</f>
        <v>44950.66667</v>
      </c>
      <c r="B16" s="2">
        <f>IFERROR(__xludf.DUMMYFUNCTION("""COMPUTED_VALUE"""),357.53)</f>
        <v>357.53</v>
      </c>
      <c r="C16" s="2">
        <f>IFERROR(__xludf.DUMMYFUNCTION("""COMPUTED_VALUE"""),365.65)</f>
        <v>365.65</v>
      </c>
      <c r="D16" s="2">
        <f>IFERROR(__xludf.DUMMYFUNCTION("""COMPUTED_VALUE"""),355.14)</f>
        <v>355.14</v>
      </c>
      <c r="E16" s="2">
        <f>IFERROR(__xludf.DUMMYFUNCTION("""COMPUTED_VALUE"""),363.83)</f>
        <v>363.83</v>
      </c>
      <c r="F16" s="2">
        <f>IFERROR(__xludf.DUMMYFUNCTION("""COMPUTED_VALUE"""),1.1796528E7)</f>
        <v>11796528</v>
      </c>
    </row>
    <row r="17">
      <c r="A17" s="3">
        <f>IFERROR(__xludf.DUMMYFUNCTION("""COMPUTED_VALUE"""),44951.66666666667)</f>
        <v>44951.66667</v>
      </c>
      <c r="B17" s="2">
        <f>IFERROR(__xludf.DUMMYFUNCTION("""COMPUTED_VALUE"""),360.57)</f>
        <v>360.57</v>
      </c>
      <c r="C17" s="2">
        <f>IFERROR(__xludf.DUMMYFUNCTION("""COMPUTED_VALUE"""),368.9)</f>
        <v>368.9</v>
      </c>
      <c r="D17" s="2">
        <f>IFERROR(__xludf.DUMMYFUNCTION("""COMPUTED_VALUE"""),358.5)</f>
        <v>358.5</v>
      </c>
      <c r="E17" s="2">
        <f>IFERROR(__xludf.DUMMYFUNCTION("""COMPUTED_VALUE"""),367.96)</f>
        <v>367.96</v>
      </c>
      <c r="F17" s="2">
        <f>IFERROR(__xludf.DUMMYFUNCTION("""COMPUTED_VALUE"""),7766907.0)</f>
        <v>7766907</v>
      </c>
    </row>
    <row r="18">
      <c r="A18" s="3">
        <f>IFERROR(__xludf.DUMMYFUNCTION("""COMPUTED_VALUE"""),44952.66666666667)</f>
        <v>44952.66667</v>
      </c>
      <c r="B18" s="2">
        <f>IFERROR(__xludf.DUMMYFUNCTION("""COMPUTED_VALUE"""),368.77)</f>
        <v>368.77</v>
      </c>
      <c r="C18" s="2">
        <f>IFERROR(__xludf.DUMMYFUNCTION("""COMPUTED_VALUE"""),369.02)</f>
        <v>369.02</v>
      </c>
      <c r="D18" s="2">
        <f>IFERROR(__xludf.DUMMYFUNCTION("""COMPUTED_VALUE"""),361.7)</f>
        <v>361.7</v>
      </c>
      <c r="E18" s="2">
        <f>IFERROR(__xludf.DUMMYFUNCTION("""COMPUTED_VALUE"""),364.87)</f>
        <v>364.87</v>
      </c>
      <c r="F18" s="2">
        <f>IFERROR(__xludf.DUMMYFUNCTION("""COMPUTED_VALUE"""),8256844.0)</f>
        <v>8256844</v>
      </c>
    </row>
    <row r="19">
      <c r="A19" s="3">
        <f>IFERROR(__xludf.DUMMYFUNCTION("""COMPUTED_VALUE"""),44953.66666666667)</f>
        <v>44953.66667</v>
      </c>
      <c r="B19" s="2">
        <f>IFERROR(__xludf.DUMMYFUNCTION("""COMPUTED_VALUE"""),363.2)</f>
        <v>363.2</v>
      </c>
      <c r="C19" s="2">
        <f>IFERROR(__xludf.DUMMYFUNCTION("""COMPUTED_VALUE"""),365.92)</f>
        <v>365.92</v>
      </c>
      <c r="D19" s="2">
        <f>IFERROR(__xludf.DUMMYFUNCTION("""COMPUTED_VALUE"""),360.59)</f>
        <v>360.59</v>
      </c>
      <c r="E19" s="2">
        <f>IFERROR(__xludf.DUMMYFUNCTION("""COMPUTED_VALUE"""),360.77)</f>
        <v>360.77</v>
      </c>
      <c r="F19" s="2">
        <f>IFERROR(__xludf.DUMMYFUNCTION("""COMPUTED_VALUE"""),6703548.0)</f>
        <v>6703548</v>
      </c>
    </row>
    <row r="20">
      <c r="A20" s="3">
        <f>IFERROR(__xludf.DUMMYFUNCTION("""COMPUTED_VALUE"""),44956.66666666667)</f>
        <v>44956.66667</v>
      </c>
      <c r="B20" s="2">
        <f>IFERROR(__xludf.DUMMYFUNCTION("""COMPUTED_VALUE"""),358.44)</f>
        <v>358.44</v>
      </c>
      <c r="C20" s="2">
        <f>IFERROR(__xludf.DUMMYFUNCTION("""COMPUTED_VALUE"""),360.95)</f>
        <v>360.95</v>
      </c>
      <c r="D20" s="2">
        <f>IFERROR(__xludf.DUMMYFUNCTION("""COMPUTED_VALUE"""),352.86)</f>
        <v>352.86</v>
      </c>
      <c r="E20" s="2">
        <f>IFERROR(__xludf.DUMMYFUNCTION("""COMPUTED_VALUE"""),353.11)</f>
        <v>353.11</v>
      </c>
      <c r="F20" s="2">
        <f>IFERROR(__xludf.DUMMYFUNCTION("""COMPUTED_VALUE"""),5127593.0)</f>
        <v>5127593</v>
      </c>
    </row>
    <row r="21">
      <c r="A21" s="3">
        <f>IFERROR(__xludf.DUMMYFUNCTION("""COMPUTED_VALUE"""),44957.66666666667)</f>
        <v>44957.66667</v>
      </c>
      <c r="B21" s="2">
        <f>IFERROR(__xludf.DUMMYFUNCTION("""COMPUTED_VALUE"""),349.98)</f>
        <v>349.98</v>
      </c>
      <c r="C21" s="2">
        <f>IFERROR(__xludf.DUMMYFUNCTION("""COMPUTED_VALUE"""),355.95)</f>
        <v>355.95</v>
      </c>
      <c r="D21" s="2">
        <f>IFERROR(__xludf.DUMMYFUNCTION("""COMPUTED_VALUE"""),348.71)</f>
        <v>348.71</v>
      </c>
      <c r="E21" s="2">
        <f>IFERROR(__xludf.DUMMYFUNCTION("""COMPUTED_VALUE"""),353.86)</f>
        <v>353.86</v>
      </c>
      <c r="F21" s="2">
        <f>IFERROR(__xludf.DUMMYFUNCTION("""COMPUTED_VALUE"""),5660738.0)</f>
        <v>5660738</v>
      </c>
    </row>
    <row r="22">
      <c r="A22" s="3">
        <f>IFERROR(__xludf.DUMMYFUNCTION("""COMPUTED_VALUE"""),44958.66666666667)</f>
        <v>44958.66667</v>
      </c>
      <c r="B22" s="2">
        <f>IFERROR(__xludf.DUMMYFUNCTION("""COMPUTED_VALUE"""),353.86)</f>
        <v>353.86</v>
      </c>
      <c r="C22" s="2">
        <f>IFERROR(__xludf.DUMMYFUNCTION("""COMPUTED_VALUE"""),365.39)</f>
        <v>365.39</v>
      </c>
      <c r="D22" s="2">
        <f>IFERROR(__xludf.DUMMYFUNCTION("""COMPUTED_VALUE"""),349.91)</f>
        <v>349.91</v>
      </c>
      <c r="E22" s="2">
        <f>IFERROR(__xludf.DUMMYFUNCTION("""COMPUTED_VALUE"""),361.99)</f>
        <v>361.99</v>
      </c>
      <c r="F22" s="2">
        <f>IFERROR(__xludf.DUMMYFUNCTION("""COMPUTED_VALUE"""),8005170.0)</f>
        <v>8005170</v>
      </c>
    </row>
    <row r="23">
      <c r="A23" s="3">
        <f>IFERROR(__xludf.DUMMYFUNCTION("""COMPUTED_VALUE"""),44959.66666666667)</f>
        <v>44959.66667</v>
      </c>
      <c r="B23" s="2">
        <f>IFERROR(__xludf.DUMMYFUNCTION("""COMPUTED_VALUE"""),365.16)</f>
        <v>365.16</v>
      </c>
      <c r="C23" s="2">
        <f>IFERROR(__xludf.DUMMYFUNCTION("""COMPUTED_VALUE"""),368.32)</f>
        <v>368.32</v>
      </c>
      <c r="D23" s="2">
        <f>IFERROR(__xludf.DUMMYFUNCTION("""COMPUTED_VALUE"""),358.43)</f>
        <v>358.43</v>
      </c>
      <c r="E23" s="2">
        <f>IFERROR(__xludf.DUMMYFUNCTION("""COMPUTED_VALUE"""),366.89)</f>
        <v>366.89</v>
      </c>
      <c r="F23" s="2">
        <f>IFERROR(__xludf.DUMMYFUNCTION("""COMPUTED_VALUE"""),7856952.0)</f>
        <v>7856952</v>
      </c>
    </row>
    <row r="24">
      <c r="A24" s="3">
        <f>IFERROR(__xludf.DUMMYFUNCTION("""COMPUTED_VALUE"""),44960.66666666667)</f>
        <v>44960.66667</v>
      </c>
      <c r="B24" s="2">
        <f>IFERROR(__xludf.DUMMYFUNCTION("""COMPUTED_VALUE"""),359.08)</f>
        <v>359.08</v>
      </c>
      <c r="C24" s="2">
        <f>IFERROR(__xludf.DUMMYFUNCTION("""COMPUTED_VALUE"""),379.43)</f>
        <v>379.43</v>
      </c>
      <c r="D24" s="2">
        <f>IFERROR(__xludf.DUMMYFUNCTION("""COMPUTED_VALUE"""),359.0)</f>
        <v>359</v>
      </c>
      <c r="E24" s="2">
        <f>IFERROR(__xludf.DUMMYFUNCTION("""COMPUTED_VALUE"""),365.9)</f>
        <v>365.9</v>
      </c>
      <c r="F24" s="2">
        <f>IFERROR(__xludf.DUMMYFUNCTION("""COMPUTED_VALUE"""),9402034.0)</f>
        <v>9402034</v>
      </c>
    </row>
    <row r="25">
      <c r="A25" s="3">
        <f>IFERROR(__xludf.DUMMYFUNCTION("""COMPUTED_VALUE"""),44963.66666666667)</f>
        <v>44963.66667</v>
      </c>
      <c r="B25" s="2">
        <f>IFERROR(__xludf.DUMMYFUNCTION("""COMPUTED_VALUE"""),363.64)</f>
        <v>363.64</v>
      </c>
      <c r="C25" s="2">
        <f>IFERROR(__xludf.DUMMYFUNCTION("""COMPUTED_VALUE"""),368.45)</f>
        <v>368.45</v>
      </c>
      <c r="D25" s="2">
        <f>IFERROR(__xludf.DUMMYFUNCTION("""COMPUTED_VALUE"""),360.68)</f>
        <v>360.68</v>
      </c>
      <c r="E25" s="2">
        <f>IFERROR(__xludf.DUMMYFUNCTION("""COMPUTED_VALUE"""),361.48)</f>
        <v>361.48</v>
      </c>
      <c r="F25" s="2">
        <f>IFERROR(__xludf.DUMMYFUNCTION("""COMPUTED_VALUE"""),4994942.0)</f>
        <v>4994942</v>
      </c>
    </row>
    <row r="26">
      <c r="A26" s="3">
        <f>IFERROR(__xludf.DUMMYFUNCTION("""COMPUTED_VALUE"""),44964.66666666667)</f>
        <v>44964.66667</v>
      </c>
      <c r="B26" s="2">
        <f>IFERROR(__xludf.DUMMYFUNCTION("""COMPUTED_VALUE"""),358.51)</f>
        <v>358.51</v>
      </c>
      <c r="C26" s="2">
        <f>IFERROR(__xludf.DUMMYFUNCTION("""COMPUTED_VALUE"""),364.18)</f>
        <v>364.18</v>
      </c>
      <c r="D26" s="2">
        <f>IFERROR(__xludf.DUMMYFUNCTION("""COMPUTED_VALUE"""),354.18)</f>
        <v>354.18</v>
      </c>
      <c r="E26" s="2">
        <f>IFERROR(__xludf.DUMMYFUNCTION("""COMPUTED_VALUE"""),362.95)</f>
        <v>362.95</v>
      </c>
      <c r="F26" s="2">
        <f>IFERROR(__xludf.DUMMYFUNCTION("""COMPUTED_VALUE"""),6289368.0)</f>
        <v>6289368</v>
      </c>
    </row>
    <row r="27">
      <c r="A27" s="3">
        <f>IFERROR(__xludf.DUMMYFUNCTION("""COMPUTED_VALUE"""),44965.66666666667)</f>
        <v>44965.66667</v>
      </c>
      <c r="B27" s="2">
        <f>IFERROR(__xludf.DUMMYFUNCTION("""COMPUTED_VALUE"""),360.02)</f>
        <v>360.02</v>
      </c>
      <c r="C27" s="2">
        <f>IFERROR(__xludf.DUMMYFUNCTION("""COMPUTED_VALUE"""),368.19)</f>
        <v>368.19</v>
      </c>
      <c r="D27" s="2">
        <f>IFERROR(__xludf.DUMMYFUNCTION("""COMPUTED_VALUE"""),358.31)</f>
        <v>358.31</v>
      </c>
      <c r="E27" s="2">
        <f>IFERROR(__xludf.DUMMYFUNCTION("""COMPUTED_VALUE"""),366.83)</f>
        <v>366.83</v>
      </c>
      <c r="F27" s="2">
        <f>IFERROR(__xludf.DUMMYFUNCTION("""COMPUTED_VALUE"""),6253179.0)</f>
        <v>6253179</v>
      </c>
    </row>
    <row r="28">
      <c r="A28" s="3">
        <f>IFERROR(__xludf.DUMMYFUNCTION("""COMPUTED_VALUE"""),44966.66666666667)</f>
        <v>44966.66667</v>
      </c>
      <c r="B28" s="2">
        <f>IFERROR(__xludf.DUMMYFUNCTION("""COMPUTED_VALUE"""),372.41)</f>
        <v>372.41</v>
      </c>
      <c r="C28" s="2">
        <f>IFERROR(__xludf.DUMMYFUNCTION("""COMPUTED_VALUE"""),373.83)</f>
        <v>373.83</v>
      </c>
      <c r="D28" s="2">
        <f>IFERROR(__xludf.DUMMYFUNCTION("""COMPUTED_VALUE"""),361.74)</f>
        <v>361.74</v>
      </c>
      <c r="E28" s="2">
        <f>IFERROR(__xludf.DUMMYFUNCTION("""COMPUTED_VALUE"""),362.5)</f>
        <v>362.5</v>
      </c>
      <c r="F28" s="2">
        <f>IFERROR(__xludf.DUMMYFUNCTION("""COMPUTED_VALUE"""),6901100.0)</f>
        <v>6901100</v>
      </c>
    </row>
    <row r="29">
      <c r="A29" s="3">
        <f>IFERROR(__xludf.DUMMYFUNCTION("""COMPUTED_VALUE"""),44967.66666666667)</f>
        <v>44967.66667</v>
      </c>
      <c r="B29" s="2">
        <f>IFERROR(__xludf.DUMMYFUNCTION("""COMPUTED_VALUE"""),359.16)</f>
        <v>359.16</v>
      </c>
      <c r="C29" s="2">
        <f>IFERROR(__xludf.DUMMYFUNCTION("""COMPUTED_VALUE"""),362.14)</f>
        <v>362.14</v>
      </c>
      <c r="D29" s="2">
        <f>IFERROR(__xludf.DUMMYFUNCTION("""COMPUTED_VALUE"""),347.14)</f>
        <v>347.14</v>
      </c>
      <c r="E29" s="2">
        <f>IFERROR(__xludf.DUMMYFUNCTION("""COMPUTED_VALUE"""),347.36)</f>
        <v>347.36</v>
      </c>
      <c r="F29" s="2">
        <f>IFERROR(__xludf.DUMMYFUNCTION("""COMPUTED_VALUE"""),7291096.0)</f>
        <v>7291096</v>
      </c>
    </row>
    <row r="30">
      <c r="A30" s="3">
        <f>IFERROR(__xludf.DUMMYFUNCTION("""COMPUTED_VALUE"""),44970.66666666667)</f>
        <v>44970.66667</v>
      </c>
      <c r="B30" s="2">
        <f>IFERROR(__xludf.DUMMYFUNCTION("""COMPUTED_VALUE"""),349.5)</f>
        <v>349.5</v>
      </c>
      <c r="C30" s="2">
        <f>IFERROR(__xludf.DUMMYFUNCTION("""COMPUTED_VALUE"""),359.7)</f>
        <v>359.7</v>
      </c>
      <c r="D30" s="2">
        <f>IFERROR(__xludf.DUMMYFUNCTION("""COMPUTED_VALUE"""),344.25)</f>
        <v>344.25</v>
      </c>
      <c r="E30" s="2">
        <f>IFERROR(__xludf.DUMMYFUNCTION("""COMPUTED_VALUE"""),358.57)</f>
        <v>358.57</v>
      </c>
      <c r="F30" s="2">
        <f>IFERROR(__xludf.DUMMYFUNCTION("""COMPUTED_VALUE"""),7134445.0)</f>
        <v>7134445</v>
      </c>
    </row>
    <row r="31">
      <c r="A31" s="3">
        <f>IFERROR(__xludf.DUMMYFUNCTION("""COMPUTED_VALUE"""),44971.66666666667)</f>
        <v>44971.66667</v>
      </c>
      <c r="B31" s="2">
        <f>IFERROR(__xludf.DUMMYFUNCTION("""COMPUTED_VALUE"""),357.55)</f>
        <v>357.55</v>
      </c>
      <c r="C31" s="2">
        <f>IFERROR(__xludf.DUMMYFUNCTION("""COMPUTED_VALUE"""),363.75)</f>
        <v>363.75</v>
      </c>
      <c r="D31" s="2">
        <f>IFERROR(__xludf.DUMMYFUNCTION("""COMPUTED_VALUE"""),353.4)</f>
        <v>353.4</v>
      </c>
      <c r="E31" s="2">
        <f>IFERROR(__xludf.DUMMYFUNCTION("""COMPUTED_VALUE"""),359.96)</f>
        <v>359.96</v>
      </c>
      <c r="F31" s="2">
        <f>IFERROR(__xludf.DUMMYFUNCTION("""COMPUTED_VALUE"""),4624758.0)</f>
        <v>4624758</v>
      </c>
    </row>
    <row r="32">
      <c r="A32" s="3">
        <f>IFERROR(__xludf.DUMMYFUNCTION("""COMPUTED_VALUE"""),44972.66666666667)</f>
        <v>44972.66667</v>
      </c>
      <c r="B32" s="2">
        <f>IFERROR(__xludf.DUMMYFUNCTION("""COMPUTED_VALUE"""),356.63)</f>
        <v>356.63</v>
      </c>
      <c r="C32" s="2">
        <f>IFERROR(__xludf.DUMMYFUNCTION("""COMPUTED_VALUE"""),362.88)</f>
        <v>362.88</v>
      </c>
      <c r="D32" s="2">
        <f>IFERROR(__xludf.DUMMYFUNCTION("""COMPUTED_VALUE"""),354.24)</f>
        <v>354.24</v>
      </c>
      <c r="E32" s="2">
        <f>IFERROR(__xludf.DUMMYFUNCTION("""COMPUTED_VALUE"""),361.42)</f>
        <v>361.42</v>
      </c>
      <c r="F32" s="2">
        <f>IFERROR(__xludf.DUMMYFUNCTION("""COMPUTED_VALUE"""),3969945.0)</f>
        <v>3969945</v>
      </c>
    </row>
    <row r="33">
      <c r="A33" s="3">
        <f>IFERROR(__xludf.DUMMYFUNCTION("""COMPUTED_VALUE"""),44973.66666666667)</f>
        <v>44973.66667</v>
      </c>
      <c r="B33" s="2">
        <f>IFERROR(__xludf.DUMMYFUNCTION("""COMPUTED_VALUE"""),355.0)</f>
        <v>355</v>
      </c>
      <c r="C33" s="2">
        <f>IFERROR(__xludf.DUMMYFUNCTION("""COMPUTED_VALUE"""),361.5)</f>
        <v>361.5</v>
      </c>
      <c r="D33" s="2">
        <f>IFERROR(__xludf.DUMMYFUNCTION("""COMPUTED_VALUE"""),350.31)</f>
        <v>350.31</v>
      </c>
      <c r="E33" s="2">
        <f>IFERROR(__xludf.DUMMYFUNCTION("""COMPUTED_VALUE"""),350.71)</f>
        <v>350.71</v>
      </c>
      <c r="F33" s="2">
        <f>IFERROR(__xludf.DUMMYFUNCTION("""COMPUTED_VALUE"""),5215726.0)</f>
        <v>5215726</v>
      </c>
    </row>
    <row r="34">
      <c r="A34" s="3">
        <f>IFERROR(__xludf.DUMMYFUNCTION("""COMPUTED_VALUE"""),44974.66666666667)</f>
        <v>44974.66667</v>
      </c>
      <c r="B34" s="2">
        <f>IFERROR(__xludf.DUMMYFUNCTION("""COMPUTED_VALUE"""),347.91)</f>
        <v>347.91</v>
      </c>
      <c r="C34" s="2">
        <f>IFERROR(__xludf.DUMMYFUNCTION("""COMPUTED_VALUE"""),349.0)</f>
        <v>349</v>
      </c>
      <c r="D34" s="2">
        <f>IFERROR(__xludf.DUMMYFUNCTION("""COMPUTED_VALUE"""),342.44)</f>
        <v>342.44</v>
      </c>
      <c r="E34" s="2">
        <f>IFERROR(__xludf.DUMMYFUNCTION("""COMPUTED_VALUE"""),347.96)</f>
        <v>347.96</v>
      </c>
      <c r="F34" s="2">
        <f>IFERROR(__xludf.DUMMYFUNCTION("""COMPUTED_VALUE"""),5294727.0)</f>
        <v>5294727</v>
      </c>
    </row>
    <row r="35">
      <c r="A35" s="3">
        <f>IFERROR(__xludf.DUMMYFUNCTION("""COMPUTED_VALUE"""),44978.66666666667)</f>
        <v>44978.66667</v>
      </c>
      <c r="B35" s="2">
        <f>IFERROR(__xludf.DUMMYFUNCTION("""COMPUTED_VALUE"""),342.85)</f>
        <v>342.85</v>
      </c>
      <c r="C35" s="2">
        <f>IFERROR(__xludf.DUMMYFUNCTION("""COMPUTED_VALUE"""),344.13)</f>
        <v>344.13</v>
      </c>
      <c r="D35" s="2">
        <f>IFERROR(__xludf.DUMMYFUNCTION("""COMPUTED_VALUE"""),336.42)</f>
        <v>336.42</v>
      </c>
      <c r="E35" s="2">
        <f>IFERROR(__xludf.DUMMYFUNCTION("""COMPUTED_VALUE"""),337.5)</f>
        <v>337.5</v>
      </c>
      <c r="F35" s="2">
        <f>IFERROR(__xludf.DUMMYFUNCTION("""COMPUTED_VALUE"""),5710292.0)</f>
        <v>5710292</v>
      </c>
    </row>
    <row r="36">
      <c r="A36" s="3">
        <f>IFERROR(__xludf.DUMMYFUNCTION("""COMPUTED_VALUE"""),44979.66666666667)</f>
        <v>44979.66667</v>
      </c>
      <c r="B36" s="2">
        <f>IFERROR(__xludf.DUMMYFUNCTION("""COMPUTED_VALUE"""),337.5)</f>
        <v>337.5</v>
      </c>
      <c r="C36" s="2">
        <f>IFERROR(__xludf.DUMMYFUNCTION("""COMPUTED_VALUE"""),341.91)</f>
        <v>341.91</v>
      </c>
      <c r="D36" s="2">
        <f>IFERROR(__xludf.DUMMYFUNCTION("""COMPUTED_VALUE"""),332.82)</f>
        <v>332.82</v>
      </c>
      <c r="E36" s="2">
        <f>IFERROR(__xludf.DUMMYFUNCTION("""COMPUTED_VALUE"""),334.88)</f>
        <v>334.88</v>
      </c>
      <c r="F36" s="2">
        <f>IFERROR(__xludf.DUMMYFUNCTION("""COMPUTED_VALUE"""),4546249.0)</f>
        <v>4546249</v>
      </c>
    </row>
    <row r="37">
      <c r="A37" s="3">
        <f>IFERROR(__xludf.DUMMYFUNCTION("""COMPUTED_VALUE"""),44980.66666666667)</f>
        <v>44980.66667</v>
      </c>
      <c r="B37" s="2">
        <f>IFERROR(__xludf.DUMMYFUNCTION("""COMPUTED_VALUE"""),331.23)</f>
        <v>331.23</v>
      </c>
      <c r="C37" s="2">
        <f>IFERROR(__xludf.DUMMYFUNCTION("""COMPUTED_VALUE"""),331.28)</f>
        <v>331.28</v>
      </c>
      <c r="D37" s="2">
        <f>IFERROR(__xludf.DUMMYFUNCTION("""COMPUTED_VALUE"""),314.3)</f>
        <v>314.3</v>
      </c>
      <c r="E37" s="2">
        <f>IFERROR(__xludf.DUMMYFUNCTION("""COMPUTED_VALUE"""),323.65)</f>
        <v>323.65</v>
      </c>
      <c r="F37" s="2">
        <f>IFERROR(__xludf.DUMMYFUNCTION("""COMPUTED_VALUE"""),1.3238673E7)</f>
        <v>13238673</v>
      </c>
    </row>
    <row r="38">
      <c r="A38" s="3">
        <f>IFERROR(__xludf.DUMMYFUNCTION("""COMPUTED_VALUE"""),44981.66666666667)</f>
        <v>44981.66667</v>
      </c>
      <c r="B38" s="2">
        <f>IFERROR(__xludf.DUMMYFUNCTION("""COMPUTED_VALUE"""),319.3)</f>
        <v>319.3</v>
      </c>
      <c r="C38" s="2">
        <f>IFERROR(__xludf.DUMMYFUNCTION("""COMPUTED_VALUE"""),321.5)</f>
        <v>321.5</v>
      </c>
      <c r="D38" s="2">
        <f>IFERROR(__xludf.DUMMYFUNCTION("""COMPUTED_VALUE"""),314.52)</f>
        <v>314.52</v>
      </c>
      <c r="E38" s="2">
        <f>IFERROR(__xludf.DUMMYFUNCTION("""COMPUTED_VALUE"""),317.15)</f>
        <v>317.15</v>
      </c>
      <c r="F38" s="2">
        <f>IFERROR(__xludf.DUMMYFUNCTION("""COMPUTED_VALUE"""),6830692.0)</f>
        <v>6830692</v>
      </c>
    </row>
    <row r="39">
      <c r="A39" s="3">
        <f>IFERROR(__xludf.DUMMYFUNCTION("""COMPUTED_VALUE"""),44984.66666666667)</f>
        <v>44984.66667</v>
      </c>
      <c r="B39" s="2">
        <f>IFERROR(__xludf.DUMMYFUNCTION("""COMPUTED_VALUE"""),323.87)</f>
        <v>323.87</v>
      </c>
      <c r="C39" s="2">
        <f>IFERROR(__xludf.DUMMYFUNCTION("""COMPUTED_VALUE"""),330.0)</f>
        <v>330</v>
      </c>
      <c r="D39" s="2">
        <f>IFERROR(__xludf.DUMMYFUNCTION("""COMPUTED_VALUE"""),322.12)</f>
        <v>322.12</v>
      </c>
      <c r="E39" s="2">
        <f>IFERROR(__xludf.DUMMYFUNCTION("""COMPUTED_VALUE"""),323.03)</f>
        <v>323.03</v>
      </c>
      <c r="F39" s="2">
        <f>IFERROR(__xludf.DUMMYFUNCTION("""COMPUTED_VALUE"""),6142580.0)</f>
        <v>6142580</v>
      </c>
    </row>
    <row r="40">
      <c r="A40" s="3">
        <f>IFERROR(__xludf.DUMMYFUNCTION("""COMPUTED_VALUE"""),44985.66666666667)</f>
        <v>44985.66667</v>
      </c>
      <c r="B40" s="2">
        <f>IFERROR(__xludf.DUMMYFUNCTION("""COMPUTED_VALUE"""),323.7)</f>
        <v>323.7</v>
      </c>
      <c r="C40" s="2">
        <f>IFERROR(__xludf.DUMMYFUNCTION("""COMPUTED_VALUE"""),327.62)</f>
        <v>327.62</v>
      </c>
      <c r="D40" s="2">
        <f>IFERROR(__xludf.DUMMYFUNCTION("""COMPUTED_VALUE"""),321.17)</f>
        <v>321.17</v>
      </c>
      <c r="E40" s="2">
        <f>IFERROR(__xludf.DUMMYFUNCTION("""COMPUTED_VALUE"""),322.13)</f>
        <v>322.13</v>
      </c>
      <c r="F40" s="2">
        <f>IFERROR(__xludf.DUMMYFUNCTION("""COMPUTED_VALUE"""),3676075.0)</f>
        <v>3676075</v>
      </c>
    </row>
    <row r="41">
      <c r="A41" s="3">
        <f>IFERROR(__xludf.DUMMYFUNCTION("""COMPUTED_VALUE"""),44986.66666666667)</f>
        <v>44986.66667</v>
      </c>
      <c r="B41" s="2">
        <f>IFERROR(__xludf.DUMMYFUNCTION("""COMPUTED_VALUE"""),321.55)</f>
        <v>321.55</v>
      </c>
      <c r="C41" s="2">
        <f>IFERROR(__xludf.DUMMYFUNCTION("""COMPUTED_VALUE"""),326.6)</f>
        <v>326.6</v>
      </c>
      <c r="D41" s="2">
        <f>IFERROR(__xludf.DUMMYFUNCTION("""COMPUTED_VALUE"""),312.36)</f>
        <v>312.36</v>
      </c>
      <c r="E41" s="2">
        <f>IFERROR(__xludf.DUMMYFUNCTION("""COMPUTED_VALUE"""),313.48)</f>
        <v>313.48</v>
      </c>
      <c r="F41" s="2">
        <f>IFERROR(__xludf.DUMMYFUNCTION("""COMPUTED_VALUE"""),4911311.0)</f>
        <v>4911311</v>
      </c>
    </row>
    <row r="42">
      <c r="A42" s="3">
        <f>IFERROR(__xludf.DUMMYFUNCTION("""COMPUTED_VALUE"""),44987.66666666667)</f>
        <v>44987.66667</v>
      </c>
      <c r="B42" s="2">
        <f>IFERROR(__xludf.DUMMYFUNCTION("""COMPUTED_VALUE"""),310.96)</f>
        <v>310.96</v>
      </c>
      <c r="C42" s="2">
        <f>IFERROR(__xludf.DUMMYFUNCTION("""COMPUTED_VALUE"""),315.57)</f>
        <v>315.57</v>
      </c>
      <c r="D42" s="2">
        <f>IFERROR(__xludf.DUMMYFUNCTION("""COMPUTED_VALUE"""),310.38)</f>
        <v>310.38</v>
      </c>
      <c r="E42" s="2">
        <f>IFERROR(__xludf.DUMMYFUNCTION("""COMPUTED_VALUE"""),311.88)</f>
        <v>311.88</v>
      </c>
      <c r="F42" s="2">
        <f>IFERROR(__xludf.DUMMYFUNCTION("""COMPUTED_VALUE"""),4921053.0)</f>
        <v>4921053</v>
      </c>
    </row>
    <row r="43">
      <c r="A43" s="3">
        <f>IFERROR(__xludf.DUMMYFUNCTION("""COMPUTED_VALUE"""),44988.66666666667)</f>
        <v>44988.66667</v>
      </c>
      <c r="B43" s="2">
        <f>IFERROR(__xludf.DUMMYFUNCTION("""COMPUTED_VALUE"""),315.45)</f>
        <v>315.45</v>
      </c>
      <c r="C43" s="2">
        <f>IFERROR(__xludf.DUMMYFUNCTION("""COMPUTED_VALUE"""),317.49)</f>
        <v>317.49</v>
      </c>
      <c r="D43" s="2">
        <f>IFERROR(__xludf.DUMMYFUNCTION("""COMPUTED_VALUE"""),310.82)</f>
        <v>310.82</v>
      </c>
      <c r="E43" s="2">
        <f>IFERROR(__xludf.DUMMYFUNCTION("""COMPUTED_VALUE"""),315.18)</f>
        <v>315.18</v>
      </c>
      <c r="F43" s="2">
        <f>IFERROR(__xludf.DUMMYFUNCTION("""COMPUTED_VALUE"""),5953319.0)</f>
        <v>5953319</v>
      </c>
    </row>
    <row r="44">
      <c r="A44" s="3">
        <f>IFERROR(__xludf.DUMMYFUNCTION("""COMPUTED_VALUE"""),44991.66666666667)</f>
        <v>44991.66667</v>
      </c>
      <c r="B44" s="2">
        <f>IFERROR(__xludf.DUMMYFUNCTION("""COMPUTED_VALUE"""),317.0)</f>
        <v>317</v>
      </c>
      <c r="C44" s="2">
        <f>IFERROR(__xludf.DUMMYFUNCTION("""COMPUTED_VALUE"""),323.3)</f>
        <v>323.3</v>
      </c>
      <c r="D44" s="2">
        <f>IFERROR(__xludf.DUMMYFUNCTION("""COMPUTED_VALUE"""),311.84)</f>
        <v>311.84</v>
      </c>
      <c r="E44" s="2">
        <f>IFERROR(__xludf.DUMMYFUNCTION("""COMPUTED_VALUE"""),312.03)</f>
        <v>312.03</v>
      </c>
      <c r="F44" s="2">
        <f>IFERROR(__xludf.DUMMYFUNCTION("""COMPUTED_VALUE"""),5660743.0)</f>
        <v>5660743</v>
      </c>
    </row>
    <row r="45">
      <c r="A45" s="3">
        <f>IFERROR(__xludf.DUMMYFUNCTION("""COMPUTED_VALUE"""),44992.66666666667)</f>
        <v>44992.66667</v>
      </c>
      <c r="B45" s="2">
        <f>IFERROR(__xludf.DUMMYFUNCTION("""COMPUTED_VALUE"""),312.68)</f>
        <v>312.68</v>
      </c>
      <c r="C45" s="2">
        <f>IFERROR(__xludf.DUMMYFUNCTION("""COMPUTED_VALUE"""),314.3)</f>
        <v>314.3</v>
      </c>
      <c r="D45" s="2">
        <f>IFERROR(__xludf.DUMMYFUNCTION("""COMPUTED_VALUE"""),306.62)</f>
        <v>306.62</v>
      </c>
      <c r="E45" s="2">
        <f>IFERROR(__xludf.DUMMYFUNCTION("""COMPUTED_VALUE"""),308.47)</f>
        <v>308.47</v>
      </c>
      <c r="F45" s="2">
        <f>IFERROR(__xludf.DUMMYFUNCTION("""COMPUTED_VALUE"""),4553082.0)</f>
        <v>4553082</v>
      </c>
    </row>
    <row r="46">
      <c r="A46" s="3">
        <f>IFERROR(__xludf.DUMMYFUNCTION("""COMPUTED_VALUE"""),44993.66666666667)</f>
        <v>44993.66667</v>
      </c>
      <c r="B46" s="2">
        <f>IFERROR(__xludf.DUMMYFUNCTION("""COMPUTED_VALUE"""),309.29)</f>
        <v>309.29</v>
      </c>
      <c r="C46" s="2">
        <f>IFERROR(__xludf.DUMMYFUNCTION("""COMPUTED_VALUE"""),311.83)</f>
        <v>311.83</v>
      </c>
      <c r="D46" s="2">
        <f>IFERROR(__xludf.DUMMYFUNCTION("""COMPUTED_VALUE"""),305.75)</f>
        <v>305.75</v>
      </c>
      <c r="E46" s="2">
        <f>IFERROR(__xludf.DUMMYFUNCTION("""COMPUTED_VALUE"""),311.79)</f>
        <v>311.79</v>
      </c>
      <c r="F46" s="2">
        <f>IFERROR(__xludf.DUMMYFUNCTION("""COMPUTED_VALUE"""),3479474.0)</f>
        <v>3479474</v>
      </c>
    </row>
    <row r="47">
      <c r="A47" s="3">
        <f>IFERROR(__xludf.DUMMYFUNCTION("""COMPUTED_VALUE"""),44994.66666666667)</f>
        <v>44994.66667</v>
      </c>
      <c r="B47" s="2">
        <f>IFERROR(__xludf.DUMMYFUNCTION("""COMPUTED_VALUE"""),312.08)</f>
        <v>312.08</v>
      </c>
      <c r="C47" s="2">
        <f>IFERROR(__xludf.DUMMYFUNCTION("""COMPUTED_VALUE"""),312.51)</f>
        <v>312.51</v>
      </c>
      <c r="D47" s="2">
        <f>IFERROR(__xludf.DUMMYFUNCTION("""COMPUTED_VALUE"""),294.88)</f>
        <v>294.88</v>
      </c>
      <c r="E47" s="2">
        <f>IFERROR(__xludf.DUMMYFUNCTION("""COMPUTED_VALUE"""),297.78)</f>
        <v>297.78</v>
      </c>
      <c r="F47" s="2">
        <f>IFERROR(__xludf.DUMMYFUNCTION("""COMPUTED_VALUE"""),7443350.0)</f>
        <v>7443350</v>
      </c>
    </row>
    <row r="48">
      <c r="A48" s="3">
        <f>IFERROR(__xludf.DUMMYFUNCTION("""COMPUTED_VALUE"""),44995.66666666667)</f>
        <v>44995.66667</v>
      </c>
      <c r="B48" s="2">
        <f>IFERROR(__xludf.DUMMYFUNCTION("""COMPUTED_VALUE"""),297.9)</f>
        <v>297.9</v>
      </c>
      <c r="C48" s="2">
        <f>IFERROR(__xludf.DUMMYFUNCTION("""COMPUTED_VALUE"""),298.79)</f>
        <v>298.79</v>
      </c>
      <c r="D48" s="2">
        <f>IFERROR(__xludf.DUMMYFUNCTION("""COMPUTED_VALUE"""),289.0)</f>
        <v>289</v>
      </c>
      <c r="E48" s="2">
        <f>IFERROR(__xludf.DUMMYFUNCTION("""COMPUTED_VALUE"""),292.76)</f>
        <v>292.76</v>
      </c>
      <c r="F48" s="2">
        <f>IFERROR(__xludf.DUMMYFUNCTION("""COMPUTED_VALUE"""),5759315.0)</f>
        <v>5759315</v>
      </c>
    </row>
    <row r="49">
      <c r="A49" s="3">
        <f>IFERROR(__xludf.DUMMYFUNCTION("""COMPUTED_VALUE"""),44998.66666666667)</f>
        <v>44998.66667</v>
      </c>
      <c r="B49" s="2">
        <f>IFERROR(__xludf.DUMMYFUNCTION("""COMPUTED_VALUE"""),287.34)</f>
        <v>287.34</v>
      </c>
      <c r="C49" s="2">
        <f>IFERROR(__xludf.DUMMYFUNCTION("""COMPUTED_VALUE"""),299.24)</f>
        <v>299.24</v>
      </c>
      <c r="D49" s="2">
        <f>IFERROR(__xludf.DUMMYFUNCTION("""COMPUTED_VALUE"""),285.33)</f>
        <v>285.33</v>
      </c>
      <c r="E49" s="2">
        <f>IFERROR(__xludf.DUMMYFUNCTION("""COMPUTED_VALUE"""),293.51)</f>
        <v>293.51</v>
      </c>
      <c r="F49" s="2">
        <f>IFERROR(__xludf.DUMMYFUNCTION("""COMPUTED_VALUE"""),6292385.0)</f>
        <v>6292385</v>
      </c>
    </row>
    <row r="50">
      <c r="A50" s="3">
        <f>IFERROR(__xludf.DUMMYFUNCTION("""COMPUTED_VALUE"""),44999.66666666667)</f>
        <v>44999.66667</v>
      </c>
      <c r="B50" s="2">
        <f>IFERROR(__xludf.DUMMYFUNCTION("""COMPUTED_VALUE"""),295.97)</f>
        <v>295.97</v>
      </c>
      <c r="C50" s="2">
        <f>IFERROR(__xludf.DUMMYFUNCTION("""COMPUTED_VALUE"""),297.45)</f>
        <v>297.45</v>
      </c>
      <c r="D50" s="2">
        <f>IFERROR(__xludf.DUMMYFUNCTION("""COMPUTED_VALUE"""),290.31)</f>
        <v>290.31</v>
      </c>
      <c r="E50" s="2">
        <f>IFERROR(__xludf.DUMMYFUNCTION("""COMPUTED_VALUE"""),294.94)</f>
        <v>294.94</v>
      </c>
      <c r="F50" s="2">
        <f>IFERROR(__xludf.DUMMYFUNCTION("""COMPUTED_VALUE"""),5956692.0)</f>
        <v>5956692</v>
      </c>
    </row>
    <row r="51">
      <c r="A51" s="3">
        <f>IFERROR(__xludf.DUMMYFUNCTION("""COMPUTED_VALUE"""),45000.66666666667)</f>
        <v>45000.66667</v>
      </c>
      <c r="B51" s="2">
        <f>IFERROR(__xludf.DUMMYFUNCTION("""COMPUTED_VALUE"""),292.51)</f>
        <v>292.51</v>
      </c>
      <c r="C51" s="2">
        <f>IFERROR(__xludf.DUMMYFUNCTION("""COMPUTED_VALUE"""),306.31)</f>
        <v>306.31</v>
      </c>
      <c r="D51" s="2">
        <f>IFERROR(__xludf.DUMMYFUNCTION("""COMPUTED_VALUE"""),292.28)</f>
        <v>292.28</v>
      </c>
      <c r="E51" s="2">
        <f>IFERROR(__xludf.DUMMYFUNCTION("""COMPUTED_VALUE"""),303.79)</f>
        <v>303.79</v>
      </c>
      <c r="F51" s="2">
        <f>IFERROR(__xludf.DUMMYFUNCTION("""COMPUTED_VALUE"""),9215340.0)</f>
        <v>9215340</v>
      </c>
    </row>
    <row r="52">
      <c r="A52" s="3">
        <f>IFERROR(__xludf.DUMMYFUNCTION("""COMPUTED_VALUE"""),45001.66666666667)</f>
        <v>45001.66667</v>
      </c>
      <c r="B52" s="2">
        <f>IFERROR(__xludf.DUMMYFUNCTION("""COMPUTED_VALUE"""),304.75)</f>
        <v>304.75</v>
      </c>
      <c r="C52" s="2">
        <f>IFERROR(__xludf.DUMMYFUNCTION("""COMPUTED_VALUE"""),316.6)</f>
        <v>316.6</v>
      </c>
      <c r="D52" s="2">
        <f>IFERROR(__xludf.DUMMYFUNCTION("""COMPUTED_VALUE"""),301.71)</f>
        <v>301.71</v>
      </c>
      <c r="E52" s="2">
        <f>IFERROR(__xludf.DUMMYFUNCTION("""COMPUTED_VALUE"""),310.06)</f>
        <v>310.06</v>
      </c>
      <c r="F52" s="2">
        <f>IFERROR(__xludf.DUMMYFUNCTION("""COMPUTED_VALUE"""),7912371.0)</f>
        <v>7912371</v>
      </c>
    </row>
    <row r="53">
      <c r="A53" s="3">
        <f>IFERROR(__xludf.DUMMYFUNCTION("""COMPUTED_VALUE"""),45002.66666666667)</f>
        <v>45002.66667</v>
      </c>
      <c r="B53" s="2">
        <f>IFERROR(__xludf.DUMMYFUNCTION("""COMPUTED_VALUE"""),310.06)</f>
        <v>310.06</v>
      </c>
      <c r="C53" s="2">
        <f>IFERROR(__xludf.DUMMYFUNCTION("""COMPUTED_VALUE"""),310.76)</f>
        <v>310.76</v>
      </c>
      <c r="D53" s="2">
        <f>IFERROR(__xludf.DUMMYFUNCTION("""COMPUTED_VALUE"""),300.0)</f>
        <v>300</v>
      </c>
      <c r="E53" s="2">
        <f>IFERROR(__xludf.DUMMYFUNCTION("""COMPUTED_VALUE"""),303.5)</f>
        <v>303.5</v>
      </c>
      <c r="F53" s="2">
        <f>IFERROR(__xludf.DUMMYFUNCTION("""COMPUTED_VALUE"""),6918777.0)</f>
        <v>6918777</v>
      </c>
    </row>
    <row r="54">
      <c r="A54" s="3">
        <f>IFERROR(__xludf.DUMMYFUNCTION("""COMPUTED_VALUE"""),45005.66666666667)</f>
        <v>45005.66667</v>
      </c>
      <c r="B54" s="2">
        <f>IFERROR(__xludf.DUMMYFUNCTION("""COMPUTED_VALUE"""),299.79)</f>
        <v>299.79</v>
      </c>
      <c r="C54" s="2">
        <f>IFERROR(__xludf.DUMMYFUNCTION("""COMPUTED_VALUE"""),307.5)</f>
        <v>307.5</v>
      </c>
      <c r="D54" s="2">
        <f>IFERROR(__xludf.DUMMYFUNCTION("""COMPUTED_VALUE"""),296.0)</f>
        <v>296</v>
      </c>
      <c r="E54" s="2">
        <f>IFERROR(__xludf.DUMMYFUNCTION("""COMPUTED_VALUE"""),305.13)</f>
        <v>305.13</v>
      </c>
      <c r="F54" s="2">
        <f>IFERROR(__xludf.DUMMYFUNCTION("""COMPUTED_VALUE"""),5113430.0)</f>
        <v>5113430</v>
      </c>
    </row>
    <row r="55">
      <c r="A55" s="3">
        <f>IFERROR(__xludf.DUMMYFUNCTION("""COMPUTED_VALUE"""),45006.66666666667)</f>
        <v>45006.66667</v>
      </c>
      <c r="B55" s="2">
        <f>IFERROR(__xludf.DUMMYFUNCTION("""COMPUTED_VALUE"""),306.32)</f>
        <v>306.32</v>
      </c>
      <c r="C55" s="2">
        <f>IFERROR(__xludf.DUMMYFUNCTION("""COMPUTED_VALUE"""),307.92)</f>
        <v>307.92</v>
      </c>
      <c r="D55" s="2">
        <f>IFERROR(__xludf.DUMMYFUNCTION("""COMPUTED_VALUE"""),300.43)</f>
        <v>300.43</v>
      </c>
      <c r="E55" s="2">
        <f>IFERROR(__xludf.DUMMYFUNCTION("""COMPUTED_VALUE"""),305.79)</f>
        <v>305.79</v>
      </c>
      <c r="F55" s="2">
        <f>IFERROR(__xludf.DUMMYFUNCTION("""COMPUTED_VALUE"""),4886279.0)</f>
        <v>4886279</v>
      </c>
    </row>
    <row r="56">
      <c r="A56" s="3">
        <f>IFERROR(__xludf.DUMMYFUNCTION("""COMPUTED_VALUE"""),45007.66666666667)</f>
        <v>45007.66667</v>
      </c>
      <c r="B56" s="2">
        <f>IFERROR(__xludf.DUMMYFUNCTION("""COMPUTED_VALUE"""),306.31)</f>
        <v>306.31</v>
      </c>
      <c r="C56" s="2">
        <f>IFERROR(__xludf.DUMMYFUNCTION("""COMPUTED_VALUE"""),306.45)</f>
        <v>306.45</v>
      </c>
      <c r="D56" s="2">
        <f>IFERROR(__xludf.DUMMYFUNCTION("""COMPUTED_VALUE"""),293.54)</f>
        <v>293.54</v>
      </c>
      <c r="E56" s="2">
        <f>IFERROR(__xludf.DUMMYFUNCTION("""COMPUTED_VALUE"""),293.9)</f>
        <v>293.9</v>
      </c>
      <c r="F56" s="2">
        <f>IFERROR(__xludf.DUMMYFUNCTION("""COMPUTED_VALUE"""),5808035.0)</f>
        <v>5808035</v>
      </c>
    </row>
    <row r="57">
      <c r="A57" s="3">
        <f>IFERROR(__xludf.DUMMYFUNCTION("""COMPUTED_VALUE"""),45008.66666666667)</f>
        <v>45008.66667</v>
      </c>
      <c r="B57" s="2">
        <f>IFERROR(__xludf.DUMMYFUNCTION("""COMPUTED_VALUE"""),304.68)</f>
        <v>304.68</v>
      </c>
      <c r="C57" s="2">
        <f>IFERROR(__xludf.DUMMYFUNCTION("""COMPUTED_VALUE"""),322.78)</f>
        <v>322.78</v>
      </c>
      <c r="D57" s="2">
        <f>IFERROR(__xludf.DUMMYFUNCTION("""COMPUTED_VALUE"""),304.14)</f>
        <v>304.14</v>
      </c>
      <c r="E57" s="2">
        <f>IFERROR(__xludf.DUMMYFUNCTION("""COMPUTED_VALUE"""),320.37)</f>
        <v>320.37</v>
      </c>
      <c r="F57" s="2">
        <f>IFERROR(__xludf.DUMMYFUNCTION("""COMPUTED_VALUE"""),1.5653347E7)</f>
        <v>15653347</v>
      </c>
    </row>
    <row r="58">
      <c r="A58" s="3">
        <f>IFERROR(__xludf.DUMMYFUNCTION("""COMPUTED_VALUE"""),45009.66666666667)</f>
        <v>45009.66667</v>
      </c>
      <c r="B58" s="2">
        <f>IFERROR(__xludf.DUMMYFUNCTION("""COMPUTED_VALUE"""),320.63)</f>
        <v>320.63</v>
      </c>
      <c r="C58" s="2">
        <f>IFERROR(__xludf.DUMMYFUNCTION("""COMPUTED_VALUE"""),331.83)</f>
        <v>331.83</v>
      </c>
      <c r="D58" s="2">
        <f>IFERROR(__xludf.DUMMYFUNCTION("""COMPUTED_VALUE"""),320.63)</f>
        <v>320.63</v>
      </c>
      <c r="E58" s="2">
        <f>IFERROR(__xludf.DUMMYFUNCTION("""COMPUTED_VALUE"""),328.39)</f>
        <v>328.39</v>
      </c>
      <c r="F58" s="2">
        <f>IFERROR(__xludf.DUMMYFUNCTION("""COMPUTED_VALUE"""),1.3004085E7)</f>
        <v>13004085</v>
      </c>
    </row>
    <row r="59">
      <c r="A59" s="3">
        <f>IFERROR(__xludf.DUMMYFUNCTION("""COMPUTED_VALUE"""),45012.66666666667)</f>
        <v>45012.66667</v>
      </c>
      <c r="B59" s="2">
        <f>IFERROR(__xludf.DUMMYFUNCTION("""COMPUTED_VALUE"""),327.55)</f>
        <v>327.55</v>
      </c>
      <c r="C59" s="2">
        <f>IFERROR(__xludf.DUMMYFUNCTION("""COMPUTED_VALUE"""),336.44)</f>
        <v>336.44</v>
      </c>
      <c r="D59" s="2">
        <f>IFERROR(__xludf.DUMMYFUNCTION("""COMPUTED_VALUE"""),324.41)</f>
        <v>324.41</v>
      </c>
      <c r="E59" s="2">
        <f>IFERROR(__xludf.DUMMYFUNCTION("""COMPUTED_VALUE"""),327.66)</f>
        <v>327.66</v>
      </c>
      <c r="F59" s="2">
        <f>IFERROR(__xludf.DUMMYFUNCTION("""COMPUTED_VALUE"""),8625763.0)</f>
        <v>8625763</v>
      </c>
    </row>
    <row r="60">
      <c r="A60" s="3">
        <f>IFERROR(__xludf.DUMMYFUNCTION("""COMPUTED_VALUE"""),45013.66666666667)</f>
        <v>45013.66667</v>
      </c>
      <c r="B60" s="2">
        <f>IFERROR(__xludf.DUMMYFUNCTION("""COMPUTED_VALUE"""),326.06)</f>
        <v>326.06</v>
      </c>
      <c r="C60" s="2">
        <f>IFERROR(__xludf.DUMMYFUNCTION("""COMPUTED_VALUE"""),333.32)</f>
        <v>333.32</v>
      </c>
      <c r="D60" s="2">
        <f>IFERROR(__xludf.DUMMYFUNCTION("""COMPUTED_VALUE"""),321.28)</f>
        <v>321.28</v>
      </c>
      <c r="E60" s="2">
        <f>IFERROR(__xludf.DUMMYFUNCTION("""COMPUTED_VALUE"""),323.52)</f>
        <v>323.52</v>
      </c>
      <c r="F60" s="2">
        <f>IFERROR(__xludf.DUMMYFUNCTION("""COMPUTED_VALUE"""),6489388.0)</f>
        <v>6489388</v>
      </c>
    </row>
    <row r="61">
      <c r="A61" s="3">
        <f>IFERROR(__xludf.DUMMYFUNCTION("""COMPUTED_VALUE"""),45014.66666666667)</f>
        <v>45014.66667</v>
      </c>
      <c r="B61" s="2">
        <f>IFERROR(__xludf.DUMMYFUNCTION("""COMPUTED_VALUE"""),326.29)</f>
        <v>326.29</v>
      </c>
      <c r="C61" s="2">
        <f>IFERROR(__xludf.DUMMYFUNCTION("""COMPUTED_VALUE"""),332.85)</f>
        <v>332.85</v>
      </c>
      <c r="D61" s="2">
        <f>IFERROR(__xludf.DUMMYFUNCTION("""COMPUTED_VALUE"""),325.73)</f>
        <v>325.73</v>
      </c>
      <c r="E61" s="2">
        <f>IFERROR(__xludf.DUMMYFUNCTION("""COMPUTED_VALUE"""),332.03)</f>
        <v>332.03</v>
      </c>
      <c r="F61" s="2">
        <f>IFERROR(__xludf.DUMMYFUNCTION("""COMPUTED_VALUE"""),6287336.0)</f>
        <v>6287336</v>
      </c>
    </row>
    <row r="62">
      <c r="A62" s="3">
        <f>IFERROR(__xludf.DUMMYFUNCTION("""COMPUTED_VALUE"""),45015.66666666667)</f>
        <v>45015.66667</v>
      </c>
      <c r="B62" s="2">
        <f>IFERROR(__xludf.DUMMYFUNCTION("""COMPUTED_VALUE"""),340.27)</f>
        <v>340.27</v>
      </c>
      <c r="C62" s="2">
        <f>IFERROR(__xludf.DUMMYFUNCTION("""COMPUTED_VALUE"""),343.29)</f>
        <v>343.29</v>
      </c>
      <c r="D62" s="2">
        <f>IFERROR(__xludf.DUMMYFUNCTION("""COMPUTED_VALUE"""),335.3)</f>
        <v>335.3</v>
      </c>
      <c r="E62" s="2">
        <f>IFERROR(__xludf.DUMMYFUNCTION("""COMPUTED_VALUE"""),338.43)</f>
        <v>338.43</v>
      </c>
      <c r="F62" s="2">
        <f>IFERROR(__xludf.DUMMYFUNCTION("""COMPUTED_VALUE"""),7131468.0)</f>
        <v>7131468</v>
      </c>
    </row>
    <row r="63">
      <c r="A63" s="3">
        <f>IFERROR(__xludf.DUMMYFUNCTION("""COMPUTED_VALUE"""),45016.66666666667)</f>
        <v>45016.66667</v>
      </c>
      <c r="B63" s="2">
        <f>IFERROR(__xludf.DUMMYFUNCTION("""COMPUTED_VALUE"""),340.05)</f>
        <v>340.05</v>
      </c>
      <c r="C63" s="2">
        <f>IFERROR(__xludf.DUMMYFUNCTION("""COMPUTED_VALUE"""),345.84)</f>
        <v>345.84</v>
      </c>
      <c r="D63" s="2">
        <f>IFERROR(__xludf.DUMMYFUNCTION("""COMPUTED_VALUE"""),337.2)</f>
        <v>337.2</v>
      </c>
      <c r="E63" s="2">
        <f>IFERROR(__xludf.DUMMYFUNCTION("""COMPUTED_VALUE"""),345.48)</f>
        <v>345.48</v>
      </c>
      <c r="F63" s="2">
        <f>IFERROR(__xludf.DUMMYFUNCTION("""COMPUTED_VALUE"""),5610161.0)</f>
        <v>5610161</v>
      </c>
    </row>
    <row r="64">
      <c r="A64" s="3">
        <f>IFERROR(__xludf.DUMMYFUNCTION("""COMPUTED_VALUE"""),45019.66666666667)</f>
        <v>45019.66667</v>
      </c>
      <c r="B64" s="2">
        <f>IFERROR(__xludf.DUMMYFUNCTION("""COMPUTED_VALUE"""),341.83)</f>
        <v>341.83</v>
      </c>
      <c r="C64" s="2">
        <f>IFERROR(__xludf.DUMMYFUNCTION("""COMPUTED_VALUE"""),348.58)</f>
        <v>348.58</v>
      </c>
      <c r="D64" s="2">
        <f>IFERROR(__xludf.DUMMYFUNCTION("""COMPUTED_VALUE"""),340.4)</f>
        <v>340.4</v>
      </c>
      <c r="E64" s="2">
        <f>IFERROR(__xludf.DUMMYFUNCTION("""COMPUTED_VALUE"""),348.28)</f>
        <v>348.28</v>
      </c>
      <c r="F64" s="2">
        <f>IFERROR(__xludf.DUMMYFUNCTION("""COMPUTED_VALUE"""),4413650.0)</f>
        <v>4413650</v>
      </c>
    </row>
    <row r="65">
      <c r="A65" s="3">
        <f>IFERROR(__xludf.DUMMYFUNCTION("""COMPUTED_VALUE"""),45020.66666666667)</f>
        <v>45020.66667</v>
      </c>
      <c r="B65" s="2">
        <f>IFERROR(__xludf.DUMMYFUNCTION("""COMPUTED_VALUE"""),348.49)</f>
        <v>348.49</v>
      </c>
      <c r="C65" s="2">
        <f>IFERROR(__xludf.DUMMYFUNCTION("""COMPUTED_VALUE"""),349.8)</f>
        <v>349.8</v>
      </c>
      <c r="D65" s="2">
        <f>IFERROR(__xludf.DUMMYFUNCTION("""COMPUTED_VALUE"""),343.95)</f>
        <v>343.95</v>
      </c>
      <c r="E65" s="2">
        <f>IFERROR(__xludf.DUMMYFUNCTION("""COMPUTED_VALUE"""),346.75)</f>
        <v>346.75</v>
      </c>
      <c r="F65" s="2">
        <f>IFERROR(__xludf.DUMMYFUNCTION("""COMPUTED_VALUE"""),3298072.0)</f>
        <v>3298072</v>
      </c>
    </row>
    <row r="66">
      <c r="A66" s="3">
        <f>IFERROR(__xludf.DUMMYFUNCTION("""COMPUTED_VALUE"""),45021.66666666667)</f>
        <v>45021.66667</v>
      </c>
      <c r="B66" s="2">
        <f>IFERROR(__xludf.DUMMYFUNCTION("""COMPUTED_VALUE"""),345.3)</f>
        <v>345.3</v>
      </c>
      <c r="C66" s="2">
        <f>IFERROR(__xludf.DUMMYFUNCTION("""COMPUTED_VALUE"""),345.43)</f>
        <v>345.43</v>
      </c>
      <c r="D66" s="2">
        <f>IFERROR(__xludf.DUMMYFUNCTION("""COMPUTED_VALUE"""),336.25)</f>
        <v>336.25</v>
      </c>
      <c r="E66" s="2">
        <f>IFERROR(__xludf.DUMMYFUNCTION("""COMPUTED_VALUE"""),342.35)</f>
        <v>342.35</v>
      </c>
      <c r="F66" s="2">
        <f>IFERROR(__xludf.DUMMYFUNCTION("""COMPUTED_VALUE"""),4205545.0)</f>
        <v>4205545</v>
      </c>
    </row>
    <row r="67">
      <c r="A67" s="3">
        <f>IFERROR(__xludf.DUMMYFUNCTION("""COMPUTED_VALUE"""),45022.66666666667)</f>
        <v>45022.66667</v>
      </c>
      <c r="B67" s="2">
        <f>IFERROR(__xludf.DUMMYFUNCTION("""COMPUTED_VALUE"""),339.34)</f>
        <v>339.34</v>
      </c>
      <c r="C67" s="2">
        <f>IFERROR(__xludf.DUMMYFUNCTION("""COMPUTED_VALUE"""),340.48)</f>
        <v>340.48</v>
      </c>
      <c r="D67" s="2">
        <f>IFERROR(__xludf.DUMMYFUNCTION("""COMPUTED_VALUE"""),332.63)</f>
        <v>332.63</v>
      </c>
      <c r="E67" s="2">
        <f>IFERROR(__xludf.DUMMYFUNCTION("""COMPUTED_VALUE"""),339.33)</f>
        <v>339.33</v>
      </c>
      <c r="F67" s="2">
        <f>IFERROR(__xludf.DUMMYFUNCTION("""COMPUTED_VALUE"""),4660542.0)</f>
        <v>4660542</v>
      </c>
    </row>
    <row r="68">
      <c r="A68" s="3">
        <f>IFERROR(__xludf.DUMMYFUNCTION("""COMPUTED_VALUE"""),45026.66666666667)</f>
        <v>45026.66667</v>
      </c>
      <c r="B68" s="2">
        <f>IFERROR(__xludf.DUMMYFUNCTION("""COMPUTED_VALUE"""),335.27)</f>
        <v>335.27</v>
      </c>
      <c r="C68" s="2">
        <f>IFERROR(__xludf.DUMMYFUNCTION("""COMPUTED_VALUE"""),339.88)</f>
        <v>339.88</v>
      </c>
      <c r="D68" s="2">
        <f>IFERROR(__xludf.DUMMYFUNCTION("""COMPUTED_VALUE"""),333.36)</f>
        <v>333.36</v>
      </c>
      <c r="E68" s="2">
        <f>IFERROR(__xludf.DUMMYFUNCTION("""COMPUTED_VALUE"""),338.99)</f>
        <v>338.99</v>
      </c>
      <c r="F68" s="2">
        <f>IFERROR(__xludf.DUMMYFUNCTION("""COMPUTED_VALUE"""),2657898.0)</f>
        <v>2657898</v>
      </c>
    </row>
    <row r="69">
      <c r="A69" s="3">
        <f>IFERROR(__xludf.DUMMYFUNCTION("""COMPUTED_VALUE"""),45027.66666666667)</f>
        <v>45027.66667</v>
      </c>
      <c r="B69" s="2">
        <f>IFERROR(__xludf.DUMMYFUNCTION("""COMPUTED_VALUE"""),343.45)</f>
        <v>343.45</v>
      </c>
      <c r="C69" s="2">
        <f>IFERROR(__xludf.DUMMYFUNCTION("""COMPUTED_VALUE"""),347.14)</f>
        <v>347.14</v>
      </c>
      <c r="D69" s="2">
        <f>IFERROR(__xludf.DUMMYFUNCTION("""COMPUTED_VALUE"""),337.64)</f>
        <v>337.64</v>
      </c>
      <c r="E69" s="2">
        <f>IFERROR(__xludf.DUMMYFUNCTION("""COMPUTED_VALUE"""),338.21)</f>
        <v>338.21</v>
      </c>
      <c r="F69" s="2">
        <f>IFERROR(__xludf.DUMMYFUNCTION("""COMPUTED_VALUE"""),4044778.0)</f>
        <v>4044778</v>
      </c>
    </row>
    <row r="70">
      <c r="A70" s="3">
        <f>IFERROR(__xludf.DUMMYFUNCTION("""COMPUTED_VALUE"""),45028.66666666667)</f>
        <v>45028.66667</v>
      </c>
      <c r="B70" s="2">
        <f>IFERROR(__xludf.DUMMYFUNCTION("""COMPUTED_VALUE"""),340.81)</f>
        <v>340.81</v>
      </c>
      <c r="C70" s="2">
        <f>IFERROR(__xludf.DUMMYFUNCTION("""COMPUTED_VALUE"""),342.8)</f>
        <v>342.8</v>
      </c>
      <c r="D70" s="2">
        <f>IFERROR(__xludf.DUMMYFUNCTION("""COMPUTED_VALUE"""),330.04)</f>
        <v>330.04</v>
      </c>
      <c r="E70" s="2">
        <f>IFERROR(__xludf.DUMMYFUNCTION("""COMPUTED_VALUE"""),331.03)</f>
        <v>331.03</v>
      </c>
      <c r="F70" s="2">
        <f>IFERROR(__xludf.DUMMYFUNCTION("""COMPUTED_VALUE"""),3965440.0)</f>
        <v>3965440</v>
      </c>
    </row>
    <row r="71">
      <c r="A71" s="3">
        <f>IFERROR(__xludf.DUMMYFUNCTION("""COMPUTED_VALUE"""),45029.66666666667)</f>
        <v>45029.66667</v>
      </c>
      <c r="B71" s="2">
        <f>IFERROR(__xludf.DUMMYFUNCTION("""COMPUTED_VALUE"""),339.99)</f>
        <v>339.99</v>
      </c>
      <c r="C71" s="2">
        <f>IFERROR(__xludf.DUMMYFUNCTION("""COMPUTED_VALUE"""),346.43)</f>
        <v>346.43</v>
      </c>
      <c r="D71" s="2">
        <f>IFERROR(__xludf.DUMMYFUNCTION("""COMPUTED_VALUE"""),338.75)</f>
        <v>338.75</v>
      </c>
      <c r="E71" s="2">
        <f>IFERROR(__xludf.DUMMYFUNCTION("""COMPUTED_VALUE"""),346.19)</f>
        <v>346.19</v>
      </c>
      <c r="F71" s="2">
        <f>IFERROR(__xludf.DUMMYFUNCTION("""COMPUTED_VALUE"""),7406437.0)</f>
        <v>7406437</v>
      </c>
    </row>
    <row r="72">
      <c r="A72" s="3">
        <f>IFERROR(__xludf.DUMMYFUNCTION("""COMPUTED_VALUE"""),45030.66666666667)</f>
        <v>45030.66667</v>
      </c>
      <c r="B72" s="2">
        <f>IFERROR(__xludf.DUMMYFUNCTION("""COMPUTED_VALUE"""),342.94)</f>
        <v>342.94</v>
      </c>
      <c r="C72" s="2">
        <f>IFERROR(__xludf.DUMMYFUNCTION("""COMPUTED_VALUE"""),344.85)</f>
        <v>344.85</v>
      </c>
      <c r="D72" s="2">
        <f>IFERROR(__xludf.DUMMYFUNCTION("""COMPUTED_VALUE"""),336.41)</f>
        <v>336.41</v>
      </c>
      <c r="E72" s="2">
        <f>IFERROR(__xludf.DUMMYFUNCTION("""COMPUTED_VALUE"""),338.63)</f>
        <v>338.63</v>
      </c>
      <c r="F72" s="2">
        <f>IFERROR(__xludf.DUMMYFUNCTION("""COMPUTED_VALUE"""),5350508.0)</f>
        <v>5350508</v>
      </c>
    </row>
    <row r="73">
      <c r="A73" s="3">
        <f>IFERROR(__xludf.DUMMYFUNCTION("""COMPUTED_VALUE"""),45033.66666666667)</f>
        <v>45033.66667</v>
      </c>
      <c r="B73" s="2">
        <f>IFERROR(__xludf.DUMMYFUNCTION("""COMPUTED_VALUE"""),338.0)</f>
        <v>338</v>
      </c>
      <c r="C73" s="2">
        <f>IFERROR(__xludf.DUMMYFUNCTION("""COMPUTED_VALUE"""),338.39)</f>
        <v>338.39</v>
      </c>
      <c r="D73" s="2">
        <f>IFERROR(__xludf.DUMMYFUNCTION("""COMPUTED_VALUE"""),327.5)</f>
        <v>327.5</v>
      </c>
      <c r="E73" s="2">
        <f>IFERROR(__xludf.DUMMYFUNCTION("""COMPUTED_VALUE"""),332.72)</f>
        <v>332.72</v>
      </c>
      <c r="F73" s="2">
        <f>IFERROR(__xludf.DUMMYFUNCTION("""COMPUTED_VALUE"""),6136047.0)</f>
        <v>6136047</v>
      </c>
    </row>
    <row r="74">
      <c r="A74" s="3">
        <f>IFERROR(__xludf.DUMMYFUNCTION("""COMPUTED_VALUE"""),45034.66666666667)</f>
        <v>45034.66667</v>
      </c>
      <c r="B74" s="2">
        <f>IFERROR(__xludf.DUMMYFUNCTION("""COMPUTED_VALUE"""),335.0)</f>
        <v>335</v>
      </c>
      <c r="C74" s="2">
        <f>IFERROR(__xludf.DUMMYFUNCTION("""COMPUTED_VALUE"""),337.19)</f>
        <v>337.19</v>
      </c>
      <c r="D74" s="2">
        <f>IFERROR(__xludf.DUMMYFUNCTION("""COMPUTED_VALUE"""),330.5)</f>
        <v>330.5</v>
      </c>
      <c r="E74" s="2">
        <f>IFERROR(__xludf.DUMMYFUNCTION("""COMPUTED_VALUE"""),333.7)</f>
        <v>333.7</v>
      </c>
      <c r="F74" s="2">
        <f>IFERROR(__xludf.DUMMYFUNCTION("""COMPUTED_VALUE"""),1.7944496E7)</f>
        <v>17944496</v>
      </c>
    </row>
    <row r="75">
      <c r="A75" s="3">
        <f>IFERROR(__xludf.DUMMYFUNCTION("""COMPUTED_VALUE"""),45035.66666666667)</f>
        <v>45035.66667</v>
      </c>
      <c r="B75" s="2">
        <f>IFERROR(__xludf.DUMMYFUNCTION("""COMPUTED_VALUE"""),324.21)</f>
        <v>324.21</v>
      </c>
      <c r="C75" s="2">
        <f>IFERROR(__xludf.DUMMYFUNCTION("""COMPUTED_VALUE"""),325.75)</f>
        <v>325.75</v>
      </c>
      <c r="D75" s="2">
        <f>IFERROR(__xludf.DUMMYFUNCTION("""COMPUTED_VALUE"""),316.1)</f>
        <v>316.1</v>
      </c>
      <c r="E75" s="2">
        <f>IFERROR(__xludf.DUMMYFUNCTION("""COMPUTED_VALUE"""),323.12)</f>
        <v>323.12</v>
      </c>
      <c r="F75" s="2">
        <f>IFERROR(__xludf.DUMMYFUNCTION("""COMPUTED_VALUE"""),2.2128267E7)</f>
        <v>22128267</v>
      </c>
    </row>
    <row r="76">
      <c r="A76" s="3">
        <f>IFERROR(__xludf.DUMMYFUNCTION("""COMPUTED_VALUE"""),45036.66666666667)</f>
        <v>45036.66667</v>
      </c>
      <c r="B76" s="2">
        <f>IFERROR(__xludf.DUMMYFUNCTION("""COMPUTED_VALUE"""),320.39)</f>
        <v>320.39</v>
      </c>
      <c r="C76" s="2">
        <f>IFERROR(__xludf.DUMMYFUNCTION("""COMPUTED_VALUE"""),331.43)</f>
        <v>331.43</v>
      </c>
      <c r="D76" s="2">
        <f>IFERROR(__xludf.DUMMYFUNCTION("""COMPUTED_VALUE"""),318.33)</f>
        <v>318.33</v>
      </c>
      <c r="E76" s="2">
        <f>IFERROR(__xludf.DUMMYFUNCTION("""COMPUTED_VALUE"""),325.35)</f>
        <v>325.35</v>
      </c>
      <c r="F76" s="2">
        <f>IFERROR(__xludf.DUMMYFUNCTION("""COMPUTED_VALUE"""),9947800.0)</f>
        <v>9947800</v>
      </c>
    </row>
    <row r="77">
      <c r="A77" s="3">
        <f>IFERROR(__xludf.DUMMYFUNCTION("""COMPUTED_VALUE"""),45037.66666666667)</f>
        <v>45037.66667</v>
      </c>
      <c r="B77" s="2">
        <f>IFERROR(__xludf.DUMMYFUNCTION("""COMPUTED_VALUE"""),323.0)</f>
        <v>323</v>
      </c>
      <c r="C77" s="2">
        <f>IFERROR(__xludf.DUMMYFUNCTION("""COMPUTED_VALUE"""),328.29)</f>
        <v>328.29</v>
      </c>
      <c r="D77" s="2">
        <f>IFERROR(__xludf.DUMMYFUNCTION("""COMPUTED_VALUE"""),319.5)</f>
        <v>319.5</v>
      </c>
      <c r="E77" s="2">
        <f>IFERROR(__xludf.DUMMYFUNCTION("""COMPUTED_VALUE"""),327.98)</f>
        <v>327.98</v>
      </c>
      <c r="F77" s="2">
        <f>IFERROR(__xludf.DUMMYFUNCTION("""COMPUTED_VALUE"""),6348000.0)</f>
        <v>6348000</v>
      </c>
    </row>
    <row r="78">
      <c r="A78" s="3">
        <f>IFERROR(__xludf.DUMMYFUNCTION("""COMPUTED_VALUE"""),45040.66666666667)</f>
        <v>45040.66667</v>
      </c>
      <c r="B78" s="2">
        <f>IFERROR(__xludf.DUMMYFUNCTION("""COMPUTED_VALUE"""),330.2)</f>
        <v>330.2</v>
      </c>
      <c r="C78" s="2">
        <f>IFERROR(__xludf.DUMMYFUNCTION("""COMPUTED_VALUE"""),334.66)</f>
        <v>334.66</v>
      </c>
      <c r="D78" s="2">
        <f>IFERROR(__xludf.DUMMYFUNCTION("""COMPUTED_VALUE"""),326.75)</f>
        <v>326.75</v>
      </c>
      <c r="E78" s="2">
        <f>IFERROR(__xludf.DUMMYFUNCTION("""COMPUTED_VALUE"""),329.02)</f>
        <v>329.02</v>
      </c>
      <c r="F78" s="2">
        <f>IFERROR(__xludf.DUMMYFUNCTION("""COMPUTED_VALUE"""),5586627.0)</f>
        <v>5586627</v>
      </c>
    </row>
    <row r="79">
      <c r="A79" s="3">
        <f>IFERROR(__xludf.DUMMYFUNCTION("""COMPUTED_VALUE"""),45041.66666666667)</f>
        <v>45041.66667</v>
      </c>
      <c r="B79" s="2">
        <f>IFERROR(__xludf.DUMMYFUNCTION("""COMPUTED_VALUE"""),328.5)</f>
        <v>328.5</v>
      </c>
      <c r="C79" s="2">
        <f>IFERROR(__xludf.DUMMYFUNCTION("""COMPUTED_VALUE"""),328.66)</f>
        <v>328.66</v>
      </c>
      <c r="D79" s="2">
        <f>IFERROR(__xludf.DUMMYFUNCTION("""COMPUTED_VALUE"""),321.1)</f>
        <v>321.1</v>
      </c>
      <c r="E79" s="2">
        <f>IFERROR(__xludf.DUMMYFUNCTION("""COMPUTED_VALUE"""),322.55)</f>
        <v>322.55</v>
      </c>
      <c r="F79" s="2">
        <f>IFERROR(__xludf.DUMMYFUNCTION("""COMPUTED_VALUE"""),5426642.0)</f>
        <v>5426642</v>
      </c>
    </row>
    <row r="80">
      <c r="A80" s="3">
        <f>IFERROR(__xludf.DUMMYFUNCTION("""COMPUTED_VALUE"""),45042.66666666667)</f>
        <v>45042.66667</v>
      </c>
      <c r="B80" s="2">
        <f>IFERROR(__xludf.DUMMYFUNCTION("""COMPUTED_VALUE"""),321.36)</f>
        <v>321.36</v>
      </c>
      <c r="C80" s="2">
        <f>IFERROR(__xludf.DUMMYFUNCTION("""COMPUTED_VALUE"""),325.9)</f>
        <v>325.9</v>
      </c>
      <c r="D80" s="2">
        <f>IFERROR(__xludf.DUMMYFUNCTION("""COMPUTED_VALUE"""),320.47)</f>
        <v>320.47</v>
      </c>
      <c r="E80" s="2">
        <f>IFERROR(__xludf.DUMMYFUNCTION("""COMPUTED_VALUE"""),321.15)</f>
        <v>321.15</v>
      </c>
      <c r="F80" s="2">
        <f>IFERROR(__xludf.DUMMYFUNCTION("""COMPUTED_VALUE"""),4623238.0)</f>
        <v>4623238</v>
      </c>
    </row>
    <row r="81">
      <c r="A81" s="3">
        <f>IFERROR(__xludf.DUMMYFUNCTION("""COMPUTED_VALUE"""),45043.66666666667)</f>
        <v>45043.66667</v>
      </c>
      <c r="B81" s="2">
        <f>IFERROR(__xludf.DUMMYFUNCTION("""COMPUTED_VALUE"""),324.3)</f>
        <v>324.3</v>
      </c>
      <c r="C81" s="2">
        <f>IFERROR(__xludf.DUMMYFUNCTION("""COMPUTED_VALUE"""),327.45)</f>
        <v>327.45</v>
      </c>
      <c r="D81" s="2">
        <f>IFERROR(__xludf.DUMMYFUNCTION("""COMPUTED_VALUE"""),317.44)</f>
        <v>317.44</v>
      </c>
      <c r="E81" s="2">
        <f>IFERROR(__xludf.DUMMYFUNCTION("""COMPUTED_VALUE"""),325.85)</f>
        <v>325.85</v>
      </c>
      <c r="F81" s="2">
        <f>IFERROR(__xludf.DUMMYFUNCTION("""COMPUTED_VALUE"""),5618768.0)</f>
        <v>5618768</v>
      </c>
    </row>
    <row r="82">
      <c r="A82" s="3">
        <f>IFERROR(__xludf.DUMMYFUNCTION("""COMPUTED_VALUE"""),45044.66666666667)</f>
        <v>45044.66667</v>
      </c>
      <c r="B82" s="2">
        <f>IFERROR(__xludf.DUMMYFUNCTION("""COMPUTED_VALUE"""),325.24)</f>
        <v>325.24</v>
      </c>
      <c r="C82" s="2">
        <f>IFERROR(__xludf.DUMMYFUNCTION("""COMPUTED_VALUE"""),330.81)</f>
        <v>330.81</v>
      </c>
      <c r="D82" s="2">
        <f>IFERROR(__xludf.DUMMYFUNCTION("""COMPUTED_VALUE"""),324.0)</f>
        <v>324</v>
      </c>
      <c r="E82" s="2">
        <f>IFERROR(__xludf.DUMMYFUNCTION("""COMPUTED_VALUE"""),329.93)</f>
        <v>329.93</v>
      </c>
      <c r="F82" s="2">
        <f>IFERROR(__xludf.DUMMYFUNCTION("""COMPUTED_VALUE"""),4228374.0)</f>
        <v>4228374</v>
      </c>
    </row>
    <row r="83">
      <c r="A83" s="3">
        <f>IFERROR(__xludf.DUMMYFUNCTION("""COMPUTED_VALUE"""),45047.66666666667)</f>
        <v>45047.66667</v>
      </c>
      <c r="B83" s="2">
        <f>IFERROR(__xludf.DUMMYFUNCTION("""COMPUTED_VALUE"""),329.44)</f>
        <v>329.44</v>
      </c>
      <c r="C83" s="2">
        <f>IFERROR(__xludf.DUMMYFUNCTION("""COMPUTED_VALUE"""),331.23)</f>
        <v>331.23</v>
      </c>
      <c r="D83" s="2">
        <f>IFERROR(__xludf.DUMMYFUNCTION("""COMPUTED_VALUE"""),318.09)</f>
        <v>318.09</v>
      </c>
      <c r="E83" s="2">
        <f>IFERROR(__xludf.DUMMYFUNCTION("""COMPUTED_VALUE"""),324.12)</f>
        <v>324.12</v>
      </c>
      <c r="F83" s="2">
        <f>IFERROR(__xludf.DUMMYFUNCTION("""COMPUTED_VALUE"""),5341484.0)</f>
        <v>5341484</v>
      </c>
    </row>
    <row r="84">
      <c r="A84" s="3">
        <f>IFERROR(__xludf.DUMMYFUNCTION("""COMPUTED_VALUE"""),45048.66666666667)</f>
        <v>45048.66667</v>
      </c>
      <c r="B84" s="2">
        <f>IFERROR(__xludf.DUMMYFUNCTION("""COMPUTED_VALUE"""),325.0)</f>
        <v>325</v>
      </c>
      <c r="C84" s="2">
        <f>IFERROR(__xludf.DUMMYFUNCTION("""COMPUTED_VALUE"""),326.07)</f>
        <v>326.07</v>
      </c>
      <c r="D84" s="2">
        <f>IFERROR(__xludf.DUMMYFUNCTION("""COMPUTED_VALUE"""),315.62)</f>
        <v>315.62</v>
      </c>
      <c r="E84" s="2">
        <f>IFERROR(__xludf.DUMMYFUNCTION("""COMPUTED_VALUE"""),317.55)</f>
        <v>317.55</v>
      </c>
      <c r="F84" s="2">
        <f>IFERROR(__xludf.DUMMYFUNCTION("""COMPUTED_VALUE"""),4318612.0)</f>
        <v>4318612</v>
      </c>
    </row>
    <row r="85">
      <c r="A85" s="3">
        <f>IFERROR(__xludf.DUMMYFUNCTION("""COMPUTED_VALUE"""),45049.66666666667)</f>
        <v>45049.66667</v>
      </c>
      <c r="B85" s="2">
        <f>IFERROR(__xludf.DUMMYFUNCTION("""COMPUTED_VALUE"""),317.55)</f>
        <v>317.55</v>
      </c>
      <c r="C85" s="2">
        <f>IFERROR(__xludf.DUMMYFUNCTION("""COMPUTED_VALUE"""),324.62)</f>
        <v>324.62</v>
      </c>
      <c r="D85" s="2">
        <f>IFERROR(__xludf.DUMMYFUNCTION("""COMPUTED_VALUE"""),315.85)</f>
        <v>315.85</v>
      </c>
      <c r="E85" s="2">
        <f>IFERROR(__xludf.DUMMYFUNCTION("""COMPUTED_VALUE"""),319.3)</f>
        <v>319.3</v>
      </c>
      <c r="F85" s="2">
        <f>IFERROR(__xludf.DUMMYFUNCTION("""COMPUTED_VALUE"""),5064057.0)</f>
        <v>5064057</v>
      </c>
    </row>
    <row r="86">
      <c r="A86" s="3">
        <f>IFERROR(__xludf.DUMMYFUNCTION("""COMPUTED_VALUE"""),45050.66666666667)</f>
        <v>45050.66667</v>
      </c>
      <c r="B86" s="2">
        <f>IFERROR(__xludf.DUMMYFUNCTION("""COMPUTED_VALUE"""),319.01)</f>
        <v>319.01</v>
      </c>
      <c r="C86" s="2">
        <f>IFERROR(__xludf.DUMMYFUNCTION("""COMPUTED_VALUE"""),323.61)</f>
        <v>323.61</v>
      </c>
      <c r="D86" s="2">
        <f>IFERROR(__xludf.DUMMYFUNCTION("""COMPUTED_VALUE"""),317.95)</f>
        <v>317.95</v>
      </c>
      <c r="E86" s="2">
        <f>IFERROR(__xludf.DUMMYFUNCTION("""COMPUTED_VALUE"""),320.78)</f>
        <v>320.78</v>
      </c>
      <c r="F86" s="2">
        <f>IFERROR(__xludf.DUMMYFUNCTION("""COMPUTED_VALUE"""),3879657.0)</f>
        <v>3879657</v>
      </c>
    </row>
    <row r="87">
      <c r="A87" s="3">
        <f>IFERROR(__xludf.DUMMYFUNCTION("""COMPUTED_VALUE"""),45051.66666666667)</f>
        <v>45051.66667</v>
      </c>
      <c r="B87" s="2">
        <f>IFERROR(__xludf.DUMMYFUNCTION("""COMPUTED_VALUE"""),323.61)</f>
        <v>323.61</v>
      </c>
      <c r="C87" s="2">
        <f>IFERROR(__xludf.DUMMYFUNCTION("""COMPUTED_VALUE"""),324.15)</f>
        <v>324.15</v>
      </c>
      <c r="D87" s="2">
        <f>IFERROR(__xludf.DUMMYFUNCTION("""COMPUTED_VALUE"""),319.44)</f>
        <v>319.44</v>
      </c>
      <c r="E87" s="2">
        <f>IFERROR(__xludf.DUMMYFUNCTION("""COMPUTED_VALUE"""),322.76)</f>
        <v>322.76</v>
      </c>
      <c r="F87" s="2">
        <f>IFERROR(__xludf.DUMMYFUNCTION("""COMPUTED_VALUE"""),3990637.0)</f>
        <v>3990637</v>
      </c>
    </row>
    <row r="88">
      <c r="A88" s="3">
        <f>IFERROR(__xludf.DUMMYFUNCTION("""COMPUTED_VALUE"""),45054.66666666667)</f>
        <v>45054.66667</v>
      </c>
      <c r="B88" s="2">
        <f>IFERROR(__xludf.DUMMYFUNCTION("""COMPUTED_VALUE"""),322.99)</f>
        <v>322.99</v>
      </c>
      <c r="C88" s="2">
        <f>IFERROR(__xludf.DUMMYFUNCTION("""COMPUTED_VALUE"""),332.56)</f>
        <v>332.56</v>
      </c>
      <c r="D88" s="2">
        <f>IFERROR(__xludf.DUMMYFUNCTION("""COMPUTED_VALUE"""),322.03)</f>
        <v>322.03</v>
      </c>
      <c r="E88" s="2">
        <f>IFERROR(__xludf.DUMMYFUNCTION("""COMPUTED_VALUE"""),331.21)</f>
        <v>331.21</v>
      </c>
      <c r="F88" s="2">
        <f>IFERROR(__xludf.DUMMYFUNCTION("""COMPUTED_VALUE"""),5488593.0)</f>
        <v>5488593</v>
      </c>
    </row>
    <row r="89">
      <c r="A89" s="3">
        <f>IFERROR(__xludf.DUMMYFUNCTION("""COMPUTED_VALUE"""),45055.66666666667)</f>
        <v>45055.66667</v>
      </c>
      <c r="B89" s="2">
        <f>IFERROR(__xludf.DUMMYFUNCTION("""COMPUTED_VALUE"""),330.67)</f>
        <v>330.67</v>
      </c>
      <c r="C89" s="2">
        <f>IFERROR(__xludf.DUMMYFUNCTION("""COMPUTED_VALUE"""),336.32)</f>
        <v>336.32</v>
      </c>
      <c r="D89" s="2">
        <f>IFERROR(__xludf.DUMMYFUNCTION("""COMPUTED_VALUE"""),329.74)</f>
        <v>329.74</v>
      </c>
      <c r="E89" s="2">
        <f>IFERROR(__xludf.DUMMYFUNCTION("""COMPUTED_VALUE"""),332.14)</f>
        <v>332.14</v>
      </c>
      <c r="F89" s="2">
        <f>IFERROR(__xludf.DUMMYFUNCTION("""COMPUTED_VALUE"""),5544852.0)</f>
        <v>5544852</v>
      </c>
    </row>
    <row r="90">
      <c r="A90" s="3">
        <f>IFERROR(__xludf.DUMMYFUNCTION("""COMPUTED_VALUE"""),45056.66666666667)</f>
        <v>45056.66667</v>
      </c>
      <c r="B90" s="2">
        <f>IFERROR(__xludf.DUMMYFUNCTION("""COMPUTED_VALUE"""),335.21)</f>
        <v>335.21</v>
      </c>
      <c r="C90" s="2">
        <f>IFERROR(__xludf.DUMMYFUNCTION("""COMPUTED_VALUE"""),337.11)</f>
        <v>337.11</v>
      </c>
      <c r="D90" s="2">
        <f>IFERROR(__xludf.DUMMYFUNCTION("""COMPUTED_VALUE"""),329.51)</f>
        <v>329.51</v>
      </c>
      <c r="E90" s="2">
        <f>IFERROR(__xludf.DUMMYFUNCTION("""COMPUTED_VALUE"""),335.42)</f>
        <v>335.42</v>
      </c>
      <c r="F90" s="2">
        <f>IFERROR(__xludf.DUMMYFUNCTION("""COMPUTED_VALUE"""),4289897.0)</f>
        <v>4289897</v>
      </c>
    </row>
    <row r="91">
      <c r="A91" s="3">
        <f>IFERROR(__xludf.DUMMYFUNCTION("""COMPUTED_VALUE"""),45057.66666666667)</f>
        <v>45057.66667</v>
      </c>
      <c r="B91" s="2">
        <f>IFERROR(__xludf.DUMMYFUNCTION("""COMPUTED_VALUE"""),334.98)</f>
        <v>334.98</v>
      </c>
      <c r="C91" s="2">
        <f>IFERROR(__xludf.DUMMYFUNCTION("""COMPUTED_VALUE"""),345.47)</f>
        <v>345.47</v>
      </c>
      <c r="D91" s="2">
        <f>IFERROR(__xludf.DUMMYFUNCTION("""COMPUTED_VALUE"""),331.84)</f>
        <v>331.84</v>
      </c>
      <c r="E91" s="2">
        <f>IFERROR(__xludf.DUMMYFUNCTION("""COMPUTED_VALUE"""),344.76)</f>
        <v>344.76</v>
      </c>
      <c r="F91" s="2">
        <f>IFERROR(__xludf.DUMMYFUNCTION("""COMPUTED_VALUE"""),8033531.0)</f>
        <v>8033531</v>
      </c>
    </row>
    <row r="92">
      <c r="A92" s="3">
        <f>IFERROR(__xludf.DUMMYFUNCTION("""COMPUTED_VALUE"""),45058.66666666667)</f>
        <v>45058.66667</v>
      </c>
      <c r="B92" s="2">
        <f>IFERROR(__xludf.DUMMYFUNCTION("""COMPUTED_VALUE"""),344.76)</f>
        <v>344.76</v>
      </c>
      <c r="C92" s="2">
        <f>IFERROR(__xludf.DUMMYFUNCTION("""COMPUTED_VALUE"""),348.17)</f>
        <v>348.17</v>
      </c>
      <c r="D92" s="2">
        <f>IFERROR(__xludf.DUMMYFUNCTION("""COMPUTED_VALUE"""),337.36)</f>
        <v>337.36</v>
      </c>
      <c r="E92" s="2">
        <f>IFERROR(__xludf.DUMMYFUNCTION("""COMPUTED_VALUE"""),339.89)</f>
        <v>339.89</v>
      </c>
      <c r="F92" s="2">
        <f>IFERROR(__xludf.DUMMYFUNCTION("""COMPUTED_VALUE"""),6082360.0)</f>
        <v>6082360</v>
      </c>
    </row>
    <row r="93">
      <c r="A93" s="3">
        <f>IFERROR(__xludf.DUMMYFUNCTION("""COMPUTED_VALUE"""),45061.66666666667)</f>
        <v>45061.66667</v>
      </c>
      <c r="B93" s="2">
        <f>IFERROR(__xludf.DUMMYFUNCTION("""COMPUTED_VALUE"""),340.62)</f>
        <v>340.62</v>
      </c>
      <c r="C93" s="2">
        <f>IFERROR(__xludf.DUMMYFUNCTION("""COMPUTED_VALUE"""),341.9)</f>
        <v>341.9</v>
      </c>
      <c r="D93" s="2">
        <f>IFERROR(__xludf.DUMMYFUNCTION("""COMPUTED_VALUE"""),335.54)</f>
        <v>335.54</v>
      </c>
      <c r="E93" s="2">
        <f>IFERROR(__xludf.DUMMYFUNCTION("""COMPUTED_VALUE"""),335.89)</f>
        <v>335.89</v>
      </c>
      <c r="F93" s="2">
        <f>IFERROR(__xludf.DUMMYFUNCTION("""COMPUTED_VALUE"""),3652970.0)</f>
        <v>3652970</v>
      </c>
    </row>
    <row r="94">
      <c r="A94" s="3">
        <f>IFERROR(__xludf.DUMMYFUNCTION("""COMPUTED_VALUE"""),45062.66666666667)</f>
        <v>45062.66667</v>
      </c>
      <c r="B94" s="2">
        <f>IFERROR(__xludf.DUMMYFUNCTION("""COMPUTED_VALUE"""),334.0)</f>
        <v>334</v>
      </c>
      <c r="C94" s="2">
        <f>IFERROR(__xludf.DUMMYFUNCTION("""COMPUTED_VALUE"""),335.17)</f>
        <v>335.17</v>
      </c>
      <c r="D94" s="2">
        <f>IFERROR(__xludf.DUMMYFUNCTION("""COMPUTED_VALUE"""),331.91)</f>
        <v>331.91</v>
      </c>
      <c r="E94" s="2">
        <f>IFERROR(__xludf.DUMMYFUNCTION("""COMPUTED_VALUE"""),333.75)</f>
        <v>333.75</v>
      </c>
      <c r="F94" s="2">
        <f>IFERROR(__xludf.DUMMYFUNCTION("""COMPUTED_VALUE"""),3334863.0)</f>
        <v>3334863</v>
      </c>
    </row>
    <row r="95">
      <c r="A95" s="3">
        <f>IFERROR(__xludf.DUMMYFUNCTION("""COMPUTED_VALUE"""),45063.66666666667)</f>
        <v>45063.66667</v>
      </c>
      <c r="B95" s="2">
        <f>IFERROR(__xludf.DUMMYFUNCTION("""COMPUTED_VALUE"""),331.76)</f>
        <v>331.76</v>
      </c>
      <c r="C95" s="2">
        <f>IFERROR(__xludf.DUMMYFUNCTION("""COMPUTED_VALUE"""),341.38)</f>
        <v>341.38</v>
      </c>
      <c r="D95" s="2">
        <f>IFERROR(__xludf.DUMMYFUNCTION("""COMPUTED_VALUE"""),329.62)</f>
        <v>329.62</v>
      </c>
      <c r="E95" s="2">
        <f>IFERROR(__xludf.DUMMYFUNCTION("""COMPUTED_VALUE"""),339.96)</f>
        <v>339.96</v>
      </c>
      <c r="F95" s="2">
        <f>IFERROR(__xludf.DUMMYFUNCTION("""COMPUTED_VALUE"""),3958807.0)</f>
        <v>3958807</v>
      </c>
    </row>
    <row r="96">
      <c r="A96" s="3">
        <f>IFERROR(__xludf.DUMMYFUNCTION("""COMPUTED_VALUE"""),45064.66666666667)</f>
        <v>45064.66667</v>
      </c>
      <c r="B96" s="2">
        <f>IFERROR(__xludf.DUMMYFUNCTION("""COMPUTED_VALUE"""),347.25)</f>
        <v>347.25</v>
      </c>
      <c r="C96" s="2">
        <f>IFERROR(__xludf.DUMMYFUNCTION("""COMPUTED_VALUE"""),375.87)</f>
        <v>375.87</v>
      </c>
      <c r="D96" s="2">
        <f>IFERROR(__xludf.DUMMYFUNCTION("""COMPUTED_VALUE"""),346.37)</f>
        <v>346.37</v>
      </c>
      <c r="E96" s="2">
        <f>IFERROR(__xludf.DUMMYFUNCTION("""COMPUTED_VALUE"""),371.29)</f>
        <v>371.29</v>
      </c>
      <c r="F96" s="2">
        <f>IFERROR(__xludf.DUMMYFUNCTION("""COMPUTED_VALUE"""),2.0925235E7)</f>
        <v>20925235</v>
      </c>
    </row>
    <row r="97">
      <c r="A97" s="3">
        <f>IFERROR(__xludf.DUMMYFUNCTION("""COMPUTED_VALUE"""),45065.66666666667)</f>
        <v>45065.66667</v>
      </c>
      <c r="B97" s="2">
        <f>IFERROR(__xludf.DUMMYFUNCTION("""COMPUTED_VALUE"""),369.86)</f>
        <v>369.86</v>
      </c>
      <c r="C97" s="2">
        <f>IFERROR(__xludf.DUMMYFUNCTION("""COMPUTED_VALUE"""),369.99)</f>
        <v>369.99</v>
      </c>
      <c r="D97" s="2">
        <f>IFERROR(__xludf.DUMMYFUNCTION("""COMPUTED_VALUE"""),363.81)</f>
        <v>363.81</v>
      </c>
      <c r="E97" s="2">
        <f>IFERROR(__xludf.DUMMYFUNCTION("""COMPUTED_VALUE"""),365.36)</f>
        <v>365.36</v>
      </c>
      <c r="F97" s="2">
        <f>IFERROR(__xludf.DUMMYFUNCTION("""COMPUTED_VALUE"""),7859703.0)</f>
        <v>7859703</v>
      </c>
    </row>
    <row r="98">
      <c r="A98" s="3">
        <f>IFERROR(__xludf.DUMMYFUNCTION("""COMPUTED_VALUE"""),45068.66666666667)</f>
        <v>45068.66667</v>
      </c>
      <c r="B98" s="2">
        <f>IFERROR(__xludf.DUMMYFUNCTION("""COMPUTED_VALUE"""),365.36)</f>
        <v>365.36</v>
      </c>
      <c r="C98" s="2">
        <f>IFERROR(__xludf.DUMMYFUNCTION("""COMPUTED_VALUE"""),372.01)</f>
        <v>372.01</v>
      </c>
      <c r="D98" s="2">
        <f>IFERROR(__xludf.DUMMYFUNCTION("""COMPUTED_VALUE"""),362.5)</f>
        <v>362.5</v>
      </c>
      <c r="E98" s="2">
        <f>IFERROR(__xludf.DUMMYFUNCTION("""COMPUTED_VALUE"""),363.01)</f>
        <v>363.01</v>
      </c>
      <c r="F98" s="2">
        <f>IFERROR(__xludf.DUMMYFUNCTION("""COMPUTED_VALUE"""),5406420.0)</f>
        <v>5406420</v>
      </c>
    </row>
    <row r="99">
      <c r="A99" s="3">
        <f>IFERROR(__xludf.DUMMYFUNCTION("""COMPUTED_VALUE"""),45069.66666666667)</f>
        <v>45069.66667</v>
      </c>
      <c r="B99" s="2">
        <f>IFERROR(__xludf.DUMMYFUNCTION("""COMPUTED_VALUE"""),360.24)</f>
        <v>360.24</v>
      </c>
      <c r="C99" s="2">
        <f>IFERROR(__xludf.DUMMYFUNCTION("""COMPUTED_VALUE"""),364.17)</f>
        <v>364.17</v>
      </c>
      <c r="D99" s="2">
        <f>IFERROR(__xludf.DUMMYFUNCTION("""COMPUTED_VALUE"""),354.31)</f>
        <v>354.31</v>
      </c>
      <c r="E99" s="2">
        <f>IFERROR(__xludf.DUMMYFUNCTION("""COMPUTED_VALUE"""),355.99)</f>
        <v>355.99</v>
      </c>
      <c r="F99" s="2">
        <f>IFERROR(__xludf.DUMMYFUNCTION("""COMPUTED_VALUE"""),6866078.0)</f>
        <v>6866078</v>
      </c>
    </row>
    <row r="100">
      <c r="A100" s="3">
        <f>IFERROR(__xludf.DUMMYFUNCTION("""COMPUTED_VALUE"""),45070.66666666667)</f>
        <v>45070.66667</v>
      </c>
      <c r="B100" s="2">
        <f>IFERROR(__xludf.DUMMYFUNCTION("""COMPUTED_VALUE"""),356.93)</f>
        <v>356.93</v>
      </c>
      <c r="C100" s="2">
        <f>IFERROR(__xludf.DUMMYFUNCTION("""COMPUTED_VALUE"""),367.15)</f>
        <v>367.15</v>
      </c>
      <c r="D100" s="2">
        <f>IFERROR(__xludf.DUMMYFUNCTION("""COMPUTED_VALUE"""),356.63)</f>
        <v>356.63</v>
      </c>
      <c r="E100" s="2">
        <f>IFERROR(__xludf.DUMMYFUNCTION("""COMPUTED_VALUE"""),364.85)</f>
        <v>364.85</v>
      </c>
      <c r="F100" s="2">
        <f>IFERROR(__xludf.DUMMYFUNCTION("""COMPUTED_VALUE"""),7973316.0)</f>
        <v>7973316</v>
      </c>
    </row>
    <row r="101">
      <c r="A101" s="3">
        <f>IFERROR(__xludf.DUMMYFUNCTION("""COMPUTED_VALUE"""),45071.66666666667)</f>
        <v>45071.66667</v>
      </c>
      <c r="B101" s="2">
        <f>IFERROR(__xludf.DUMMYFUNCTION("""COMPUTED_VALUE"""),359.61)</f>
        <v>359.61</v>
      </c>
      <c r="C101" s="2">
        <f>IFERROR(__xludf.DUMMYFUNCTION("""COMPUTED_VALUE"""),367.45)</f>
        <v>367.45</v>
      </c>
      <c r="D101" s="2">
        <f>IFERROR(__xludf.DUMMYFUNCTION("""COMPUTED_VALUE"""),357.42)</f>
        <v>357.42</v>
      </c>
      <c r="E101" s="2">
        <f>IFERROR(__xludf.DUMMYFUNCTION("""COMPUTED_VALUE"""),359.0)</f>
        <v>359</v>
      </c>
      <c r="F101" s="2">
        <f>IFERROR(__xludf.DUMMYFUNCTION("""COMPUTED_VALUE"""),6263105.0)</f>
        <v>6263105</v>
      </c>
    </row>
    <row r="102">
      <c r="A102" s="3">
        <f>IFERROR(__xludf.DUMMYFUNCTION("""COMPUTED_VALUE"""),45072.66666666667)</f>
        <v>45072.66667</v>
      </c>
      <c r="B102" s="2">
        <f>IFERROR(__xludf.DUMMYFUNCTION("""COMPUTED_VALUE"""),361.1)</f>
        <v>361.1</v>
      </c>
      <c r="C102" s="2">
        <f>IFERROR(__xludf.DUMMYFUNCTION("""COMPUTED_VALUE"""),383.76)</f>
        <v>383.76</v>
      </c>
      <c r="D102" s="2">
        <f>IFERROR(__xludf.DUMMYFUNCTION("""COMPUTED_VALUE"""),356.0)</f>
        <v>356</v>
      </c>
      <c r="E102" s="2">
        <f>IFERROR(__xludf.DUMMYFUNCTION("""COMPUTED_VALUE"""),378.88)</f>
        <v>378.88</v>
      </c>
      <c r="F102" s="2">
        <f>IFERROR(__xludf.DUMMYFUNCTION("""COMPUTED_VALUE"""),9360436.0)</f>
        <v>9360436</v>
      </c>
    </row>
    <row r="103">
      <c r="A103" s="3">
        <f>IFERROR(__xludf.DUMMYFUNCTION("""COMPUTED_VALUE"""),45076.66666666667)</f>
        <v>45076.66667</v>
      </c>
      <c r="B103" s="2">
        <f>IFERROR(__xludf.DUMMYFUNCTION("""COMPUTED_VALUE"""),397.48)</f>
        <v>397.48</v>
      </c>
      <c r="C103" s="2">
        <f>IFERROR(__xludf.DUMMYFUNCTION("""COMPUTED_VALUE"""),405.11)</f>
        <v>405.11</v>
      </c>
      <c r="D103" s="2">
        <f>IFERROR(__xludf.DUMMYFUNCTION("""COMPUTED_VALUE"""),385.79)</f>
        <v>385.79</v>
      </c>
      <c r="E103" s="2">
        <f>IFERROR(__xludf.DUMMYFUNCTION("""COMPUTED_VALUE"""),392.98)</f>
        <v>392.98</v>
      </c>
      <c r="F103" s="2">
        <f>IFERROR(__xludf.DUMMYFUNCTION("""COMPUTED_VALUE"""),1.086499E7)</f>
        <v>10864990</v>
      </c>
    </row>
    <row r="104">
      <c r="A104" s="3">
        <f>IFERROR(__xludf.DUMMYFUNCTION("""COMPUTED_VALUE"""),45077.66666666667)</f>
        <v>45077.66667</v>
      </c>
      <c r="B104" s="2">
        <f>IFERROR(__xludf.DUMMYFUNCTION("""COMPUTED_VALUE"""),391.89)</f>
        <v>391.89</v>
      </c>
      <c r="C104" s="2">
        <f>IFERROR(__xludf.DUMMYFUNCTION("""COMPUTED_VALUE"""),396.26)</f>
        <v>396.26</v>
      </c>
      <c r="D104" s="2">
        <f>IFERROR(__xludf.DUMMYFUNCTION("""COMPUTED_VALUE"""),388.91)</f>
        <v>388.91</v>
      </c>
      <c r="E104" s="2">
        <f>IFERROR(__xludf.DUMMYFUNCTION("""COMPUTED_VALUE"""),395.23)</f>
        <v>395.23</v>
      </c>
      <c r="F104" s="2">
        <f>IFERROR(__xludf.DUMMYFUNCTION("""COMPUTED_VALUE"""),6988047.0)</f>
        <v>6988047</v>
      </c>
    </row>
    <row r="105">
      <c r="A105" s="3">
        <f>IFERROR(__xludf.DUMMYFUNCTION("""COMPUTED_VALUE"""),45078.66666666667)</f>
        <v>45078.66667</v>
      </c>
      <c r="B105" s="2">
        <f>IFERROR(__xludf.DUMMYFUNCTION("""COMPUTED_VALUE"""),397.41)</f>
        <v>397.41</v>
      </c>
      <c r="C105" s="2">
        <f>IFERROR(__xludf.DUMMYFUNCTION("""COMPUTED_VALUE"""),407.52)</f>
        <v>407.52</v>
      </c>
      <c r="D105" s="2">
        <f>IFERROR(__xludf.DUMMYFUNCTION("""COMPUTED_VALUE"""),393.08)</f>
        <v>393.08</v>
      </c>
      <c r="E105" s="2">
        <f>IFERROR(__xludf.DUMMYFUNCTION("""COMPUTED_VALUE"""),403.13)</f>
        <v>403.13</v>
      </c>
      <c r="F105" s="2">
        <f>IFERROR(__xludf.DUMMYFUNCTION("""COMPUTED_VALUE"""),7160145.0)</f>
        <v>7160145</v>
      </c>
    </row>
    <row r="106">
      <c r="A106" s="3">
        <f>IFERROR(__xludf.DUMMYFUNCTION("""COMPUTED_VALUE"""),45079.66666666667)</f>
        <v>45079.66667</v>
      </c>
      <c r="B106" s="2">
        <f>IFERROR(__xludf.DUMMYFUNCTION("""COMPUTED_VALUE"""),402.89)</f>
        <v>402.89</v>
      </c>
      <c r="C106" s="2">
        <f>IFERROR(__xludf.DUMMYFUNCTION("""COMPUTED_VALUE"""),406.58)</f>
        <v>406.58</v>
      </c>
      <c r="D106" s="2">
        <f>IFERROR(__xludf.DUMMYFUNCTION("""COMPUTED_VALUE"""),395.9)</f>
        <v>395.9</v>
      </c>
      <c r="E106" s="2">
        <f>IFERROR(__xludf.DUMMYFUNCTION("""COMPUTED_VALUE"""),400.47)</f>
        <v>400.47</v>
      </c>
      <c r="F106" s="2">
        <f>IFERROR(__xludf.DUMMYFUNCTION("""COMPUTED_VALUE"""),5902381.0)</f>
        <v>5902381</v>
      </c>
    </row>
    <row r="107">
      <c r="A107" s="3">
        <f>IFERROR(__xludf.DUMMYFUNCTION("""COMPUTED_VALUE"""),45082.66666666667)</f>
        <v>45082.66667</v>
      </c>
      <c r="B107" s="2">
        <f>IFERROR(__xludf.DUMMYFUNCTION("""COMPUTED_VALUE"""),400.47)</f>
        <v>400.47</v>
      </c>
      <c r="C107" s="2">
        <f>IFERROR(__xludf.DUMMYFUNCTION("""COMPUTED_VALUE"""),413.86)</f>
        <v>413.86</v>
      </c>
      <c r="D107" s="2">
        <f>IFERROR(__xludf.DUMMYFUNCTION("""COMPUTED_VALUE"""),400.15)</f>
        <v>400.15</v>
      </c>
      <c r="E107" s="2">
        <f>IFERROR(__xludf.DUMMYFUNCTION("""COMPUTED_VALUE"""),403.54)</f>
        <v>403.54</v>
      </c>
      <c r="F107" s="2">
        <f>IFERROR(__xludf.DUMMYFUNCTION("""COMPUTED_VALUE"""),7247413.0)</f>
        <v>7247413</v>
      </c>
    </row>
    <row r="108">
      <c r="A108" s="3">
        <f>IFERROR(__xludf.DUMMYFUNCTION("""COMPUTED_VALUE"""),45083.66666666667)</f>
        <v>45083.66667</v>
      </c>
      <c r="B108" s="2">
        <f>IFERROR(__xludf.DUMMYFUNCTION("""COMPUTED_VALUE"""),405.0)</f>
        <v>405</v>
      </c>
      <c r="C108" s="2">
        <f>IFERROR(__xludf.DUMMYFUNCTION("""COMPUTED_VALUE"""),405.12)</f>
        <v>405.12</v>
      </c>
      <c r="D108" s="2">
        <f>IFERROR(__xludf.DUMMYFUNCTION("""COMPUTED_VALUE"""),396.93)</f>
        <v>396.93</v>
      </c>
      <c r="E108" s="2">
        <f>IFERROR(__xludf.DUMMYFUNCTION("""COMPUTED_VALUE"""),399.29)</f>
        <v>399.29</v>
      </c>
      <c r="F108" s="2">
        <f>IFERROR(__xludf.DUMMYFUNCTION("""COMPUTED_VALUE"""),4991532.0)</f>
        <v>4991532</v>
      </c>
    </row>
    <row r="109">
      <c r="A109" s="3">
        <f>IFERROR(__xludf.DUMMYFUNCTION("""COMPUTED_VALUE"""),45084.66666666667)</f>
        <v>45084.66667</v>
      </c>
      <c r="B109" s="2">
        <f>IFERROR(__xludf.DUMMYFUNCTION("""COMPUTED_VALUE"""),410.43)</f>
        <v>410.43</v>
      </c>
      <c r="C109" s="2">
        <f>IFERROR(__xludf.DUMMYFUNCTION("""COMPUTED_VALUE"""),418.95)</f>
        <v>418.95</v>
      </c>
      <c r="D109" s="2">
        <f>IFERROR(__xludf.DUMMYFUNCTION("""COMPUTED_VALUE"""),399.23)</f>
        <v>399.23</v>
      </c>
      <c r="E109" s="2">
        <f>IFERROR(__xludf.DUMMYFUNCTION("""COMPUTED_VALUE"""),399.77)</f>
        <v>399.77</v>
      </c>
      <c r="F109" s="2">
        <f>IFERROR(__xludf.DUMMYFUNCTION("""COMPUTED_VALUE"""),1.1932392E7)</f>
        <v>11932392</v>
      </c>
    </row>
    <row r="110">
      <c r="A110" s="3">
        <f>IFERROR(__xludf.DUMMYFUNCTION("""COMPUTED_VALUE"""),45085.66666666667)</f>
        <v>45085.66667</v>
      </c>
      <c r="B110" s="2">
        <f>IFERROR(__xludf.DUMMYFUNCTION("""COMPUTED_VALUE"""),399.77)</f>
        <v>399.77</v>
      </c>
      <c r="C110" s="2">
        <f>IFERROR(__xludf.DUMMYFUNCTION("""COMPUTED_VALUE"""),409.54)</f>
        <v>409.54</v>
      </c>
      <c r="D110" s="2">
        <f>IFERROR(__xludf.DUMMYFUNCTION("""COMPUTED_VALUE"""),396.34)</f>
        <v>396.34</v>
      </c>
      <c r="E110" s="2">
        <f>IFERROR(__xludf.DUMMYFUNCTION("""COMPUTED_VALUE"""),409.37)</f>
        <v>409.37</v>
      </c>
      <c r="F110" s="2">
        <f>IFERROR(__xludf.DUMMYFUNCTION("""COMPUTED_VALUE"""),5991087.0)</f>
        <v>5991087</v>
      </c>
    </row>
    <row r="111">
      <c r="A111" s="3">
        <f>IFERROR(__xludf.DUMMYFUNCTION("""COMPUTED_VALUE"""),45086.66666666667)</f>
        <v>45086.66667</v>
      </c>
      <c r="B111" s="2">
        <f>IFERROR(__xludf.DUMMYFUNCTION("""COMPUTED_VALUE"""),424.5)</f>
        <v>424.5</v>
      </c>
      <c r="C111" s="2">
        <f>IFERROR(__xludf.DUMMYFUNCTION("""COMPUTED_VALUE"""),425.9)</f>
        <v>425.9</v>
      </c>
      <c r="D111" s="2">
        <f>IFERROR(__xludf.DUMMYFUNCTION("""COMPUTED_VALUE"""),414.76)</f>
        <v>414.76</v>
      </c>
      <c r="E111" s="2">
        <f>IFERROR(__xludf.DUMMYFUNCTION("""COMPUTED_VALUE"""),420.02)</f>
        <v>420.02</v>
      </c>
      <c r="F111" s="2">
        <f>IFERROR(__xludf.DUMMYFUNCTION("""COMPUTED_VALUE"""),1.2372827E7)</f>
        <v>12372827</v>
      </c>
    </row>
    <row r="112">
      <c r="A112" s="3">
        <f>IFERROR(__xludf.DUMMYFUNCTION("""COMPUTED_VALUE"""),45089.66666666667)</f>
        <v>45089.66667</v>
      </c>
      <c r="B112" s="2">
        <f>IFERROR(__xludf.DUMMYFUNCTION("""COMPUTED_VALUE"""),418.83)</f>
        <v>418.83</v>
      </c>
      <c r="C112" s="2">
        <f>IFERROR(__xludf.DUMMYFUNCTION("""COMPUTED_VALUE"""),424.7)</f>
        <v>424.7</v>
      </c>
      <c r="D112" s="2">
        <f>IFERROR(__xludf.DUMMYFUNCTION("""COMPUTED_VALUE"""),416.57)</f>
        <v>416.57</v>
      </c>
      <c r="E112" s="2">
        <f>IFERROR(__xludf.DUMMYFUNCTION("""COMPUTED_VALUE"""),423.97)</f>
        <v>423.97</v>
      </c>
      <c r="F112" s="2">
        <f>IFERROR(__xludf.DUMMYFUNCTION("""COMPUTED_VALUE"""),5967712.0)</f>
        <v>5967712</v>
      </c>
    </row>
    <row r="113">
      <c r="A113" s="3">
        <f>IFERROR(__xludf.DUMMYFUNCTION("""COMPUTED_VALUE"""),45090.66666666667)</f>
        <v>45090.66667</v>
      </c>
      <c r="B113" s="2">
        <f>IFERROR(__xludf.DUMMYFUNCTION("""COMPUTED_VALUE"""),430.01)</f>
        <v>430.01</v>
      </c>
      <c r="C113" s="2">
        <f>IFERROR(__xludf.DUMMYFUNCTION("""COMPUTED_VALUE"""),437.27)</f>
        <v>437.27</v>
      </c>
      <c r="D113" s="2">
        <f>IFERROR(__xludf.DUMMYFUNCTION("""COMPUTED_VALUE"""),428.4)</f>
        <v>428.4</v>
      </c>
      <c r="E113" s="2">
        <f>IFERROR(__xludf.DUMMYFUNCTION("""COMPUTED_VALUE"""),435.73)</f>
        <v>435.73</v>
      </c>
      <c r="F113" s="2">
        <f>IFERROR(__xludf.DUMMYFUNCTION("""COMPUTED_VALUE"""),7820535.0)</f>
        <v>7820535</v>
      </c>
    </row>
    <row r="114">
      <c r="A114" s="3">
        <f>IFERROR(__xludf.DUMMYFUNCTION("""COMPUTED_VALUE"""),45091.66666666667)</f>
        <v>45091.66667</v>
      </c>
      <c r="B114" s="2">
        <f>IFERROR(__xludf.DUMMYFUNCTION("""COMPUTED_VALUE"""),434.99)</f>
        <v>434.99</v>
      </c>
      <c r="C114" s="2">
        <f>IFERROR(__xludf.DUMMYFUNCTION("""COMPUTED_VALUE"""),447.33)</f>
        <v>447.33</v>
      </c>
      <c r="D114" s="2">
        <f>IFERROR(__xludf.DUMMYFUNCTION("""COMPUTED_VALUE"""),433.5)</f>
        <v>433.5</v>
      </c>
      <c r="E114" s="2">
        <f>IFERROR(__xludf.DUMMYFUNCTION("""COMPUTED_VALUE"""),440.86)</f>
        <v>440.86</v>
      </c>
      <c r="F114" s="2">
        <f>IFERROR(__xludf.DUMMYFUNCTION("""COMPUTED_VALUE"""),8413089.0)</f>
        <v>8413089</v>
      </c>
    </row>
    <row r="115">
      <c r="A115" s="3">
        <f>IFERROR(__xludf.DUMMYFUNCTION("""COMPUTED_VALUE"""),45092.66666666667)</f>
        <v>45092.66667</v>
      </c>
      <c r="B115" s="2">
        <f>IFERROR(__xludf.DUMMYFUNCTION("""COMPUTED_VALUE"""),444.1)</f>
        <v>444.1</v>
      </c>
      <c r="C115" s="2">
        <f>IFERROR(__xludf.DUMMYFUNCTION("""COMPUTED_VALUE"""),448.65)</f>
        <v>448.65</v>
      </c>
      <c r="D115" s="2">
        <f>IFERROR(__xludf.DUMMYFUNCTION("""COMPUTED_VALUE"""),439.5)</f>
        <v>439.5</v>
      </c>
      <c r="E115" s="2">
        <f>IFERROR(__xludf.DUMMYFUNCTION("""COMPUTED_VALUE"""),445.27)</f>
        <v>445.27</v>
      </c>
      <c r="F115" s="2">
        <f>IFERROR(__xludf.DUMMYFUNCTION("""COMPUTED_VALUE"""),7099915.0)</f>
        <v>7099915</v>
      </c>
    </row>
    <row r="116">
      <c r="A116" s="3">
        <f>IFERROR(__xludf.DUMMYFUNCTION("""COMPUTED_VALUE"""),45093.66666666667)</f>
        <v>45093.66667</v>
      </c>
      <c r="B116" s="2">
        <f>IFERROR(__xludf.DUMMYFUNCTION("""COMPUTED_VALUE"""),446.15)</f>
        <v>446.15</v>
      </c>
      <c r="C116" s="2">
        <f>IFERROR(__xludf.DUMMYFUNCTION("""COMPUTED_VALUE"""),447.51)</f>
        <v>447.51</v>
      </c>
      <c r="D116" s="2">
        <f>IFERROR(__xludf.DUMMYFUNCTION("""COMPUTED_VALUE"""),430.9)</f>
        <v>430.9</v>
      </c>
      <c r="E116" s="2">
        <f>IFERROR(__xludf.DUMMYFUNCTION("""COMPUTED_VALUE"""),431.96)</f>
        <v>431.96</v>
      </c>
      <c r="F116" s="2">
        <f>IFERROR(__xludf.DUMMYFUNCTION("""COMPUTED_VALUE"""),8753740.0)</f>
        <v>8753740</v>
      </c>
    </row>
    <row r="117">
      <c r="A117" s="3">
        <f>IFERROR(__xludf.DUMMYFUNCTION("""COMPUTED_VALUE"""),45097.66666666667)</f>
        <v>45097.66667</v>
      </c>
      <c r="B117" s="2">
        <f>IFERROR(__xludf.DUMMYFUNCTION("""COMPUTED_VALUE"""),430.18)</f>
        <v>430.18</v>
      </c>
      <c r="C117" s="2">
        <f>IFERROR(__xludf.DUMMYFUNCTION("""COMPUTED_VALUE"""),440.0)</f>
        <v>440</v>
      </c>
      <c r="D117" s="2">
        <f>IFERROR(__xludf.DUMMYFUNCTION("""COMPUTED_VALUE"""),430.0)</f>
        <v>430</v>
      </c>
      <c r="E117" s="2">
        <f>IFERROR(__xludf.DUMMYFUNCTION("""COMPUTED_VALUE"""),434.7)</f>
        <v>434.7</v>
      </c>
      <c r="F117" s="2">
        <f>IFERROR(__xludf.DUMMYFUNCTION("""COMPUTED_VALUE"""),4762313.0)</f>
        <v>4762313</v>
      </c>
    </row>
    <row r="118">
      <c r="A118" s="3">
        <f>IFERROR(__xludf.DUMMYFUNCTION("""COMPUTED_VALUE"""),45098.66666666667)</f>
        <v>45098.66667</v>
      </c>
      <c r="B118" s="2">
        <f>IFERROR(__xludf.DUMMYFUNCTION("""COMPUTED_VALUE"""),432.65)</f>
        <v>432.65</v>
      </c>
      <c r="C118" s="2">
        <f>IFERROR(__xludf.DUMMYFUNCTION("""COMPUTED_VALUE"""),434.55)</f>
        <v>434.55</v>
      </c>
      <c r="D118" s="2">
        <f>IFERROR(__xludf.DUMMYFUNCTION("""COMPUTED_VALUE"""),422.54)</f>
        <v>422.54</v>
      </c>
      <c r="E118" s="2">
        <f>IFERROR(__xludf.DUMMYFUNCTION("""COMPUTED_VALUE"""),424.45)</f>
        <v>424.45</v>
      </c>
      <c r="F118" s="2">
        <f>IFERROR(__xludf.DUMMYFUNCTION("""COMPUTED_VALUE"""),5146441.0)</f>
        <v>5146441</v>
      </c>
    </row>
    <row r="119">
      <c r="A119" s="3">
        <f>IFERROR(__xludf.DUMMYFUNCTION("""COMPUTED_VALUE"""),45099.66666666667)</f>
        <v>45099.66667</v>
      </c>
      <c r="B119" s="2">
        <f>IFERROR(__xludf.DUMMYFUNCTION("""COMPUTED_VALUE"""),422.93)</f>
        <v>422.93</v>
      </c>
      <c r="C119" s="2">
        <f>IFERROR(__xludf.DUMMYFUNCTION("""COMPUTED_VALUE"""),424.71)</f>
        <v>424.71</v>
      </c>
      <c r="D119" s="2">
        <f>IFERROR(__xludf.DUMMYFUNCTION("""COMPUTED_VALUE"""),418.68)</f>
        <v>418.68</v>
      </c>
      <c r="E119" s="2">
        <f>IFERROR(__xludf.DUMMYFUNCTION("""COMPUTED_VALUE"""),422.48)</f>
        <v>422.48</v>
      </c>
      <c r="F119" s="2">
        <f>IFERROR(__xludf.DUMMYFUNCTION("""COMPUTED_VALUE"""),4872246.0)</f>
        <v>4872246</v>
      </c>
    </row>
    <row r="120">
      <c r="A120" s="3">
        <f>IFERROR(__xludf.DUMMYFUNCTION("""COMPUTED_VALUE"""),45100.66666666667)</f>
        <v>45100.66667</v>
      </c>
      <c r="B120" s="2">
        <f>IFERROR(__xludf.DUMMYFUNCTION("""COMPUTED_VALUE"""),418.59)</f>
        <v>418.59</v>
      </c>
      <c r="C120" s="2">
        <f>IFERROR(__xludf.DUMMYFUNCTION("""COMPUTED_VALUE"""),425.82)</f>
        <v>425.82</v>
      </c>
      <c r="D120" s="2">
        <f>IFERROR(__xludf.DUMMYFUNCTION("""COMPUTED_VALUE"""),417.73)</f>
        <v>417.73</v>
      </c>
      <c r="E120" s="2">
        <f>IFERROR(__xludf.DUMMYFUNCTION("""COMPUTED_VALUE"""),424.02)</f>
        <v>424.02</v>
      </c>
      <c r="F120" s="2">
        <f>IFERROR(__xludf.DUMMYFUNCTION("""COMPUTED_VALUE"""),8298600.0)</f>
        <v>8298600</v>
      </c>
    </row>
    <row r="121">
      <c r="A121" s="3">
        <f>IFERROR(__xludf.DUMMYFUNCTION("""COMPUTED_VALUE"""),45103.66666666667)</f>
        <v>45103.66667</v>
      </c>
      <c r="B121" s="2">
        <f>IFERROR(__xludf.DUMMYFUNCTION("""COMPUTED_VALUE"""),422.44)</f>
        <v>422.44</v>
      </c>
      <c r="C121" s="2">
        <f>IFERROR(__xludf.DUMMYFUNCTION("""COMPUTED_VALUE"""),430.96)</f>
        <v>430.96</v>
      </c>
      <c r="D121" s="2">
        <f>IFERROR(__xludf.DUMMYFUNCTION("""COMPUTED_VALUE"""),414.9)</f>
        <v>414.9</v>
      </c>
      <c r="E121" s="2">
        <f>IFERROR(__xludf.DUMMYFUNCTION("""COMPUTED_VALUE"""),415.94)</f>
        <v>415.94</v>
      </c>
      <c r="F121" s="2">
        <f>IFERROR(__xludf.DUMMYFUNCTION("""COMPUTED_VALUE"""),4640022.0)</f>
        <v>4640022</v>
      </c>
    </row>
    <row r="122">
      <c r="A122" s="3">
        <f>IFERROR(__xludf.DUMMYFUNCTION("""COMPUTED_VALUE"""),45104.66666666667)</f>
        <v>45104.66667</v>
      </c>
      <c r="B122" s="2">
        <f>IFERROR(__xludf.DUMMYFUNCTION("""COMPUTED_VALUE"""),417.39)</f>
        <v>417.39</v>
      </c>
      <c r="C122" s="2">
        <f>IFERROR(__xludf.DUMMYFUNCTION("""COMPUTED_VALUE"""),420.88)</f>
        <v>420.88</v>
      </c>
      <c r="D122" s="2">
        <f>IFERROR(__xludf.DUMMYFUNCTION("""COMPUTED_VALUE"""),411.5)</f>
        <v>411.5</v>
      </c>
      <c r="E122" s="2">
        <f>IFERROR(__xludf.DUMMYFUNCTION("""COMPUTED_VALUE"""),417.08)</f>
        <v>417.08</v>
      </c>
      <c r="F122" s="2">
        <f>IFERROR(__xludf.DUMMYFUNCTION("""COMPUTED_VALUE"""),4818066.0)</f>
        <v>4818066</v>
      </c>
    </row>
    <row r="123">
      <c r="A123" s="3">
        <f>IFERROR(__xludf.DUMMYFUNCTION("""COMPUTED_VALUE"""),45105.66666666667)</f>
        <v>45105.66667</v>
      </c>
      <c r="B123" s="2">
        <f>IFERROR(__xludf.DUMMYFUNCTION("""COMPUTED_VALUE"""),423.1)</f>
        <v>423.1</v>
      </c>
      <c r="C123" s="2">
        <f>IFERROR(__xludf.DUMMYFUNCTION("""COMPUTED_VALUE"""),437.29)</f>
        <v>437.29</v>
      </c>
      <c r="D123" s="2">
        <f>IFERROR(__xludf.DUMMYFUNCTION("""COMPUTED_VALUE"""),422.89)</f>
        <v>422.89</v>
      </c>
      <c r="E123" s="2">
        <f>IFERROR(__xludf.DUMMYFUNCTION("""COMPUTED_VALUE"""),429.84)</f>
        <v>429.84</v>
      </c>
      <c r="F123" s="2">
        <f>IFERROR(__xludf.DUMMYFUNCTION("""COMPUTED_VALUE"""),8811342.0)</f>
        <v>8811342</v>
      </c>
    </row>
    <row r="124">
      <c r="A124" s="3">
        <f>IFERROR(__xludf.DUMMYFUNCTION("""COMPUTED_VALUE"""),45106.66666666667)</f>
        <v>45106.66667</v>
      </c>
      <c r="B124" s="2">
        <f>IFERROR(__xludf.DUMMYFUNCTION("""COMPUTED_VALUE"""),434.33)</f>
        <v>434.33</v>
      </c>
      <c r="C124" s="2">
        <f>IFERROR(__xludf.DUMMYFUNCTION("""COMPUTED_VALUE"""),437.85)</f>
        <v>437.85</v>
      </c>
      <c r="D124" s="2">
        <f>IFERROR(__xludf.DUMMYFUNCTION("""COMPUTED_VALUE"""),426.15)</f>
        <v>426.15</v>
      </c>
      <c r="E124" s="2">
        <f>IFERROR(__xludf.DUMMYFUNCTION("""COMPUTED_VALUE"""),428.24)</f>
        <v>428.24</v>
      </c>
      <c r="F124" s="2">
        <f>IFERROR(__xludf.DUMMYFUNCTION("""COMPUTED_VALUE"""),4932310.0)</f>
        <v>4932310</v>
      </c>
    </row>
    <row r="125">
      <c r="A125" s="3">
        <f>IFERROR(__xludf.DUMMYFUNCTION("""COMPUTED_VALUE"""),45107.66666666667)</f>
        <v>45107.66667</v>
      </c>
      <c r="B125" s="2">
        <f>IFERROR(__xludf.DUMMYFUNCTION("""COMPUTED_VALUE"""),431.1)</f>
        <v>431.1</v>
      </c>
      <c r="C125" s="2">
        <f>IFERROR(__xludf.DUMMYFUNCTION("""COMPUTED_VALUE"""),444.12)</f>
        <v>444.12</v>
      </c>
      <c r="D125" s="2">
        <f>IFERROR(__xludf.DUMMYFUNCTION("""COMPUTED_VALUE"""),431.1)</f>
        <v>431.1</v>
      </c>
      <c r="E125" s="2">
        <f>IFERROR(__xludf.DUMMYFUNCTION("""COMPUTED_VALUE"""),440.49)</f>
        <v>440.49</v>
      </c>
      <c r="F125" s="2">
        <f>IFERROR(__xludf.DUMMYFUNCTION("""COMPUTED_VALUE"""),7346394.0)</f>
        <v>7346394</v>
      </c>
    </row>
    <row r="126">
      <c r="A126" s="3">
        <f>IFERROR(__xludf.DUMMYFUNCTION("""COMPUTED_VALUE"""),45110.54513888889)</f>
        <v>45110.54514</v>
      </c>
      <c r="B126" s="2">
        <f>IFERROR(__xludf.DUMMYFUNCTION("""COMPUTED_VALUE"""),439.76)</f>
        <v>439.76</v>
      </c>
      <c r="C126" s="2">
        <f>IFERROR(__xludf.DUMMYFUNCTION("""COMPUTED_VALUE"""),441.55)</f>
        <v>441.55</v>
      </c>
      <c r="D126" s="2">
        <f>IFERROR(__xludf.DUMMYFUNCTION("""COMPUTED_VALUE"""),431.62)</f>
        <v>431.62</v>
      </c>
      <c r="E126" s="2">
        <f>IFERROR(__xludf.DUMMYFUNCTION("""COMPUTED_VALUE"""),441.44)</f>
        <v>441.44</v>
      </c>
      <c r="F126" s="2">
        <f>IFERROR(__xludf.DUMMYFUNCTION("""COMPUTED_VALUE"""),3733207.0)</f>
        <v>3733207</v>
      </c>
    </row>
    <row r="127">
      <c r="A127" s="3">
        <f>IFERROR(__xludf.DUMMYFUNCTION("""COMPUTED_VALUE"""),45112.66666666667)</f>
        <v>45112.66667</v>
      </c>
      <c r="B127" s="2">
        <f>IFERROR(__xludf.DUMMYFUNCTION("""COMPUTED_VALUE"""),444.91)</f>
        <v>444.91</v>
      </c>
      <c r="C127" s="2">
        <f>IFERROR(__xludf.DUMMYFUNCTION("""COMPUTED_VALUE"""),450.97)</f>
        <v>450.97</v>
      </c>
      <c r="D127" s="2">
        <f>IFERROR(__xludf.DUMMYFUNCTION("""COMPUTED_VALUE"""),439.62)</f>
        <v>439.62</v>
      </c>
      <c r="E127" s="2">
        <f>IFERROR(__xludf.DUMMYFUNCTION("""COMPUTED_VALUE"""),445.9)</f>
        <v>445.9</v>
      </c>
      <c r="F127" s="2">
        <f>IFERROR(__xludf.DUMMYFUNCTION("""COMPUTED_VALUE"""),6875414.0)</f>
        <v>6875414</v>
      </c>
    </row>
    <row r="128">
      <c r="A128" s="3">
        <f>IFERROR(__xludf.DUMMYFUNCTION("""COMPUTED_VALUE"""),45113.66666666667)</f>
        <v>45113.66667</v>
      </c>
      <c r="B128" s="2">
        <f>IFERROR(__xludf.DUMMYFUNCTION("""COMPUTED_VALUE"""),440.0)</f>
        <v>440</v>
      </c>
      <c r="C128" s="2">
        <f>IFERROR(__xludf.DUMMYFUNCTION("""COMPUTED_VALUE"""),442.8)</f>
        <v>442.8</v>
      </c>
      <c r="D128" s="2">
        <f>IFERROR(__xludf.DUMMYFUNCTION("""COMPUTED_VALUE"""),430.72)</f>
        <v>430.72</v>
      </c>
      <c r="E128" s="2">
        <f>IFERROR(__xludf.DUMMYFUNCTION("""COMPUTED_VALUE"""),438.84)</f>
        <v>438.84</v>
      </c>
      <c r="F128" s="2">
        <f>IFERROR(__xludf.DUMMYFUNCTION("""COMPUTED_VALUE"""),4944892.0)</f>
        <v>4944892</v>
      </c>
    </row>
    <row r="129">
      <c r="A129" s="3">
        <f>IFERROR(__xludf.DUMMYFUNCTION("""COMPUTED_VALUE"""),45114.66666666667)</f>
        <v>45114.66667</v>
      </c>
      <c r="B129" s="2">
        <f>IFERROR(__xludf.DUMMYFUNCTION("""COMPUTED_VALUE"""),438.6)</f>
        <v>438.6</v>
      </c>
      <c r="C129" s="2">
        <f>IFERROR(__xludf.DUMMYFUNCTION("""COMPUTED_VALUE"""),442.33)</f>
        <v>442.33</v>
      </c>
      <c r="D129" s="2">
        <f>IFERROR(__xludf.DUMMYFUNCTION("""COMPUTED_VALUE"""),435.84)</f>
        <v>435.84</v>
      </c>
      <c r="E129" s="2">
        <f>IFERROR(__xludf.DUMMYFUNCTION("""COMPUTED_VALUE"""),438.1)</f>
        <v>438.1</v>
      </c>
      <c r="F129" s="2">
        <f>IFERROR(__xludf.DUMMYFUNCTION("""COMPUTED_VALUE"""),4165144.0)</f>
        <v>4165144</v>
      </c>
    </row>
    <row r="130">
      <c r="A130" s="3">
        <f>IFERROR(__xludf.DUMMYFUNCTION("""COMPUTED_VALUE"""),45117.66666666667)</f>
        <v>45117.66667</v>
      </c>
      <c r="B130" s="2">
        <f>IFERROR(__xludf.DUMMYFUNCTION("""COMPUTED_VALUE"""),438.52)</f>
        <v>438.52</v>
      </c>
      <c r="C130" s="2">
        <f>IFERROR(__xludf.DUMMYFUNCTION("""COMPUTED_VALUE"""),444.41)</f>
        <v>444.41</v>
      </c>
      <c r="D130" s="2">
        <f>IFERROR(__xludf.DUMMYFUNCTION("""COMPUTED_VALUE"""),436.82)</f>
        <v>436.82</v>
      </c>
      <c r="E130" s="2">
        <f>IFERROR(__xludf.DUMMYFUNCTION("""COMPUTED_VALUE"""),441.71)</f>
        <v>441.71</v>
      </c>
      <c r="F130" s="2">
        <f>IFERROR(__xludf.DUMMYFUNCTION("""COMPUTED_VALUE"""),4251737.0)</f>
        <v>4251737</v>
      </c>
    </row>
    <row r="131">
      <c r="A131" s="3">
        <f>IFERROR(__xludf.DUMMYFUNCTION("""COMPUTED_VALUE"""),45118.66666666667)</f>
        <v>45118.66667</v>
      </c>
      <c r="B131" s="2">
        <f>IFERROR(__xludf.DUMMYFUNCTION("""COMPUTED_VALUE"""),438.65)</f>
        <v>438.65</v>
      </c>
      <c r="C131" s="2">
        <f>IFERROR(__xludf.DUMMYFUNCTION("""COMPUTED_VALUE"""),440.8)</f>
        <v>440.8</v>
      </c>
      <c r="D131" s="2">
        <f>IFERROR(__xludf.DUMMYFUNCTION("""COMPUTED_VALUE"""),431.04)</f>
        <v>431.04</v>
      </c>
      <c r="E131" s="2">
        <f>IFERROR(__xludf.DUMMYFUNCTION("""COMPUTED_VALUE"""),440.21)</f>
        <v>440.21</v>
      </c>
      <c r="F131" s="2">
        <f>IFERROR(__xludf.DUMMYFUNCTION("""COMPUTED_VALUE"""),4574559.0)</f>
        <v>4574559</v>
      </c>
    </row>
    <row r="132">
      <c r="A132" s="3">
        <f>IFERROR(__xludf.DUMMYFUNCTION("""COMPUTED_VALUE"""),45119.66666666667)</f>
        <v>45119.66667</v>
      </c>
      <c r="B132" s="2">
        <f>IFERROR(__xludf.DUMMYFUNCTION("""COMPUTED_VALUE"""),444.55)</f>
        <v>444.55</v>
      </c>
      <c r="C132" s="2">
        <f>IFERROR(__xludf.DUMMYFUNCTION("""COMPUTED_VALUE"""),445.41)</f>
        <v>445.41</v>
      </c>
      <c r="D132" s="2">
        <f>IFERROR(__xludf.DUMMYFUNCTION("""COMPUTED_VALUE"""),437.75)</f>
        <v>437.75</v>
      </c>
      <c r="E132" s="2">
        <f>IFERROR(__xludf.DUMMYFUNCTION("""COMPUTED_VALUE"""),444.05)</f>
        <v>444.05</v>
      </c>
      <c r="F132" s="2">
        <f>IFERROR(__xludf.DUMMYFUNCTION("""COMPUTED_VALUE"""),5731657.0)</f>
        <v>5731657</v>
      </c>
    </row>
    <row r="133">
      <c r="A133" s="3">
        <f>IFERROR(__xludf.DUMMYFUNCTION("""COMPUTED_VALUE"""),45120.66666666667)</f>
        <v>45120.66667</v>
      </c>
      <c r="B133" s="2">
        <f>IFERROR(__xludf.DUMMYFUNCTION("""COMPUTED_VALUE"""),447.0)</f>
        <v>447</v>
      </c>
      <c r="C133" s="2">
        <f>IFERROR(__xludf.DUMMYFUNCTION("""COMPUTED_VALUE"""),451.67)</f>
        <v>451.67</v>
      </c>
      <c r="D133" s="2">
        <f>IFERROR(__xludf.DUMMYFUNCTION("""COMPUTED_VALUE"""),441.18)</f>
        <v>441.18</v>
      </c>
      <c r="E133" s="2">
        <f>IFERROR(__xludf.DUMMYFUNCTION("""COMPUTED_VALUE"""),450.38)</f>
        <v>450.38</v>
      </c>
      <c r="F133" s="2">
        <f>IFERROR(__xludf.DUMMYFUNCTION("""COMPUTED_VALUE"""),6157475.0)</f>
        <v>6157475</v>
      </c>
    </row>
    <row r="134">
      <c r="A134" s="3">
        <f>IFERROR(__xludf.DUMMYFUNCTION("""COMPUTED_VALUE"""),45121.66666666667)</f>
        <v>45121.66667</v>
      </c>
      <c r="B134" s="2">
        <f>IFERROR(__xludf.DUMMYFUNCTION("""COMPUTED_VALUE"""),452.79)</f>
        <v>452.79</v>
      </c>
      <c r="C134" s="2">
        <f>IFERROR(__xludf.DUMMYFUNCTION("""COMPUTED_VALUE"""),456.48)</f>
        <v>456.48</v>
      </c>
      <c r="D134" s="2">
        <f>IFERROR(__xludf.DUMMYFUNCTION("""COMPUTED_VALUE"""),439.7)</f>
        <v>439.7</v>
      </c>
      <c r="E134" s="2">
        <f>IFERROR(__xludf.DUMMYFUNCTION("""COMPUTED_VALUE"""),441.91)</f>
        <v>441.91</v>
      </c>
      <c r="F134" s="2">
        <f>IFERROR(__xludf.DUMMYFUNCTION("""COMPUTED_VALUE"""),7195860.0)</f>
        <v>7195860</v>
      </c>
    </row>
    <row r="135">
      <c r="A135" s="3">
        <f>IFERROR(__xludf.DUMMYFUNCTION("""COMPUTED_VALUE"""),45124.66666666667)</f>
        <v>45124.66667</v>
      </c>
      <c r="B135" s="2">
        <f>IFERROR(__xludf.DUMMYFUNCTION("""COMPUTED_VALUE"""),445.57)</f>
        <v>445.57</v>
      </c>
      <c r="C135" s="2">
        <f>IFERROR(__xludf.DUMMYFUNCTION("""COMPUTED_VALUE"""),456.68)</f>
        <v>456.68</v>
      </c>
      <c r="D135" s="2">
        <f>IFERROR(__xludf.DUMMYFUNCTION("""COMPUTED_VALUE"""),445.11)</f>
        <v>445.11</v>
      </c>
      <c r="E135" s="2">
        <f>IFERROR(__xludf.DUMMYFUNCTION("""COMPUTED_VALUE"""),450.05)</f>
        <v>450.05</v>
      </c>
      <c r="F135" s="2">
        <f>IFERROR(__xludf.DUMMYFUNCTION("""COMPUTED_VALUE"""),6901141.0)</f>
        <v>6901141</v>
      </c>
    </row>
    <row r="136">
      <c r="A136" s="3">
        <f>IFERROR(__xludf.DUMMYFUNCTION("""COMPUTED_VALUE"""),45125.66666666667)</f>
        <v>45125.66667</v>
      </c>
      <c r="B136" s="2">
        <f>IFERROR(__xludf.DUMMYFUNCTION("""COMPUTED_VALUE"""),451.0)</f>
        <v>451</v>
      </c>
      <c r="C136" s="2">
        <f>IFERROR(__xludf.DUMMYFUNCTION("""COMPUTED_VALUE"""),478.15)</f>
        <v>478.15</v>
      </c>
      <c r="D136" s="2">
        <f>IFERROR(__xludf.DUMMYFUNCTION("""COMPUTED_VALUE"""),448.78)</f>
        <v>448.78</v>
      </c>
      <c r="E136" s="2">
        <f>IFERROR(__xludf.DUMMYFUNCTION("""COMPUTED_VALUE"""),474.8)</f>
        <v>474.8</v>
      </c>
      <c r="F136" s="2">
        <f>IFERROR(__xludf.DUMMYFUNCTION("""COMPUTED_VALUE"""),1.3196877E7)</f>
        <v>13196877</v>
      </c>
    </row>
    <row r="137">
      <c r="A137" s="3">
        <f>IFERROR(__xludf.DUMMYFUNCTION("""COMPUTED_VALUE"""),45126.66666666667)</f>
        <v>45126.66667</v>
      </c>
      <c r="B137" s="2">
        <f>IFERROR(__xludf.DUMMYFUNCTION("""COMPUTED_VALUE"""),476.86)</f>
        <v>476.86</v>
      </c>
      <c r="C137" s="2">
        <f>IFERROR(__xludf.DUMMYFUNCTION("""COMPUTED_VALUE"""),485.0)</f>
        <v>485</v>
      </c>
      <c r="D137" s="2">
        <f>IFERROR(__xludf.DUMMYFUNCTION("""COMPUTED_VALUE"""),470.0)</f>
        <v>470</v>
      </c>
      <c r="E137" s="2">
        <f>IFERROR(__xludf.DUMMYFUNCTION("""COMPUTED_VALUE"""),477.59)</f>
        <v>477.59</v>
      </c>
      <c r="F137" s="2">
        <f>IFERROR(__xludf.DUMMYFUNCTION("""COMPUTED_VALUE"""),2.0996481E7)</f>
        <v>20996481</v>
      </c>
    </row>
    <row r="138">
      <c r="A138" s="3">
        <f>IFERROR(__xludf.DUMMYFUNCTION("""COMPUTED_VALUE"""),45127.66666666667)</f>
        <v>45127.66667</v>
      </c>
      <c r="B138" s="2">
        <f>IFERROR(__xludf.DUMMYFUNCTION("""COMPUTED_VALUE"""),447.0)</f>
        <v>447</v>
      </c>
      <c r="C138" s="2">
        <f>IFERROR(__xludf.DUMMYFUNCTION("""COMPUTED_VALUE"""),448.5)</f>
        <v>448.5</v>
      </c>
      <c r="D138" s="2">
        <f>IFERROR(__xludf.DUMMYFUNCTION("""COMPUTED_VALUE"""),432.0)</f>
        <v>432</v>
      </c>
      <c r="E138" s="2">
        <f>IFERROR(__xludf.DUMMYFUNCTION("""COMPUTED_VALUE"""),437.42)</f>
        <v>437.42</v>
      </c>
      <c r="F138" s="2">
        <f>IFERROR(__xludf.DUMMYFUNCTION("""COMPUTED_VALUE"""),2.3989711E7)</f>
        <v>23989711</v>
      </c>
    </row>
    <row r="139">
      <c r="A139" s="3">
        <f>IFERROR(__xludf.DUMMYFUNCTION("""COMPUTED_VALUE"""),45128.66666666667)</f>
        <v>45128.66667</v>
      </c>
      <c r="B139" s="2">
        <f>IFERROR(__xludf.DUMMYFUNCTION("""COMPUTED_VALUE"""),437.37)</f>
        <v>437.37</v>
      </c>
      <c r="C139" s="2">
        <f>IFERROR(__xludf.DUMMYFUNCTION("""COMPUTED_VALUE"""),438.24)</f>
        <v>438.24</v>
      </c>
      <c r="D139" s="2">
        <f>IFERROR(__xludf.DUMMYFUNCTION("""COMPUTED_VALUE"""),423.19)</f>
        <v>423.19</v>
      </c>
      <c r="E139" s="2">
        <f>IFERROR(__xludf.DUMMYFUNCTION("""COMPUTED_VALUE"""),427.5)</f>
        <v>427.5</v>
      </c>
      <c r="F139" s="2">
        <f>IFERROR(__xludf.DUMMYFUNCTION("""COMPUTED_VALUE"""),1.7340028E7)</f>
        <v>17340028</v>
      </c>
    </row>
    <row r="140">
      <c r="A140" s="3">
        <f>IFERROR(__xludf.DUMMYFUNCTION("""COMPUTED_VALUE"""),45131.66666666667)</f>
        <v>45131.66667</v>
      </c>
      <c r="B140" s="2">
        <f>IFERROR(__xludf.DUMMYFUNCTION("""COMPUTED_VALUE"""),425.0)</f>
        <v>425</v>
      </c>
      <c r="C140" s="2">
        <f>IFERROR(__xludf.DUMMYFUNCTION("""COMPUTED_VALUE"""),428.64)</f>
        <v>428.64</v>
      </c>
      <c r="D140" s="2">
        <f>IFERROR(__xludf.DUMMYFUNCTION("""COMPUTED_VALUE"""),419.19)</f>
        <v>419.19</v>
      </c>
      <c r="E140" s="2">
        <f>IFERROR(__xludf.DUMMYFUNCTION("""COMPUTED_VALUE"""),428.37)</f>
        <v>428.37</v>
      </c>
      <c r="F140" s="2">
        <f>IFERROR(__xludf.DUMMYFUNCTION("""COMPUTED_VALUE"""),8282434.0)</f>
        <v>8282434</v>
      </c>
    </row>
    <row r="141">
      <c r="A141" s="3">
        <f>IFERROR(__xludf.DUMMYFUNCTION("""COMPUTED_VALUE"""),45132.66666666667)</f>
        <v>45132.66667</v>
      </c>
      <c r="B141" s="2">
        <f>IFERROR(__xludf.DUMMYFUNCTION("""COMPUTED_VALUE"""),427.18)</f>
        <v>427.18</v>
      </c>
      <c r="C141" s="2">
        <f>IFERROR(__xludf.DUMMYFUNCTION("""COMPUTED_VALUE"""),430.88)</f>
        <v>430.88</v>
      </c>
      <c r="D141" s="2">
        <f>IFERROR(__xludf.DUMMYFUNCTION("""COMPUTED_VALUE"""),426.13)</f>
        <v>426.13</v>
      </c>
      <c r="E141" s="2">
        <f>IFERROR(__xludf.DUMMYFUNCTION("""COMPUTED_VALUE"""),427.7)</f>
        <v>427.7</v>
      </c>
      <c r="F141" s="2">
        <f>IFERROR(__xludf.DUMMYFUNCTION("""COMPUTED_VALUE"""),4859843.0)</f>
        <v>4859843</v>
      </c>
    </row>
    <row r="142">
      <c r="A142" s="3">
        <f>IFERROR(__xludf.DUMMYFUNCTION("""COMPUTED_VALUE"""),45133.66666666667)</f>
        <v>45133.66667</v>
      </c>
      <c r="B142" s="2">
        <f>IFERROR(__xludf.DUMMYFUNCTION("""COMPUTED_VALUE"""),424.2)</f>
        <v>424.2</v>
      </c>
      <c r="C142" s="2">
        <f>IFERROR(__xludf.DUMMYFUNCTION("""COMPUTED_VALUE"""),425.26)</f>
        <v>425.26</v>
      </c>
      <c r="D142" s="2">
        <f>IFERROR(__xludf.DUMMYFUNCTION("""COMPUTED_VALUE"""),415.59)</f>
        <v>415.59</v>
      </c>
      <c r="E142" s="2">
        <f>IFERROR(__xludf.DUMMYFUNCTION("""COMPUTED_VALUE"""),422.67)</f>
        <v>422.67</v>
      </c>
      <c r="F142" s="2">
        <f>IFERROR(__xludf.DUMMYFUNCTION("""COMPUTED_VALUE"""),6009242.0)</f>
        <v>6009242</v>
      </c>
    </row>
    <row r="143">
      <c r="A143" s="3">
        <f>IFERROR(__xludf.DUMMYFUNCTION("""COMPUTED_VALUE"""),45134.66666666667)</f>
        <v>45134.66667</v>
      </c>
      <c r="B143" s="2">
        <f>IFERROR(__xludf.DUMMYFUNCTION("""COMPUTED_VALUE"""),426.9)</f>
        <v>426.9</v>
      </c>
      <c r="C143" s="2">
        <f>IFERROR(__xludf.DUMMYFUNCTION("""COMPUTED_VALUE"""),427.52)</f>
        <v>427.52</v>
      </c>
      <c r="D143" s="2">
        <f>IFERROR(__xludf.DUMMYFUNCTION("""COMPUTED_VALUE"""),411.88)</f>
        <v>411.88</v>
      </c>
      <c r="E143" s="2">
        <f>IFERROR(__xludf.DUMMYFUNCTION("""COMPUTED_VALUE"""),413.17)</f>
        <v>413.17</v>
      </c>
      <c r="F143" s="2">
        <f>IFERROR(__xludf.DUMMYFUNCTION("""COMPUTED_VALUE"""),6594466.0)</f>
        <v>6594466</v>
      </c>
    </row>
    <row r="144">
      <c r="A144" s="3">
        <f>IFERROR(__xludf.DUMMYFUNCTION("""COMPUTED_VALUE"""),45135.66666666667)</f>
        <v>45135.66667</v>
      </c>
      <c r="B144" s="2">
        <f>IFERROR(__xludf.DUMMYFUNCTION("""COMPUTED_VALUE"""),415.56)</f>
        <v>415.56</v>
      </c>
      <c r="C144" s="2">
        <f>IFERROR(__xludf.DUMMYFUNCTION("""COMPUTED_VALUE"""),427.47)</f>
        <v>427.47</v>
      </c>
      <c r="D144" s="2">
        <f>IFERROR(__xludf.DUMMYFUNCTION("""COMPUTED_VALUE"""),413.76)</f>
        <v>413.76</v>
      </c>
      <c r="E144" s="2">
        <f>IFERROR(__xludf.DUMMYFUNCTION("""COMPUTED_VALUE"""),425.78)</f>
        <v>425.78</v>
      </c>
      <c r="F144" s="2">
        <f>IFERROR(__xludf.DUMMYFUNCTION("""COMPUTED_VALUE"""),6428073.0)</f>
        <v>6428073</v>
      </c>
    </row>
    <row r="145">
      <c r="A145" s="3">
        <f>IFERROR(__xludf.DUMMYFUNCTION("""COMPUTED_VALUE"""),45138.66666666667)</f>
        <v>45138.66667</v>
      </c>
      <c r="B145" s="2">
        <f>IFERROR(__xludf.DUMMYFUNCTION("""COMPUTED_VALUE"""),426.51)</f>
        <v>426.51</v>
      </c>
      <c r="C145" s="2">
        <f>IFERROR(__xludf.DUMMYFUNCTION("""COMPUTED_VALUE"""),439.13)</f>
        <v>439.13</v>
      </c>
      <c r="D145" s="2">
        <f>IFERROR(__xludf.DUMMYFUNCTION("""COMPUTED_VALUE"""),426.3)</f>
        <v>426.3</v>
      </c>
      <c r="E145" s="2">
        <f>IFERROR(__xludf.DUMMYFUNCTION("""COMPUTED_VALUE"""),438.97)</f>
        <v>438.97</v>
      </c>
      <c r="F145" s="2">
        <f>IFERROR(__xludf.DUMMYFUNCTION("""COMPUTED_VALUE"""),6587619.0)</f>
        <v>6587619</v>
      </c>
    </row>
    <row r="146">
      <c r="A146" s="3">
        <f>IFERROR(__xludf.DUMMYFUNCTION("""COMPUTED_VALUE"""),45139.66666666667)</f>
        <v>45139.66667</v>
      </c>
      <c r="B146" s="2">
        <f>IFERROR(__xludf.DUMMYFUNCTION("""COMPUTED_VALUE"""),437.37)</f>
        <v>437.37</v>
      </c>
      <c r="C146" s="2">
        <f>IFERROR(__xludf.DUMMYFUNCTION("""COMPUTED_VALUE"""),445.25)</f>
        <v>445.25</v>
      </c>
      <c r="D146" s="2">
        <f>IFERROR(__xludf.DUMMYFUNCTION("""COMPUTED_VALUE"""),431.4)</f>
        <v>431.4</v>
      </c>
      <c r="E146" s="2">
        <f>IFERROR(__xludf.DUMMYFUNCTION("""COMPUTED_VALUE"""),438.62)</f>
        <v>438.62</v>
      </c>
      <c r="F146" s="2">
        <f>IFERROR(__xludf.DUMMYFUNCTION("""COMPUTED_VALUE"""),5725544.0)</f>
        <v>5725544</v>
      </c>
    </row>
    <row r="147">
      <c r="A147" s="3">
        <f>IFERROR(__xludf.DUMMYFUNCTION("""COMPUTED_VALUE"""),45140.66666666667)</f>
        <v>45140.66667</v>
      </c>
      <c r="B147" s="2">
        <f>IFERROR(__xludf.DUMMYFUNCTION("""COMPUTED_VALUE"""),435.23)</f>
        <v>435.23</v>
      </c>
      <c r="C147" s="2">
        <f>IFERROR(__xludf.DUMMYFUNCTION("""COMPUTED_VALUE"""),435.56)</f>
        <v>435.56</v>
      </c>
      <c r="D147" s="2">
        <f>IFERROR(__xludf.DUMMYFUNCTION("""COMPUTED_VALUE"""),426.56)</f>
        <v>426.56</v>
      </c>
      <c r="E147" s="2">
        <f>IFERROR(__xludf.DUMMYFUNCTION("""COMPUTED_VALUE"""),429.7)</f>
        <v>429.7</v>
      </c>
      <c r="F147" s="2">
        <f>IFERROR(__xludf.DUMMYFUNCTION("""COMPUTED_VALUE"""),4921781.0)</f>
        <v>4921781</v>
      </c>
    </row>
    <row r="148">
      <c r="A148" s="3">
        <f>IFERROR(__xludf.DUMMYFUNCTION("""COMPUTED_VALUE"""),45141.66666666667)</f>
        <v>45141.66667</v>
      </c>
      <c r="B148" s="2">
        <f>IFERROR(__xludf.DUMMYFUNCTION("""COMPUTED_VALUE"""),427.8)</f>
        <v>427.8</v>
      </c>
      <c r="C148" s="2">
        <f>IFERROR(__xludf.DUMMYFUNCTION("""COMPUTED_VALUE"""),441.93)</f>
        <v>441.93</v>
      </c>
      <c r="D148" s="2">
        <f>IFERROR(__xludf.DUMMYFUNCTION("""COMPUTED_VALUE"""),427.19)</f>
        <v>427.19</v>
      </c>
      <c r="E148" s="2">
        <f>IFERROR(__xludf.DUMMYFUNCTION("""COMPUTED_VALUE"""),431.0)</f>
        <v>431</v>
      </c>
      <c r="F148" s="2">
        <f>IFERROR(__xludf.DUMMYFUNCTION("""COMPUTED_VALUE"""),6259309.0)</f>
        <v>6259309</v>
      </c>
    </row>
    <row r="149">
      <c r="A149" s="3">
        <f>IFERROR(__xludf.DUMMYFUNCTION("""COMPUTED_VALUE"""),45142.66666666667)</f>
        <v>45142.66667</v>
      </c>
      <c r="B149" s="2">
        <f>IFERROR(__xludf.DUMMYFUNCTION("""COMPUTED_VALUE"""),433.06)</f>
        <v>433.06</v>
      </c>
      <c r="C149" s="2">
        <f>IFERROR(__xludf.DUMMYFUNCTION("""COMPUTED_VALUE"""),436.5)</f>
        <v>436.5</v>
      </c>
      <c r="D149" s="2">
        <f>IFERROR(__xludf.DUMMYFUNCTION("""COMPUTED_VALUE"""),426.27)</f>
        <v>426.27</v>
      </c>
      <c r="E149" s="2">
        <f>IFERROR(__xludf.DUMMYFUNCTION("""COMPUTED_VALUE"""),431.6)</f>
        <v>431.6</v>
      </c>
      <c r="F149" s="2">
        <f>IFERROR(__xludf.DUMMYFUNCTION("""COMPUTED_VALUE"""),5441811.0)</f>
        <v>5441811</v>
      </c>
    </row>
    <row r="150">
      <c r="A150" s="3">
        <f>IFERROR(__xludf.DUMMYFUNCTION("""COMPUTED_VALUE"""),45145.66666666667)</f>
        <v>45145.66667</v>
      </c>
      <c r="B150" s="2">
        <f>IFERROR(__xludf.DUMMYFUNCTION("""COMPUTED_VALUE"""),436.46)</f>
        <v>436.46</v>
      </c>
      <c r="C150" s="2">
        <f>IFERROR(__xludf.DUMMYFUNCTION("""COMPUTED_VALUE"""),441.11)</f>
        <v>441.11</v>
      </c>
      <c r="D150" s="2">
        <f>IFERROR(__xludf.DUMMYFUNCTION("""COMPUTED_VALUE"""),428.91)</f>
        <v>428.91</v>
      </c>
      <c r="E150" s="2">
        <f>IFERROR(__xludf.DUMMYFUNCTION("""COMPUTED_VALUE"""),440.76)</f>
        <v>440.76</v>
      </c>
      <c r="F150" s="2">
        <f>IFERROR(__xludf.DUMMYFUNCTION("""COMPUTED_VALUE"""),4781303.0)</f>
        <v>4781303</v>
      </c>
    </row>
    <row r="151">
      <c r="A151" s="3">
        <f>IFERROR(__xludf.DUMMYFUNCTION("""COMPUTED_VALUE"""),45146.66666666667)</f>
        <v>45146.66667</v>
      </c>
      <c r="B151" s="2">
        <f>IFERROR(__xludf.DUMMYFUNCTION("""COMPUTED_VALUE"""),440.36)</f>
        <v>440.36</v>
      </c>
      <c r="C151" s="2">
        <f>IFERROR(__xludf.DUMMYFUNCTION("""COMPUTED_VALUE"""),443.57)</f>
        <v>443.57</v>
      </c>
      <c r="D151" s="2">
        <f>IFERROR(__xludf.DUMMYFUNCTION("""COMPUTED_VALUE"""),435.1)</f>
        <v>435.1</v>
      </c>
      <c r="E151" s="2">
        <f>IFERROR(__xludf.DUMMYFUNCTION("""COMPUTED_VALUE"""),438.3)</f>
        <v>438.3</v>
      </c>
      <c r="F151" s="2">
        <f>IFERROR(__xludf.DUMMYFUNCTION("""COMPUTED_VALUE"""),3767195.0)</f>
        <v>3767195</v>
      </c>
    </row>
    <row r="152">
      <c r="A152" s="3">
        <f>IFERROR(__xludf.DUMMYFUNCTION("""COMPUTED_VALUE"""),45147.66666666667)</f>
        <v>45147.66667</v>
      </c>
      <c r="B152" s="2">
        <f>IFERROR(__xludf.DUMMYFUNCTION("""COMPUTED_VALUE"""),439.74)</f>
        <v>439.74</v>
      </c>
      <c r="C152" s="2">
        <f>IFERROR(__xludf.DUMMYFUNCTION("""COMPUTED_VALUE"""),440.62)</f>
        <v>440.62</v>
      </c>
      <c r="D152" s="2">
        <f>IFERROR(__xludf.DUMMYFUNCTION("""COMPUTED_VALUE"""),427.59)</f>
        <v>427.59</v>
      </c>
      <c r="E152" s="2">
        <f>IFERROR(__xludf.DUMMYFUNCTION("""COMPUTED_VALUE"""),428.9)</f>
        <v>428.9</v>
      </c>
      <c r="F152" s="2">
        <f>IFERROR(__xludf.DUMMYFUNCTION("""COMPUTED_VALUE"""),3846639.0)</f>
        <v>3846639</v>
      </c>
    </row>
    <row r="153">
      <c r="A153" s="3">
        <f>IFERROR(__xludf.DUMMYFUNCTION("""COMPUTED_VALUE"""),45148.66666666667)</f>
        <v>45148.66667</v>
      </c>
      <c r="B153" s="2">
        <f>IFERROR(__xludf.DUMMYFUNCTION("""COMPUTED_VALUE"""),431.12)</f>
        <v>431.12</v>
      </c>
      <c r="C153" s="2">
        <f>IFERROR(__xludf.DUMMYFUNCTION("""COMPUTED_VALUE"""),438.12)</f>
        <v>438.12</v>
      </c>
      <c r="D153" s="2">
        <f>IFERROR(__xludf.DUMMYFUNCTION("""COMPUTED_VALUE"""),428.69)</f>
        <v>428.69</v>
      </c>
      <c r="E153" s="2">
        <f>IFERROR(__xludf.DUMMYFUNCTION("""COMPUTED_VALUE"""),429.98)</f>
        <v>429.98</v>
      </c>
      <c r="F153" s="2">
        <f>IFERROR(__xludf.DUMMYFUNCTION("""COMPUTED_VALUE"""),5467607.0)</f>
        <v>5467607</v>
      </c>
    </row>
    <row r="154">
      <c r="A154" s="3">
        <f>IFERROR(__xludf.DUMMYFUNCTION("""COMPUTED_VALUE"""),45149.66666666667)</f>
        <v>45149.66667</v>
      </c>
      <c r="B154" s="2">
        <f>IFERROR(__xludf.DUMMYFUNCTION("""COMPUTED_VALUE"""),428.98)</f>
        <v>428.98</v>
      </c>
      <c r="C154" s="2">
        <f>IFERROR(__xludf.DUMMYFUNCTION("""COMPUTED_VALUE"""),430.63)</f>
        <v>430.63</v>
      </c>
      <c r="D154" s="2">
        <f>IFERROR(__xludf.DUMMYFUNCTION("""COMPUTED_VALUE"""),421.33)</f>
        <v>421.33</v>
      </c>
      <c r="E154" s="2">
        <f>IFERROR(__xludf.DUMMYFUNCTION("""COMPUTED_VALUE"""),421.66)</f>
        <v>421.66</v>
      </c>
      <c r="F154" s="2">
        <f>IFERROR(__xludf.DUMMYFUNCTION("""COMPUTED_VALUE"""),3927914.0)</f>
        <v>3927914</v>
      </c>
    </row>
    <row r="155">
      <c r="A155" s="3">
        <f>IFERROR(__xludf.DUMMYFUNCTION("""COMPUTED_VALUE"""),45152.66666666667)</f>
        <v>45152.66667</v>
      </c>
      <c r="B155" s="2">
        <f>IFERROR(__xludf.DUMMYFUNCTION("""COMPUTED_VALUE"""),421.99)</f>
        <v>421.99</v>
      </c>
      <c r="C155" s="2">
        <f>IFERROR(__xludf.DUMMYFUNCTION("""COMPUTED_VALUE"""),428.85)</f>
        <v>428.85</v>
      </c>
      <c r="D155" s="2">
        <f>IFERROR(__xludf.DUMMYFUNCTION("""COMPUTED_VALUE"""),418.78)</f>
        <v>418.78</v>
      </c>
      <c r="E155" s="2">
        <f>IFERROR(__xludf.DUMMYFUNCTION("""COMPUTED_VALUE"""),427.78)</f>
        <v>427.78</v>
      </c>
      <c r="F155" s="2">
        <f>IFERROR(__xludf.DUMMYFUNCTION("""COMPUTED_VALUE"""),3965963.0)</f>
        <v>3965963</v>
      </c>
    </row>
    <row r="156">
      <c r="A156" s="3">
        <f>IFERROR(__xludf.DUMMYFUNCTION("""COMPUTED_VALUE"""),45153.66666666667)</f>
        <v>45153.66667</v>
      </c>
      <c r="B156" s="2">
        <f>IFERROR(__xludf.DUMMYFUNCTION("""COMPUTED_VALUE"""),424.41)</f>
        <v>424.41</v>
      </c>
      <c r="C156" s="2">
        <f>IFERROR(__xludf.DUMMYFUNCTION("""COMPUTED_VALUE"""),429.12)</f>
        <v>429.12</v>
      </c>
      <c r="D156" s="2">
        <f>IFERROR(__xludf.DUMMYFUNCTION("""COMPUTED_VALUE"""),421.04)</f>
        <v>421.04</v>
      </c>
      <c r="E156" s="2">
        <f>IFERROR(__xludf.DUMMYFUNCTION("""COMPUTED_VALUE"""),423.7)</f>
        <v>423.7</v>
      </c>
      <c r="F156" s="2">
        <f>IFERROR(__xludf.DUMMYFUNCTION("""COMPUTED_VALUE"""),3367998.0)</f>
        <v>3367998</v>
      </c>
    </row>
    <row r="157">
      <c r="A157" s="3">
        <f>IFERROR(__xludf.DUMMYFUNCTION("""COMPUTED_VALUE"""),45154.66666666667)</f>
        <v>45154.66667</v>
      </c>
      <c r="B157" s="2">
        <f>IFERROR(__xludf.DUMMYFUNCTION("""COMPUTED_VALUE"""),423.73)</f>
        <v>423.73</v>
      </c>
      <c r="C157" s="2">
        <f>IFERROR(__xludf.DUMMYFUNCTION("""COMPUTED_VALUE"""),424.51)</f>
        <v>424.51</v>
      </c>
      <c r="D157" s="2">
        <f>IFERROR(__xludf.DUMMYFUNCTION("""COMPUTED_VALUE"""),415.25)</f>
        <v>415.25</v>
      </c>
      <c r="E157" s="2">
        <f>IFERROR(__xludf.DUMMYFUNCTION("""COMPUTED_VALUE"""),415.45)</f>
        <v>415.45</v>
      </c>
      <c r="F157" s="2">
        <f>IFERROR(__xludf.DUMMYFUNCTION("""COMPUTED_VALUE"""),3967021.0)</f>
        <v>3967021</v>
      </c>
    </row>
    <row r="158">
      <c r="A158" s="3">
        <f>IFERROR(__xludf.DUMMYFUNCTION("""COMPUTED_VALUE"""),45155.66666666667)</f>
        <v>45155.66667</v>
      </c>
      <c r="B158" s="2">
        <f>IFERROR(__xludf.DUMMYFUNCTION("""COMPUTED_VALUE"""),415.0)</f>
        <v>415</v>
      </c>
      <c r="C158" s="2">
        <f>IFERROR(__xludf.DUMMYFUNCTION("""COMPUTED_VALUE"""),415.24)</f>
        <v>415.24</v>
      </c>
      <c r="D158" s="2">
        <f>IFERROR(__xludf.DUMMYFUNCTION("""COMPUTED_VALUE"""),401.58)</f>
        <v>401.58</v>
      </c>
      <c r="E158" s="2">
        <f>IFERROR(__xludf.DUMMYFUNCTION("""COMPUTED_VALUE"""),403.0)</f>
        <v>403</v>
      </c>
      <c r="F158" s="2">
        <f>IFERROR(__xludf.DUMMYFUNCTION("""COMPUTED_VALUE"""),6031469.0)</f>
        <v>6031469</v>
      </c>
    </row>
    <row r="159">
      <c r="A159" s="3">
        <f>IFERROR(__xludf.DUMMYFUNCTION("""COMPUTED_VALUE"""),45156.66666666667)</f>
        <v>45156.66667</v>
      </c>
      <c r="B159" s="2">
        <f>IFERROR(__xludf.DUMMYFUNCTION("""COMPUTED_VALUE"""),399.33)</f>
        <v>399.33</v>
      </c>
      <c r="C159" s="2">
        <f>IFERROR(__xludf.DUMMYFUNCTION("""COMPUTED_VALUE"""),406.52)</f>
        <v>406.52</v>
      </c>
      <c r="D159" s="2">
        <f>IFERROR(__xludf.DUMMYFUNCTION("""COMPUTED_VALUE"""),398.15)</f>
        <v>398.15</v>
      </c>
      <c r="E159" s="2">
        <f>IFERROR(__xludf.DUMMYFUNCTION("""COMPUTED_VALUE"""),404.53)</f>
        <v>404.53</v>
      </c>
      <c r="F159" s="2">
        <f>IFERROR(__xludf.DUMMYFUNCTION("""COMPUTED_VALUE"""),4312196.0)</f>
        <v>4312196</v>
      </c>
    </row>
    <row r="160">
      <c r="A160" s="3">
        <f>IFERROR(__xludf.DUMMYFUNCTION("""COMPUTED_VALUE"""),45159.66666666667)</f>
        <v>45159.66667</v>
      </c>
      <c r="B160" s="2">
        <f>IFERROR(__xludf.DUMMYFUNCTION("""COMPUTED_VALUE"""),402.23)</f>
        <v>402.23</v>
      </c>
      <c r="C160" s="2">
        <f>IFERROR(__xludf.DUMMYFUNCTION("""COMPUTED_VALUE"""),409.61)</f>
        <v>409.61</v>
      </c>
      <c r="D160" s="2">
        <f>IFERROR(__xludf.DUMMYFUNCTION("""COMPUTED_VALUE"""),399.5)</f>
        <v>399.5</v>
      </c>
      <c r="E160" s="2">
        <f>IFERROR(__xludf.DUMMYFUNCTION("""COMPUTED_VALUE"""),408.29)</f>
        <v>408.29</v>
      </c>
      <c r="F160" s="2">
        <f>IFERROR(__xludf.DUMMYFUNCTION("""COMPUTED_VALUE"""),3861579.0)</f>
        <v>3861579</v>
      </c>
    </row>
    <row r="161">
      <c r="A161" s="3">
        <f>IFERROR(__xludf.DUMMYFUNCTION("""COMPUTED_VALUE"""),45160.66666666667)</f>
        <v>45160.66667</v>
      </c>
      <c r="B161" s="2">
        <f>IFERROR(__xludf.DUMMYFUNCTION("""COMPUTED_VALUE"""),409.0)</f>
        <v>409</v>
      </c>
      <c r="C161" s="2">
        <f>IFERROR(__xludf.DUMMYFUNCTION("""COMPUTED_VALUE"""),415.74)</f>
        <v>415.74</v>
      </c>
      <c r="D161" s="2">
        <f>IFERROR(__xludf.DUMMYFUNCTION("""COMPUTED_VALUE"""),407.4)</f>
        <v>407.4</v>
      </c>
      <c r="E161" s="2">
        <f>IFERROR(__xludf.DUMMYFUNCTION("""COMPUTED_VALUE"""),413.17)</f>
        <v>413.17</v>
      </c>
      <c r="F161" s="2">
        <f>IFERROR(__xludf.DUMMYFUNCTION("""COMPUTED_VALUE"""),3603273.0)</f>
        <v>3603273</v>
      </c>
    </row>
    <row r="162">
      <c r="A162" s="3">
        <f>IFERROR(__xludf.DUMMYFUNCTION("""COMPUTED_VALUE"""),45161.66666666667)</f>
        <v>45161.66667</v>
      </c>
      <c r="B162" s="2">
        <f>IFERROR(__xludf.DUMMYFUNCTION("""COMPUTED_VALUE"""),418.4)</f>
        <v>418.4</v>
      </c>
      <c r="C162" s="2">
        <f>IFERROR(__xludf.DUMMYFUNCTION("""COMPUTED_VALUE"""),437.02)</f>
        <v>437.02</v>
      </c>
      <c r="D162" s="2">
        <f>IFERROR(__xludf.DUMMYFUNCTION("""COMPUTED_VALUE"""),417.71)</f>
        <v>417.71</v>
      </c>
      <c r="E162" s="2">
        <f>IFERROR(__xludf.DUMMYFUNCTION("""COMPUTED_VALUE"""),427.55)</f>
        <v>427.55</v>
      </c>
      <c r="F162" s="2">
        <f>IFERROR(__xludf.DUMMYFUNCTION("""COMPUTED_VALUE"""),8174732.0)</f>
        <v>8174732</v>
      </c>
    </row>
    <row r="163">
      <c r="A163" s="3">
        <f>IFERROR(__xludf.DUMMYFUNCTION("""COMPUTED_VALUE"""),45162.66666666667)</f>
        <v>45162.66667</v>
      </c>
      <c r="B163" s="2">
        <f>IFERROR(__xludf.DUMMYFUNCTION("""COMPUTED_VALUE"""),425.41)</f>
        <v>425.41</v>
      </c>
      <c r="C163" s="2">
        <f>IFERROR(__xludf.DUMMYFUNCTION("""COMPUTED_VALUE"""),427.59)</f>
        <v>427.59</v>
      </c>
      <c r="D163" s="2">
        <f>IFERROR(__xludf.DUMMYFUNCTION("""COMPUTED_VALUE"""),406.17)</f>
        <v>406.17</v>
      </c>
      <c r="E163" s="2">
        <f>IFERROR(__xludf.DUMMYFUNCTION("""COMPUTED_VALUE"""),406.93)</f>
        <v>406.93</v>
      </c>
      <c r="F163" s="2">
        <f>IFERROR(__xludf.DUMMYFUNCTION("""COMPUTED_VALUE"""),5687799.0)</f>
        <v>5687799</v>
      </c>
    </row>
    <row r="164">
      <c r="A164" s="3">
        <f>IFERROR(__xludf.DUMMYFUNCTION("""COMPUTED_VALUE"""),45163.66666666667)</f>
        <v>45163.66667</v>
      </c>
      <c r="B164" s="2">
        <f>IFERROR(__xludf.DUMMYFUNCTION("""COMPUTED_VALUE"""),412.08)</f>
        <v>412.08</v>
      </c>
      <c r="C164" s="2">
        <f>IFERROR(__xludf.DUMMYFUNCTION("""COMPUTED_VALUE"""),419.25)</f>
        <v>419.25</v>
      </c>
      <c r="D164" s="2">
        <f>IFERROR(__xludf.DUMMYFUNCTION("""COMPUTED_VALUE"""),407.56)</f>
        <v>407.56</v>
      </c>
      <c r="E164" s="2">
        <f>IFERROR(__xludf.DUMMYFUNCTION("""COMPUTED_VALUE"""),416.03)</f>
        <v>416.03</v>
      </c>
      <c r="F164" s="2">
        <f>IFERROR(__xludf.DUMMYFUNCTION("""COMPUTED_VALUE"""),5390933.0)</f>
        <v>5390933</v>
      </c>
    </row>
    <row r="165">
      <c r="A165" s="3">
        <f>IFERROR(__xludf.DUMMYFUNCTION("""COMPUTED_VALUE"""),45166.66666666667)</f>
        <v>45166.66667</v>
      </c>
      <c r="B165" s="2">
        <f>IFERROR(__xludf.DUMMYFUNCTION("""COMPUTED_VALUE"""),418.04)</f>
        <v>418.04</v>
      </c>
      <c r="C165" s="2">
        <f>IFERROR(__xludf.DUMMYFUNCTION("""COMPUTED_VALUE"""),419.83)</f>
        <v>419.83</v>
      </c>
      <c r="D165" s="2">
        <f>IFERROR(__xludf.DUMMYFUNCTION("""COMPUTED_VALUE"""),413.27)</f>
        <v>413.27</v>
      </c>
      <c r="E165" s="2">
        <f>IFERROR(__xludf.DUMMYFUNCTION("""COMPUTED_VALUE"""),418.06)</f>
        <v>418.06</v>
      </c>
      <c r="F165" s="2">
        <f>IFERROR(__xludf.DUMMYFUNCTION("""COMPUTED_VALUE"""),2928613.0)</f>
        <v>2928613</v>
      </c>
    </row>
    <row r="166">
      <c r="A166" s="3">
        <f>IFERROR(__xludf.DUMMYFUNCTION("""COMPUTED_VALUE"""),45167.66666666667)</f>
        <v>45167.66667</v>
      </c>
      <c r="B166" s="2">
        <f>IFERROR(__xludf.DUMMYFUNCTION("""COMPUTED_VALUE"""),416.0)</f>
        <v>416</v>
      </c>
      <c r="C166" s="2">
        <f>IFERROR(__xludf.DUMMYFUNCTION("""COMPUTED_VALUE"""),432.17)</f>
        <v>432.17</v>
      </c>
      <c r="D166" s="2">
        <f>IFERROR(__xludf.DUMMYFUNCTION("""COMPUTED_VALUE"""),414.5)</f>
        <v>414.5</v>
      </c>
      <c r="E166" s="2">
        <f>IFERROR(__xludf.DUMMYFUNCTION("""COMPUTED_VALUE"""),429.99)</f>
        <v>429.99</v>
      </c>
      <c r="F166" s="2">
        <f>IFERROR(__xludf.DUMMYFUNCTION("""COMPUTED_VALUE"""),4486703.0)</f>
        <v>4486703</v>
      </c>
    </row>
    <row r="167">
      <c r="A167" s="3">
        <f>IFERROR(__xludf.DUMMYFUNCTION("""COMPUTED_VALUE"""),45168.66666666667)</f>
        <v>45168.66667</v>
      </c>
      <c r="B167" s="2">
        <f>IFERROR(__xludf.DUMMYFUNCTION("""COMPUTED_VALUE"""),430.85)</f>
        <v>430.85</v>
      </c>
      <c r="C167" s="2">
        <f>IFERROR(__xludf.DUMMYFUNCTION("""COMPUTED_VALUE"""),438.16)</f>
        <v>438.16</v>
      </c>
      <c r="D167" s="2">
        <f>IFERROR(__xludf.DUMMYFUNCTION("""COMPUTED_VALUE"""),428.35)</f>
        <v>428.35</v>
      </c>
      <c r="E167" s="2">
        <f>IFERROR(__xludf.DUMMYFUNCTION("""COMPUTED_VALUE"""),434.67)</f>
        <v>434.67</v>
      </c>
      <c r="F167" s="2">
        <f>IFERROR(__xludf.DUMMYFUNCTION("""COMPUTED_VALUE"""),3625380.0)</f>
        <v>3625380</v>
      </c>
    </row>
    <row r="168">
      <c r="A168" s="3">
        <f>IFERROR(__xludf.DUMMYFUNCTION("""COMPUTED_VALUE"""),45169.66666666667)</f>
        <v>45169.66667</v>
      </c>
      <c r="B168" s="2">
        <f>IFERROR(__xludf.DUMMYFUNCTION("""COMPUTED_VALUE"""),431.23)</f>
        <v>431.23</v>
      </c>
      <c r="C168" s="2">
        <f>IFERROR(__xludf.DUMMYFUNCTION("""COMPUTED_VALUE"""),437.15)</f>
        <v>437.15</v>
      </c>
      <c r="D168" s="2">
        <f>IFERROR(__xludf.DUMMYFUNCTION("""COMPUTED_VALUE"""),431.23)</f>
        <v>431.23</v>
      </c>
      <c r="E168" s="2">
        <f>IFERROR(__xludf.DUMMYFUNCTION("""COMPUTED_VALUE"""),433.68)</f>
        <v>433.68</v>
      </c>
      <c r="F168" s="2">
        <f>IFERROR(__xludf.DUMMYFUNCTION("""COMPUTED_VALUE"""),3802954.0)</f>
        <v>3802954</v>
      </c>
    </row>
    <row r="169">
      <c r="A169" s="3">
        <f>IFERROR(__xludf.DUMMYFUNCTION("""COMPUTED_VALUE"""),45170.66666666667)</f>
        <v>45170.66667</v>
      </c>
      <c r="B169" s="2">
        <f>IFERROR(__xludf.DUMMYFUNCTION("""COMPUTED_VALUE"""),437.73)</f>
        <v>437.73</v>
      </c>
      <c r="C169" s="2">
        <f>IFERROR(__xludf.DUMMYFUNCTION("""COMPUTED_VALUE"""),445.5)</f>
        <v>445.5</v>
      </c>
      <c r="D169" s="2">
        <f>IFERROR(__xludf.DUMMYFUNCTION("""COMPUTED_VALUE"""),435.93)</f>
        <v>435.93</v>
      </c>
      <c r="E169" s="2">
        <f>IFERROR(__xludf.DUMMYFUNCTION("""COMPUTED_VALUE"""),439.88)</f>
        <v>439.88</v>
      </c>
      <c r="F169" s="2">
        <f>IFERROR(__xludf.DUMMYFUNCTION("""COMPUTED_VALUE"""),4793379.0)</f>
        <v>4793379</v>
      </c>
    </row>
    <row r="170">
      <c r="A170" s="3">
        <f>IFERROR(__xludf.DUMMYFUNCTION("""COMPUTED_VALUE"""),45174.66666666667)</f>
        <v>45174.66667</v>
      </c>
      <c r="B170" s="2">
        <f>IFERROR(__xludf.DUMMYFUNCTION("""COMPUTED_VALUE"""),438.39)</f>
        <v>438.39</v>
      </c>
      <c r="C170" s="2">
        <f>IFERROR(__xludf.DUMMYFUNCTION("""COMPUTED_VALUE"""),453.45)</f>
        <v>453.45</v>
      </c>
      <c r="D170" s="2">
        <f>IFERROR(__xludf.DUMMYFUNCTION("""COMPUTED_VALUE"""),438.0)</f>
        <v>438</v>
      </c>
      <c r="E170" s="2">
        <f>IFERROR(__xludf.DUMMYFUNCTION("""COMPUTED_VALUE"""),448.68)</f>
        <v>448.68</v>
      </c>
      <c r="F170" s="2">
        <f>IFERROR(__xludf.DUMMYFUNCTION("""COMPUTED_VALUE"""),6155865.0)</f>
        <v>6155865</v>
      </c>
    </row>
    <row r="171">
      <c r="A171" s="3">
        <f>IFERROR(__xludf.DUMMYFUNCTION("""COMPUTED_VALUE"""),45175.66666666667)</f>
        <v>45175.66667</v>
      </c>
      <c r="B171" s="2">
        <f>IFERROR(__xludf.DUMMYFUNCTION("""COMPUTED_VALUE"""),448.61)</f>
        <v>448.61</v>
      </c>
      <c r="C171" s="2">
        <f>IFERROR(__xludf.DUMMYFUNCTION("""COMPUTED_VALUE"""),451.39)</f>
        <v>451.39</v>
      </c>
      <c r="D171" s="2">
        <f>IFERROR(__xludf.DUMMYFUNCTION("""COMPUTED_VALUE"""),440.49)</f>
        <v>440.49</v>
      </c>
      <c r="E171" s="2">
        <f>IFERROR(__xludf.DUMMYFUNCTION("""COMPUTED_VALUE"""),445.76)</f>
        <v>445.76</v>
      </c>
      <c r="F171" s="2">
        <f>IFERROR(__xludf.DUMMYFUNCTION("""COMPUTED_VALUE"""),3862274.0)</f>
        <v>3862274</v>
      </c>
    </row>
    <row r="172">
      <c r="A172" s="3">
        <f>IFERROR(__xludf.DUMMYFUNCTION("""COMPUTED_VALUE"""),45176.66666666667)</f>
        <v>45176.66667</v>
      </c>
      <c r="B172" s="2">
        <f>IFERROR(__xludf.DUMMYFUNCTION("""COMPUTED_VALUE"""),441.15)</f>
        <v>441.15</v>
      </c>
      <c r="C172" s="2">
        <f>IFERROR(__xludf.DUMMYFUNCTION("""COMPUTED_VALUE"""),444.6)</f>
        <v>444.6</v>
      </c>
      <c r="D172" s="2">
        <f>IFERROR(__xludf.DUMMYFUNCTION("""COMPUTED_VALUE"""),436.7)</f>
        <v>436.7</v>
      </c>
      <c r="E172" s="2">
        <f>IFERROR(__xludf.DUMMYFUNCTION("""COMPUTED_VALUE"""),443.14)</f>
        <v>443.14</v>
      </c>
      <c r="F172" s="2">
        <f>IFERROR(__xludf.DUMMYFUNCTION("""COMPUTED_VALUE"""),2922676.0)</f>
        <v>2922676</v>
      </c>
    </row>
    <row r="173">
      <c r="A173" s="3">
        <f>IFERROR(__xludf.DUMMYFUNCTION("""COMPUTED_VALUE"""),45177.66666666667)</f>
        <v>45177.66667</v>
      </c>
      <c r="B173" s="2">
        <f>IFERROR(__xludf.DUMMYFUNCTION("""COMPUTED_VALUE"""),443.56)</f>
        <v>443.56</v>
      </c>
      <c r="C173" s="2">
        <f>IFERROR(__xludf.DUMMYFUNCTION("""COMPUTED_VALUE"""),446.81)</f>
        <v>446.81</v>
      </c>
      <c r="D173" s="2">
        <f>IFERROR(__xludf.DUMMYFUNCTION("""COMPUTED_VALUE"""),438.85)</f>
        <v>438.85</v>
      </c>
      <c r="E173" s="2">
        <f>IFERROR(__xludf.DUMMYFUNCTION("""COMPUTED_VALUE"""),442.8)</f>
        <v>442.8</v>
      </c>
      <c r="F173" s="2">
        <f>IFERROR(__xludf.DUMMYFUNCTION("""COMPUTED_VALUE"""),2704353.0)</f>
        <v>2704353</v>
      </c>
    </row>
    <row r="174">
      <c r="A174" s="3">
        <f>IFERROR(__xludf.DUMMYFUNCTION("""COMPUTED_VALUE"""),45180.66666666667)</f>
        <v>45180.66667</v>
      </c>
      <c r="B174" s="2">
        <f>IFERROR(__xludf.DUMMYFUNCTION("""COMPUTED_VALUE"""),443.07)</f>
        <v>443.07</v>
      </c>
      <c r="C174" s="2">
        <f>IFERROR(__xludf.DUMMYFUNCTION("""COMPUTED_VALUE"""),449.89)</f>
        <v>449.89</v>
      </c>
      <c r="D174" s="2">
        <f>IFERROR(__xludf.DUMMYFUNCTION("""COMPUTED_VALUE"""),442.75)</f>
        <v>442.75</v>
      </c>
      <c r="E174" s="2">
        <f>IFERROR(__xludf.DUMMYFUNCTION("""COMPUTED_VALUE"""),445.36)</f>
        <v>445.36</v>
      </c>
      <c r="F174" s="2">
        <f>IFERROR(__xludf.DUMMYFUNCTION("""COMPUTED_VALUE"""),2913767.0)</f>
        <v>2913767</v>
      </c>
    </row>
    <row r="175">
      <c r="A175" s="3">
        <f>IFERROR(__xludf.DUMMYFUNCTION("""COMPUTED_VALUE"""),45181.66666666667)</f>
        <v>45181.66667</v>
      </c>
      <c r="B175" s="2">
        <f>IFERROR(__xludf.DUMMYFUNCTION("""COMPUTED_VALUE"""),442.85)</f>
        <v>442.85</v>
      </c>
      <c r="C175" s="2">
        <f>IFERROR(__xludf.DUMMYFUNCTION("""COMPUTED_VALUE"""),445.44)</f>
        <v>445.44</v>
      </c>
      <c r="D175" s="2">
        <f>IFERROR(__xludf.DUMMYFUNCTION("""COMPUTED_VALUE"""),434.12)</f>
        <v>434.12</v>
      </c>
      <c r="E175" s="2">
        <f>IFERROR(__xludf.DUMMYFUNCTION("""COMPUTED_VALUE"""),434.69)</f>
        <v>434.69</v>
      </c>
      <c r="F175" s="2">
        <f>IFERROR(__xludf.DUMMYFUNCTION("""COMPUTED_VALUE"""),3124024.0)</f>
        <v>3124024</v>
      </c>
    </row>
    <row r="176">
      <c r="A176" s="3">
        <f>IFERROR(__xludf.DUMMYFUNCTION("""COMPUTED_VALUE"""),45182.66666666667)</f>
        <v>45182.66667</v>
      </c>
      <c r="B176" s="2">
        <f>IFERROR(__xludf.DUMMYFUNCTION("""COMPUTED_VALUE"""),435.5)</f>
        <v>435.5</v>
      </c>
      <c r="C176" s="2">
        <f>IFERROR(__xludf.DUMMYFUNCTION("""COMPUTED_VALUE"""),438.4)</f>
        <v>438.4</v>
      </c>
      <c r="D176" s="2">
        <f>IFERROR(__xludf.DUMMYFUNCTION("""COMPUTED_VALUE"""),410.69)</f>
        <v>410.69</v>
      </c>
      <c r="E176" s="2">
        <f>IFERROR(__xludf.DUMMYFUNCTION("""COMPUTED_VALUE"""),412.24)</f>
        <v>412.24</v>
      </c>
      <c r="F176" s="2">
        <f>IFERROR(__xludf.DUMMYFUNCTION("""COMPUTED_VALUE"""),1.1843027E7)</f>
        <v>11843027</v>
      </c>
    </row>
    <row r="177">
      <c r="A177" s="3">
        <f>IFERROR(__xludf.DUMMYFUNCTION("""COMPUTED_VALUE"""),45183.66666666667)</f>
        <v>45183.66667</v>
      </c>
      <c r="B177" s="2">
        <f>IFERROR(__xludf.DUMMYFUNCTION("""COMPUTED_VALUE"""),410.4)</f>
        <v>410.4</v>
      </c>
      <c r="C177" s="2">
        <f>IFERROR(__xludf.DUMMYFUNCTION("""COMPUTED_VALUE"""),411.39)</f>
        <v>411.39</v>
      </c>
      <c r="D177" s="2">
        <f>IFERROR(__xludf.DUMMYFUNCTION("""COMPUTED_VALUE"""),400.0)</f>
        <v>400</v>
      </c>
      <c r="E177" s="2">
        <f>IFERROR(__xludf.DUMMYFUNCTION("""COMPUTED_VALUE"""),400.49)</f>
        <v>400.49</v>
      </c>
      <c r="F177" s="2">
        <f>IFERROR(__xludf.DUMMYFUNCTION("""COMPUTED_VALUE"""),1.0709043E7)</f>
        <v>10709043</v>
      </c>
    </row>
    <row r="178">
      <c r="A178" s="3">
        <f>IFERROR(__xludf.DUMMYFUNCTION("""COMPUTED_VALUE"""),45184.66666666667)</f>
        <v>45184.66667</v>
      </c>
      <c r="B178" s="2">
        <f>IFERROR(__xludf.DUMMYFUNCTION("""COMPUTED_VALUE"""),401.0)</f>
        <v>401</v>
      </c>
      <c r="C178" s="2">
        <f>IFERROR(__xludf.DUMMYFUNCTION("""COMPUTED_VALUE"""),404.7)</f>
        <v>404.7</v>
      </c>
      <c r="D178" s="2">
        <f>IFERROR(__xludf.DUMMYFUNCTION("""COMPUTED_VALUE"""),395.03)</f>
        <v>395.03</v>
      </c>
      <c r="E178" s="2">
        <f>IFERROR(__xludf.DUMMYFUNCTION("""COMPUTED_VALUE"""),396.94)</f>
        <v>396.94</v>
      </c>
      <c r="F178" s="2">
        <f>IFERROR(__xludf.DUMMYFUNCTION("""COMPUTED_VALUE"""),9116745.0)</f>
        <v>9116745</v>
      </c>
    </row>
    <row r="179">
      <c r="A179" s="3">
        <f>IFERROR(__xludf.DUMMYFUNCTION("""COMPUTED_VALUE"""),45187.66666666667)</f>
        <v>45187.66667</v>
      </c>
      <c r="B179" s="2">
        <f>IFERROR(__xludf.DUMMYFUNCTION("""COMPUTED_VALUE"""),395.5)</f>
        <v>395.5</v>
      </c>
      <c r="C179" s="2">
        <f>IFERROR(__xludf.DUMMYFUNCTION("""COMPUTED_VALUE"""),399.47)</f>
        <v>399.47</v>
      </c>
      <c r="D179" s="2">
        <f>IFERROR(__xludf.DUMMYFUNCTION("""COMPUTED_VALUE"""),392.6)</f>
        <v>392.6</v>
      </c>
      <c r="E179" s="2">
        <f>IFERROR(__xludf.DUMMYFUNCTION("""COMPUTED_VALUE"""),394.4)</f>
        <v>394.4</v>
      </c>
      <c r="F179" s="2">
        <f>IFERROR(__xludf.DUMMYFUNCTION("""COMPUTED_VALUE"""),4704706.0)</f>
        <v>4704706</v>
      </c>
    </row>
    <row r="180">
      <c r="A180" s="3">
        <f>IFERROR(__xludf.DUMMYFUNCTION("""COMPUTED_VALUE"""),45188.66666666667)</f>
        <v>45188.66667</v>
      </c>
      <c r="B180" s="2">
        <f>IFERROR(__xludf.DUMMYFUNCTION("""COMPUTED_VALUE"""),392.84)</f>
        <v>392.84</v>
      </c>
      <c r="C180" s="2">
        <f>IFERROR(__xludf.DUMMYFUNCTION("""COMPUTED_VALUE"""),398.23)</f>
        <v>398.23</v>
      </c>
      <c r="D180" s="2">
        <f>IFERROR(__xludf.DUMMYFUNCTION("""COMPUTED_VALUE"""),390.25)</f>
        <v>390.25</v>
      </c>
      <c r="E180" s="2">
        <f>IFERROR(__xludf.DUMMYFUNCTION("""COMPUTED_VALUE"""),396.2)</f>
        <v>396.2</v>
      </c>
      <c r="F180" s="2">
        <f>IFERROR(__xludf.DUMMYFUNCTION("""COMPUTED_VALUE"""),4080054.0)</f>
        <v>4080054</v>
      </c>
    </row>
    <row r="181">
      <c r="A181" s="3">
        <f>IFERROR(__xludf.DUMMYFUNCTION("""COMPUTED_VALUE"""),45189.66666666667)</f>
        <v>45189.66667</v>
      </c>
      <c r="B181" s="2">
        <f>IFERROR(__xludf.DUMMYFUNCTION("""COMPUTED_VALUE"""),397.05)</f>
        <v>397.05</v>
      </c>
      <c r="C181" s="2">
        <f>IFERROR(__xludf.DUMMYFUNCTION("""COMPUTED_VALUE"""),397.99)</f>
        <v>397.99</v>
      </c>
      <c r="D181" s="2">
        <f>IFERROR(__xludf.DUMMYFUNCTION("""COMPUTED_VALUE"""),386.12)</f>
        <v>386.12</v>
      </c>
      <c r="E181" s="2">
        <f>IFERROR(__xludf.DUMMYFUNCTION("""COMPUTED_VALUE"""),386.3)</f>
        <v>386.3</v>
      </c>
      <c r="F181" s="2">
        <f>IFERROR(__xludf.DUMMYFUNCTION("""COMPUTED_VALUE"""),3866619.0)</f>
        <v>3866619</v>
      </c>
    </row>
    <row r="182">
      <c r="A182" s="3">
        <f>IFERROR(__xludf.DUMMYFUNCTION("""COMPUTED_VALUE"""),45190.66666666667)</f>
        <v>45190.66667</v>
      </c>
      <c r="B182" s="2">
        <f>IFERROR(__xludf.DUMMYFUNCTION("""COMPUTED_VALUE"""),386.5)</f>
        <v>386.5</v>
      </c>
      <c r="C182" s="2">
        <f>IFERROR(__xludf.DUMMYFUNCTION("""COMPUTED_VALUE"""),395.9)</f>
        <v>395.9</v>
      </c>
      <c r="D182" s="2">
        <f>IFERROR(__xludf.DUMMYFUNCTION("""COMPUTED_VALUE"""),383.42)</f>
        <v>383.42</v>
      </c>
      <c r="E182" s="2">
        <f>IFERROR(__xludf.DUMMYFUNCTION("""COMPUTED_VALUE"""),384.15)</f>
        <v>384.15</v>
      </c>
      <c r="F182" s="2">
        <f>IFERROR(__xludf.DUMMYFUNCTION("""COMPUTED_VALUE"""),5556388.0)</f>
        <v>5556388</v>
      </c>
    </row>
    <row r="183">
      <c r="A183" s="3">
        <f>IFERROR(__xludf.DUMMYFUNCTION("""COMPUTED_VALUE"""),45191.66666666667)</f>
        <v>45191.66667</v>
      </c>
      <c r="B183" s="2">
        <f>IFERROR(__xludf.DUMMYFUNCTION("""COMPUTED_VALUE"""),385.0)</f>
        <v>385</v>
      </c>
      <c r="C183" s="2">
        <f>IFERROR(__xludf.DUMMYFUNCTION("""COMPUTED_VALUE"""),386.88)</f>
        <v>386.88</v>
      </c>
      <c r="D183" s="2">
        <f>IFERROR(__xludf.DUMMYFUNCTION("""COMPUTED_VALUE"""),378.36)</f>
        <v>378.36</v>
      </c>
      <c r="E183" s="2">
        <f>IFERROR(__xludf.DUMMYFUNCTION("""COMPUTED_VALUE"""),379.81)</f>
        <v>379.81</v>
      </c>
      <c r="F183" s="2">
        <f>IFERROR(__xludf.DUMMYFUNCTION("""COMPUTED_VALUE"""),3699796.0)</f>
        <v>3699796</v>
      </c>
    </row>
    <row r="184">
      <c r="A184" s="3">
        <f>IFERROR(__xludf.DUMMYFUNCTION("""COMPUTED_VALUE"""),45194.66666666667)</f>
        <v>45194.66667</v>
      </c>
      <c r="B184" s="2">
        <f>IFERROR(__xludf.DUMMYFUNCTION("""COMPUTED_VALUE"""),382.9)</f>
        <v>382.9</v>
      </c>
      <c r="C184" s="2">
        <f>IFERROR(__xludf.DUMMYFUNCTION("""COMPUTED_VALUE"""),386.62)</f>
        <v>386.62</v>
      </c>
      <c r="D184" s="2">
        <f>IFERROR(__xludf.DUMMYFUNCTION("""COMPUTED_VALUE"""),380.81)</f>
        <v>380.81</v>
      </c>
      <c r="E184" s="2">
        <f>IFERROR(__xludf.DUMMYFUNCTION("""COMPUTED_VALUE"""),384.8)</f>
        <v>384.8</v>
      </c>
      <c r="F184" s="2">
        <f>IFERROR(__xludf.DUMMYFUNCTION("""COMPUTED_VALUE"""),3757278.0)</f>
        <v>3757278</v>
      </c>
    </row>
    <row r="185">
      <c r="A185" s="3">
        <f>IFERROR(__xludf.DUMMYFUNCTION("""COMPUTED_VALUE"""),45195.66666666667)</f>
        <v>45195.66667</v>
      </c>
      <c r="B185" s="2">
        <f>IFERROR(__xludf.DUMMYFUNCTION("""COMPUTED_VALUE"""),382.88)</f>
        <v>382.88</v>
      </c>
      <c r="C185" s="2">
        <f>IFERROR(__xludf.DUMMYFUNCTION("""COMPUTED_VALUE"""),384.56)</f>
        <v>384.56</v>
      </c>
      <c r="D185" s="2">
        <f>IFERROR(__xludf.DUMMYFUNCTION("""COMPUTED_VALUE"""),377.36)</f>
        <v>377.36</v>
      </c>
      <c r="E185" s="2">
        <f>IFERROR(__xludf.DUMMYFUNCTION("""COMPUTED_VALUE"""),379.25)</f>
        <v>379.25</v>
      </c>
      <c r="F185" s="2">
        <f>IFERROR(__xludf.DUMMYFUNCTION("""COMPUTED_VALUE"""),4089392.0)</f>
        <v>4089392</v>
      </c>
    </row>
    <row r="186">
      <c r="A186" s="3">
        <f>IFERROR(__xludf.DUMMYFUNCTION("""COMPUTED_VALUE"""),45196.66666666667)</f>
        <v>45196.66667</v>
      </c>
      <c r="B186" s="2">
        <f>IFERROR(__xludf.DUMMYFUNCTION("""COMPUTED_VALUE"""),382.4)</f>
        <v>382.4</v>
      </c>
      <c r="C186" s="2">
        <f>IFERROR(__xludf.DUMMYFUNCTION("""COMPUTED_VALUE"""),384.22)</f>
        <v>384.22</v>
      </c>
      <c r="D186" s="2">
        <f>IFERROR(__xludf.DUMMYFUNCTION("""COMPUTED_VALUE"""),376.25)</f>
        <v>376.25</v>
      </c>
      <c r="E186" s="2">
        <f>IFERROR(__xludf.DUMMYFUNCTION("""COMPUTED_VALUE"""),377.59)</f>
        <v>377.59</v>
      </c>
      <c r="F186" s="2">
        <f>IFERROR(__xludf.DUMMYFUNCTION("""COMPUTED_VALUE"""),3843521.0)</f>
        <v>3843521</v>
      </c>
    </row>
    <row r="187">
      <c r="A187" s="3">
        <f>IFERROR(__xludf.DUMMYFUNCTION("""COMPUTED_VALUE"""),45197.66666666667)</f>
        <v>45197.66667</v>
      </c>
      <c r="B187" s="2">
        <f>IFERROR(__xludf.DUMMYFUNCTION("""COMPUTED_VALUE"""),375.6)</f>
        <v>375.6</v>
      </c>
      <c r="C187" s="2">
        <f>IFERROR(__xludf.DUMMYFUNCTION("""COMPUTED_VALUE"""),378.96)</f>
        <v>378.96</v>
      </c>
      <c r="D187" s="2">
        <f>IFERROR(__xludf.DUMMYFUNCTION("""COMPUTED_VALUE"""),371.1)</f>
        <v>371.1</v>
      </c>
      <c r="E187" s="2">
        <f>IFERROR(__xludf.DUMMYFUNCTION("""COMPUTED_VALUE"""),376.36)</f>
        <v>376.36</v>
      </c>
      <c r="F187" s="2">
        <f>IFERROR(__xludf.DUMMYFUNCTION("""COMPUTED_VALUE"""),4369906.0)</f>
        <v>4369906</v>
      </c>
    </row>
    <row r="188">
      <c r="A188" s="3">
        <f>IFERROR(__xludf.DUMMYFUNCTION("""COMPUTED_VALUE"""),45198.66666666667)</f>
        <v>45198.66667</v>
      </c>
      <c r="B188" s="2">
        <f>IFERROR(__xludf.DUMMYFUNCTION("""COMPUTED_VALUE"""),380.0)</f>
        <v>380</v>
      </c>
      <c r="C188" s="2">
        <f>IFERROR(__xludf.DUMMYFUNCTION("""COMPUTED_VALUE"""),382.58)</f>
        <v>382.58</v>
      </c>
      <c r="D188" s="2">
        <f>IFERROR(__xludf.DUMMYFUNCTION("""COMPUTED_VALUE"""),375.35)</f>
        <v>375.35</v>
      </c>
      <c r="E188" s="2">
        <f>IFERROR(__xludf.DUMMYFUNCTION("""COMPUTED_VALUE"""),377.6)</f>
        <v>377.6</v>
      </c>
      <c r="F188" s="2">
        <f>IFERROR(__xludf.DUMMYFUNCTION("""COMPUTED_VALUE"""),4205298.0)</f>
        <v>4205298</v>
      </c>
    </row>
    <row r="189">
      <c r="A189" s="3">
        <f>IFERROR(__xludf.DUMMYFUNCTION("""COMPUTED_VALUE"""),45201.66666666667)</f>
        <v>45201.66667</v>
      </c>
      <c r="B189" s="2">
        <f>IFERROR(__xludf.DUMMYFUNCTION("""COMPUTED_VALUE"""),377.48)</f>
        <v>377.48</v>
      </c>
      <c r="C189" s="2">
        <f>IFERROR(__xludf.DUMMYFUNCTION("""COMPUTED_VALUE"""),384.81)</f>
        <v>384.81</v>
      </c>
      <c r="D189" s="2">
        <f>IFERROR(__xludf.DUMMYFUNCTION("""COMPUTED_VALUE"""),376.8)</f>
        <v>376.8</v>
      </c>
      <c r="E189" s="2">
        <f>IFERROR(__xludf.DUMMYFUNCTION("""COMPUTED_VALUE"""),380.33)</f>
        <v>380.33</v>
      </c>
      <c r="F189" s="2">
        <f>IFERROR(__xludf.DUMMYFUNCTION("""COMPUTED_VALUE"""),3102101.0)</f>
        <v>3102101</v>
      </c>
    </row>
    <row r="190">
      <c r="A190" s="3">
        <f>IFERROR(__xludf.DUMMYFUNCTION("""COMPUTED_VALUE"""),45202.66666666667)</f>
        <v>45202.66667</v>
      </c>
      <c r="B190" s="2">
        <f>IFERROR(__xludf.DUMMYFUNCTION("""COMPUTED_VALUE"""),377.11)</f>
        <v>377.11</v>
      </c>
      <c r="C190" s="2">
        <f>IFERROR(__xludf.DUMMYFUNCTION("""COMPUTED_VALUE"""),394.9)</f>
        <v>394.9</v>
      </c>
      <c r="D190" s="2">
        <f>IFERROR(__xludf.DUMMYFUNCTION("""COMPUTED_VALUE"""),372.85)</f>
        <v>372.85</v>
      </c>
      <c r="E190" s="2">
        <f>IFERROR(__xludf.DUMMYFUNCTION("""COMPUTED_VALUE"""),376.75)</f>
        <v>376.75</v>
      </c>
      <c r="F190" s="2">
        <f>IFERROR(__xludf.DUMMYFUNCTION("""COMPUTED_VALUE"""),8878134.0)</f>
        <v>8878134</v>
      </c>
    </row>
    <row r="191">
      <c r="A191" s="3">
        <f>IFERROR(__xludf.DUMMYFUNCTION("""COMPUTED_VALUE"""),45203.66666666667)</f>
        <v>45203.66667</v>
      </c>
      <c r="B191" s="2">
        <f>IFERROR(__xludf.DUMMYFUNCTION("""COMPUTED_VALUE"""),376.5)</f>
        <v>376.5</v>
      </c>
      <c r="C191" s="2">
        <f>IFERROR(__xludf.DUMMYFUNCTION("""COMPUTED_VALUE"""),380.22)</f>
        <v>380.22</v>
      </c>
      <c r="D191" s="2">
        <f>IFERROR(__xludf.DUMMYFUNCTION("""COMPUTED_VALUE"""),373.58)</f>
        <v>373.58</v>
      </c>
      <c r="E191" s="2">
        <f>IFERROR(__xludf.DUMMYFUNCTION("""COMPUTED_VALUE"""),376.9)</f>
        <v>376.9</v>
      </c>
      <c r="F191" s="2">
        <f>IFERROR(__xludf.DUMMYFUNCTION("""COMPUTED_VALUE"""),4303658.0)</f>
        <v>4303658</v>
      </c>
    </row>
    <row r="192">
      <c r="A192" s="3">
        <f>IFERROR(__xludf.DUMMYFUNCTION("""COMPUTED_VALUE"""),45204.66666666667)</f>
        <v>45204.66667</v>
      </c>
      <c r="B192" s="2">
        <f>IFERROR(__xludf.DUMMYFUNCTION("""COMPUTED_VALUE"""),378.01)</f>
        <v>378.01</v>
      </c>
      <c r="C192" s="2">
        <f>IFERROR(__xludf.DUMMYFUNCTION("""COMPUTED_VALUE"""),378.6)</f>
        <v>378.6</v>
      </c>
      <c r="D192" s="2">
        <f>IFERROR(__xludf.DUMMYFUNCTION("""COMPUTED_VALUE"""),367.24)</f>
        <v>367.24</v>
      </c>
      <c r="E192" s="2">
        <f>IFERROR(__xludf.DUMMYFUNCTION("""COMPUTED_VALUE"""),372.59)</f>
        <v>372.59</v>
      </c>
      <c r="F192" s="2">
        <f>IFERROR(__xludf.DUMMYFUNCTION("""COMPUTED_VALUE"""),5034773.0)</f>
        <v>5034773</v>
      </c>
    </row>
    <row r="193">
      <c r="A193" s="3">
        <f>IFERROR(__xludf.DUMMYFUNCTION("""COMPUTED_VALUE"""),45205.66666666667)</f>
        <v>45205.66667</v>
      </c>
      <c r="B193" s="2">
        <f>IFERROR(__xludf.DUMMYFUNCTION("""COMPUTED_VALUE"""),368.43)</f>
        <v>368.43</v>
      </c>
      <c r="C193" s="2">
        <f>IFERROR(__xludf.DUMMYFUNCTION("""COMPUTED_VALUE"""),382.52)</f>
        <v>382.52</v>
      </c>
      <c r="D193" s="2">
        <f>IFERROR(__xludf.DUMMYFUNCTION("""COMPUTED_VALUE"""),367.77)</f>
        <v>367.77</v>
      </c>
      <c r="E193" s="2">
        <f>IFERROR(__xludf.DUMMYFUNCTION("""COMPUTED_VALUE"""),381.51)</f>
        <v>381.51</v>
      </c>
      <c r="F193" s="2">
        <f>IFERROR(__xludf.DUMMYFUNCTION("""COMPUTED_VALUE"""),4778118.0)</f>
        <v>4778118</v>
      </c>
    </row>
    <row r="194">
      <c r="A194" s="3">
        <f>IFERROR(__xludf.DUMMYFUNCTION("""COMPUTED_VALUE"""),45208.66666666667)</f>
        <v>45208.66667</v>
      </c>
      <c r="B194" s="2">
        <f>IFERROR(__xludf.DUMMYFUNCTION("""COMPUTED_VALUE"""),378.05)</f>
        <v>378.05</v>
      </c>
      <c r="C194" s="2">
        <f>IFERROR(__xludf.DUMMYFUNCTION("""COMPUTED_VALUE"""),387.17)</f>
        <v>387.17</v>
      </c>
      <c r="D194" s="2">
        <f>IFERROR(__xludf.DUMMYFUNCTION("""COMPUTED_VALUE"""),377.76)</f>
        <v>377.76</v>
      </c>
      <c r="E194" s="2">
        <f>IFERROR(__xludf.DUMMYFUNCTION("""COMPUTED_VALUE"""),385.95)</f>
        <v>385.95</v>
      </c>
      <c r="F194" s="2">
        <f>IFERROR(__xludf.DUMMYFUNCTION("""COMPUTED_VALUE"""),3299802.0)</f>
        <v>3299802</v>
      </c>
    </row>
    <row r="195">
      <c r="A195" s="3">
        <f>IFERROR(__xludf.DUMMYFUNCTION("""COMPUTED_VALUE"""),45209.66666666667)</f>
        <v>45209.66667</v>
      </c>
      <c r="B195" s="2">
        <f>IFERROR(__xludf.DUMMYFUNCTION("""COMPUTED_VALUE"""),385.58)</f>
        <v>385.58</v>
      </c>
      <c r="C195" s="2">
        <f>IFERROR(__xludf.DUMMYFUNCTION("""COMPUTED_VALUE"""),388.7)</f>
        <v>388.7</v>
      </c>
      <c r="D195" s="2">
        <f>IFERROR(__xludf.DUMMYFUNCTION("""COMPUTED_VALUE"""),372.25)</f>
        <v>372.25</v>
      </c>
      <c r="E195" s="2">
        <f>IFERROR(__xludf.DUMMYFUNCTION("""COMPUTED_VALUE"""),373.32)</f>
        <v>373.32</v>
      </c>
      <c r="F195" s="2">
        <f>IFERROR(__xludf.DUMMYFUNCTION("""COMPUTED_VALUE"""),7288939.0)</f>
        <v>7288939</v>
      </c>
    </row>
    <row r="196">
      <c r="A196" s="3">
        <f>IFERROR(__xludf.DUMMYFUNCTION("""COMPUTED_VALUE"""),45210.66666666667)</f>
        <v>45210.66667</v>
      </c>
      <c r="B196" s="2">
        <f>IFERROR(__xludf.DUMMYFUNCTION("""COMPUTED_VALUE"""),372.78)</f>
        <v>372.78</v>
      </c>
      <c r="C196" s="2">
        <f>IFERROR(__xludf.DUMMYFUNCTION("""COMPUTED_VALUE"""),377.81)</f>
        <v>377.81</v>
      </c>
      <c r="D196" s="2">
        <f>IFERROR(__xludf.DUMMYFUNCTION("""COMPUTED_VALUE"""),365.34)</f>
        <v>365.34</v>
      </c>
      <c r="E196" s="2">
        <f>IFERROR(__xludf.DUMMYFUNCTION("""COMPUTED_VALUE"""),365.93)</f>
        <v>365.93</v>
      </c>
      <c r="F196" s="2">
        <f>IFERROR(__xludf.DUMMYFUNCTION("""COMPUTED_VALUE"""),9151395.0)</f>
        <v>9151395</v>
      </c>
    </row>
    <row r="197">
      <c r="A197" s="3">
        <f>IFERROR(__xludf.DUMMYFUNCTION("""COMPUTED_VALUE"""),45211.66666666667)</f>
        <v>45211.66667</v>
      </c>
      <c r="B197" s="2">
        <f>IFERROR(__xludf.DUMMYFUNCTION("""COMPUTED_VALUE"""),366.48)</f>
        <v>366.48</v>
      </c>
      <c r="C197" s="2">
        <f>IFERROR(__xludf.DUMMYFUNCTION("""COMPUTED_VALUE"""),368.83)</f>
        <v>368.83</v>
      </c>
      <c r="D197" s="2">
        <f>IFERROR(__xludf.DUMMYFUNCTION("""COMPUTED_VALUE"""),359.05)</f>
        <v>359.05</v>
      </c>
      <c r="E197" s="2">
        <f>IFERROR(__xludf.DUMMYFUNCTION("""COMPUTED_VALUE"""),361.2)</f>
        <v>361.2</v>
      </c>
      <c r="F197" s="2">
        <f>IFERROR(__xludf.DUMMYFUNCTION("""COMPUTED_VALUE"""),7376086.0)</f>
        <v>7376086</v>
      </c>
    </row>
    <row r="198">
      <c r="A198" s="3">
        <f>IFERROR(__xludf.DUMMYFUNCTION("""COMPUTED_VALUE"""),45212.66666666667)</f>
        <v>45212.66667</v>
      </c>
      <c r="B198" s="2">
        <f>IFERROR(__xludf.DUMMYFUNCTION("""COMPUTED_VALUE"""),355.64)</f>
        <v>355.64</v>
      </c>
      <c r="C198" s="2">
        <f>IFERROR(__xludf.DUMMYFUNCTION("""COMPUTED_VALUE"""),358.93)</f>
        <v>358.93</v>
      </c>
      <c r="D198" s="2">
        <f>IFERROR(__xludf.DUMMYFUNCTION("""COMPUTED_VALUE"""),352.05)</f>
        <v>352.05</v>
      </c>
      <c r="E198" s="2">
        <f>IFERROR(__xludf.DUMMYFUNCTION("""COMPUTED_VALUE"""),355.68)</f>
        <v>355.68</v>
      </c>
      <c r="F198" s="2">
        <f>IFERROR(__xludf.DUMMYFUNCTION("""COMPUTED_VALUE"""),6316320.0)</f>
        <v>6316320</v>
      </c>
    </row>
    <row r="199">
      <c r="A199" s="3">
        <f>IFERROR(__xludf.DUMMYFUNCTION("""COMPUTED_VALUE"""),45215.66666666667)</f>
        <v>45215.66667</v>
      </c>
      <c r="B199" s="2">
        <f>IFERROR(__xludf.DUMMYFUNCTION("""COMPUTED_VALUE"""),356.21)</f>
        <v>356.21</v>
      </c>
      <c r="C199" s="2">
        <f>IFERROR(__xludf.DUMMYFUNCTION("""COMPUTED_VALUE"""),363.08)</f>
        <v>363.08</v>
      </c>
      <c r="D199" s="2">
        <f>IFERROR(__xludf.DUMMYFUNCTION("""COMPUTED_VALUE"""),354.77)</f>
        <v>354.77</v>
      </c>
      <c r="E199" s="2">
        <f>IFERROR(__xludf.DUMMYFUNCTION("""COMPUTED_VALUE"""),360.82)</f>
        <v>360.82</v>
      </c>
      <c r="F199" s="2">
        <f>IFERROR(__xludf.DUMMYFUNCTION("""COMPUTED_VALUE"""),5128947.0)</f>
        <v>5128947</v>
      </c>
    </row>
    <row r="200">
      <c r="A200" s="3">
        <f>IFERROR(__xludf.DUMMYFUNCTION("""COMPUTED_VALUE"""),45216.66666666667)</f>
        <v>45216.66667</v>
      </c>
      <c r="B200" s="2">
        <f>IFERROR(__xludf.DUMMYFUNCTION("""COMPUTED_VALUE"""),361.1)</f>
        <v>361.1</v>
      </c>
      <c r="C200" s="2">
        <f>IFERROR(__xludf.DUMMYFUNCTION("""COMPUTED_VALUE"""),362.7)</f>
        <v>362.7</v>
      </c>
      <c r="D200" s="2">
        <f>IFERROR(__xludf.DUMMYFUNCTION("""COMPUTED_VALUE"""),353.89)</f>
        <v>353.89</v>
      </c>
      <c r="E200" s="2">
        <f>IFERROR(__xludf.DUMMYFUNCTION("""COMPUTED_VALUE"""),355.72)</f>
        <v>355.72</v>
      </c>
      <c r="F200" s="2">
        <f>IFERROR(__xludf.DUMMYFUNCTION("""COMPUTED_VALUE"""),5908412.0)</f>
        <v>5908412</v>
      </c>
    </row>
    <row r="201">
      <c r="A201" s="3">
        <f>IFERROR(__xludf.DUMMYFUNCTION("""COMPUTED_VALUE"""),45217.66666666667)</f>
        <v>45217.66667</v>
      </c>
      <c r="B201" s="2">
        <f>IFERROR(__xludf.DUMMYFUNCTION("""COMPUTED_VALUE"""),351.0)</f>
        <v>351</v>
      </c>
      <c r="C201" s="2">
        <f>IFERROR(__xludf.DUMMYFUNCTION("""COMPUTED_VALUE"""),354.79)</f>
        <v>354.79</v>
      </c>
      <c r="D201" s="2">
        <f>IFERROR(__xludf.DUMMYFUNCTION("""COMPUTED_VALUE"""),344.73)</f>
        <v>344.73</v>
      </c>
      <c r="E201" s="2">
        <f>IFERROR(__xludf.DUMMYFUNCTION("""COMPUTED_VALUE"""),346.19)</f>
        <v>346.19</v>
      </c>
      <c r="F201" s="2">
        <f>IFERROR(__xludf.DUMMYFUNCTION("""COMPUTED_VALUE"""),1.1429643E7)</f>
        <v>11429643</v>
      </c>
    </row>
    <row r="202">
      <c r="A202" s="3">
        <f>IFERROR(__xludf.DUMMYFUNCTION("""COMPUTED_VALUE"""),45218.66666666667)</f>
        <v>45218.66667</v>
      </c>
      <c r="B202" s="2">
        <f>IFERROR(__xludf.DUMMYFUNCTION("""COMPUTED_VALUE"""),404.74)</f>
        <v>404.74</v>
      </c>
      <c r="C202" s="2">
        <f>IFERROR(__xludf.DUMMYFUNCTION("""COMPUTED_VALUE"""),408.95)</f>
        <v>408.95</v>
      </c>
      <c r="D202" s="2">
        <f>IFERROR(__xludf.DUMMYFUNCTION("""COMPUTED_VALUE"""),392.26)</f>
        <v>392.26</v>
      </c>
      <c r="E202" s="2">
        <f>IFERROR(__xludf.DUMMYFUNCTION("""COMPUTED_VALUE"""),401.77)</f>
        <v>401.77</v>
      </c>
      <c r="F202" s="2">
        <f>IFERROR(__xludf.DUMMYFUNCTION("""COMPUTED_VALUE"""),2.8074416E7)</f>
        <v>28074416</v>
      </c>
    </row>
    <row r="203">
      <c r="A203" s="3">
        <f>IFERROR(__xludf.DUMMYFUNCTION("""COMPUTED_VALUE"""),45219.66666666667)</f>
        <v>45219.66667</v>
      </c>
      <c r="B203" s="2">
        <f>IFERROR(__xludf.DUMMYFUNCTION("""COMPUTED_VALUE"""),405.63)</f>
        <v>405.63</v>
      </c>
      <c r="C203" s="2">
        <f>IFERROR(__xludf.DUMMYFUNCTION("""COMPUTED_VALUE"""),410.64)</f>
        <v>410.64</v>
      </c>
      <c r="D203" s="2">
        <f>IFERROR(__xludf.DUMMYFUNCTION("""COMPUTED_VALUE"""),398.01)</f>
        <v>398.01</v>
      </c>
      <c r="E203" s="2">
        <f>IFERROR(__xludf.DUMMYFUNCTION("""COMPUTED_VALUE"""),400.96)</f>
        <v>400.96</v>
      </c>
      <c r="F203" s="2">
        <f>IFERROR(__xludf.DUMMYFUNCTION("""COMPUTED_VALUE"""),1.2782922E7)</f>
        <v>12782922</v>
      </c>
    </row>
    <row r="204">
      <c r="A204" s="3">
        <f>IFERROR(__xludf.DUMMYFUNCTION("""COMPUTED_VALUE"""),45222.66666666667)</f>
        <v>45222.66667</v>
      </c>
      <c r="B204" s="2">
        <f>IFERROR(__xludf.DUMMYFUNCTION("""COMPUTED_VALUE"""),403.32)</f>
        <v>403.32</v>
      </c>
      <c r="C204" s="2">
        <f>IFERROR(__xludf.DUMMYFUNCTION("""COMPUTED_VALUE"""),407.54)</f>
        <v>407.54</v>
      </c>
      <c r="D204" s="2">
        <f>IFERROR(__xludf.DUMMYFUNCTION("""COMPUTED_VALUE"""),398.52)</f>
        <v>398.52</v>
      </c>
      <c r="E204" s="2">
        <f>IFERROR(__xludf.DUMMYFUNCTION("""COMPUTED_VALUE"""),406.84)</f>
        <v>406.84</v>
      </c>
      <c r="F204" s="2">
        <f>IFERROR(__xludf.DUMMYFUNCTION("""COMPUTED_VALUE"""),7390032.0)</f>
        <v>7390032</v>
      </c>
    </row>
    <row r="205">
      <c r="A205" s="3">
        <f>IFERROR(__xludf.DUMMYFUNCTION("""COMPUTED_VALUE"""),45223.66666666667)</f>
        <v>45223.66667</v>
      </c>
      <c r="B205" s="2">
        <f>IFERROR(__xludf.DUMMYFUNCTION("""COMPUTED_VALUE"""),409.68)</f>
        <v>409.68</v>
      </c>
      <c r="C205" s="2">
        <f>IFERROR(__xludf.DUMMYFUNCTION("""COMPUTED_VALUE"""),416.69)</f>
        <v>416.69</v>
      </c>
      <c r="D205" s="2">
        <f>IFERROR(__xludf.DUMMYFUNCTION("""COMPUTED_VALUE"""),408.39)</f>
        <v>408.39</v>
      </c>
      <c r="E205" s="2">
        <f>IFERROR(__xludf.DUMMYFUNCTION("""COMPUTED_VALUE"""),413.73)</f>
        <v>413.73</v>
      </c>
      <c r="F205" s="2">
        <f>IFERROR(__xludf.DUMMYFUNCTION("""COMPUTED_VALUE"""),6459247.0)</f>
        <v>6459247</v>
      </c>
    </row>
    <row r="206">
      <c r="A206" s="3">
        <f>IFERROR(__xludf.DUMMYFUNCTION("""COMPUTED_VALUE"""),45224.66666666667)</f>
        <v>45224.66667</v>
      </c>
      <c r="B206" s="2">
        <f>IFERROR(__xludf.DUMMYFUNCTION("""COMPUTED_VALUE"""),416.02)</f>
        <v>416.02</v>
      </c>
      <c r="C206" s="2">
        <f>IFERROR(__xludf.DUMMYFUNCTION("""COMPUTED_VALUE"""),418.84)</f>
        <v>418.84</v>
      </c>
      <c r="D206" s="2">
        <f>IFERROR(__xludf.DUMMYFUNCTION("""COMPUTED_VALUE"""),410.11)</f>
        <v>410.11</v>
      </c>
      <c r="E206" s="2">
        <f>IFERROR(__xludf.DUMMYFUNCTION("""COMPUTED_VALUE"""),411.25)</f>
        <v>411.25</v>
      </c>
      <c r="F206" s="2">
        <f>IFERROR(__xludf.DUMMYFUNCTION("""COMPUTED_VALUE"""),6299587.0)</f>
        <v>6299587</v>
      </c>
    </row>
    <row r="207">
      <c r="A207" s="3">
        <f>IFERROR(__xludf.DUMMYFUNCTION("""COMPUTED_VALUE"""),45225.66666666667)</f>
        <v>45225.66667</v>
      </c>
      <c r="B207" s="2">
        <f>IFERROR(__xludf.DUMMYFUNCTION("""COMPUTED_VALUE"""),411.42)</f>
        <v>411.42</v>
      </c>
      <c r="C207" s="2">
        <f>IFERROR(__xludf.DUMMYFUNCTION("""COMPUTED_VALUE"""),417.31)</f>
        <v>417.31</v>
      </c>
      <c r="D207" s="2">
        <f>IFERROR(__xludf.DUMMYFUNCTION("""COMPUTED_VALUE"""),401.54)</f>
        <v>401.54</v>
      </c>
      <c r="E207" s="2">
        <f>IFERROR(__xludf.DUMMYFUNCTION("""COMPUTED_VALUE"""),403.54)</f>
        <v>403.54</v>
      </c>
      <c r="F207" s="2">
        <f>IFERROR(__xludf.DUMMYFUNCTION("""COMPUTED_VALUE"""),6849702.0)</f>
        <v>6849702</v>
      </c>
    </row>
    <row r="208">
      <c r="A208" s="3">
        <f>IFERROR(__xludf.DUMMYFUNCTION("""COMPUTED_VALUE"""),45226.66666666667)</f>
        <v>45226.66667</v>
      </c>
      <c r="B208" s="2">
        <f>IFERROR(__xludf.DUMMYFUNCTION("""COMPUTED_VALUE"""),406.42)</f>
        <v>406.42</v>
      </c>
      <c r="C208" s="2">
        <f>IFERROR(__xludf.DUMMYFUNCTION("""COMPUTED_VALUE"""),410.21)</f>
        <v>410.21</v>
      </c>
      <c r="D208" s="2">
        <f>IFERROR(__xludf.DUMMYFUNCTION("""COMPUTED_VALUE"""),395.62)</f>
        <v>395.62</v>
      </c>
      <c r="E208" s="2">
        <f>IFERROR(__xludf.DUMMYFUNCTION("""COMPUTED_VALUE"""),397.87)</f>
        <v>397.87</v>
      </c>
      <c r="F208" s="2">
        <f>IFERROR(__xludf.DUMMYFUNCTION("""COMPUTED_VALUE"""),4997612.0)</f>
        <v>4997612</v>
      </c>
    </row>
    <row r="209">
      <c r="A209" s="3">
        <f>IFERROR(__xludf.DUMMYFUNCTION("""COMPUTED_VALUE"""),45229.66666666667)</f>
        <v>45229.66667</v>
      </c>
      <c r="B209" s="2">
        <f>IFERROR(__xludf.DUMMYFUNCTION("""COMPUTED_VALUE"""),402.35)</f>
        <v>402.35</v>
      </c>
      <c r="C209" s="2">
        <f>IFERROR(__xludf.DUMMYFUNCTION("""COMPUTED_VALUE"""),412.82)</f>
        <v>412.82</v>
      </c>
      <c r="D209" s="2">
        <f>IFERROR(__xludf.DUMMYFUNCTION("""COMPUTED_VALUE"""),399.41)</f>
        <v>399.41</v>
      </c>
      <c r="E209" s="2">
        <f>IFERROR(__xludf.DUMMYFUNCTION("""COMPUTED_VALUE"""),410.08)</f>
        <v>410.08</v>
      </c>
      <c r="F209" s="2">
        <f>IFERROR(__xludf.DUMMYFUNCTION("""COMPUTED_VALUE"""),5317147.0)</f>
        <v>5317147</v>
      </c>
    </row>
    <row r="210">
      <c r="A210" s="3">
        <f>IFERROR(__xludf.DUMMYFUNCTION("""COMPUTED_VALUE"""),45230.66666666667)</f>
        <v>45230.66667</v>
      </c>
      <c r="B210" s="2">
        <f>IFERROR(__xludf.DUMMYFUNCTION("""COMPUTED_VALUE"""),409.24)</f>
        <v>409.24</v>
      </c>
      <c r="C210" s="2">
        <f>IFERROR(__xludf.DUMMYFUNCTION("""COMPUTED_VALUE"""),412.52)</f>
        <v>412.52</v>
      </c>
      <c r="D210" s="2">
        <f>IFERROR(__xludf.DUMMYFUNCTION("""COMPUTED_VALUE"""),404.63)</f>
        <v>404.63</v>
      </c>
      <c r="E210" s="2">
        <f>IFERROR(__xludf.DUMMYFUNCTION("""COMPUTED_VALUE"""),411.69)</f>
        <v>411.69</v>
      </c>
      <c r="F210" s="2">
        <f>IFERROR(__xludf.DUMMYFUNCTION("""COMPUTED_VALUE"""),3877623.0)</f>
        <v>3877623</v>
      </c>
    </row>
    <row r="211">
      <c r="A211" s="3">
        <f>IFERROR(__xludf.DUMMYFUNCTION("""COMPUTED_VALUE"""),45231.66666666667)</f>
        <v>45231.66667</v>
      </c>
      <c r="B211" s="2">
        <f>IFERROR(__xludf.DUMMYFUNCTION("""COMPUTED_VALUE"""),414.77)</f>
        <v>414.77</v>
      </c>
      <c r="C211" s="2">
        <f>IFERROR(__xludf.DUMMYFUNCTION("""COMPUTED_VALUE"""),420.6)</f>
        <v>420.6</v>
      </c>
      <c r="D211" s="2">
        <f>IFERROR(__xludf.DUMMYFUNCTION("""COMPUTED_VALUE"""),414.18)</f>
        <v>414.18</v>
      </c>
      <c r="E211" s="2">
        <f>IFERROR(__xludf.DUMMYFUNCTION("""COMPUTED_VALUE"""),420.19)</f>
        <v>420.19</v>
      </c>
      <c r="F211" s="2">
        <f>IFERROR(__xludf.DUMMYFUNCTION("""COMPUTED_VALUE"""),4806108.0)</f>
        <v>4806108</v>
      </c>
    </row>
    <row r="212">
      <c r="A212" s="3">
        <f>IFERROR(__xludf.DUMMYFUNCTION("""COMPUTED_VALUE"""),45232.66666666667)</f>
        <v>45232.66667</v>
      </c>
      <c r="B212" s="2">
        <f>IFERROR(__xludf.DUMMYFUNCTION("""COMPUTED_VALUE"""),421.17)</f>
        <v>421.17</v>
      </c>
      <c r="C212" s="2">
        <f>IFERROR(__xludf.DUMMYFUNCTION("""COMPUTED_VALUE"""),426.69)</f>
        <v>426.69</v>
      </c>
      <c r="D212" s="2">
        <f>IFERROR(__xludf.DUMMYFUNCTION("""COMPUTED_VALUE"""),417.1)</f>
        <v>417.1</v>
      </c>
      <c r="E212" s="2">
        <f>IFERROR(__xludf.DUMMYFUNCTION("""COMPUTED_VALUE"""),424.71)</f>
        <v>424.71</v>
      </c>
      <c r="F212" s="2">
        <f>IFERROR(__xludf.DUMMYFUNCTION("""COMPUTED_VALUE"""),4475984.0)</f>
        <v>4475984</v>
      </c>
    </row>
    <row r="213">
      <c r="A213" s="3">
        <f>IFERROR(__xludf.DUMMYFUNCTION("""COMPUTED_VALUE"""),45233.66666666667)</f>
        <v>45233.66667</v>
      </c>
      <c r="B213" s="2">
        <f>IFERROR(__xludf.DUMMYFUNCTION("""COMPUTED_VALUE"""),428.76)</f>
        <v>428.76</v>
      </c>
      <c r="C213" s="2">
        <f>IFERROR(__xludf.DUMMYFUNCTION("""COMPUTED_VALUE"""),434.82)</f>
        <v>434.82</v>
      </c>
      <c r="D213" s="2">
        <f>IFERROR(__xludf.DUMMYFUNCTION("""COMPUTED_VALUE"""),425.53)</f>
        <v>425.53</v>
      </c>
      <c r="E213" s="2">
        <f>IFERROR(__xludf.DUMMYFUNCTION("""COMPUTED_VALUE"""),432.36)</f>
        <v>432.36</v>
      </c>
      <c r="F213" s="2">
        <f>IFERROR(__xludf.DUMMYFUNCTION("""COMPUTED_VALUE"""),3667051.0)</f>
        <v>3667051</v>
      </c>
    </row>
    <row r="214">
      <c r="A214" s="3">
        <f>IFERROR(__xludf.DUMMYFUNCTION("""COMPUTED_VALUE"""),45236.66666666667)</f>
        <v>45236.66667</v>
      </c>
      <c r="B214" s="2">
        <f>IFERROR(__xludf.DUMMYFUNCTION("""COMPUTED_VALUE"""),434.38)</f>
        <v>434.38</v>
      </c>
      <c r="C214" s="2">
        <f>IFERROR(__xludf.DUMMYFUNCTION("""COMPUTED_VALUE"""),435.03)</f>
        <v>435.03</v>
      </c>
      <c r="D214" s="2">
        <f>IFERROR(__xludf.DUMMYFUNCTION("""COMPUTED_VALUE"""),429.61)</f>
        <v>429.61</v>
      </c>
      <c r="E214" s="2">
        <f>IFERROR(__xludf.DUMMYFUNCTION("""COMPUTED_VALUE"""),434.74)</f>
        <v>434.74</v>
      </c>
      <c r="F214" s="2">
        <f>IFERROR(__xludf.DUMMYFUNCTION("""COMPUTED_VALUE"""),3003235.0)</f>
        <v>3003235</v>
      </c>
    </row>
    <row r="215">
      <c r="A215" s="3">
        <f>IFERROR(__xludf.DUMMYFUNCTION("""COMPUTED_VALUE"""),45237.66666666667)</f>
        <v>45237.66667</v>
      </c>
      <c r="B215" s="2">
        <f>IFERROR(__xludf.DUMMYFUNCTION("""COMPUTED_VALUE"""),436.18)</f>
        <v>436.18</v>
      </c>
      <c r="C215" s="2">
        <f>IFERROR(__xludf.DUMMYFUNCTION("""COMPUTED_VALUE"""),437.64)</f>
        <v>437.64</v>
      </c>
      <c r="D215" s="2">
        <f>IFERROR(__xludf.DUMMYFUNCTION("""COMPUTED_VALUE"""),431.0)</f>
        <v>431</v>
      </c>
      <c r="E215" s="2">
        <f>IFERROR(__xludf.DUMMYFUNCTION("""COMPUTED_VALUE"""),434.61)</f>
        <v>434.61</v>
      </c>
      <c r="F215" s="2">
        <f>IFERROR(__xludf.DUMMYFUNCTION("""COMPUTED_VALUE"""),3291064.0)</f>
        <v>3291064</v>
      </c>
    </row>
    <row r="216">
      <c r="A216" s="3">
        <f>IFERROR(__xludf.DUMMYFUNCTION("""COMPUTED_VALUE"""),45238.66666666667)</f>
        <v>45238.66667</v>
      </c>
      <c r="B216" s="2">
        <f>IFERROR(__xludf.DUMMYFUNCTION("""COMPUTED_VALUE"""),435.0)</f>
        <v>435</v>
      </c>
      <c r="C216" s="2">
        <f>IFERROR(__xludf.DUMMYFUNCTION("""COMPUTED_VALUE"""),438.07)</f>
        <v>438.07</v>
      </c>
      <c r="D216" s="2">
        <f>IFERROR(__xludf.DUMMYFUNCTION("""COMPUTED_VALUE"""),433.68)</f>
        <v>433.68</v>
      </c>
      <c r="E216" s="2">
        <f>IFERROR(__xludf.DUMMYFUNCTION("""COMPUTED_VALUE"""),436.65)</f>
        <v>436.65</v>
      </c>
      <c r="F216" s="2">
        <f>IFERROR(__xludf.DUMMYFUNCTION("""COMPUTED_VALUE"""),2356845.0)</f>
        <v>2356845</v>
      </c>
    </row>
    <row r="217">
      <c r="A217" s="3">
        <f>IFERROR(__xludf.DUMMYFUNCTION("""COMPUTED_VALUE"""),45239.66666666667)</f>
        <v>45239.66667</v>
      </c>
      <c r="B217" s="2">
        <f>IFERROR(__xludf.DUMMYFUNCTION("""COMPUTED_VALUE"""),438.03)</f>
        <v>438.03</v>
      </c>
      <c r="C217" s="2">
        <f>IFERROR(__xludf.DUMMYFUNCTION("""COMPUTED_VALUE"""),440.38)</f>
        <v>440.38</v>
      </c>
      <c r="D217" s="2">
        <f>IFERROR(__xludf.DUMMYFUNCTION("""COMPUTED_VALUE"""),434.35)</f>
        <v>434.35</v>
      </c>
      <c r="E217" s="2">
        <f>IFERROR(__xludf.DUMMYFUNCTION("""COMPUTED_VALUE"""),435.15)</f>
        <v>435.15</v>
      </c>
      <c r="F217" s="2">
        <f>IFERROR(__xludf.DUMMYFUNCTION("""COMPUTED_VALUE"""),2735507.0)</f>
        <v>2735507</v>
      </c>
    </row>
    <row r="218">
      <c r="A218" s="3">
        <f>IFERROR(__xludf.DUMMYFUNCTION("""COMPUTED_VALUE"""),45240.66666666667)</f>
        <v>45240.66667</v>
      </c>
      <c r="B218" s="2">
        <f>IFERROR(__xludf.DUMMYFUNCTION("""COMPUTED_VALUE"""),437.48)</f>
        <v>437.48</v>
      </c>
      <c r="C218" s="2">
        <f>IFERROR(__xludf.DUMMYFUNCTION("""COMPUTED_VALUE"""),447.48)</f>
        <v>447.48</v>
      </c>
      <c r="D218" s="2">
        <f>IFERROR(__xludf.DUMMYFUNCTION("""COMPUTED_VALUE"""),435.51)</f>
        <v>435.51</v>
      </c>
      <c r="E218" s="2">
        <f>IFERROR(__xludf.DUMMYFUNCTION("""COMPUTED_VALUE"""),447.24)</f>
        <v>447.24</v>
      </c>
      <c r="F218" s="2">
        <f>IFERROR(__xludf.DUMMYFUNCTION("""COMPUTED_VALUE"""),4443284.0)</f>
        <v>4443284</v>
      </c>
    </row>
    <row r="219">
      <c r="A219" s="3">
        <f>IFERROR(__xludf.DUMMYFUNCTION("""COMPUTED_VALUE"""),45243.66666666667)</f>
        <v>45243.66667</v>
      </c>
      <c r="B219" s="2">
        <f>IFERROR(__xludf.DUMMYFUNCTION("""COMPUTED_VALUE"""),447.25)</f>
        <v>447.25</v>
      </c>
      <c r="C219" s="2">
        <f>IFERROR(__xludf.DUMMYFUNCTION("""COMPUTED_VALUE"""),448.43)</f>
        <v>448.43</v>
      </c>
      <c r="D219" s="2">
        <f>IFERROR(__xludf.DUMMYFUNCTION("""COMPUTED_VALUE"""),442.6)</f>
        <v>442.6</v>
      </c>
      <c r="E219" s="2">
        <f>IFERROR(__xludf.DUMMYFUNCTION("""COMPUTED_VALUE"""),444.62)</f>
        <v>444.62</v>
      </c>
      <c r="F219" s="2">
        <f>IFERROR(__xludf.DUMMYFUNCTION("""COMPUTED_VALUE"""),2896143.0)</f>
        <v>2896143</v>
      </c>
    </row>
    <row r="220">
      <c r="A220" s="3">
        <f>IFERROR(__xludf.DUMMYFUNCTION("""COMPUTED_VALUE"""),45244.66666666667)</f>
        <v>45244.66667</v>
      </c>
      <c r="B220" s="2">
        <f>IFERROR(__xludf.DUMMYFUNCTION("""COMPUTED_VALUE"""),448.78)</f>
        <v>448.78</v>
      </c>
      <c r="C220" s="2">
        <f>IFERROR(__xludf.DUMMYFUNCTION("""COMPUTED_VALUE"""),454.08)</f>
        <v>454.08</v>
      </c>
      <c r="D220" s="2">
        <f>IFERROR(__xludf.DUMMYFUNCTION("""COMPUTED_VALUE"""),445.64)</f>
        <v>445.64</v>
      </c>
      <c r="E220" s="2">
        <f>IFERROR(__xludf.DUMMYFUNCTION("""COMPUTED_VALUE"""),448.65)</f>
        <v>448.65</v>
      </c>
      <c r="F220" s="2">
        <f>IFERROR(__xludf.DUMMYFUNCTION("""COMPUTED_VALUE"""),4060884.0)</f>
        <v>4060884</v>
      </c>
    </row>
    <row r="221">
      <c r="A221" s="3">
        <f>IFERROR(__xludf.DUMMYFUNCTION("""COMPUTED_VALUE"""),45245.66666666667)</f>
        <v>45245.66667</v>
      </c>
      <c r="B221" s="2">
        <f>IFERROR(__xludf.DUMMYFUNCTION("""COMPUTED_VALUE"""),452.81)</f>
        <v>452.81</v>
      </c>
      <c r="C221" s="2">
        <f>IFERROR(__xludf.DUMMYFUNCTION("""COMPUTED_VALUE"""),462.75)</f>
        <v>462.75</v>
      </c>
      <c r="D221" s="2">
        <f>IFERROR(__xludf.DUMMYFUNCTION("""COMPUTED_VALUE"""),452.45)</f>
        <v>452.45</v>
      </c>
      <c r="E221" s="2">
        <f>IFERROR(__xludf.DUMMYFUNCTION("""COMPUTED_VALUE"""),461.94)</f>
        <v>461.94</v>
      </c>
      <c r="F221" s="2">
        <f>IFERROR(__xludf.DUMMYFUNCTION("""COMPUTED_VALUE"""),5035283.0)</f>
        <v>5035283</v>
      </c>
    </row>
    <row r="222">
      <c r="A222" s="3">
        <f>IFERROR(__xludf.DUMMYFUNCTION("""COMPUTED_VALUE"""),45246.66666666667)</f>
        <v>45246.66667</v>
      </c>
      <c r="B222" s="2">
        <f>IFERROR(__xludf.DUMMYFUNCTION("""COMPUTED_VALUE"""),463.0)</f>
        <v>463</v>
      </c>
      <c r="C222" s="2">
        <f>IFERROR(__xludf.DUMMYFUNCTION("""COMPUTED_VALUE"""),467.28)</f>
        <v>467.28</v>
      </c>
      <c r="D222" s="2">
        <f>IFERROR(__xludf.DUMMYFUNCTION("""COMPUTED_VALUE"""),459.65)</f>
        <v>459.65</v>
      </c>
      <c r="E222" s="2">
        <f>IFERROR(__xludf.DUMMYFUNCTION("""COMPUTED_VALUE"""),466.95)</f>
        <v>466.95</v>
      </c>
      <c r="F222" s="2">
        <f>IFERROR(__xludf.DUMMYFUNCTION("""COMPUTED_VALUE"""),3655974.0)</f>
        <v>3655974</v>
      </c>
    </row>
    <row r="223">
      <c r="A223" s="3">
        <f>IFERROR(__xludf.DUMMYFUNCTION("""COMPUTED_VALUE"""),45247.66666666667)</f>
        <v>45247.66667</v>
      </c>
      <c r="B223" s="2">
        <f>IFERROR(__xludf.DUMMYFUNCTION("""COMPUTED_VALUE"""),466.95)</f>
        <v>466.95</v>
      </c>
      <c r="C223" s="2">
        <f>IFERROR(__xludf.DUMMYFUNCTION("""COMPUTED_VALUE"""),467.65)</f>
        <v>467.65</v>
      </c>
      <c r="D223" s="2">
        <f>IFERROR(__xludf.DUMMYFUNCTION("""COMPUTED_VALUE"""),462.76)</f>
        <v>462.76</v>
      </c>
      <c r="E223" s="2">
        <f>IFERROR(__xludf.DUMMYFUNCTION("""COMPUTED_VALUE"""),465.91)</f>
        <v>465.91</v>
      </c>
      <c r="F223" s="2">
        <f>IFERROR(__xludf.DUMMYFUNCTION("""COMPUTED_VALUE"""),2800214.0)</f>
        <v>2800214</v>
      </c>
    </row>
    <row r="224">
      <c r="A224" s="3">
        <f>IFERROR(__xludf.DUMMYFUNCTION("""COMPUTED_VALUE"""),45250.66666666667)</f>
        <v>45250.66667</v>
      </c>
      <c r="B224" s="2">
        <f>IFERROR(__xludf.DUMMYFUNCTION("""COMPUTED_VALUE"""),465.4)</f>
        <v>465.4</v>
      </c>
      <c r="C224" s="2">
        <f>IFERROR(__xludf.DUMMYFUNCTION("""COMPUTED_VALUE"""),476.76)</f>
        <v>476.76</v>
      </c>
      <c r="D224" s="2">
        <f>IFERROR(__xludf.DUMMYFUNCTION("""COMPUTED_VALUE"""),465.4)</f>
        <v>465.4</v>
      </c>
      <c r="E224" s="2">
        <f>IFERROR(__xludf.DUMMYFUNCTION("""COMPUTED_VALUE"""),474.47)</f>
        <v>474.47</v>
      </c>
      <c r="F224" s="2">
        <f>IFERROR(__xludf.DUMMYFUNCTION("""COMPUTED_VALUE"""),3621095.0)</f>
        <v>3621095</v>
      </c>
    </row>
    <row r="225">
      <c r="A225" s="3">
        <f>IFERROR(__xludf.DUMMYFUNCTION("""COMPUTED_VALUE"""),45251.66666666667)</f>
        <v>45251.66667</v>
      </c>
      <c r="B225" s="2">
        <f>IFERROR(__xludf.DUMMYFUNCTION("""COMPUTED_VALUE"""),472.63)</f>
        <v>472.63</v>
      </c>
      <c r="C225" s="2">
        <f>IFERROR(__xludf.DUMMYFUNCTION("""COMPUTED_VALUE"""),477.02)</f>
        <v>477.02</v>
      </c>
      <c r="D225" s="2">
        <f>IFERROR(__xludf.DUMMYFUNCTION("""COMPUTED_VALUE"""),471.21)</f>
        <v>471.21</v>
      </c>
      <c r="E225" s="2">
        <f>IFERROR(__xludf.DUMMYFUNCTION("""COMPUTED_VALUE"""),474.95)</f>
        <v>474.95</v>
      </c>
      <c r="F225" s="2">
        <f>IFERROR(__xludf.DUMMYFUNCTION("""COMPUTED_VALUE"""),2997723.0)</f>
        <v>2997723</v>
      </c>
    </row>
    <row r="226">
      <c r="A226" s="3">
        <f>IFERROR(__xludf.DUMMYFUNCTION("""COMPUTED_VALUE"""),45252.66666666667)</f>
        <v>45252.66667</v>
      </c>
      <c r="B226" s="2">
        <f>IFERROR(__xludf.DUMMYFUNCTION("""COMPUTED_VALUE"""),476.8)</f>
        <v>476.8</v>
      </c>
      <c r="C226" s="2">
        <f>IFERROR(__xludf.DUMMYFUNCTION("""COMPUTED_VALUE"""),482.7)</f>
        <v>482.7</v>
      </c>
      <c r="D226" s="2">
        <f>IFERROR(__xludf.DUMMYFUNCTION("""COMPUTED_VALUE"""),476.56)</f>
        <v>476.56</v>
      </c>
      <c r="E226" s="2">
        <f>IFERROR(__xludf.DUMMYFUNCTION("""COMPUTED_VALUE"""),478.0)</f>
        <v>478</v>
      </c>
      <c r="F226" s="2">
        <f>IFERROR(__xludf.DUMMYFUNCTION("""COMPUTED_VALUE"""),2843891.0)</f>
        <v>2843891</v>
      </c>
    </row>
    <row r="227">
      <c r="A227" s="3">
        <f>IFERROR(__xludf.DUMMYFUNCTION("""COMPUTED_VALUE"""),45254.54513888889)</f>
        <v>45254.54514</v>
      </c>
      <c r="B227" s="2">
        <f>IFERROR(__xludf.DUMMYFUNCTION("""COMPUTED_VALUE"""),477.11)</f>
        <v>477.11</v>
      </c>
      <c r="C227" s="2">
        <f>IFERROR(__xludf.DUMMYFUNCTION("""COMPUTED_VALUE"""),480.4)</f>
        <v>480.4</v>
      </c>
      <c r="D227" s="2">
        <f>IFERROR(__xludf.DUMMYFUNCTION("""COMPUTED_VALUE"""),475.2)</f>
        <v>475.2</v>
      </c>
      <c r="E227" s="2">
        <f>IFERROR(__xludf.DUMMYFUNCTION("""COMPUTED_VALUE"""),479.56)</f>
        <v>479.56</v>
      </c>
      <c r="F227" s="2">
        <f>IFERROR(__xludf.DUMMYFUNCTION("""COMPUTED_VALUE"""),1404732.0)</f>
        <v>1404732</v>
      </c>
    </row>
    <row r="228">
      <c r="A228" s="3">
        <f>IFERROR(__xludf.DUMMYFUNCTION("""COMPUTED_VALUE"""),45257.66666666667)</f>
        <v>45257.66667</v>
      </c>
      <c r="B228" s="2">
        <f>IFERROR(__xludf.DUMMYFUNCTION("""COMPUTED_VALUE"""),479.03)</f>
        <v>479.03</v>
      </c>
      <c r="C228" s="2">
        <f>IFERROR(__xludf.DUMMYFUNCTION("""COMPUTED_VALUE"""),482.0)</f>
        <v>482</v>
      </c>
      <c r="D228" s="2">
        <f>IFERROR(__xludf.DUMMYFUNCTION("""COMPUTED_VALUE"""),475.35)</f>
        <v>475.35</v>
      </c>
      <c r="E228" s="2">
        <f>IFERROR(__xludf.DUMMYFUNCTION("""COMPUTED_VALUE"""),479.17)</f>
        <v>479.17</v>
      </c>
      <c r="F228" s="2">
        <f>IFERROR(__xludf.DUMMYFUNCTION("""COMPUTED_VALUE"""),3625924.0)</f>
        <v>3625924</v>
      </c>
    </row>
    <row r="229">
      <c r="A229" s="3">
        <f>IFERROR(__xludf.DUMMYFUNCTION("""COMPUTED_VALUE"""),45258.66666666667)</f>
        <v>45258.66667</v>
      </c>
      <c r="B229" s="2">
        <f>IFERROR(__xludf.DUMMYFUNCTION("""COMPUTED_VALUE"""),478.11)</f>
        <v>478.11</v>
      </c>
      <c r="C229" s="2">
        <f>IFERROR(__xludf.DUMMYFUNCTION("""COMPUTED_VALUE"""),480.5)</f>
        <v>480.5</v>
      </c>
      <c r="D229" s="2">
        <f>IFERROR(__xludf.DUMMYFUNCTION("""COMPUTED_VALUE"""),475.95)</f>
        <v>475.95</v>
      </c>
      <c r="E229" s="2">
        <f>IFERROR(__xludf.DUMMYFUNCTION("""COMPUTED_VALUE"""),479.0)</f>
        <v>479</v>
      </c>
      <c r="F229" s="2">
        <f>IFERROR(__xludf.DUMMYFUNCTION("""COMPUTED_VALUE"""),2890164.0)</f>
        <v>2890164</v>
      </c>
    </row>
    <row r="230">
      <c r="A230" s="3">
        <f>IFERROR(__xludf.DUMMYFUNCTION("""COMPUTED_VALUE"""),45259.66666666667)</f>
        <v>45259.66667</v>
      </c>
      <c r="B230" s="2">
        <f>IFERROR(__xludf.DUMMYFUNCTION("""COMPUTED_VALUE"""),479.0)</f>
        <v>479</v>
      </c>
      <c r="C230" s="2">
        <f>IFERROR(__xludf.DUMMYFUNCTION("""COMPUTED_VALUE"""),480.99)</f>
        <v>480.99</v>
      </c>
      <c r="D230" s="2">
        <f>IFERROR(__xludf.DUMMYFUNCTION("""COMPUTED_VALUE"""),474.49)</f>
        <v>474.49</v>
      </c>
      <c r="E230" s="2">
        <f>IFERROR(__xludf.DUMMYFUNCTION("""COMPUTED_VALUE"""),477.19)</f>
        <v>477.19</v>
      </c>
      <c r="F230" s="2">
        <f>IFERROR(__xludf.DUMMYFUNCTION("""COMPUTED_VALUE"""),2855540.0)</f>
        <v>2855540</v>
      </c>
    </row>
    <row r="231">
      <c r="A231" s="3">
        <f>IFERROR(__xludf.DUMMYFUNCTION("""COMPUTED_VALUE"""),45260.66666666667)</f>
        <v>45260.66667</v>
      </c>
      <c r="B231" s="2">
        <f>IFERROR(__xludf.DUMMYFUNCTION("""COMPUTED_VALUE"""),475.31)</f>
        <v>475.31</v>
      </c>
      <c r="C231" s="2">
        <f>IFERROR(__xludf.DUMMYFUNCTION("""COMPUTED_VALUE"""),478.59)</f>
        <v>478.59</v>
      </c>
      <c r="D231" s="2">
        <f>IFERROR(__xludf.DUMMYFUNCTION("""COMPUTED_VALUE"""),470.42)</f>
        <v>470.42</v>
      </c>
      <c r="E231" s="2">
        <f>IFERROR(__xludf.DUMMYFUNCTION("""COMPUTED_VALUE"""),473.97)</f>
        <v>473.97</v>
      </c>
      <c r="F231" s="2">
        <f>IFERROR(__xludf.DUMMYFUNCTION("""COMPUTED_VALUE"""),4287349.0)</f>
        <v>4287349</v>
      </c>
    </row>
    <row r="232">
      <c r="A232" s="3">
        <f>IFERROR(__xludf.DUMMYFUNCTION("""COMPUTED_VALUE"""),45261.66666666667)</f>
        <v>45261.66667</v>
      </c>
      <c r="B232" s="2">
        <f>IFERROR(__xludf.DUMMYFUNCTION("""COMPUTED_VALUE"""),473.17)</f>
        <v>473.17</v>
      </c>
      <c r="C232" s="2">
        <f>IFERROR(__xludf.DUMMYFUNCTION("""COMPUTED_VALUE"""),475.23)</f>
        <v>475.23</v>
      </c>
      <c r="D232" s="2">
        <f>IFERROR(__xludf.DUMMYFUNCTION("""COMPUTED_VALUE"""),464.6)</f>
        <v>464.6</v>
      </c>
      <c r="E232" s="2">
        <f>IFERROR(__xludf.DUMMYFUNCTION("""COMPUTED_VALUE"""),465.74)</f>
        <v>465.74</v>
      </c>
      <c r="F232" s="2">
        <f>IFERROR(__xludf.DUMMYFUNCTION("""COMPUTED_VALUE"""),4341471.0)</f>
        <v>4341471</v>
      </c>
    </row>
    <row r="233">
      <c r="A233" s="3">
        <f>IFERROR(__xludf.DUMMYFUNCTION("""COMPUTED_VALUE"""),45264.66666666667)</f>
        <v>45264.66667</v>
      </c>
      <c r="B233" s="2">
        <f>IFERROR(__xludf.DUMMYFUNCTION("""COMPUTED_VALUE"""),460.99)</f>
        <v>460.99</v>
      </c>
      <c r="C233" s="2">
        <f>IFERROR(__xludf.DUMMYFUNCTION("""COMPUTED_VALUE"""),461.2)</f>
        <v>461.2</v>
      </c>
      <c r="D233" s="2">
        <f>IFERROR(__xludf.DUMMYFUNCTION("""COMPUTED_VALUE"""),451.2)</f>
        <v>451.2</v>
      </c>
      <c r="E233" s="2">
        <f>IFERROR(__xludf.DUMMYFUNCTION("""COMPUTED_VALUE"""),453.9)</f>
        <v>453.9</v>
      </c>
      <c r="F233" s="2">
        <f>IFERROR(__xludf.DUMMYFUNCTION("""COMPUTED_VALUE"""),5157713.0)</f>
        <v>5157713</v>
      </c>
    </row>
    <row r="234">
      <c r="A234" s="3">
        <f>IFERROR(__xludf.DUMMYFUNCTION("""COMPUTED_VALUE"""),45265.66666666667)</f>
        <v>45265.66667</v>
      </c>
      <c r="B234" s="2">
        <f>IFERROR(__xludf.DUMMYFUNCTION("""COMPUTED_VALUE"""),450.7)</f>
        <v>450.7</v>
      </c>
      <c r="C234" s="2">
        <f>IFERROR(__xludf.DUMMYFUNCTION("""COMPUTED_VALUE"""),456.39)</f>
        <v>456.39</v>
      </c>
      <c r="D234" s="2">
        <f>IFERROR(__xludf.DUMMYFUNCTION("""COMPUTED_VALUE"""),449.58)</f>
        <v>449.58</v>
      </c>
      <c r="E234" s="2">
        <f>IFERROR(__xludf.DUMMYFUNCTION("""COMPUTED_VALUE"""),455.15)</f>
        <v>455.15</v>
      </c>
      <c r="F234" s="2">
        <f>IFERROR(__xludf.DUMMYFUNCTION("""COMPUTED_VALUE"""),3380674.0)</f>
        <v>3380674</v>
      </c>
    </row>
    <row r="235">
      <c r="A235" s="3">
        <f>IFERROR(__xludf.DUMMYFUNCTION("""COMPUTED_VALUE"""),45266.66666666667)</f>
        <v>45266.66667</v>
      </c>
      <c r="B235" s="2">
        <f>IFERROR(__xludf.DUMMYFUNCTION("""COMPUTED_VALUE"""),460.0)</f>
        <v>460</v>
      </c>
      <c r="C235" s="2">
        <f>IFERROR(__xludf.DUMMYFUNCTION("""COMPUTED_VALUE"""),460.5)</f>
        <v>460.5</v>
      </c>
      <c r="D235" s="2">
        <f>IFERROR(__xludf.DUMMYFUNCTION("""COMPUTED_VALUE"""),445.73)</f>
        <v>445.73</v>
      </c>
      <c r="E235" s="2">
        <f>IFERROR(__xludf.DUMMYFUNCTION("""COMPUTED_VALUE"""),446.73)</f>
        <v>446.73</v>
      </c>
      <c r="F235" s="2">
        <f>IFERROR(__xludf.DUMMYFUNCTION("""COMPUTED_VALUE"""),4178755.0)</f>
        <v>4178755</v>
      </c>
    </row>
    <row r="236">
      <c r="A236" s="3">
        <f>IFERROR(__xludf.DUMMYFUNCTION("""COMPUTED_VALUE"""),45267.66666666667)</f>
        <v>45267.66667</v>
      </c>
      <c r="B236" s="2">
        <f>IFERROR(__xludf.DUMMYFUNCTION("""COMPUTED_VALUE"""),450.85)</f>
        <v>450.85</v>
      </c>
      <c r="C236" s="2">
        <f>IFERROR(__xludf.DUMMYFUNCTION("""COMPUTED_VALUE"""),452.89)</f>
        <v>452.89</v>
      </c>
      <c r="D236" s="2">
        <f>IFERROR(__xludf.DUMMYFUNCTION("""COMPUTED_VALUE"""),448.32)</f>
        <v>448.32</v>
      </c>
      <c r="E236" s="2">
        <f>IFERROR(__xludf.DUMMYFUNCTION("""COMPUTED_VALUE"""),452.0)</f>
        <v>452</v>
      </c>
      <c r="F236" s="2">
        <f>IFERROR(__xludf.DUMMYFUNCTION("""COMPUTED_VALUE"""),3506722.0)</f>
        <v>3506722</v>
      </c>
    </row>
    <row r="237">
      <c r="A237" s="3">
        <f>IFERROR(__xludf.DUMMYFUNCTION("""COMPUTED_VALUE"""),45268.66666666667)</f>
        <v>45268.66667</v>
      </c>
      <c r="B237" s="2">
        <f>IFERROR(__xludf.DUMMYFUNCTION("""COMPUTED_VALUE"""),450.76)</f>
        <v>450.76</v>
      </c>
      <c r="C237" s="2">
        <f>IFERROR(__xludf.DUMMYFUNCTION("""COMPUTED_VALUE"""),455.5)</f>
        <v>455.5</v>
      </c>
      <c r="D237" s="2">
        <f>IFERROR(__xludf.DUMMYFUNCTION("""COMPUTED_VALUE"""),450.76)</f>
        <v>450.76</v>
      </c>
      <c r="E237" s="2">
        <f>IFERROR(__xludf.DUMMYFUNCTION("""COMPUTED_VALUE"""),453.76)</f>
        <v>453.76</v>
      </c>
      <c r="F237" s="2">
        <f>IFERROR(__xludf.DUMMYFUNCTION("""COMPUTED_VALUE"""),3458384.0)</f>
        <v>3458384</v>
      </c>
    </row>
    <row r="238">
      <c r="A238" s="3">
        <f>IFERROR(__xludf.DUMMYFUNCTION("""COMPUTED_VALUE"""),45271.66666666667)</f>
        <v>45271.66667</v>
      </c>
      <c r="B238" s="2">
        <f>IFERROR(__xludf.DUMMYFUNCTION("""COMPUTED_VALUE"""),459.36)</f>
        <v>459.36</v>
      </c>
      <c r="C238" s="2">
        <f>IFERROR(__xludf.DUMMYFUNCTION("""COMPUTED_VALUE"""),470.65)</f>
        <v>470.65</v>
      </c>
      <c r="D238" s="2">
        <f>IFERROR(__xludf.DUMMYFUNCTION("""COMPUTED_VALUE"""),457.21)</f>
        <v>457.21</v>
      </c>
      <c r="E238" s="2">
        <f>IFERROR(__xludf.DUMMYFUNCTION("""COMPUTED_VALUE"""),459.89)</f>
        <v>459.89</v>
      </c>
      <c r="F238" s="2">
        <f>IFERROR(__xludf.DUMMYFUNCTION("""COMPUTED_VALUE"""),4929662.0)</f>
        <v>4929662</v>
      </c>
    </row>
    <row r="239">
      <c r="A239" s="3">
        <f>IFERROR(__xludf.DUMMYFUNCTION("""COMPUTED_VALUE"""),45272.66666666667)</f>
        <v>45272.66667</v>
      </c>
      <c r="B239" s="2">
        <f>IFERROR(__xludf.DUMMYFUNCTION("""COMPUTED_VALUE"""),465.23)</f>
        <v>465.23</v>
      </c>
      <c r="C239" s="2">
        <f>IFERROR(__xludf.DUMMYFUNCTION("""COMPUTED_VALUE"""),465.61)</f>
        <v>465.61</v>
      </c>
      <c r="D239" s="2">
        <f>IFERROR(__xludf.DUMMYFUNCTION("""COMPUTED_VALUE"""),459.2)</f>
        <v>459.2</v>
      </c>
      <c r="E239" s="2">
        <f>IFERROR(__xludf.DUMMYFUNCTION("""COMPUTED_VALUE"""),463.0)</f>
        <v>463</v>
      </c>
      <c r="F239" s="2">
        <f>IFERROR(__xludf.DUMMYFUNCTION("""COMPUTED_VALUE"""),3302660.0)</f>
        <v>3302660</v>
      </c>
    </row>
    <row r="240">
      <c r="A240" s="3">
        <f>IFERROR(__xludf.DUMMYFUNCTION("""COMPUTED_VALUE"""),45273.66666666667)</f>
        <v>45273.66667</v>
      </c>
      <c r="B240" s="2">
        <f>IFERROR(__xludf.DUMMYFUNCTION("""COMPUTED_VALUE"""),461.98)</f>
        <v>461.98</v>
      </c>
      <c r="C240" s="2">
        <f>IFERROR(__xludf.DUMMYFUNCTION("""COMPUTED_VALUE"""),481.25)</f>
        <v>481.25</v>
      </c>
      <c r="D240" s="2">
        <f>IFERROR(__xludf.DUMMYFUNCTION("""COMPUTED_VALUE"""),461.98)</f>
        <v>461.98</v>
      </c>
      <c r="E240" s="2">
        <f>IFERROR(__xludf.DUMMYFUNCTION("""COMPUTED_VALUE"""),479.98)</f>
        <v>479.98</v>
      </c>
      <c r="F240" s="2">
        <f>IFERROR(__xludf.DUMMYFUNCTION("""COMPUTED_VALUE"""),5820192.0)</f>
        <v>5820192</v>
      </c>
    </row>
    <row r="241">
      <c r="A241" s="3">
        <f>IFERROR(__xludf.DUMMYFUNCTION("""COMPUTED_VALUE"""),45274.66666666667)</f>
        <v>45274.66667</v>
      </c>
      <c r="B241" s="2">
        <f>IFERROR(__xludf.DUMMYFUNCTION("""COMPUTED_VALUE"""),480.36)</f>
        <v>480.36</v>
      </c>
      <c r="C241" s="2">
        <f>IFERROR(__xludf.DUMMYFUNCTION("""COMPUTED_VALUE"""),480.76)</f>
        <v>480.76</v>
      </c>
      <c r="D241" s="2">
        <f>IFERROR(__xludf.DUMMYFUNCTION("""COMPUTED_VALUE"""),464.76)</f>
        <v>464.76</v>
      </c>
      <c r="E241" s="2">
        <f>IFERROR(__xludf.DUMMYFUNCTION("""COMPUTED_VALUE"""),469.83)</f>
        <v>469.83</v>
      </c>
      <c r="F241" s="2">
        <f>IFERROR(__xludf.DUMMYFUNCTION("""COMPUTED_VALUE"""),5176437.0)</f>
        <v>5176437</v>
      </c>
    </row>
    <row r="242">
      <c r="A242" s="3">
        <f>IFERROR(__xludf.DUMMYFUNCTION("""COMPUTED_VALUE"""),45275.66666666667)</f>
        <v>45275.66667</v>
      </c>
      <c r="B242" s="2">
        <f>IFERROR(__xludf.DUMMYFUNCTION("""COMPUTED_VALUE"""),467.3)</f>
        <v>467.3</v>
      </c>
      <c r="C242" s="2">
        <f>IFERROR(__xludf.DUMMYFUNCTION("""COMPUTED_VALUE"""),473.0)</f>
        <v>473</v>
      </c>
      <c r="D242" s="2">
        <f>IFERROR(__xludf.DUMMYFUNCTION("""COMPUTED_VALUE"""),467.3)</f>
        <v>467.3</v>
      </c>
      <c r="E242" s="2">
        <f>IFERROR(__xludf.DUMMYFUNCTION("""COMPUTED_VALUE"""),472.06)</f>
        <v>472.06</v>
      </c>
      <c r="F242" s="2">
        <f>IFERROR(__xludf.DUMMYFUNCTION("""COMPUTED_VALUE"""),7840992.0)</f>
        <v>7840992</v>
      </c>
    </row>
    <row r="243">
      <c r="A243" s="3">
        <f>IFERROR(__xludf.DUMMYFUNCTION("""COMPUTED_VALUE"""),45278.66666666667)</f>
        <v>45278.66667</v>
      </c>
      <c r="B243" s="2">
        <f>IFERROR(__xludf.DUMMYFUNCTION("""COMPUTED_VALUE"""),476.3)</f>
        <v>476.3</v>
      </c>
      <c r="C243" s="2">
        <f>IFERROR(__xludf.DUMMYFUNCTION("""COMPUTED_VALUE"""),492.04)</f>
        <v>492.04</v>
      </c>
      <c r="D243" s="2">
        <f>IFERROR(__xludf.DUMMYFUNCTION("""COMPUTED_VALUE"""),475.1)</f>
        <v>475.1</v>
      </c>
      <c r="E243" s="2">
        <f>IFERROR(__xludf.DUMMYFUNCTION("""COMPUTED_VALUE"""),486.12)</f>
        <v>486.12</v>
      </c>
      <c r="F243" s="2">
        <f>IFERROR(__xludf.DUMMYFUNCTION("""COMPUTED_VALUE"""),6410660.0)</f>
        <v>6410660</v>
      </c>
    </row>
    <row r="244">
      <c r="A244" s="3">
        <f>IFERROR(__xludf.DUMMYFUNCTION("""COMPUTED_VALUE"""),45279.66666666667)</f>
        <v>45279.66667</v>
      </c>
      <c r="B244" s="2">
        <f>IFERROR(__xludf.DUMMYFUNCTION("""COMPUTED_VALUE"""),488.4)</f>
        <v>488.4</v>
      </c>
      <c r="C244" s="2">
        <f>IFERROR(__xludf.DUMMYFUNCTION("""COMPUTED_VALUE"""),496.14)</f>
        <v>496.14</v>
      </c>
      <c r="D244" s="2">
        <f>IFERROR(__xludf.DUMMYFUNCTION("""COMPUTED_VALUE"""),484.06)</f>
        <v>484.06</v>
      </c>
      <c r="E244" s="2">
        <f>IFERROR(__xludf.DUMMYFUNCTION("""COMPUTED_VALUE"""),495.02)</f>
        <v>495.02</v>
      </c>
      <c r="F244" s="2">
        <f>IFERROR(__xludf.DUMMYFUNCTION("""COMPUTED_VALUE"""),3849014.0)</f>
        <v>3849014</v>
      </c>
    </row>
    <row r="245">
      <c r="A245" s="3">
        <f>IFERROR(__xludf.DUMMYFUNCTION("""COMPUTED_VALUE"""),45280.66666666667)</f>
        <v>45280.66667</v>
      </c>
      <c r="B245" s="2">
        <f>IFERROR(__xludf.DUMMYFUNCTION("""COMPUTED_VALUE"""),492.0)</f>
        <v>492</v>
      </c>
      <c r="C245" s="2">
        <f>IFERROR(__xludf.DUMMYFUNCTION("""COMPUTED_VALUE"""),500.89)</f>
        <v>500.89</v>
      </c>
      <c r="D245" s="2">
        <f>IFERROR(__xludf.DUMMYFUNCTION("""COMPUTED_VALUE"""),488.39)</f>
        <v>488.39</v>
      </c>
      <c r="E245" s="2">
        <f>IFERROR(__xludf.DUMMYFUNCTION("""COMPUTED_VALUE"""),489.27)</f>
        <v>489.27</v>
      </c>
      <c r="F245" s="2">
        <f>IFERROR(__xludf.DUMMYFUNCTION("""COMPUTED_VALUE"""),4563690.0)</f>
        <v>4563690</v>
      </c>
    </row>
    <row r="246">
      <c r="A246" s="3">
        <f>IFERROR(__xludf.DUMMYFUNCTION("""COMPUTED_VALUE"""),45281.66666666667)</f>
        <v>45281.66667</v>
      </c>
      <c r="B246" s="2">
        <f>IFERROR(__xludf.DUMMYFUNCTION("""COMPUTED_VALUE"""),492.66)</f>
        <v>492.66</v>
      </c>
      <c r="C246" s="2">
        <f>IFERROR(__xludf.DUMMYFUNCTION("""COMPUTED_VALUE"""),494.4)</f>
        <v>494.4</v>
      </c>
      <c r="D246" s="2">
        <f>IFERROR(__xludf.DUMMYFUNCTION("""COMPUTED_VALUE"""),486.77)</f>
        <v>486.77</v>
      </c>
      <c r="E246" s="2">
        <f>IFERROR(__xludf.DUMMYFUNCTION("""COMPUTED_VALUE"""),491.61)</f>
        <v>491.61</v>
      </c>
      <c r="F246" s="2">
        <f>IFERROR(__xludf.DUMMYFUNCTION("""COMPUTED_VALUE"""),2756225.0)</f>
        <v>2756225</v>
      </c>
    </row>
    <row r="247">
      <c r="A247" s="3">
        <f>IFERROR(__xludf.DUMMYFUNCTION("""COMPUTED_VALUE"""),45282.66666666667)</f>
        <v>45282.66667</v>
      </c>
      <c r="B247" s="2">
        <f>IFERROR(__xludf.DUMMYFUNCTION("""COMPUTED_VALUE"""),494.0)</f>
        <v>494</v>
      </c>
      <c r="C247" s="2">
        <f>IFERROR(__xludf.DUMMYFUNCTION("""COMPUTED_VALUE"""),496.02)</f>
        <v>496.02</v>
      </c>
      <c r="D247" s="2">
        <f>IFERROR(__xludf.DUMMYFUNCTION("""COMPUTED_VALUE"""),485.45)</f>
        <v>485.45</v>
      </c>
      <c r="E247" s="2">
        <f>IFERROR(__xludf.DUMMYFUNCTION("""COMPUTED_VALUE"""),486.76)</f>
        <v>486.76</v>
      </c>
      <c r="F247" s="2">
        <f>IFERROR(__xludf.DUMMYFUNCTION("""COMPUTED_VALUE"""),2702672.0)</f>
        <v>2702672</v>
      </c>
    </row>
    <row r="248">
      <c r="A248" s="3">
        <f>IFERROR(__xludf.DUMMYFUNCTION("""COMPUTED_VALUE"""),45286.66666666667)</f>
        <v>45286.66667</v>
      </c>
      <c r="B248" s="2">
        <f>IFERROR(__xludf.DUMMYFUNCTION("""COMPUTED_VALUE"""),489.39)</f>
        <v>489.39</v>
      </c>
      <c r="C248" s="2">
        <f>IFERROR(__xludf.DUMMYFUNCTION("""COMPUTED_VALUE"""),491.48)</f>
        <v>491.48</v>
      </c>
      <c r="D248" s="2">
        <f>IFERROR(__xludf.DUMMYFUNCTION("""COMPUTED_VALUE"""),486.38)</f>
        <v>486.38</v>
      </c>
      <c r="E248" s="2">
        <f>IFERROR(__xludf.DUMMYFUNCTION("""COMPUTED_VALUE"""),491.19)</f>
        <v>491.19</v>
      </c>
      <c r="F248" s="2">
        <f>IFERROR(__xludf.DUMMYFUNCTION("""COMPUTED_VALUE"""),2034517.0)</f>
        <v>2034517</v>
      </c>
    </row>
    <row r="249">
      <c r="A249" s="3">
        <f>IFERROR(__xludf.DUMMYFUNCTION("""COMPUTED_VALUE"""),45287.66666666667)</f>
        <v>45287.66667</v>
      </c>
      <c r="B249" s="2">
        <f>IFERROR(__xludf.DUMMYFUNCTION("""COMPUTED_VALUE"""),491.24)</f>
        <v>491.24</v>
      </c>
      <c r="C249" s="2">
        <f>IFERROR(__xludf.DUMMYFUNCTION("""COMPUTED_VALUE"""),494.02)</f>
        <v>494.02</v>
      </c>
      <c r="D249" s="2">
        <f>IFERROR(__xludf.DUMMYFUNCTION("""COMPUTED_VALUE"""),489.25)</f>
        <v>489.25</v>
      </c>
      <c r="E249" s="2">
        <f>IFERROR(__xludf.DUMMYFUNCTION("""COMPUTED_VALUE"""),491.79)</f>
        <v>491.79</v>
      </c>
      <c r="F249" s="2">
        <f>IFERROR(__xludf.DUMMYFUNCTION("""COMPUTED_VALUE"""),2561330.0)</f>
        <v>2561330</v>
      </c>
    </row>
    <row r="250">
      <c r="A250" s="3">
        <f>IFERROR(__xludf.DUMMYFUNCTION("""COMPUTED_VALUE"""),45288.66666666667)</f>
        <v>45288.66667</v>
      </c>
      <c r="B250" s="2">
        <f>IFERROR(__xludf.DUMMYFUNCTION("""COMPUTED_VALUE"""),492.0)</f>
        <v>492</v>
      </c>
      <c r="C250" s="2">
        <f>IFERROR(__xludf.DUMMYFUNCTION("""COMPUTED_VALUE"""),492.89)</f>
        <v>492.89</v>
      </c>
      <c r="D250" s="2">
        <f>IFERROR(__xludf.DUMMYFUNCTION("""COMPUTED_VALUE"""),489.07)</f>
        <v>489.07</v>
      </c>
      <c r="E250" s="2">
        <f>IFERROR(__xludf.DUMMYFUNCTION("""COMPUTED_VALUE"""),490.51)</f>
        <v>490.51</v>
      </c>
      <c r="F250" s="2">
        <f>IFERROR(__xludf.DUMMYFUNCTION("""COMPUTED_VALUE"""),1710492.0)</f>
        <v>1710492</v>
      </c>
    </row>
    <row r="251">
      <c r="A251" s="3">
        <f>IFERROR(__xludf.DUMMYFUNCTION("""COMPUTED_VALUE"""),45289.66666666667)</f>
        <v>45289.66667</v>
      </c>
      <c r="B251" s="2">
        <f>IFERROR(__xludf.DUMMYFUNCTION("""COMPUTED_VALUE"""),490.37)</f>
        <v>490.37</v>
      </c>
      <c r="C251" s="2">
        <f>IFERROR(__xludf.DUMMYFUNCTION("""COMPUTED_VALUE"""),492.23)</f>
        <v>492.23</v>
      </c>
      <c r="D251" s="2">
        <f>IFERROR(__xludf.DUMMYFUNCTION("""COMPUTED_VALUE"""),481.94)</f>
        <v>481.94</v>
      </c>
      <c r="E251" s="2">
        <f>IFERROR(__xludf.DUMMYFUNCTION("""COMPUTED_VALUE"""),486.88)</f>
        <v>486.88</v>
      </c>
      <c r="F251" s="2">
        <f>IFERROR(__xludf.DUMMYFUNCTION("""COMPUTED_VALUE"""),2740555.0)</f>
        <v>2740555</v>
      </c>
    </row>
    <row r="252">
      <c r="A252" s="3">
        <f>IFERROR(__xludf.DUMMYFUNCTION("""COMPUTED_VALUE"""),45293.66666666667)</f>
        <v>45293.66667</v>
      </c>
      <c r="B252" s="2">
        <f>IFERROR(__xludf.DUMMYFUNCTION("""COMPUTED_VALUE"""),483.19)</f>
        <v>483.19</v>
      </c>
      <c r="C252" s="2">
        <f>IFERROR(__xludf.DUMMYFUNCTION("""COMPUTED_VALUE"""),484.65)</f>
        <v>484.65</v>
      </c>
      <c r="D252" s="2">
        <f>IFERROR(__xludf.DUMMYFUNCTION("""COMPUTED_VALUE"""),461.86)</f>
        <v>461.86</v>
      </c>
      <c r="E252" s="2">
        <f>IFERROR(__xludf.DUMMYFUNCTION("""COMPUTED_VALUE"""),468.5)</f>
        <v>468.5</v>
      </c>
      <c r="F252" s="2">
        <f>IFERROR(__xludf.DUMMYFUNCTION("""COMPUTED_VALUE"""),5049423.0)</f>
        <v>5049423</v>
      </c>
    </row>
    <row r="253">
      <c r="A253" s="3">
        <f>IFERROR(__xludf.DUMMYFUNCTION("""COMPUTED_VALUE"""),45294.66666666667)</f>
        <v>45294.66667</v>
      </c>
      <c r="B253" s="2">
        <f>IFERROR(__xludf.DUMMYFUNCTION("""COMPUTED_VALUE"""),467.32)</f>
        <v>467.32</v>
      </c>
      <c r="C253" s="2">
        <f>IFERROR(__xludf.DUMMYFUNCTION("""COMPUTED_VALUE"""),475.05)</f>
        <v>475.05</v>
      </c>
      <c r="D253" s="2">
        <f>IFERROR(__xludf.DUMMYFUNCTION("""COMPUTED_VALUE"""),465.77)</f>
        <v>465.77</v>
      </c>
      <c r="E253" s="2">
        <f>IFERROR(__xludf.DUMMYFUNCTION("""COMPUTED_VALUE"""),470.26)</f>
        <v>470.26</v>
      </c>
      <c r="F253" s="2">
        <f>IFERROR(__xludf.DUMMYFUNCTION("""COMPUTED_VALUE"""),3443694.0)</f>
        <v>3443694</v>
      </c>
    </row>
    <row r="254">
      <c r="A254" s="3">
        <f>IFERROR(__xludf.DUMMYFUNCTION("""COMPUTED_VALUE"""),45295.66666666667)</f>
        <v>45295.66667</v>
      </c>
      <c r="B254" s="2">
        <f>IFERROR(__xludf.DUMMYFUNCTION("""COMPUTED_VALUE"""),472.98)</f>
        <v>472.98</v>
      </c>
      <c r="C254" s="2">
        <f>IFERROR(__xludf.DUMMYFUNCTION("""COMPUTED_VALUE"""),480.74)</f>
        <v>480.74</v>
      </c>
      <c r="D254" s="2">
        <f>IFERROR(__xludf.DUMMYFUNCTION("""COMPUTED_VALUE"""),466.53)</f>
        <v>466.53</v>
      </c>
      <c r="E254" s="2">
        <f>IFERROR(__xludf.DUMMYFUNCTION("""COMPUTED_VALUE"""),474.67)</f>
        <v>474.67</v>
      </c>
      <c r="F254" s="2">
        <f>IFERROR(__xludf.DUMMYFUNCTION("""COMPUTED_VALUE"""),3636513.0)</f>
        <v>3636513</v>
      </c>
    </row>
    <row r="255">
      <c r="A255" s="3">
        <f>IFERROR(__xludf.DUMMYFUNCTION("""COMPUTED_VALUE"""),45296.66666666667)</f>
        <v>45296.66667</v>
      </c>
      <c r="B255" s="2">
        <f>IFERROR(__xludf.DUMMYFUNCTION("""COMPUTED_VALUE"""),476.5)</f>
        <v>476.5</v>
      </c>
      <c r="C255" s="2">
        <f>IFERROR(__xludf.DUMMYFUNCTION("""COMPUTED_VALUE"""),479.55)</f>
        <v>479.55</v>
      </c>
      <c r="D255" s="2">
        <f>IFERROR(__xludf.DUMMYFUNCTION("""COMPUTED_VALUE"""),471.8)</f>
        <v>471.8</v>
      </c>
      <c r="E255" s="2">
        <f>IFERROR(__xludf.DUMMYFUNCTION("""COMPUTED_VALUE"""),474.06)</f>
        <v>474.06</v>
      </c>
      <c r="F255" s="2">
        <f>IFERROR(__xludf.DUMMYFUNCTION("""COMPUTED_VALUE"""),2631250.0)</f>
        <v>2631250</v>
      </c>
    </row>
    <row r="256">
      <c r="A256" s="3">
        <f>IFERROR(__xludf.DUMMYFUNCTION("""COMPUTED_VALUE"""),45299.66666666667)</f>
        <v>45299.66667</v>
      </c>
      <c r="B256" s="2">
        <f>IFERROR(__xludf.DUMMYFUNCTION("""COMPUTED_VALUE"""),473.89)</f>
        <v>473.89</v>
      </c>
      <c r="C256" s="2">
        <f>IFERROR(__xludf.DUMMYFUNCTION("""COMPUTED_VALUE"""),485.24)</f>
        <v>485.24</v>
      </c>
      <c r="D256" s="2">
        <f>IFERROR(__xludf.DUMMYFUNCTION("""COMPUTED_VALUE"""),473.65)</f>
        <v>473.65</v>
      </c>
      <c r="E256" s="2">
        <f>IFERROR(__xludf.DUMMYFUNCTION("""COMPUTED_VALUE"""),485.03)</f>
        <v>485.03</v>
      </c>
      <c r="F256" s="2">
        <f>IFERROR(__xludf.DUMMYFUNCTION("""COMPUTED_VALUE"""),3675775.0)</f>
        <v>3675775</v>
      </c>
    </row>
    <row r="257">
      <c r="A257" s="3">
        <f>IFERROR(__xludf.DUMMYFUNCTION("""COMPUTED_VALUE"""),45300.66666666667)</f>
        <v>45300.66667</v>
      </c>
      <c r="B257" s="2">
        <f>IFERROR(__xludf.DUMMYFUNCTION("""COMPUTED_VALUE"""),475.53)</f>
        <v>475.53</v>
      </c>
      <c r="C257" s="2">
        <f>IFERROR(__xludf.DUMMYFUNCTION("""COMPUTED_VALUE"""),485.09)</f>
        <v>485.09</v>
      </c>
      <c r="D257" s="2">
        <f>IFERROR(__xludf.DUMMYFUNCTION("""COMPUTED_VALUE"""),473.8)</f>
        <v>473.8</v>
      </c>
      <c r="E257" s="2">
        <f>IFERROR(__xludf.DUMMYFUNCTION("""COMPUTED_VALUE"""),482.09)</f>
        <v>482.09</v>
      </c>
      <c r="F257" s="2">
        <f>IFERROR(__xludf.DUMMYFUNCTION("""COMPUTED_VALUE"""),3526757.0)</f>
        <v>3526757</v>
      </c>
    </row>
    <row r="258">
      <c r="A258" s="3">
        <f>IFERROR(__xludf.DUMMYFUNCTION("""COMPUTED_VALUE"""),45301.66666666667)</f>
        <v>45301.66667</v>
      </c>
      <c r="B258" s="2">
        <f>IFERROR(__xludf.DUMMYFUNCTION("""COMPUTED_VALUE"""),481.6)</f>
        <v>481.6</v>
      </c>
      <c r="C258" s="2">
        <f>IFERROR(__xludf.DUMMYFUNCTION("""COMPUTED_VALUE"""),487.0)</f>
        <v>487</v>
      </c>
      <c r="D258" s="2">
        <f>IFERROR(__xludf.DUMMYFUNCTION("""COMPUTED_VALUE"""),472.95)</f>
        <v>472.95</v>
      </c>
      <c r="E258" s="2">
        <f>IFERROR(__xludf.DUMMYFUNCTION("""COMPUTED_VALUE"""),478.33)</f>
        <v>478.33</v>
      </c>
      <c r="F258" s="2">
        <f>IFERROR(__xludf.DUMMYFUNCTION("""COMPUTED_VALUE"""),4342448.0)</f>
        <v>4342448</v>
      </c>
    </row>
    <row r="259">
      <c r="A259" s="3">
        <f>IFERROR(__xludf.DUMMYFUNCTION("""COMPUTED_VALUE"""),45302.66666666667)</f>
        <v>45302.66667</v>
      </c>
      <c r="B259" s="2">
        <f>IFERROR(__xludf.DUMMYFUNCTION("""COMPUTED_VALUE"""),492.54)</f>
        <v>492.54</v>
      </c>
      <c r="C259" s="2">
        <f>IFERROR(__xludf.DUMMYFUNCTION("""COMPUTED_VALUE"""),503.41)</f>
        <v>503.41</v>
      </c>
      <c r="D259" s="2">
        <f>IFERROR(__xludf.DUMMYFUNCTION("""COMPUTED_VALUE"""),483.82)</f>
        <v>483.82</v>
      </c>
      <c r="E259" s="2">
        <f>IFERROR(__xludf.DUMMYFUNCTION("""COMPUTED_VALUE"""),492.23)</f>
        <v>492.23</v>
      </c>
      <c r="F259" s="2">
        <f>IFERROR(__xludf.DUMMYFUNCTION("""COMPUTED_VALUE"""),7993265.0)</f>
        <v>7993265</v>
      </c>
    </row>
    <row r="260">
      <c r="A260" s="3">
        <f>IFERROR(__xludf.DUMMYFUNCTION("""COMPUTED_VALUE"""),45303.66666666667)</f>
        <v>45303.66667</v>
      </c>
      <c r="B260" s="2">
        <f>IFERROR(__xludf.DUMMYFUNCTION("""COMPUTED_VALUE"""),500.51)</f>
        <v>500.51</v>
      </c>
      <c r="C260" s="2">
        <f>IFERROR(__xludf.DUMMYFUNCTION("""COMPUTED_VALUE"""),500.79)</f>
        <v>500.79</v>
      </c>
      <c r="D260" s="2">
        <f>IFERROR(__xludf.DUMMYFUNCTION("""COMPUTED_VALUE"""),490.61)</f>
        <v>490.61</v>
      </c>
      <c r="E260" s="2">
        <f>IFERROR(__xludf.DUMMYFUNCTION("""COMPUTED_VALUE"""),492.16)</f>
        <v>492.16</v>
      </c>
      <c r="F260" s="2">
        <f>IFERROR(__xludf.DUMMYFUNCTION("""COMPUTED_VALUE"""),5003718.0)</f>
        <v>5003718</v>
      </c>
    </row>
    <row r="261">
      <c r="A261" s="3">
        <f>IFERROR(__xludf.DUMMYFUNCTION("""COMPUTED_VALUE"""),45307.66666666667)</f>
        <v>45307.66667</v>
      </c>
      <c r="B261" s="2">
        <f>IFERROR(__xludf.DUMMYFUNCTION("""COMPUTED_VALUE"""),490.0)</f>
        <v>490</v>
      </c>
      <c r="C261" s="2">
        <f>IFERROR(__xludf.DUMMYFUNCTION("""COMPUTED_VALUE"""),494.15)</f>
        <v>494.15</v>
      </c>
      <c r="D261" s="2">
        <f>IFERROR(__xludf.DUMMYFUNCTION("""COMPUTED_VALUE"""),478.02)</f>
        <v>478.02</v>
      </c>
      <c r="E261" s="2">
        <f>IFERROR(__xludf.DUMMYFUNCTION("""COMPUTED_VALUE"""),481.24)</f>
        <v>481.24</v>
      </c>
      <c r="F261" s="2">
        <f>IFERROR(__xludf.DUMMYFUNCTION("""COMPUTED_VALUE"""),4678974.0)</f>
        <v>4678974</v>
      </c>
    </row>
    <row r="262">
      <c r="A262" s="3">
        <f>IFERROR(__xludf.DUMMYFUNCTION("""COMPUTED_VALUE"""),45308.66666666667)</f>
        <v>45308.66667</v>
      </c>
      <c r="B262" s="2">
        <f>IFERROR(__xludf.DUMMYFUNCTION("""COMPUTED_VALUE"""),484.5)</f>
        <v>484.5</v>
      </c>
      <c r="C262" s="2">
        <f>IFERROR(__xludf.DUMMYFUNCTION("""COMPUTED_VALUE"""),486.21)</f>
        <v>486.21</v>
      </c>
      <c r="D262" s="2">
        <f>IFERROR(__xludf.DUMMYFUNCTION("""COMPUTED_VALUE"""),475.26)</f>
        <v>475.26</v>
      </c>
      <c r="E262" s="2">
        <f>IFERROR(__xludf.DUMMYFUNCTION("""COMPUTED_VALUE"""),480.33)</f>
        <v>480.33</v>
      </c>
      <c r="F262" s="2">
        <f>IFERROR(__xludf.DUMMYFUNCTION("""COMPUTED_VALUE"""),4894593.0)</f>
        <v>4894593</v>
      </c>
    </row>
    <row r="263">
      <c r="A263" s="3">
        <f>IFERROR(__xludf.DUMMYFUNCTION("""COMPUTED_VALUE"""),45309.66666666667)</f>
        <v>45309.66667</v>
      </c>
      <c r="B263" s="2">
        <f>IFERROR(__xludf.DUMMYFUNCTION("""COMPUTED_VALUE"""),480.03)</f>
        <v>480.03</v>
      </c>
      <c r="C263" s="2">
        <f>IFERROR(__xludf.DUMMYFUNCTION("""COMPUTED_VALUE"""),485.77)</f>
        <v>485.77</v>
      </c>
      <c r="D263" s="2">
        <f>IFERROR(__xludf.DUMMYFUNCTION("""COMPUTED_VALUE"""),478.02)</f>
        <v>478.02</v>
      </c>
      <c r="E263" s="2">
        <f>IFERROR(__xludf.DUMMYFUNCTION("""COMPUTED_VALUE"""),485.31)</f>
        <v>485.31</v>
      </c>
      <c r="F263" s="2">
        <f>IFERROR(__xludf.DUMMYFUNCTION("""COMPUTED_VALUE"""),4054399.0)</f>
        <v>4054399</v>
      </c>
    </row>
    <row r="264">
      <c r="A264" s="3">
        <f>IFERROR(__xludf.DUMMYFUNCTION("""COMPUTED_VALUE"""),45310.66666666667)</f>
        <v>45310.66667</v>
      </c>
      <c r="B264" s="2">
        <f>IFERROR(__xludf.DUMMYFUNCTION("""COMPUTED_VALUE"""),484.98)</f>
        <v>484.98</v>
      </c>
      <c r="C264" s="2">
        <f>IFERROR(__xludf.DUMMYFUNCTION("""COMPUTED_VALUE"""),485.67)</f>
        <v>485.67</v>
      </c>
      <c r="D264" s="2">
        <f>IFERROR(__xludf.DUMMYFUNCTION("""COMPUTED_VALUE"""),476.06)</f>
        <v>476.06</v>
      </c>
      <c r="E264" s="2">
        <f>IFERROR(__xludf.DUMMYFUNCTION("""COMPUTED_VALUE"""),482.95)</f>
        <v>482.95</v>
      </c>
      <c r="F264" s="2">
        <f>IFERROR(__xludf.DUMMYFUNCTION("""COMPUTED_VALUE"""),5672351.0)</f>
        <v>5672351</v>
      </c>
    </row>
    <row r="265">
      <c r="A265" s="3">
        <f>IFERROR(__xludf.DUMMYFUNCTION("""COMPUTED_VALUE"""),45313.66666666667)</f>
        <v>45313.66667</v>
      </c>
      <c r="B265" s="2">
        <f>IFERROR(__xludf.DUMMYFUNCTION("""COMPUTED_VALUE"""),487.55)</f>
        <v>487.55</v>
      </c>
      <c r="C265" s="2">
        <f>IFERROR(__xludf.DUMMYFUNCTION("""COMPUTED_VALUE"""),489.8)</f>
        <v>489.8</v>
      </c>
      <c r="D265" s="2">
        <f>IFERROR(__xludf.DUMMYFUNCTION("""COMPUTED_VALUE"""),479.9)</f>
        <v>479.9</v>
      </c>
      <c r="E265" s="2">
        <f>IFERROR(__xludf.DUMMYFUNCTION("""COMPUTED_VALUE"""),485.71)</f>
        <v>485.71</v>
      </c>
      <c r="F265" s="2">
        <f>IFERROR(__xludf.DUMMYFUNCTION("""COMPUTED_VALUE"""),5212309.0)</f>
        <v>5212309</v>
      </c>
    </row>
    <row r="266">
      <c r="A266" s="3">
        <f>IFERROR(__xludf.DUMMYFUNCTION("""COMPUTED_VALUE"""),45314.66666666667)</f>
        <v>45314.66667</v>
      </c>
      <c r="B266" s="2">
        <f>IFERROR(__xludf.DUMMYFUNCTION("""COMPUTED_VALUE"""),492.0)</f>
        <v>492</v>
      </c>
      <c r="C266" s="2">
        <f>IFERROR(__xludf.DUMMYFUNCTION("""COMPUTED_VALUE"""),498.96)</f>
        <v>498.96</v>
      </c>
      <c r="D266" s="2">
        <f>IFERROR(__xludf.DUMMYFUNCTION("""COMPUTED_VALUE"""),481.4)</f>
        <v>481.4</v>
      </c>
      <c r="E266" s="2">
        <f>IFERROR(__xludf.DUMMYFUNCTION("""COMPUTED_VALUE"""),492.19)</f>
        <v>492.19</v>
      </c>
      <c r="F266" s="2">
        <f>IFERROR(__xludf.DUMMYFUNCTION("""COMPUTED_VALUE"""),1.5506024E7)</f>
        <v>15506024</v>
      </c>
    </row>
    <row r="267">
      <c r="A267" s="3">
        <f>IFERROR(__xludf.DUMMYFUNCTION("""COMPUTED_VALUE"""),45315.66666666667)</f>
        <v>45315.66667</v>
      </c>
      <c r="B267" s="2">
        <f>IFERROR(__xludf.DUMMYFUNCTION("""COMPUTED_VALUE"""),537.75)</f>
        <v>537.75</v>
      </c>
      <c r="C267" s="2">
        <f>IFERROR(__xludf.DUMMYFUNCTION("""COMPUTED_VALUE"""),562.5)</f>
        <v>562.5</v>
      </c>
      <c r="D267" s="2">
        <f>IFERROR(__xludf.DUMMYFUNCTION("""COMPUTED_VALUE"""),537.07)</f>
        <v>537.07</v>
      </c>
      <c r="E267" s="2">
        <f>IFERROR(__xludf.DUMMYFUNCTION("""COMPUTED_VALUE"""),544.87)</f>
        <v>544.87</v>
      </c>
      <c r="F267" s="2">
        <f>IFERROR(__xludf.DUMMYFUNCTION("""COMPUTED_VALUE"""),2.6432797E7)</f>
        <v>26432797</v>
      </c>
    </row>
    <row r="268">
      <c r="A268" s="3">
        <f>IFERROR(__xludf.DUMMYFUNCTION("""COMPUTED_VALUE"""),45316.66666666667)</f>
        <v>45316.66667</v>
      </c>
      <c r="B268" s="2">
        <f>IFERROR(__xludf.DUMMYFUNCTION("""COMPUTED_VALUE"""),551.95)</f>
        <v>551.95</v>
      </c>
      <c r="C268" s="2">
        <f>IFERROR(__xludf.DUMMYFUNCTION("""COMPUTED_VALUE"""),563.46)</f>
        <v>563.46</v>
      </c>
      <c r="D268" s="2">
        <f>IFERROR(__xludf.DUMMYFUNCTION("""COMPUTED_VALUE"""),548.46)</f>
        <v>548.46</v>
      </c>
      <c r="E268" s="2">
        <f>IFERROR(__xludf.DUMMYFUNCTION("""COMPUTED_VALUE"""),562.0)</f>
        <v>562</v>
      </c>
      <c r="F268" s="2">
        <f>IFERROR(__xludf.DUMMYFUNCTION("""COMPUTED_VALUE"""),9451915.0)</f>
        <v>9451915</v>
      </c>
    </row>
    <row r="269">
      <c r="A269" s="3">
        <f>IFERROR(__xludf.DUMMYFUNCTION("""COMPUTED_VALUE"""),45317.66666666667)</f>
        <v>45317.66667</v>
      </c>
      <c r="B269" s="2">
        <f>IFERROR(__xludf.DUMMYFUNCTION("""COMPUTED_VALUE"""),561.81)</f>
        <v>561.81</v>
      </c>
      <c r="C269" s="2">
        <f>IFERROR(__xludf.DUMMYFUNCTION("""COMPUTED_VALUE"""),579.64)</f>
        <v>579.64</v>
      </c>
      <c r="D269" s="2">
        <f>IFERROR(__xludf.DUMMYFUNCTION("""COMPUTED_VALUE"""),558.43)</f>
        <v>558.43</v>
      </c>
      <c r="E269" s="2">
        <f>IFERROR(__xludf.DUMMYFUNCTION("""COMPUTED_VALUE"""),570.42)</f>
        <v>570.42</v>
      </c>
      <c r="F269" s="2">
        <f>IFERROR(__xludf.DUMMYFUNCTION("""COMPUTED_VALUE"""),1.2770571E7)</f>
        <v>12770571</v>
      </c>
    </row>
    <row r="270">
      <c r="A270" s="3">
        <f>IFERROR(__xludf.DUMMYFUNCTION("""COMPUTED_VALUE"""),45320.66666666667)</f>
        <v>45320.66667</v>
      </c>
      <c r="B270" s="2">
        <f>IFERROR(__xludf.DUMMYFUNCTION("""COMPUTED_VALUE"""),571.35)</f>
        <v>571.35</v>
      </c>
      <c r="C270" s="2">
        <f>IFERROR(__xludf.DUMMYFUNCTION("""COMPUTED_VALUE"""),578.55)</f>
        <v>578.55</v>
      </c>
      <c r="D270" s="2">
        <f>IFERROR(__xludf.DUMMYFUNCTION("""COMPUTED_VALUE"""),562.68)</f>
        <v>562.68</v>
      </c>
      <c r="E270" s="2">
        <f>IFERROR(__xludf.DUMMYFUNCTION("""COMPUTED_VALUE"""),575.79)</f>
        <v>575.79</v>
      </c>
      <c r="F270" s="2">
        <f>IFERROR(__xludf.DUMMYFUNCTION("""COMPUTED_VALUE"""),6905390.0)</f>
        <v>6905390</v>
      </c>
    </row>
    <row r="271">
      <c r="A271" s="3">
        <f>IFERROR(__xludf.DUMMYFUNCTION("""COMPUTED_VALUE"""),45321.66666666667)</f>
        <v>45321.66667</v>
      </c>
      <c r="B271" s="2">
        <f>IFERROR(__xludf.DUMMYFUNCTION("""COMPUTED_VALUE"""),567.32)</f>
        <v>567.32</v>
      </c>
      <c r="C271" s="2">
        <f>IFERROR(__xludf.DUMMYFUNCTION("""COMPUTED_VALUE"""),570.88)</f>
        <v>570.88</v>
      </c>
      <c r="D271" s="2">
        <f>IFERROR(__xludf.DUMMYFUNCTION("""COMPUTED_VALUE"""),560.82)</f>
        <v>560.82</v>
      </c>
      <c r="E271" s="2">
        <f>IFERROR(__xludf.DUMMYFUNCTION("""COMPUTED_VALUE"""),562.85)</f>
        <v>562.85</v>
      </c>
      <c r="F271" s="2">
        <f>IFERROR(__xludf.DUMMYFUNCTION("""COMPUTED_VALUE"""),6181798.0)</f>
        <v>6181798</v>
      </c>
    </row>
    <row r="272">
      <c r="A272" s="3">
        <f>IFERROR(__xludf.DUMMYFUNCTION("""COMPUTED_VALUE"""),45322.66666666667)</f>
        <v>45322.66667</v>
      </c>
      <c r="B272" s="2">
        <f>IFERROR(__xludf.DUMMYFUNCTION("""COMPUTED_VALUE"""),562.85)</f>
        <v>562.85</v>
      </c>
      <c r="C272" s="2">
        <f>IFERROR(__xludf.DUMMYFUNCTION("""COMPUTED_VALUE"""),572.15)</f>
        <v>572.15</v>
      </c>
      <c r="D272" s="2">
        <f>IFERROR(__xludf.DUMMYFUNCTION("""COMPUTED_VALUE"""),562.04)</f>
        <v>562.04</v>
      </c>
      <c r="E272" s="2">
        <f>IFERROR(__xludf.DUMMYFUNCTION("""COMPUTED_VALUE"""),564.11)</f>
        <v>564.11</v>
      </c>
      <c r="F272" s="2">
        <f>IFERROR(__xludf.DUMMYFUNCTION("""COMPUTED_VALUE"""),4857599.0)</f>
        <v>4857599</v>
      </c>
    </row>
    <row r="273">
      <c r="A273" s="3">
        <f>IFERROR(__xludf.DUMMYFUNCTION("""COMPUTED_VALUE"""),45323.66666666667)</f>
        <v>45323.66667</v>
      </c>
      <c r="B273" s="2">
        <f>IFERROR(__xludf.DUMMYFUNCTION("""COMPUTED_VALUE"""),567.02)</f>
        <v>567.02</v>
      </c>
      <c r="C273" s="2">
        <f>IFERROR(__xludf.DUMMYFUNCTION("""COMPUTED_VALUE"""),572.66)</f>
        <v>572.66</v>
      </c>
      <c r="D273" s="2">
        <f>IFERROR(__xludf.DUMMYFUNCTION("""COMPUTED_VALUE"""),563.83)</f>
        <v>563.83</v>
      </c>
      <c r="E273" s="2">
        <f>IFERROR(__xludf.DUMMYFUNCTION("""COMPUTED_VALUE"""),567.51)</f>
        <v>567.51</v>
      </c>
      <c r="F273" s="2">
        <f>IFERROR(__xludf.DUMMYFUNCTION("""COMPUTED_VALUE"""),3174002.0)</f>
        <v>3174002</v>
      </c>
    </row>
    <row r="274">
      <c r="A274" s="3">
        <f>IFERROR(__xludf.DUMMYFUNCTION("""COMPUTED_VALUE"""),45324.66666666667)</f>
        <v>45324.66667</v>
      </c>
      <c r="B274" s="2">
        <f>IFERROR(__xludf.DUMMYFUNCTION("""COMPUTED_VALUE"""),564.52)</f>
        <v>564.52</v>
      </c>
      <c r="C274" s="2">
        <f>IFERROR(__xludf.DUMMYFUNCTION("""COMPUTED_VALUE"""),567.8)</f>
        <v>567.8</v>
      </c>
      <c r="D274" s="2">
        <f>IFERROR(__xludf.DUMMYFUNCTION("""COMPUTED_VALUE"""),562.37)</f>
        <v>562.37</v>
      </c>
      <c r="E274" s="2">
        <f>IFERROR(__xludf.DUMMYFUNCTION("""COMPUTED_VALUE"""),564.64)</f>
        <v>564.64</v>
      </c>
      <c r="F274" s="2">
        <f>IFERROR(__xludf.DUMMYFUNCTION("""COMPUTED_VALUE"""),4032843.0)</f>
        <v>4032843</v>
      </c>
    </row>
    <row r="275">
      <c r="A275" s="3">
        <f>IFERROR(__xludf.DUMMYFUNCTION("""COMPUTED_VALUE"""),45327.66666666667)</f>
        <v>45327.66667</v>
      </c>
      <c r="B275" s="2">
        <f>IFERROR(__xludf.DUMMYFUNCTION("""COMPUTED_VALUE"""),562.47)</f>
        <v>562.47</v>
      </c>
      <c r="C275" s="2">
        <f>IFERROR(__xludf.DUMMYFUNCTION("""COMPUTED_VALUE"""),575.75)</f>
        <v>575.75</v>
      </c>
      <c r="D275" s="2">
        <f>IFERROR(__xludf.DUMMYFUNCTION("""COMPUTED_VALUE"""),557.2)</f>
        <v>557.2</v>
      </c>
      <c r="E275" s="2">
        <f>IFERROR(__xludf.DUMMYFUNCTION("""COMPUTED_VALUE"""),562.06)</f>
        <v>562.06</v>
      </c>
      <c r="F275" s="2">
        <f>IFERROR(__xludf.DUMMYFUNCTION("""COMPUTED_VALUE"""),4143099.0)</f>
        <v>4143099</v>
      </c>
    </row>
    <row r="276">
      <c r="A276" s="3">
        <f>IFERROR(__xludf.DUMMYFUNCTION("""COMPUTED_VALUE"""),45328.66666666667)</f>
        <v>45328.66667</v>
      </c>
      <c r="B276" s="2">
        <f>IFERROR(__xludf.DUMMYFUNCTION("""COMPUTED_VALUE"""),564.12)</f>
        <v>564.12</v>
      </c>
      <c r="C276" s="2">
        <f>IFERROR(__xludf.DUMMYFUNCTION("""COMPUTED_VALUE"""),566.34)</f>
        <v>566.34</v>
      </c>
      <c r="D276" s="2">
        <f>IFERROR(__xludf.DUMMYFUNCTION("""COMPUTED_VALUE"""),554.37)</f>
        <v>554.37</v>
      </c>
      <c r="E276" s="2">
        <f>IFERROR(__xludf.DUMMYFUNCTION("""COMPUTED_VALUE"""),555.88)</f>
        <v>555.88</v>
      </c>
      <c r="F276" s="2">
        <f>IFERROR(__xludf.DUMMYFUNCTION("""COMPUTED_VALUE"""),2840300.0)</f>
        <v>2840300</v>
      </c>
    </row>
    <row r="277">
      <c r="A277" s="3">
        <f>IFERROR(__xludf.DUMMYFUNCTION("""COMPUTED_VALUE"""),45329.66666666667)</f>
        <v>45329.66667</v>
      </c>
      <c r="B277" s="2">
        <f>IFERROR(__xludf.DUMMYFUNCTION("""COMPUTED_VALUE"""),558.16)</f>
        <v>558.16</v>
      </c>
      <c r="C277" s="2">
        <f>IFERROR(__xludf.DUMMYFUNCTION("""COMPUTED_VALUE"""),567.8)</f>
        <v>567.8</v>
      </c>
      <c r="D277" s="2">
        <f>IFERROR(__xludf.DUMMYFUNCTION("""COMPUTED_VALUE"""),554.98)</f>
        <v>554.98</v>
      </c>
      <c r="E277" s="2">
        <f>IFERROR(__xludf.DUMMYFUNCTION("""COMPUTED_VALUE"""),559.3)</f>
        <v>559.3</v>
      </c>
      <c r="F277" s="2">
        <f>IFERROR(__xludf.DUMMYFUNCTION("""COMPUTED_VALUE"""),4373591.0)</f>
        <v>4373591</v>
      </c>
    </row>
    <row r="278">
      <c r="A278" s="3">
        <f>IFERROR(__xludf.DUMMYFUNCTION("""COMPUTED_VALUE"""),45330.66666666667)</f>
        <v>45330.66667</v>
      </c>
      <c r="B278" s="2">
        <f>IFERROR(__xludf.DUMMYFUNCTION("""COMPUTED_VALUE"""),560.55)</f>
        <v>560.55</v>
      </c>
      <c r="C278" s="2">
        <f>IFERROR(__xludf.DUMMYFUNCTION("""COMPUTED_VALUE"""),563.7)</f>
        <v>563.7</v>
      </c>
      <c r="D278" s="2">
        <f>IFERROR(__xludf.DUMMYFUNCTION("""COMPUTED_VALUE"""),555.74)</f>
        <v>555.74</v>
      </c>
      <c r="E278" s="2">
        <f>IFERROR(__xludf.DUMMYFUNCTION("""COMPUTED_VALUE"""),558.53)</f>
        <v>558.53</v>
      </c>
      <c r="F278" s="2">
        <f>IFERROR(__xludf.DUMMYFUNCTION("""COMPUTED_VALUE"""),3175468.0)</f>
        <v>3175468</v>
      </c>
    </row>
    <row r="279">
      <c r="A279" s="3">
        <f>IFERROR(__xludf.DUMMYFUNCTION("""COMPUTED_VALUE"""),45331.66666666667)</f>
        <v>45331.66667</v>
      </c>
      <c r="B279" s="2">
        <f>IFERROR(__xludf.DUMMYFUNCTION("""COMPUTED_VALUE"""),565.0)</f>
        <v>565</v>
      </c>
      <c r="C279" s="2">
        <f>IFERROR(__xludf.DUMMYFUNCTION("""COMPUTED_VALUE"""),566.0)</f>
        <v>566</v>
      </c>
      <c r="D279" s="2">
        <f>IFERROR(__xludf.DUMMYFUNCTION("""COMPUTED_VALUE"""),558.1)</f>
        <v>558.1</v>
      </c>
      <c r="E279" s="2">
        <f>IFERROR(__xludf.DUMMYFUNCTION("""COMPUTED_VALUE"""),561.32)</f>
        <v>561.32</v>
      </c>
      <c r="F279" s="2">
        <f>IFERROR(__xludf.DUMMYFUNCTION("""COMPUTED_VALUE"""),3055698.0)</f>
        <v>3055698</v>
      </c>
    </row>
    <row r="280">
      <c r="A280" s="3">
        <f>IFERROR(__xludf.DUMMYFUNCTION("""COMPUTED_VALUE"""),45334.66666666667)</f>
        <v>45334.66667</v>
      </c>
      <c r="B280" s="2">
        <f>IFERROR(__xludf.DUMMYFUNCTION("""COMPUTED_VALUE"""),560.36)</f>
        <v>560.36</v>
      </c>
      <c r="C280" s="2">
        <f>IFERROR(__xludf.DUMMYFUNCTION("""COMPUTED_VALUE"""),568.44)</f>
        <v>568.44</v>
      </c>
      <c r="D280" s="2">
        <f>IFERROR(__xludf.DUMMYFUNCTION("""COMPUTED_VALUE"""),557.0)</f>
        <v>557</v>
      </c>
      <c r="E280" s="2">
        <f>IFERROR(__xludf.DUMMYFUNCTION("""COMPUTED_VALUE"""),557.85)</f>
        <v>557.85</v>
      </c>
      <c r="F280" s="2">
        <f>IFERROR(__xludf.DUMMYFUNCTION("""COMPUTED_VALUE"""),3608487.0)</f>
        <v>3608487</v>
      </c>
    </row>
    <row r="281">
      <c r="A281" s="3">
        <f>IFERROR(__xludf.DUMMYFUNCTION("""COMPUTED_VALUE"""),45335.66666666667)</f>
        <v>45335.66667</v>
      </c>
      <c r="B281" s="2">
        <f>IFERROR(__xludf.DUMMYFUNCTION("""COMPUTED_VALUE"""),550.8)</f>
        <v>550.8</v>
      </c>
      <c r="C281" s="2">
        <f>IFERROR(__xludf.DUMMYFUNCTION("""COMPUTED_VALUE"""),559.2)</f>
        <v>559.2</v>
      </c>
      <c r="D281" s="2">
        <f>IFERROR(__xludf.DUMMYFUNCTION("""COMPUTED_VALUE"""),549.0)</f>
        <v>549</v>
      </c>
      <c r="E281" s="2">
        <f>IFERROR(__xludf.DUMMYFUNCTION("""COMPUTED_VALUE"""),554.52)</f>
        <v>554.52</v>
      </c>
      <c r="F281" s="2">
        <f>IFERROR(__xludf.DUMMYFUNCTION("""COMPUTED_VALUE"""),3511453.0)</f>
        <v>3511453</v>
      </c>
    </row>
    <row r="282">
      <c r="A282" s="3">
        <f>IFERROR(__xludf.DUMMYFUNCTION("""COMPUTED_VALUE"""),45336.66666666667)</f>
        <v>45336.66667</v>
      </c>
      <c r="B282" s="2">
        <f>IFERROR(__xludf.DUMMYFUNCTION("""COMPUTED_VALUE"""),567.26)</f>
        <v>567.26</v>
      </c>
      <c r="C282" s="2">
        <f>IFERROR(__xludf.DUMMYFUNCTION("""COMPUTED_VALUE"""),581.25)</f>
        <v>581.25</v>
      </c>
      <c r="D282" s="2">
        <f>IFERROR(__xludf.DUMMYFUNCTION("""COMPUTED_VALUE"""),564.34)</f>
        <v>564.34</v>
      </c>
      <c r="E282" s="2">
        <f>IFERROR(__xludf.DUMMYFUNCTION("""COMPUTED_VALUE"""),579.33)</f>
        <v>579.33</v>
      </c>
      <c r="F282" s="2">
        <f>IFERROR(__xludf.DUMMYFUNCTION("""COMPUTED_VALUE"""),5634226.0)</f>
        <v>5634226</v>
      </c>
    </row>
    <row r="283">
      <c r="A283" s="3">
        <f>IFERROR(__xludf.DUMMYFUNCTION("""COMPUTED_VALUE"""),45337.66666666667)</f>
        <v>45337.66667</v>
      </c>
      <c r="B283" s="2">
        <f>IFERROR(__xludf.DUMMYFUNCTION("""COMPUTED_VALUE"""),581.91)</f>
        <v>581.91</v>
      </c>
      <c r="C283" s="2">
        <f>IFERROR(__xludf.DUMMYFUNCTION("""COMPUTED_VALUE"""),593.77)</f>
        <v>593.77</v>
      </c>
      <c r="D283" s="2">
        <f>IFERROR(__xludf.DUMMYFUNCTION("""COMPUTED_VALUE"""),580.32)</f>
        <v>580.32</v>
      </c>
      <c r="E283" s="2">
        <f>IFERROR(__xludf.DUMMYFUNCTION("""COMPUTED_VALUE"""),593.46)</f>
        <v>593.46</v>
      </c>
      <c r="F283" s="2">
        <f>IFERROR(__xludf.DUMMYFUNCTION("""COMPUTED_VALUE"""),5220938.0)</f>
        <v>5220938</v>
      </c>
    </row>
    <row r="284">
      <c r="A284" s="3">
        <f>IFERROR(__xludf.DUMMYFUNCTION("""COMPUTED_VALUE"""),45338.66666666667)</f>
        <v>45338.66667</v>
      </c>
      <c r="B284" s="2">
        <f>IFERROR(__xludf.DUMMYFUNCTION("""COMPUTED_VALUE"""),596.95)</f>
        <v>596.95</v>
      </c>
      <c r="C284" s="2">
        <f>IFERROR(__xludf.DUMMYFUNCTION("""COMPUTED_VALUE"""),597.0)</f>
        <v>597</v>
      </c>
      <c r="D284" s="2">
        <f>IFERROR(__xludf.DUMMYFUNCTION("""COMPUTED_VALUE"""),577.46)</f>
        <v>577.46</v>
      </c>
      <c r="E284" s="2">
        <f>IFERROR(__xludf.DUMMYFUNCTION("""COMPUTED_VALUE"""),583.95)</f>
        <v>583.95</v>
      </c>
      <c r="F284" s="2">
        <f>IFERROR(__xludf.DUMMYFUNCTION("""COMPUTED_VALUE"""),4325689.0)</f>
        <v>4325689</v>
      </c>
    </row>
    <row r="285">
      <c r="A285" s="3">
        <f>IFERROR(__xludf.DUMMYFUNCTION("""COMPUTED_VALUE"""),45342.66666666667)</f>
        <v>45342.66667</v>
      </c>
      <c r="B285" s="2">
        <f>IFERROR(__xludf.DUMMYFUNCTION("""COMPUTED_VALUE"""),580.18)</f>
        <v>580.18</v>
      </c>
      <c r="C285" s="2">
        <f>IFERROR(__xludf.DUMMYFUNCTION("""COMPUTED_VALUE"""),586.0)</f>
        <v>586</v>
      </c>
      <c r="D285" s="2">
        <f>IFERROR(__xludf.DUMMYFUNCTION("""COMPUTED_VALUE"""),569.66)</f>
        <v>569.66</v>
      </c>
      <c r="E285" s="2">
        <f>IFERROR(__xludf.DUMMYFUNCTION("""COMPUTED_VALUE"""),575.13)</f>
        <v>575.13</v>
      </c>
      <c r="F285" s="2">
        <f>IFERROR(__xludf.DUMMYFUNCTION("""COMPUTED_VALUE"""),3124236.0)</f>
        <v>3124236</v>
      </c>
    </row>
    <row r="286">
      <c r="A286" s="3">
        <f>IFERROR(__xludf.DUMMYFUNCTION("""COMPUTED_VALUE"""),45343.66666666667)</f>
        <v>45343.66667</v>
      </c>
      <c r="B286" s="2">
        <f>IFERROR(__xludf.DUMMYFUNCTION("""COMPUTED_VALUE"""),573.51)</f>
        <v>573.51</v>
      </c>
      <c r="C286" s="2">
        <f>IFERROR(__xludf.DUMMYFUNCTION("""COMPUTED_VALUE"""),575.78)</f>
        <v>575.78</v>
      </c>
      <c r="D286" s="2">
        <f>IFERROR(__xludf.DUMMYFUNCTION("""COMPUTED_VALUE"""),567.32)</f>
        <v>567.32</v>
      </c>
      <c r="E286" s="2">
        <f>IFERROR(__xludf.DUMMYFUNCTION("""COMPUTED_VALUE"""),573.35)</f>
        <v>573.35</v>
      </c>
      <c r="F286" s="2">
        <f>IFERROR(__xludf.DUMMYFUNCTION("""COMPUTED_VALUE"""),2281143.0)</f>
        <v>2281143</v>
      </c>
    </row>
    <row r="287">
      <c r="A287" s="3">
        <f>IFERROR(__xludf.DUMMYFUNCTION("""COMPUTED_VALUE"""),45344.66666666667)</f>
        <v>45344.66667</v>
      </c>
      <c r="B287" s="2">
        <f>IFERROR(__xludf.DUMMYFUNCTION("""COMPUTED_VALUE"""),582.75)</f>
        <v>582.75</v>
      </c>
      <c r="C287" s="2">
        <f>IFERROR(__xludf.DUMMYFUNCTION("""COMPUTED_VALUE"""),590.85)</f>
        <v>590.85</v>
      </c>
      <c r="D287" s="2">
        <f>IFERROR(__xludf.DUMMYFUNCTION("""COMPUTED_VALUE"""),578.89)</f>
        <v>578.89</v>
      </c>
      <c r="E287" s="2">
        <f>IFERROR(__xludf.DUMMYFUNCTION("""COMPUTED_VALUE"""),588.47)</f>
        <v>588.47</v>
      </c>
      <c r="F287" s="2">
        <f>IFERROR(__xludf.DUMMYFUNCTION("""COMPUTED_VALUE"""),3526597.0)</f>
        <v>3526597</v>
      </c>
    </row>
    <row r="288">
      <c r="A288" s="3">
        <f>IFERROR(__xludf.DUMMYFUNCTION("""COMPUTED_VALUE"""),45345.66666666667)</f>
        <v>45345.66667</v>
      </c>
      <c r="B288" s="2">
        <f>IFERROR(__xludf.DUMMYFUNCTION("""COMPUTED_VALUE"""),586.4)</f>
        <v>586.4</v>
      </c>
      <c r="C288" s="2">
        <f>IFERROR(__xludf.DUMMYFUNCTION("""COMPUTED_VALUE"""),592.43)</f>
        <v>592.43</v>
      </c>
      <c r="D288" s="2">
        <f>IFERROR(__xludf.DUMMYFUNCTION("""COMPUTED_VALUE"""),579.82)</f>
        <v>579.82</v>
      </c>
      <c r="E288" s="2">
        <f>IFERROR(__xludf.DUMMYFUNCTION("""COMPUTED_VALUE"""),583.56)</f>
        <v>583.56</v>
      </c>
      <c r="F288" s="2">
        <f>IFERROR(__xludf.DUMMYFUNCTION("""COMPUTED_VALUE"""),2568852.0)</f>
        <v>2568852</v>
      </c>
    </row>
    <row r="289">
      <c r="A289" s="3">
        <f>IFERROR(__xludf.DUMMYFUNCTION("""COMPUTED_VALUE"""),45348.66666666667)</f>
        <v>45348.66667</v>
      </c>
      <c r="B289" s="2">
        <f>IFERROR(__xludf.DUMMYFUNCTION("""COMPUTED_VALUE"""),583.56)</f>
        <v>583.56</v>
      </c>
      <c r="C289" s="2">
        <f>IFERROR(__xludf.DUMMYFUNCTION("""COMPUTED_VALUE"""),590.75)</f>
        <v>590.75</v>
      </c>
      <c r="D289" s="2">
        <f>IFERROR(__xludf.DUMMYFUNCTION("""COMPUTED_VALUE"""),583.27)</f>
        <v>583.27</v>
      </c>
      <c r="E289" s="2">
        <f>IFERROR(__xludf.DUMMYFUNCTION("""COMPUTED_VALUE"""),587.65)</f>
        <v>587.65</v>
      </c>
      <c r="F289" s="2">
        <f>IFERROR(__xludf.DUMMYFUNCTION("""COMPUTED_VALUE"""),2393712.0)</f>
        <v>2393712</v>
      </c>
    </row>
    <row r="290">
      <c r="A290" s="3">
        <f>IFERROR(__xludf.DUMMYFUNCTION("""COMPUTED_VALUE"""),45349.66666666667)</f>
        <v>45349.66667</v>
      </c>
      <c r="B290" s="2">
        <f>IFERROR(__xludf.DUMMYFUNCTION("""COMPUTED_VALUE"""),595.0)</f>
        <v>595</v>
      </c>
      <c r="C290" s="2">
        <f>IFERROR(__xludf.DUMMYFUNCTION("""COMPUTED_VALUE"""),605.36)</f>
        <v>605.36</v>
      </c>
      <c r="D290" s="2">
        <f>IFERROR(__xludf.DUMMYFUNCTION("""COMPUTED_VALUE"""),592.33)</f>
        <v>592.33</v>
      </c>
      <c r="E290" s="2">
        <f>IFERROR(__xludf.DUMMYFUNCTION("""COMPUTED_VALUE"""),601.67)</f>
        <v>601.67</v>
      </c>
      <c r="F290" s="2">
        <f>IFERROR(__xludf.DUMMYFUNCTION("""COMPUTED_VALUE"""),4489355.0)</f>
        <v>4489355</v>
      </c>
    </row>
    <row r="291">
      <c r="A291" s="3">
        <f>IFERROR(__xludf.DUMMYFUNCTION("""COMPUTED_VALUE"""),45350.66666666667)</f>
        <v>45350.66667</v>
      </c>
      <c r="B291" s="2">
        <f>IFERROR(__xludf.DUMMYFUNCTION("""COMPUTED_VALUE"""),595.79)</f>
        <v>595.79</v>
      </c>
      <c r="C291" s="2">
        <f>IFERROR(__xludf.DUMMYFUNCTION("""COMPUTED_VALUE"""),598.17)</f>
        <v>598.17</v>
      </c>
      <c r="D291" s="2">
        <f>IFERROR(__xludf.DUMMYFUNCTION("""COMPUTED_VALUE"""),590.01)</f>
        <v>590.01</v>
      </c>
      <c r="E291" s="2">
        <f>IFERROR(__xludf.DUMMYFUNCTION("""COMPUTED_VALUE"""),596.48)</f>
        <v>596.48</v>
      </c>
      <c r="F291" s="2">
        <f>IFERROR(__xludf.DUMMYFUNCTION("""COMPUTED_VALUE"""),2605242.0)</f>
        <v>2605242</v>
      </c>
    </row>
    <row r="292">
      <c r="A292" s="3">
        <f>IFERROR(__xludf.DUMMYFUNCTION("""COMPUTED_VALUE"""),45351.66666666667)</f>
        <v>45351.66667</v>
      </c>
      <c r="B292" s="2">
        <f>IFERROR(__xludf.DUMMYFUNCTION("""COMPUTED_VALUE"""),604.25)</f>
        <v>604.25</v>
      </c>
      <c r="C292" s="2">
        <f>IFERROR(__xludf.DUMMYFUNCTION("""COMPUTED_VALUE"""),604.52)</f>
        <v>604.52</v>
      </c>
      <c r="D292" s="2">
        <f>IFERROR(__xludf.DUMMYFUNCTION("""COMPUTED_VALUE"""),595.16)</f>
        <v>595.16</v>
      </c>
      <c r="E292" s="2">
        <f>IFERROR(__xludf.DUMMYFUNCTION("""COMPUTED_VALUE"""),602.92)</f>
        <v>602.92</v>
      </c>
      <c r="F292" s="2">
        <f>IFERROR(__xludf.DUMMYFUNCTION("""COMPUTED_VALUE"""),3572082.0)</f>
        <v>3572082</v>
      </c>
    </row>
    <row r="293">
      <c r="A293" s="3">
        <f>IFERROR(__xludf.DUMMYFUNCTION("""COMPUTED_VALUE"""),45352.66666666667)</f>
        <v>45352.66667</v>
      </c>
      <c r="B293" s="2">
        <f>IFERROR(__xludf.DUMMYFUNCTION("""COMPUTED_VALUE"""),599.81)</f>
        <v>599.81</v>
      </c>
      <c r="C293" s="2">
        <f>IFERROR(__xludf.DUMMYFUNCTION("""COMPUTED_VALUE"""),620.28)</f>
        <v>620.28</v>
      </c>
      <c r="D293" s="2">
        <f>IFERROR(__xludf.DUMMYFUNCTION("""COMPUTED_VALUE"""),599.5)</f>
        <v>599.5</v>
      </c>
      <c r="E293" s="2">
        <f>IFERROR(__xludf.DUMMYFUNCTION("""COMPUTED_VALUE"""),619.34)</f>
        <v>619.34</v>
      </c>
      <c r="F293" s="2">
        <f>IFERROR(__xludf.DUMMYFUNCTION("""COMPUTED_VALUE"""),4270305.0)</f>
        <v>4270305</v>
      </c>
    </row>
    <row r="294">
      <c r="A294" s="3">
        <f>IFERROR(__xludf.DUMMYFUNCTION("""COMPUTED_VALUE"""),45355.66666666667)</f>
        <v>45355.66667</v>
      </c>
      <c r="B294" s="2">
        <f>IFERROR(__xludf.DUMMYFUNCTION("""COMPUTED_VALUE"""),621.56)</f>
        <v>621.56</v>
      </c>
      <c r="C294" s="2">
        <f>IFERROR(__xludf.DUMMYFUNCTION("""COMPUTED_VALUE"""),624.42)</f>
        <v>624.42</v>
      </c>
      <c r="D294" s="2">
        <f>IFERROR(__xludf.DUMMYFUNCTION("""COMPUTED_VALUE"""),615.08)</f>
        <v>615.08</v>
      </c>
      <c r="E294" s="2">
        <f>IFERROR(__xludf.DUMMYFUNCTION("""COMPUTED_VALUE"""),615.83)</f>
        <v>615.83</v>
      </c>
      <c r="F294" s="2">
        <f>IFERROR(__xludf.DUMMYFUNCTION("""COMPUTED_VALUE"""),3020306.0)</f>
        <v>3020306</v>
      </c>
    </row>
    <row r="295">
      <c r="A295" s="3">
        <f>IFERROR(__xludf.DUMMYFUNCTION("""COMPUTED_VALUE"""),45356.66666666667)</f>
        <v>45356.66667</v>
      </c>
      <c r="B295" s="2">
        <f>IFERROR(__xludf.DUMMYFUNCTION("""COMPUTED_VALUE"""),610.1)</f>
        <v>610.1</v>
      </c>
      <c r="C295" s="2">
        <f>IFERROR(__xludf.DUMMYFUNCTION("""COMPUTED_VALUE"""),610.91)</f>
        <v>610.91</v>
      </c>
      <c r="D295" s="2">
        <f>IFERROR(__xludf.DUMMYFUNCTION("""COMPUTED_VALUE"""),592.0)</f>
        <v>592</v>
      </c>
      <c r="E295" s="2">
        <f>IFERROR(__xludf.DUMMYFUNCTION("""COMPUTED_VALUE"""),598.5)</f>
        <v>598.5</v>
      </c>
      <c r="F295" s="2">
        <f>IFERROR(__xludf.DUMMYFUNCTION("""COMPUTED_VALUE"""),3849563.0)</f>
        <v>3849563</v>
      </c>
    </row>
    <row r="296">
      <c r="A296" s="3">
        <f>IFERROR(__xludf.DUMMYFUNCTION("""COMPUTED_VALUE"""),45357.66666666667)</f>
        <v>45357.66667</v>
      </c>
      <c r="B296" s="2">
        <f>IFERROR(__xludf.DUMMYFUNCTION("""COMPUTED_VALUE"""),602.99)</f>
        <v>602.99</v>
      </c>
      <c r="C296" s="2">
        <f>IFERROR(__xludf.DUMMYFUNCTION("""COMPUTED_VALUE"""),607.93)</f>
        <v>607.93</v>
      </c>
      <c r="D296" s="2">
        <f>IFERROR(__xludf.DUMMYFUNCTION("""COMPUTED_VALUE"""),593.56)</f>
        <v>593.56</v>
      </c>
      <c r="E296" s="2">
        <f>IFERROR(__xludf.DUMMYFUNCTION("""COMPUTED_VALUE"""),597.69)</f>
        <v>597.69</v>
      </c>
      <c r="F296" s="2">
        <f>IFERROR(__xludf.DUMMYFUNCTION("""COMPUTED_VALUE"""),2469592.0)</f>
        <v>2469592</v>
      </c>
    </row>
    <row r="297">
      <c r="A297" s="3">
        <f>IFERROR(__xludf.DUMMYFUNCTION("""COMPUTED_VALUE"""),45358.66666666667)</f>
        <v>45358.66667</v>
      </c>
      <c r="B297" s="2">
        <f>IFERROR(__xludf.DUMMYFUNCTION("""COMPUTED_VALUE"""),599.34)</f>
        <v>599.34</v>
      </c>
      <c r="C297" s="2">
        <f>IFERROR(__xludf.DUMMYFUNCTION("""COMPUTED_VALUE"""),610.53)</f>
        <v>610.53</v>
      </c>
      <c r="D297" s="2">
        <f>IFERROR(__xludf.DUMMYFUNCTION("""COMPUTED_VALUE"""),595.9)</f>
        <v>595.9</v>
      </c>
      <c r="E297" s="2">
        <f>IFERROR(__xludf.DUMMYFUNCTION("""COMPUTED_VALUE"""),608.51)</f>
        <v>608.51</v>
      </c>
      <c r="F297" s="2">
        <f>IFERROR(__xludf.DUMMYFUNCTION("""COMPUTED_VALUE"""),2742805.0)</f>
        <v>2742805</v>
      </c>
    </row>
    <row r="298">
      <c r="A298" s="3">
        <f>IFERROR(__xludf.DUMMYFUNCTION("""COMPUTED_VALUE"""),45359.66666666667)</f>
        <v>45359.66667</v>
      </c>
      <c r="B298" s="2">
        <f>IFERROR(__xludf.DUMMYFUNCTION("""COMPUTED_VALUE"""),608.27)</f>
        <v>608.27</v>
      </c>
      <c r="C298" s="2">
        <f>IFERROR(__xludf.DUMMYFUNCTION("""COMPUTED_VALUE"""),616.09)</f>
        <v>616.09</v>
      </c>
      <c r="D298" s="2">
        <f>IFERROR(__xludf.DUMMYFUNCTION("""COMPUTED_VALUE"""),600.84)</f>
        <v>600.84</v>
      </c>
      <c r="E298" s="2">
        <f>IFERROR(__xludf.DUMMYFUNCTION("""COMPUTED_VALUE"""),604.82)</f>
        <v>604.82</v>
      </c>
      <c r="F298" s="2">
        <f>IFERROR(__xludf.DUMMYFUNCTION("""COMPUTED_VALUE"""),2777243.0)</f>
        <v>2777243</v>
      </c>
    </row>
    <row r="299">
      <c r="A299" s="3">
        <f>IFERROR(__xludf.DUMMYFUNCTION("""COMPUTED_VALUE"""),45362.66666666667)</f>
        <v>45362.66667</v>
      </c>
      <c r="B299" s="2">
        <f>IFERROR(__xludf.DUMMYFUNCTION("""COMPUTED_VALUE"""),608.08)</f>
        <v>608.08</v>
      </c>
      <c r="C299" s="2">
        <f>IFERROR(__xludf.DUMMYFUNCTION("""COMPUTED_VALUE"""),611.0)</f>
        <v>611</v>
      </c>
      <c r="D299" s="2">
        <f>IFERROR(__xludf.DUMMYFUNCTION("""COMPUTED_VALUE"""),600.37)</f>
        <v>600.37</v>
      </c>
      <c r="E299" s="2">
        <f>IFERROR(__xludf.DUMMYFUNCTION("""COMPUTED_VALUE"""),600.93)</f>
        <v>600.93</v>
      </c>
      <c r="F299" s="2">
        <f>IFERROR(__xludf.DUMMYFUNCTION("""COMPUTED_VALUE"""),2500940.0)</f>
        <v>2500940</v>
      </c>
    </row>
    <row r="300">
      <c r="A300" s="3">
        <f>IFERROR(__xludf.DUMMYFUNCTION("""COMPUTED_VALUE"""),45363.66666666667)</f>
        <v>45363.66667</v>
      </c>
      <c r="B300" s="2">
        <f>IFERROR(__xludf.DUMMYFUNCTION("""COMPUTED_VALUE"""),600.21)</f>
        <v>600.21</v>
      </c>
      <c r="C300" s="2">
        <f>IFERROR(__xludf.DUMMYFUNCTION("""COMPUTED_VALUE"""),615.3)</f>
        <v>615.3</v>
      </c>
      <c r="D300" s="2">
        <f>IFERROR(__xludf.DUMMYFUNCTION("""COMPUTED_VALUE"""),596.27)</f>
        <v>596.27</v>
      </c>
      <c r="E300" s="2">
        <f>IFERROR(__xludf.DUMMYFUNCTION("""COMPUTED_VALUE"""),611.08)</f>
        <v>611.08</v>
      </c>
      <c r="F300" s="2">
        <f>IFERROR(__xludf.DUMMYFUNCTION("""COMPUTED_VALUE"""),2821631.0)</f>
        <v>2821631</v>
      </c>
    </row>
    <row r="301">
      <c r="A301" s="3">
        <f>IFERROR(__xludf.DUMMYFUNCTION("""COMPUTED_VALUE"""),45364.66666666667)</f>
        <v>45364.66667</v>
      </c>
      <c r="B301" s="2">
        <f>IFERROR(__xludf.DUMMYFUNCTION("""COMPUTED_VALUE"""),613.37)</f>
        <v>613.37</v>
      </c>
      <c r="C301" s="2">
        <f>IFERROR(__xludf.DUMMYFUNCTION("""COMPUTED_VALUE"""),614.85)</f>
        <v>614.85</v>
      </c>
      <c r="D301" s="2">
        <f>IFERROR(__xludf.DUMMYFUNCTION("""COMPUTED_VALUE"""),607.21)</f>
        <v>607.21</v>
      </c>
      <c r="E301" s="2">
        <f>IFERROR(__xludf.DUMMYFUNCTION("""COMPUTED_VALUE"""),609.45)</f>
        <v>609.45</v>
      </c>
      <c r="F301" s="2">
        <f>IFERROR(__xludf.DUMMYFUNCTION("""COMPUTED_VALUE"""),2192094.0)</f>
        <v>2192094</v>
      </c>
    </row>
    <row r="302">
      <c r="A302" s="3">
        <f>IFERROR(__xludf.DUMMYFUNCTION("""COMPUTED_VALUE"""),45365.66666666667)</f>
        <v>45365.66667</v>
      </c>
      <c r="B302" s="2">
        <f>IFERROR(__xludf.DUMMYFUNCTION("""COMPUTED_VALUE"""),615.0)</f>
        <v>615</v>
      </c>
      <c r="C302" s="2">
        <f>IFERROR(__xludf.DUMMYFUNCTION("""COMPUTED_VALUE"""),620.8)</f>
        <v>620.8</v>
      </c>
      <c r="D302" s="2">
        <f>IFERROR(__xludf.DUMMYFUNCTION("""COMPUTED_VALUE"""),607.35)</f>
        <v>607.35</v>
      </c>
      <c r="E302" s="2">
        <f>IFERROR(__xludf.DUMMYFUNCTION("""COMPUTED_VALUE"""),613.01)</f>
        <v>613.01</v>
      </c>
      <c r="F302" s="2">
        <f>IFERROR(__xludf.DUMMYFUNCTION("""COMPUTED_VALUE"""),3120452.0)</f>
        <v>3120452</v>
      </c>
    </row>
    <row r="303">
      <c r="A303" s="3">
        <f>IFERROR(__xludf.DUMMYFUNCTION("""COMPUTED_VALUE"""),45366.66666666667)</f>
        <v>45366.66667</v>
      </c>
      <c r="B303" s="2">
        <f>IFERROR(__xludf.DUMMYFUNCTION("""COMPUTED_VALUE"""),622.92)</f>
        <v>622.92</v>
      </c>
      <c r="C303" s="2">
        <f>IFERROR(__xludf.DUMMYFUNCTION("""COMPUTED_VALUE"""),622.92)</f>
        <v>622.92</v>
      </c>
      <c r="D303" s="2">
        <f>IFERROR(__xludf.DUMMYFUNCTION("""COMPUTED_VALUE"""),603.82)</f>
        <v>603.82</v>
      </c>
      <c r="E303" s="2">
        <f>IFERROR(__xludf.DUMMYFUNCTION("""COMPUTED_VALUE"""),605.88)</f>
        <v>605.88</v>
      </c>
      <c r="F303" s="2">
        <f>IFERROR(__xludf.DUMMYFUNCTION("""COMPUTED_VALUE"""),6671629.0)</f>
        <v>6671629</v>
      </c>
    </row>
    <row r="304">
      <c r="A304" s="3">
        <f>IFERROR(__xludf.DUMMYFUNCTION("""COMPUTED_VALUE"""),45369.66666666667)</f>
        <v>45369.66667</v>
      </c>
      <c r="B304" s="2">
        <f>IFERROR(__xludf.DUMMYFUNCTION("""COMPUTED_VALUE"""),613.56)</f>
        <v>613.56</v>
      </c>
      <c r="C304" s="2">
        <f>IFERROR(__xludf.DUMMYFUNCTION("""COMPUTED_VALUE"""),627.41)</f>
        <v>627.41</v>
      </c>
      <c r="D304" s="2">
        <f>IFERROR(__xludf.DUMMYFUNCTION("""COMPUTED_VALUE"""),610.45)</f>
        <v>610.45</v>
      </c>
      <c r="E304" s="2">
        <f>IFERROR(__xludf.DUMMYFUNCTION("""COMPUTED_VALUE"""),618.39)</f>
        <v>618.39</v>
      </c>
      <c r="F304" s="2">
        <f>IFERROR(__xludf.DUMMYFUNCTION("""COMPUTED_VALUE"""),3344244.0)</f>
        <v>3344244</v>
      </c>
    </row>
    <row r="305">
      <c r="A305" s="3">
        <f>IFERROR(__xludf.DUMMYFUNCTION("""COMPUTED_VALUE"""),45370.66666666667)</f>
        <v>45370.66667</v>
      </c>
      <c r="B305" s="2">
        <f>IFERROR(__xludf.DUMMYFUNCTION("""COMPUTED_VALUE"""),615.62)</f>
        <v>615.62</v>
      </c>
      <c r="C305" s="2">
        <f>IFERROR(__xludf.DUMMYFUNCTION("""COMPUTED_VALUE"""),621.28)</f>
        <v>621.28</v>
      </c>
      <c r="D305" s="2">
        <f>IFERROR(__xludf.DUMMYFUNCTION("""COMPUTED_VALUE"""),608.0)</f>
        <v>608</v>
      </c>
      <c r="E305" s="2">
        <f>IFERROR(__xludf.DUMMYFUNCTION("""COMPUTED_VALUE"""),620.74)</f>
        <v>620.74</v>
      </c>
      <c r="F305" s="2">
        <f>IFERROR(__xludf.DUMMYFUNCTION("""COMPUTED_VALUE"""),2142613.0)</f>
        <v>2142613</v>
      </c>
    </row>
    <row r="306">
      <c r="A306" s="3">
        <f>IFERROR(__xludf.DUMMYFUNCTION("""COMPUTED_VALUE"""),45371.66666666667)</f>
        <v>45371.66667</v>
      </c>
      <c r="B306" s="2">
        <f>IFERROR(__xludf.DUMMYFUNCTION("""COMPUTED_VALUE"""),619.95)</f>
        <v>619.95</v>
      </c>
      <c r="C306" s="2">
        <f>IFERROR(__xludf.DUMMYFUNCTION("""COMPUTED_VALUE"""),629.51)</f>
        <v>629.51</v>
      </c>
      <c r="D306" s="2">
        <f>IFERROR(__xludf.DUMMYFUNCTION("""COMPUTED_VALUE"""),618.34)</f>
        <v>618.34</v>
      </c>
      <c r="E306" s="2">
        <f>IFERROR(__xludf.DUMMYFUNCTION("""COMPUTED_VALUE"""),627.69)</f>
        <v>627.69</v>
      </c>
      <c r="F306" s="2">
        <f>IFERROR(__xludf.DUMMYFUNCTION("""COMPUTED_VALUE"""),2639509.0)</f>
        <v>2639509</v>
      </c>
    </row>
    <row r="307">
      <c r="A307" s="3">
        <f>IFERROR(__xludf.DUMMYFUNCTION("""COMPUTED_VALUE"""),45372.66666666667)</f>
        <v>45372.66667</v>
      </c>
      <c r="B307" s="2">
        <f>IFERROR(__xludf.DUMMYFUNCTION("""COMPUTED_VALUE"""),630.65)</f>
        <v>630.65</v>
      </c>
      <c r="C307" s="2">
        <f>IFERROR(__xludf.DUMMYFUNCTION("""COMPUTED_VALUE"""),634.36)</f>
        <v>634.36</v>
      </c>
      <c r="D307" s="2">
        <f>IFERROR(__xludf.DUMMYFUNCTION("""COMPUTED_VALUE"""),622.33)</f>
        <v>622.33</v>
      </c>
      <c r="E307" s="2">
        <f>IFERROR(__xludf.DUMMYFUNCTION("""COMPUTED_VALUE"""),622.71)</f>
        <v>622.71</v>
      </c>
      <c r="F307" s="2">
        <f>IFERROR(__xludf.DUMMYFUNCTION("""COMPUTED_VALUE"""),2507671.0)</f>
        <v>2507671</v>
      </c>
    </row>
    <row r="308">
      <c r="A308" s="3">
        <f>IFERROR(__xludf.DUMMYFUNCTION("""COMPUTED_VALUE"""),45373.66666666667)</f>
        <v>45373.66667</v>
      </c>
      <c r="B308" s="2">
        <f>IFERROR(__xludf.DUMMYFUNCTION("""COMPUTED_VALUE"""),624.16)</f>
        <v>624.16</v>
      </c>
      <c r="C308" s="2">
        <f>IFERROR(__xludf.DUMMYFUNCTION("""COMPUTED_VALUE"""),629.05)</f>
        <v>629.05</v>
      </c>
      <c r="D308" s="2">
        <f>IFERROR(__xludf.DUMMYFUNCTION("""COMPUTED_VALUE"""),621.0)</f>
        <v>621</v>
      </c>
      <c r="E308" s="2">
        <f>IFERROR(__xludf.DUMMYFUNCTION("""COMPUTED_VALUE"""),628.01)</f>
        <v>628.01</v>
      </c>
      <c r="F308" s="2">
        <f>IFERROR(__xludf.DUMMYFUNCTION("""COMPUTED_VALUE"""),2135688.0)</f>
        <v>2135688</v>
      </c>
    </row>
    <row r="309">
      <c r="A309" s="3">
        <f>IFERROR(__xludf.DUMMYFUNCTION("""COMPUTED_VALUE"""),45376.66666666667)</f>
        <v>45376.66667</v>
      </c>
      <c r="B309" s="2">
        <f>IFERROR(__xludf.DUMMYFUNCTION("""COMPUTED_VALUE"""),627.9)</f>
        <v>627.9</v>
      </c>
      <c r="C309" s="2">
        <f>IFERROR(__xludf.DUMMYFUNCTION("""COMPUTED_VALUE"""),630.46)</f>
        <v>630.46</v>
      </c>
      <c r="D309" s="2">
        <f>IFERROR(__xludf.DUMMYFUNCTION("""COMPUTED_VALUE"""),623.16)</f>
        <v>623.16</v>
      </c>
      <c r="E309" s="2">
        <f>IFERROR(__xludf.DUMMYFUNCTION("""COMPUTED_VALUE"""),627.46)</f>
        <v>627.46</v>
      </c>
      <c r="F309" s="2">
        <f>IFERROR(__xludf.DUMMYFUNCTION("""COMPUTED_VALUE"""),1803264.0)</f>
        <v>1803264</v>
      </c>
    </row>
    <row r="310">
      <c r="A310" s="3">
        <f>IFERROR(__xludf.DUMMYFUNCTION("""COMPUTED_VALUE"""),45377.66666666667)</f>
        <v>45377.66667</v>
      </c>
      <c r="B310" s="2">
        <f>IFERROR(__xludf.DUMMYFUNCTION("""COMPUTED_VALUE"""),625.2)</f>
        <v>625.2</v>
      </c>
      <c r="C310" s="2">
        <f>IFERROR(__xludf.DUMMYFUNCTION("""COMPUTED_VALUE"""),634.39)</f>
        <v>634.39</v>
      </c>
      <c r="D310" s="2">
        <f>IFERROR(__xludf.DUMMYFUNCTION("""COMPUTED_VALUE"""),619.18)</f>
        <v>619.18</v>
      </c>
      <c r="E310" s="2">
        <f>IFERROR(__xludf.DUMMYFUNCTION("""COMPUTED_VALUE"""),629.24)</f>
        <v>629.24</v>
      </c>
      <c r="F310" s="2">
        <f>IFERROR(__xludf.DUMMYFUNCTION("""COMPUTED_VALUE"""),2804453.0)</f>
        <v>2804453</v>
      </c>
    </row>
    <row r="311">
      <c r="A311" s="3">
        <f>IFERROR(__xludf.DUMMYFUNCTION("""COMPUTED_VALUE"""),45378.66666666667)</f>
        <v>45378.66667</v>
      </c>
      <c r="B311" s="2">
        <f>IFERROR(__xludf.DUMMYFUNCTION("""COMPUTED_VALUE"""),629.01)</f>
        <v>629.01</v>
      </c>
      <c r="C311" s="2">
        <f>IFERROR(__xludf.DUMMYFUNCTION("""COMPUTED_VALUE"""),631.35)</f>
        <v>631.35</v>
      </c>
      <c r="D311" s="2">
        <f>IFERROR(__xludf.DUMMYFUNCTION("""COMPUTED_VALUE"""),610.73)</f>
        <v>610.73</v>
      </c>
      <c r="E311" s="2">
        <f>IFERROR(__xludf.DUMMYFUNCTION("""COMPUTED_VALUE"""),613.53)</f>
        <v>613.53</v>
      </c>
      <c r="F311" s="2">
        <f>IFERROR(__xludf.DUMMYFUNCTION("""COMPUTED_VALUE"""),2628267.0)</f>
        <v>2628267</v>
      </c>
    </row>
    <row r="312">
      <c r="A312" s="3">
        <f>IFERROR(__xludf.DUMMYFUNCTION("""COMPUTED_VALUE"""),45379.66666666667)</f>
        <v>45379.66667</v>
      </c>
      <c r="B312" s="2">
        <f>IFERROR(__xludf.DUMMYFUNCTION("""COMPUTED_VALUE"""),614.99)</f>
        <v>614.99</v>
      </c>
      <c r="C312" s="2">
        <f>IFERROR(__xludf.DUMMYFUNCTION("""COMPUTED_VALUE"""),615.0)</f>
        <v>615</v>
      </c>
      <c r="D312" s="2">
        <f>IFERROR(__xludf.DUMMYFUNCTION("""COMPUTED_VALUE"""),601.59)</f>
        <v>601.59</v>
      </c>
      <c r="E312" s="2">
        <f>IFERROR(__xludf.DUMMYFUNCTION("""COMPUTED_VALUE"""),607.33)</f>
        <v>607.33</v>
      </c>
      <c r="F312" s="2">
        <f>IFERROR(__xludf.DUMMYFUNCTION("""COMPUTED_VALUE"""),3708803.0)</f>
        <v>3708803</v>
      </c>
    </row>
    <row r="313">
      <c r="A313" s="3">
        <f>IFERROR(__xludf.DUMMYFUNCTION("""COMPUTED_VALUE"""),45383.66666666667)</f>
        <v>45383.66667</v>
      </c>
      <c r="B313" s="2">
        <f>IFERROR(__xludf.DUMMYFUNCTION("""COMPUTED_VALUE"""),608.0)</f>
        <v>608</v>
      </c>
      <c r="C313" s="2">
        <f>IFERROR(__xludf.DUMMYFUNCTION("""COMPUTED_VALUE"""),615.11)</f>
        <v>615.11</v>
      </c>
      <c r="D313" s="2">
        <f>IFERROR(__xludf.DUMMYFUNCTION("""COMPUTED_VALUE"""),605.57)</f>
        <v>605.57</v>
      </c>
      <c r="E313" s="2">
        <f>IFERROR(__xludf.DUMMYFUNCTION("""COMPUTED_VALUE"""),614.31)</f>
        <v>614.31</v>
      </c>
      <c r="F313" s="2">
        <f>IFERROR(__xludf.DUMMYFUNCTION("""COMPUTED_VALUE"""),2115925.0)</f>
        <v>2115925</v>
      </c>
    </row>
    <row r="314">
      <c r="A314" s="3">
        <f>IFERROR(__xludf.DUMMYFUNCTION("""COMPUTED_VALUE"""),45384.66666666667)</f>
        <v>45384.66667</v>
      </c>
      <c r="B314" s="2">
        <f>IFERROR(__xludf.DUMMYFUNCTION("""COMPUTED_VALUE"""),611.0)</f>
        <v>611</v>
      </c>
      <c r="C314" s="2">
        <f>IFERROR(__xludf.DUMMYFUNCTION("""COMPUTED_VALUE"""),615.03)</f>
        <v>615.03</v>
      </c>
      <c r="D314" s="2">
        <f>IFERROR(__xludf.DUMMYFUNCTION("""COMPUTED_VALUE"""),605.51)</f>
        <v>605.51</v>
      </c>
      <c r="E314" s="2">
        <f>IFERROR(__xludf.DUMMYFUNCTION("""COMPUTED_VALUE"""),614.21)</f>
        <v>614.21</v>
      </c>
      <c r="F314" s="2">
        <f>IFERROR(__xludf.DUMMYFUNCTION("""COMPUTED_VALUE"""),2029217.0)</f>
        <v>2029217</v>
      </c>
    </row>
    <row r="315">
      <c r="A315" s="3">
        <f>IFERROR(__xludf.DUMMYFUNCTION("""COMPUTED_VALUE"""),45385.66666666667)</f>
        <v>45385.66667</v>
      </c>
      <c r="B315" s="2">
        <f>IFERROR(__xludf.DUMMYFUNCTION("""COMPUTED_VALUE"""),612.75)</f>
        <v>612.75</v>
      </c>
      <c r="C315" s="2">
        <f>IFERROR(__xludf.DUMMYFUNCTION("""COMPUTED_VALUE"""),630.41)</f>
        <v>630.41</v>
      </c>
      <c r="D315" s="2">
        <f>IFERROR(__xludf.DUMMYFUNCTION("""COMPUTED_VALUE"""),611.5)</f>
        <v>611.5</v>
      </c>
      <c r="E315" s="2">
        <f>IFERROR(__xludf.DUMMYFUNCTION("""COMPUTED_VALUE"""),630.08)</f>
        <v>630.08</v>
      </c>
      <c r="F315" s="2">
        <f>IFERROR(__xludf.DUMMYFUNCTION("""COMPUTED_VALUE"""),2931231.0)</f>
        <v>2931231</v>
      </c>
    </row>
    <row r="316">
      <c r="A316" s="3">
        <f>IFERROR(__xludf.DUMMYFUNCTION("""COMPUTED_VALUE"""),45386.66666666667)</f>
        <v>45386.66667</v>
      </c>
      <c r="B316" s="2">
        <f>IFERROR(__xludf.DUMMYFUNCTION("""COMPUTED_VALUE"""),633.21)</f>
        <v>633.21</v>
      </c>
      <c r="C316" s="2">
        <f>IFERROR(__xludf.DUMMYFUNCTION("""COMPUTED_VALUE"""),638.0)</f>
        <v>638</v>
      </c>
      <c r="D316" s="2">
        <f>IFERROR(__xludf.DUMMYFUNCTION("""COMPUTED_VALUE"""),616.58)</f>
        <v>616.58</v>
      </c>
      <c r="E316" s="2">
        <f>IFERROR(__xludf.DUMMYFUNCTION("""COMPUTED_VALUE"""),617.14)</f>
        <v>617.14</v>
      </c>
      <c r="F316" s="2">
        <f>IFERROR(__xludf.DUMMYFUNCTION("""COMPUTED_VALUE"""),3064349.0)</f>
        <v>3064349</v>
      </c>
    </row>
    <row r="317">
      <c r="A317" s="3">
        <f>IFERROR(__xludf.DUMMYFUNCTION("""COMPUTED_VALUE"""),45387.66666666667)</f>
        <v>45387.66667</v>
      </c>
      <c r="B317" s="2">
        <f>IFERROR(__xludf.DUMMYFUNCTION("""COMPUTED_VALUE"""),624.92)</f>
        <v>624.92</v>
      </c>
      <c r="C317" s="2">
        <f>IFERROR(__xludf.DUMMYFUNCTION("""COMPUTED_VALUE"""),637.91)</f>
        <v>637.91</v>
      </c>
      <c r="D317" s="2">
        <f>IFERROR(__xludf.DUMMYFUNCTION("""COMPUTED_VALUE"""),622.71)</f>
        <v>622.71</v>
      </c>
      <c r="E317" s="2">
        <f>IFERROR(__xludf.DUMMYFUNCTION("""COMPUTED_VALUE"""),636.18)</f>
        <v>636.18</v>
      </c>
      <c r="F317" s="2">
        <f>IFERROR(__xludf.DUMMYFUNCTION("""COMPUTED_VALUE"""),3378842.0)</f>
        <v>3378842</v>
      </c>
    </row>
    <row r="318">
      <c r="A318" s="3">
        <f>IFERROR(__xludf.DUMMYFUNCTION("""COMPUTED_VALUE"""),45390.66666666667)</f>
        <v>45390.66667</v>
      </c>
      <c r="B318" s="2">
        <f>IFERROR(__xludf.DUMMYFUNCTION("""COMPUTED_VALUE"""),636.39)</f>
        <v>636.39</v>
      </c>
      <c r="C318" s="2">
        <f>IFERROR(__xludf.DUMMYFUNCTION("""COMPUTED_VALUE"""),639.0)</f>
        <v>639</v>
      </c>
      <c r="D318" s="2">
        <f>IFERROR(__xludf.DUMMYFUNCTION("""COMPUTED_VALUE"""),628.11)</f>
        <v>628.11</v>
      </c>
      <c r="E318" s="2">
        <f>IFERROR(__xludf.DUMMYFUNCTION("""COMPUTED_VALUE"""),628.41)</f>
        <v>628.41</v>
      </c>
      <c r="F318" s="2">
        <f>IFERROR(__xludf.DUMMYFUNCTION("""COMPUTED_VALUE"""),2145731.0)</f>
        <v>2145731</v>
      </c>
    </row>
    <row r="319">
      <c r="A319" s="3">
        <f>IFERROR(__xludf.DUMMYFUNCTION("""COMPUTED_VALUE"""),45391.66666666667)</f>
        <v>45391.66667</v>
      </c>
      <c r="B319" s="2">
        <f>IFERROR(__xludf.DUMMYFUNCTION("""COMPUTED_VALUE"""),631.99)</f>
        <v>631.99</v>
      </c>
      <c r="C319" s="2">
        <f>IFERROR(__xludf.DUMMYFUNCTION("""COMPUTED_VALUE"""),631.99)</f>
        <v>631.99</v>
      </c>
      <c r="D319" s="2">
        <f>IFERROR(__xludf.DUMMYFUNCTION("""COMPUTED_VALUE"""),615.63)</f>
        <v>615.63</v>
      </c>
      <c r="E319" s="2">
        <f>IFERROR(__xludf.DUMMYFUNCTION("""COMPUTED_VALUE"""),618.2)</f>
        <v>618.2</v>
      </c>
      <c r="F319" s="2">
        <f>IFERROR(__xludf.DUMMYFUNCTION("""COMPUTED_VALUE"""),2146635.0)</f>
        <v>2146635</v>
      </c>
    </row>
    <row r="320">
      <c r="A320" s="3">
        <f>IFERROR(__xludf.DUMMYFUNCTION("""COMPUTED_VALUE"""),45392.66666666667)</f>
        <v>45392.66667</v>
      </c>
      <c r="B320" s="2">
        <f>IFERROR(__xludf.DUMMYFUNCTION("""COMPUTED_VALUE"""),610.97)</f>
        <v>610.97</v>
      </c>
      <c r="C320" s="2">
        <f>IFERROR(__xludf.DUMMYFUNCTION("""COMPUTED_VALUE"""),620.14)</f>
        <v>620.14</v>
      </c>
      <c r="D320" s="2">
        <f>IFERROR(__xludf.DUMMYFUNCTION("""COMPUTED_VALUE"""),609.34)</f>
        <v>609.34</v>
      </c>
      <c r="E320" s="2">
        <f>IFERROR(__xludf.DUMMYFUNCTION("""COMPUTED_VALUE"""),618.58)</f>
        <v>618.58</v>
      </c>
      <c r="F320" s="2">
        <f>IFERROR(__xludf.DUMMYFUNCTION("""COMPUTED_VALUE"""),2806248.0)</f>
        <v>2806248</v>
      </c>
    </row>
    <row r="321">
      <c r="A321" s="3">
        <f>IFERROR(__xludf.DUMMYFUNCTION("""COMPUTED_VALUE"""),45393.66666666667)</f>
        <v>45393.66667</v>
      </c>
      <c r="B321" s="2">
        <f>IFERROR(__xludf.DUMMYFUNCTION("""COMPUTED_VALUE"""),624.42)</f>
        <v>624.42</v>
      </c>
      <c r="C321" s="2">
        <f>IFERROR(__xludf.DUMMYFUNCTION("""COMPUTED_VALUE"""),631.66)</f>
        <v>631.66</v>
      </c>
      <c r="D321" s="2">
        <f>IFERROR(__xludf.DUMMYFUNCTION("""COMPUTED_VALUE"""),617.24)</f>
        <v>617.24</v>
      </c>
      <c r="E321" s="2">
        <f>IFERROR(__xludf.DUMMYFUNCTION("""COMPUTED_VALUE"""),628.78)</f>
        <v>628.78</v>
      </c>
      <c r="F321" s="2">
        <f>IFERROR(__xludf.DUMMYFUNCTION("""COMPUTED_VALUE"""),2662662.0)</f>
        <v>2662662</v>
      </c>
    </row>
    <row r="322">
      <c r="A322" s="3">
        <f>IFERROR(__xludf.DUMMYFUNCTION("""COMPUTED_VALUE"""),45394.66666666667)</f>
        <v>45394.66667</v>
      </c>
      <c r="B322" s="2">
        <f>IFERROR(__xludf.DUMMYFUNCTION("""COMPUTED_VALUE"""),628.23)</f>
        <v>628.23</v>
      </c>
      <c r="C322" s="2">
        <f>IFERROR(__xludf.DUMMYFUNCTION("""COMPUTED_VALUE"""),633.12)</f>
        <v>633.12</v>
      </c>
      <c r="D322" s="2">
        <f>IFERROR(__xludf.DUMMYFUNCTION("""COMPUTED_VALUE"""),618.92)</f>
        <v>618.92</v>
      </c>
      <c r="E322" s="2">
        <f>IFERROR(__xludf.DUMMYFUNCTION("""COMPUTED_VALUE"""),622.83)</f>
        <v>622.83</v>
      </c>
      <c r="F322" s="2">
        <f>IFERROR(__xludf.DUMMYFUNCTION("""COMPUTED_VALUE"""),2959269.0)</f>
        <v>2959269</v>
      </c>
    </row>
    <row r="323">
      <c r="A323" s="3">
        <f>IFERROR(__xludf.DUMMYFUNCTION("""COMPUTED_VALUE"""),45397.66666666667)</f>
        <v>45397.66667</v>
      </c>
      <c r="B323" s="2">
        <f>IFERROR(__xludf.DUMMYFUNCTION("""COMPUTED_VALUE"""),630.17)</f>
        <v>630.17</v>
      </c>
      <c r="C323" s="2">
        <f>IFERROR(__xludf.DUMMYFUNCTION("""COMPUTED_VALUE"""),630.17)</f>
        <v>630.17</v>
      </c>
      <c r="D323" s="2">
        <f>IFERROR(__xludf.DUMMYFUNCTION("""COMPUTED_VALUE"""),603.87)</f>
        <v>603.87</v>
      </c>
      <c r="E323" s="2">
        <f>IFERROR(__xludf.DUMMYFUNCTION("""COMPUTED_VALUE"""),607.15)</f>
        <v>607.15</v>
      </c>
      <c r="F323" s="2">
        <f>IFERROR(__xludf.DUMMYFUNCTION("""COMPUTED_VALUE"""),3085394.0)</f>
        <v>3085394</v>
      </c>
    </row>
    <row r="324">
      <c r="A324" s="3">
        <f>IFERROR(__xludf.DUMMYFUNCTION("""COMPUTED_VALUE"""),45398.66666666667)</f>
        <v>45398.66667</v>
      </c>
      <c r="B324" s="2">
        <f>IFERROR(__xludf.DUMMYFUNCTION("""COMPUTED_VALUE"""),607.5)</f>
        <v>607.5</v>
      </c>
      <c r="C324" s="2">
        <f>IFERROR(__xludf.DUMMYFUNCTION("""COMPUTED_VALUE"""),622.45)</f>
        <v>622.45</v>
      </c>
      <c r="D324" s="2">
        <f>IFERROR(__xludf.DUMMYFUNCTION("""COMPUTED_VALUE"""),607.5)</f>
        <v>607.5</v>
      </c>
      <c r="E324" s="2">
        <f>IFERROR(__xludf.DUMMYFUNCTION("""COMPUTED_VALUE"""),617.52)</f>
        <v>617.52</v>
      </c>
      <c r="F324" s="2">
        <f>IFERROR(__xludf.DUMMYFUNCTION("""COMPUTED_VALUE"""),3519122.0)</f>
        <v>3519122</v>
      </c>
    </row>
    <row r="325">
      <c r="A325" s="3">
        <f>IFERROR(__xludf.DUMMYFUNCTION("""COMPUTED_VALUE"""),45399.66666666667)</f>
        <v>45399.66667</v>
      </c>
      <c r="B325" s="2">
        <f>IFERROR(__xludf.DUMMYFUNCTION("""COMPUTED_VALUE"""),620.97)</f>
        <v>620.97</v>
      </c>
      <c r="C325" s="2">
        <f>IFERROR(__xludf.DUMMYFUNCTION("""COMPUTED_VALUE"""),620.97)</f>
        <v>620.97</v>
      </c>
      <c r="D325" s="2">
        <f>IFERROR(__xludf.DUMMYFUNCTION("""COMPUTED_VALUE"""),607.71)</f>
        <v>607.71</v>
      </c>
      <c r="E325" s="2">
        <f>IFERROR(__xludf.DUMMYFUNCTION("""COMPUTED_VALUE"""),613.69)</f>
        <v>613.69</v>
      </c>
      <c r="F325" s="2">
        <f>IFERROR(__xludf.DUMMYFUNCTION("""COMPUTED_VALUE"""),3312222.0)</f>
        <v>3312222</v>
      </c>
    </row>
    <row r="326">
      <c r="A326" s="3">
        <f>IFERROR(__xludf.DUMMYFUNCTION("""COMPUTED_VALUE"""),45400.66666666667)</f>
        <v>45400.66667</v>
      </c>
      <c r="B326" s="2">
        <f>IFERROR(__xludf.DUMMYFUNCTION("""COMPUTED_VALUE"""),612.1)</f>
        <v>612.1</v>
      </c>
      <c r="C326" s="2">
        <f>IFERROR(__xludf.DUMMYFUNCTION("""COMPUTED_VALUE"""),621.33)</f>
        <v>621.33</v>
      </c>
      <c r="D326" s="2">
        <f>IFERROR(__xludf.DUMMYFUNCTION("""COMPUTED_VALUE"""),605.43)</f>
        <v>605.43</v>
      </c>
      <c r="E326" s="2">
        <f>IFERROR(__xludf.DUMMYFUNCTION("""COMPUTED_VALUE"""),610.56)</f>
        <v>610.56</v>
      </c>
      <c r="F326" s="2">
        <f>IFERROR(__xludf.DUMMYFUNCTION("""COMPUTED_VALUE"""),8468407.0)</f>
        <v>8468407</v>
      </c>
    </row>
    <row r="327">
      <c r="A327" s="3">
        <f>IFERROR(__xludf.DUMMYFUNCTION("""COMPUTED_VALUE"""),45401.66666666667)</f>
        <v>45401.66667</v>
      </c>
      <c r="B327" s="2">
        <f>IFERROR(__xludf.DUMMYFUNCTION("""COMPUTED_VALUE"""),567.88)</f>
        <v>567.88</v>
      </c>
      <c r="C327" s="2">
        <f>IFERROR(__xludf.DUMMYFUNCTION("""COMPUTED_VALUE"""),579.0)</f>
        <v>579</v>
      </c>
      <c r="D327" s="2">
        <f>IFERROR(__xludf.DUMMYFUNCTION("""COMPUTED_VALUE"""),552.16)</f>
        <v>552.16</v>
      </c>
      <c r="E327" s="2">
        <f>IFERROR(__xludf.DUMMYFUNCTION("""COMPUTED_VALUE"""),555.04)</f>
        <v>555.04</v>
      </c>
      <c r="F327" s="2">
        <f>IFERROR(__xludf.DUMMYFUNCTION("""COMPUTED_VALUE"""),1.6449699E7)</f>
        <v>16449699</v>
      </c>
    </row>
    <row r="328">
      <c r="A328" s="3">
        <f>IFERROR(__xludf.DUMMYFUNCTION("""COMPUTED_VALUE"""),45404.66666666667)</f>
        <v>45404.66667</v>
      </c>
      <c r="B328" s="2">
        <f>IFERROR(__xludf.DUMMYFUNCTION("""COMPUTED_VALUE"""),550.66)</f>
        <v>550.66</v>
      </c>
      <c r="C328" s="2">
        <f>IFERROR(__xludf.DUMMYFUNCTION("""COMPUTED_VALUE"""),558.61)</f>
        <v>558.61</v>
      </c>
      <c r="D328" s="2">
        <f>IFERROR(__xludf.DUMMYFUNCTION("""COMPUTED_VALUE"""),542.01)</f>
        <v>542.01</v>
      </c>
      <c r="E328" s="2">
        <f>IFERROR(__xludf.DUMMYFUNCTION("""COMPUTED_VALUE"""),554.6)</f>
        <v>554.6</v>
      </c>
      <c r="F328" s="2">
        <f>IFERROR(__xludf.DUMMYFUNCTION("""COMPUTED_VALUE"""),8597651.0)</f>
        <v>8597651</v>
      </c>
    </row>
    <row r="329">
      <c r="A329" s="3">
        <f>IFERROR(__xludf.DUMMYFUNCTION("""COMPUTED_VALUE"""),45405.66666666667)</f>
        <v>45405.66667</v>
      </c>
      <c r="B329" s="2">
        <f>IFERROR(__xludf.DUMMYFUNCTION("""COMPUTED_VALUE"""),556.49)</f>
        <v>556.49</v>
      </c>
      <c r="C329" s="2">
        <f>IFERROR(__xludf.DUMMYFUNCTION("""COMPUTED_VALUE"""),579.21)</f>
        <v>579.21</v>
      </c>
      <c r="D329" s="2">
        <f>IFERROR(__xludf.DUMMYFUNCTION("""COMPUTED_VALUE"""),555.28)</f>
        <v>555.28</v>
      </c>
      <c r="E329" s="2">
        <f>IFERROR(__xludf.DUMMYFUNCTION("""COMPUTED_VALUE"""),577.75)</f>
        <v>577.75</v>
      </c>
      <c r="F329" s="2">
        <f>IFERROR(__xludf.DUMMYFUNCTION("""COMPUTED_VALUE"""),4975520.0)</f>
        <v>4975520</v>
      </c>
    </row>
    <row r="330">
      <c r="A330" s="3">
        <f>IFERROR(__xludf.DUMMYFUNCTION("""COMPUTED_VALUE"""),45406.66666666667)</f>
        <v>45406.66667</v>
      </c>
      <c r="B330" s="2">
        <f>IFERROR(__xludf.DUMMYFUNCTION("""COMPUTED_VALUE"""),574.31)</f>
        <v>574.31</v>
      </c>
      <c r="C330" s="2">
        <f>IFERROR(__xludf.DUMMYFUNCTION("""COMPUTED_VALUE"""),576.91)</f>
        <v>576.91</v>
      </c>
      <c r="D330" s="2">
        <f>IFERROR(__xludf.DUMMYFUNCTION("""COMPUTED_VALUE"""),551.3)</f>
        <v>551.3</v>
      </c>
      <c r="E330" s="2">
        <f>IFERROR(__xludf.DUMMYFUNCTION("""COMPUTED_VALUE"""),555.12)</f>
        <v>555.12</v>
      </c>
      <c r="F330" s="2">
        <f>IFERROR(__xludf.DUMMYFUNCTION("""COMPUTED_VALUE"""),5355312.0)</f>
        <v>5355312</v>
      </c>
    </row>
    <row r="331">
      <c r="A331" s="3">
        <f>IFERROR(__xludf.DUMMYFUNCTION("""COMPUTED_VALUE"""),45407.66666666667)</f>
        <v>45407.66667</v>
      </c>
      <c r="B331" s="2">
        <f>IFERROR(__xludf.DUMMYFUNCTION("""COMPUTED_VALUE"""),549.46)</f>
        <v>549.46</v>
      </c>
      <c r="C331" s="2">
        <f>IFERROR(__xludf.DUMMYFUNCTION("""COMPUTED_VALUE"""),566.54)</f>
        <v>566.54</v>
      </c>
      <c r="D331" s="2">
        <f>IFERROR(__xludf.DUMMYFUNCTION("""COMPUTED_VALUE"""),545.71)</f>
        <v>545.71</v>
      </c>
      <c r="E331" s="2">
        <f>IFERROR(__xludf.DUMMYFUNCTION("""COMPUTED_VALUE"""),564.8)</f>
        <v>564.8</v>
      </c>
      <c r="F331" s="2">
        <f>IFERROR(__xludf.DUMMYFUNCTION("""COMPUTED_VALUE"""),3807101.0)</f>
        <v>3807101</v>
      </c>
    </row>
    <row r="332">
      <c r="A332" s="3">
        <f>IFERROR(__xludf.DUMMYFUNCTION("""COMPUTED_VALUE"""),45408.66666666667)</f>
        <v>45408.66667</v>
      </c>
      <c r="B332" s="2">
        <f>IFERROR(__xludf.DUMMYFUNCTION("""COMPUTED_VALUE"""),558.21)</f>
        <v>558.21</v>
      </c>
      <c r="C332" s="2">
        <f>IFERROR(__xludf.DUMMYFUNCTION("""COMPUTED_VALUE"""),562.92)</f>
        <v>562.92</v>
      </c>
      <c r="D332" s="2">
        <f>IFERROR(__xludf.DUMMYFUNCTION("""COMPUTED_VALUE"""),553.19)</f>
        <v>553.19</v>
      </c>
      <c r="E332" s="2">
        <f>IFERROR(__xludf.DUMMYFUNCTION("""COMPUTED_VALUE"""),561.23)</f>
        <v>561.23</v>
      </c>
      <c r="F332" s="2">
        <f>IFERROR(__xludf.DUMMYFUNCTION("""COMPUTED_VALUE"""),4332593.0)</f>
        <v>4332593</v>
      </c>
    </row>
    <row r="333">
      <c r="A333" s="3">
        <f>IFERROR(__xludf.DUMMYFUNCTION("""COMPUTED_VALUE"""),45411.66666666667)</f>
        <v>45411.66667</v>
      </c>
      <c r="B333" s="2">
        <f>IFERROR(__xludf.DUMMYFUNCTION("""COMPUTED_VALUE"""),559.18)</f>
        <v>559.18</v>
      </c>
      <c r="C333" s="2">
        <f>IFERROR(__xludf.DUMMYFUNCTION("""COMPUTED_VALUE"""),559.64)</f>
        <v>559.64</v>
      </c>
      <c r="D333" s="2">
        <f>IFERROR(__xludf.DUMMYFUNCTION("""COMPUTED_VALUE"""),554.24)</f>
        <v>554.24</v>
      </c>
      <c r="E333" s="2">
        <f>IFERROR(__xludf.DUMMYFUNCTION("""COMPUTED_VALUE"""),559.49)</f>
        <v>559.49</v>
      </c>
      <c r="F333" s="2">
        <f>IFERROR(__xludf.DUMMYFUNCTION("""COMPUTED_VALUE"""),2508882.0)</f>
        <v>2508882</v>
      </c>
    </row>
    <row r="334">
      <c r="A334" s="3">
        <f>IFERROR(__xludf.DUMMYFUNCTION("""COMPUTED_VALUE"""),45412.66666666667)</f>
        <v>45412.66667</v>
      </c>
      <c r="B334" s="2">
        <f>IFERROR(__xludf.DUMMYFUNCTION("""COMPUTED_VALUE"""),560.0)</f>
        <v>560</v>
      </c>
      <c r="C334" s="2">
        <f>IFERROR(__xludf.DUMMYFUNCTION("""COMPUTED_VALUE"""),560.0)</f>
        <v>560</v>
      </c>
      <c r="D334" s="2">
        <f>IFERROR(__xludf.DUMMYFUNCTION("""COMPUTED_VALUE"""),549.38)</f>
        <v>549.38</v>
      </c>
      <c r="E334" s="2">
        <f>IFERROR(__xludf.DUMMYFUNCTION("""COMPUTED_VALUE"""),550.64)</f>
        <v>550.64</v>
      </c>
      <c r="F334" s="2">
        <f>IFERROR(__xludf.DUMMYFUNCTION("""COMPUTED_VALUE"""),3361492.0)</f>
        <v>3361492</v>
      </c>
    </row>
    <row r="335">
      <c r="A335" s="3">
        <f>IFERROR(__xludf.DUMMYFUNCTION("""COMPUTED_VALUE"""),45413.66666666667)</f>
        <v>45413.66667</v>
      </c>
      <c r="B335" s="2">
        <f>IFERROR(__xludf.DUMMYFUNCTION("""COMPUTED_VALUE"""),547.84)</f>
        <v>547.84</v>
      </c>
      <c r="C335" s="2">
        <f>IFERROR(__xludf.DUMMYFUNCTION("""COMPUTED_VALUE"""),560.39)</f>
        <v>560.39</v>
      </c>
      <c r="D335" s="2">
        <f>IFERROR(__xludf.DUMMYFUNCTION("""COMPUTED_VALUE"""),544.25)</f>
        <v>544.25</v>
      </c>
      <c r="E335" s="2">
        <f>IFERROR(__xludf.DUMMYFUNCTION("""COMPUTED_VALUE"""),551.71)</f>
        <v>551.71</v>
      </c>
      <c r="F335" s="2">
        <f>IFERROR(__xludf.DUMMYFUNCTION("""COMPUTED_VALUE"""),3473233.0)</f>
        <v>3473233</v>
      </c>
    </row>
    <row r="336">
      <c r="A336" s="3">
        <f>IFERROR(__xludf.DUMMYFUNCTION("""COMPUTED_VALUE"""),45414.66666666667)</f>
        <v>45414.66667</v>
      </c>
      <c r="B336" s="2">
        <f>IFERROR(__xludf.DUMMYFUNCTION("""COMPUTED_VALUE"""),556.02)</f>
        <v>556.02</v>
      </c>
      <c r="C336" s="2">
        <f>IFERROR(__xludf.DUMMYFUNCTION("""COMPUTED_VALUE"""),565.46)</f>
        <v>565.46</v>
      </c>
      <c r="D336" s="2">
        <f>IFERROR(__xludf.DUMMYFUNCTION("""COMPUTED_VALUE"""),555.59)</f>
        <v>555.59</v>
      </c>
      <c r="E336" s="2">
        <f>IFERROR(__xludf.DUMMYFUNCTION("""COMPUTED_VALUE"""),565.15)</f>
        <v>565.15</v>
      </c>
      <c r="F336" s="2">
        <f>IFERROR(__xludf.DUMMYFUNCTION("""COMPUTED_VALUE"""),3068228.0)</f>
        <v>3068228</v>
      </c>
    </row>
    <row r="337">
      <c r="A337" s="3">
        <f>IFERROR(__xludf.DUMMYFUNCTION("""COMPUTED_VALUE"""),45415.66666666667)</f>
        <v>45415.66667</v>
      </c>
      <c r="B337" s="2">
        <f>IFERROR(__xludf.DUMMYFUNCTION("""COMPUTED_VALUE"""),566.0)</f>
        <v>566</v>
      </c>
      <c r="C337" s="2">
        <f>IFERROR(__xludf.DUMMYFUNCTION("""COMPUTED_VALUE"""),580.26)</f>
        <v>580.26</v>
      </c>
      <c r="D337" s="2">
        <f>IFERROR(__xludf.DUMMYFUNCTION("""COMPUTED_VALUE"""),565.16)</f>
        <v>565.16</v>
      </c>
      <c r="E337" s="2">
        <f>IFERROR(__xludf.DUMMYFUNCTION("""COMPUTED_VALUE"""),579.34)</f>
        <v>579.34</v>
      </c>
      <c r="F337" s="2">
        <f>IFERROR(__xludf.DUMMYFUNCTION("""COMPUTED_VALUE"""),3307524.0)</f>
        <v>3307524</v>
      </c>
    </row>
    <row r="338">
      <c r="A338" s="3">
        <f>IFERROR(__xludf.DUMMYFUNCTION("""COMPUTED_VALUE"""),45418.66666666667)</f>
        <v>45418.66667</v>
      </c>
      <c r="B338" s="2">
        <f>IFERROR(__xludf.DUMMYFUNCTION("""COMPUTED_VALUE"""),581.82)</f>
        <v>581.82</v>
      </c>
      <c r="C338" s="2">
        <f>IFERROR(__xludf.DUMMYFUNCTION("""COMPUTED_VALUE"""),597.34)</f>
        <v>597.34</v>
      </c>
      <c r="D338" s="2">
        <f>IFERROR(__xludf.DUMMYFUNCTION("""COMPUTED_VALUE"""),580.25)</f>
        <v>580.25</v>
      </c>
      <c r="E338" s="2">
        <f>IFERROR(__xludf.DUMMYFUNCTION("""COMPUTED_VALUE"""),596.97)</f>
        <v>596.97</v>
      </c>
      <c r="F338" s="2">
        <f>IFERROR(__xludf.DUMMYFUNCTION("""COMPUTED_VALUE"""),3686337.0)</f>
        <v>3686337</v>
      </c>
    </row>
    <row r="339">
      <c r="A339" s="3">
        <f>IFERROR(__xludf.DUMMYFUNCTION("""COMPUTED_VALUE"""),45419.66666666667)</f>
        <v>45419.66667</v>
      </c>
      <c r="B339" s="2">
        <f>IFERROR(__xludf.DUMMYFUNCTION("""COMPUTED_VALUE"""),596.28)</f>
        <v>596.28</v>
      </c>
      <c r="C339" s="2">
        <f>IFERROR(__xludf.DUMMYFUNCTION("""COMPUTED_VALUE"""),606.05)</f>
        <v>606.05</v>
      </c>
      <c r="D339" s="2">
        <f>IFERROR(__xludf.DUMMYFUNCTION("""COMPUTED_VALUE"""),591.32)</f>
        <v>591.32</v>
      </c>
      <c r="E339" s="2">
        <f>IFERROR(__xludf.DUMMYFUNCTION("""COMPUTED_VALUE"""),606.0)</f>
        <v>606</v>
      </c>
      <c r="F339" s="2">
        <f>IFERROR(__xludf.DUMMYFUNCTION("""COMPUTED_VALUE"""),3614092.0)</f>
        <v>3614092</v>
      </c>
    </row>
    <row r="340">
      <c r="A340" s="3">
        <f>IFERROR(__xludf.DUMMYFUNCTION("""COMPUTED_VALUE"""),45420.66666666667)</f>
        <v>45420.66667</v>
      </c>
      <c r="B340" s="2">
        <f>IFERROR(__xludf.DUMMYFUNCTION("""COMPUTED_VALUE"""),601.63)</f>
        <v>601.63</v>
      </c>
      <c r="C340" s="2">
        <f>IFERROR(__xludf.DUMMYFUNCTION("""COMPUTED_VALUE"""),618.22)</f>
        <v>618.22</v>
      </c>
      <c r="D340" s="2">
        <f>IFERROR(__xludf.DUMMYFUNCTION("""COMPUTED_VALUE"""),601.63)</f>
        <v>601.63</v>
      </c>
      <c r="E340" s="2">
        <f>IFERROR(__xludf.DUMMYFUNCTION("""COMPUTED_VALUE"""),609.47)</f>
        <v>609.47</v>
      </c>
      <c r="F340" s="2">
        <f>IFERROR(__xludf.DUMMYFUNCTION("""COMPUTED_VALUE"""),3093904.0)</f>
        <v>3093904</v>
      </c>
    </row>
    <row r="341">
      <c r="A341" s="3">
        <f>IFERROR(__xludf.DUMMYFUNCTION("""COMPUTED_VALUE"""),45421.66666666667)</f>
        <v>45421.66667</v>
      </c>
      <c r="B341" s="2">
        <f>IFERROR(__xludf.DUMMYFUNCTION("""COMPUTED_VALUE"""),614.4)</f>
        <v>614.4</v>
      </c>
      <c r="C341" s="2">
        <f>IFERROR(__xludf.DUMMYFUNCTION("""COMPUTED_VALUE"""),615.72)</f>
        <v>615.72</v>
      </c>
      <c r="D341" s="2">
        <f>IFERROR(__xludf.DUMMYFUNCTION("""COMPUTED_VALUE"""),605.75)</f>
        <v>605.75</v>
      </c>
      <c r="E341" s="2">
        <f>IFERROR(__xludf.DUMMYFUNCTION("""COMPUTED_VALUE"""),612.09)</f>
        <v>612.09</v>
      </c>
      <c r="F341" s="2">
        <f>IFERROR(__xludf.DUMMYFUNCTION("""COMPUTED_VALUE"""),2065375.0)</f>
        <v>2065375</v>
      </c>
    </row>
    <row r="342">
      <c r="A342" s="3">
        <f>IFERROR(__xludf.DUMMYFUNCTION("""COMPUTED_VALUE"""),45422.66666666667)</f>
        <v>45422.66667</v>
      </c>
      <c r="B342" s="2">
        <f>IFERROR(__xludf.DUMMYFUNCTION("""COMPUTED_VALUE"""),619.0)</f>
        <v>619</v>
      </c>
      <c r="C342" s="2">
        <f>IFERROR(__xludf.DUMMYFUNCTION("""COMPUTED_VALUE"""),623.98)</f>
        <v>623.98</v>
      </c>
      <c r="D342" s="2">
        <f>IFERROR(__xludf.DUMMYFUNCTION("""COMPUTED_VALUE"""),605.06)</f>
        <v>605.06</v>
      </c>
      <c r="E342" s="2">
        <f>IFERROR(__xludf.DUMMYFUNCTION("""COMPUTED_VALUE"""),610.87)</f>
        <v>610.87</v>
      </c>
      <c r="F342" s="2">
        <f>IFERROR(__xludf.DUMMYFUNCTION("""COMPUTED_VALUE"""),2653586.0)</f>
        <v>2653586</v>
      </c>
    </row>
    <row r="343">
      <c r="A343" s="3">
        <f>IFERROR(__xludf.DUMMYFUNCTION("""COMPUTED_VALUE"""),45425.66666666667)</f>
        <v>45425.66667</v>
      </c>
      <c r="B343" s="2">
        <f>IFERROR(__xludf.DUMMYFUNCTION("""COMPUTED_VALUE"""),614.3)</f>
        <v>614.3</v>
      </c>
      <c r="C343" s="2">
        <f>IFERROR(__xludf.DUMMYFUNCTION("""COMPUTED_VALUE"""),618.22)</f>
        <v>618.22</v>
      </c>
      <c r="D343" s="2">
        <f>IFERROR(__xludf.DUMMYFUNCTION("""COMPUTED_VALUE"""),606.83)</f>
        <v>606.83</v>
      </c>
      <c r="E343" s="2">
        <f>IFERROR(__xludf.DUMMYFUNCTION("""COMPUTED_VALUE"""),616.59)</f>
        <v>616.59</v>
      </c>
      <c r="F343" s="2">
        <f>IFERROR(__xludf.DUMMYFUNCTION("""COMPUTED_VALUE"""),2086197.0)</f>
        <v>2086197</v>
      </c>
    </row>
    <row r="344">
      <c r="A344" s="3">
        <f>IFERROR(__xludf.DUMMYFUNCTION("""COMPUTED_VALUE"""),45426.66666666667)</f>
        <v>45426.66667</v>
      </c>
      <c r="B344" s="2">
        <f>IFERROR(__xludf.DUMMYFUNCTION("""COMPUTED_VALUE"""),615.17)</f>
        <v>615.17</v>
      </c>
      <c r="C344" s="2">
        <f>IFERROR(__xludf.DUMMYFUNCTION("""COMPUTED_VALUE"""),621.48)</f>
        <v>621.48</v>
      </c>
      <c r="D344" s="2">
        <f>IFERROR(__xludf.DUMMYFUNCTION("""COMPUTED_VALUE"""),608.4)</f>
        <v>608.4</v>
      </c>
      <c r="E344" s="2">
        <f>IFERROR(__xludf.DUMMYFUNCTION("""COMPUTED_VALUE"""),613.66)</f>
        <v>613.66</v>
      </c>
      <c r="F344" s="2">
        <f>IFERROR(__xludf.DUMMYFUNCTION("""COMPUTED_VALUE"""),2792358.0)</f>
        <v>2792358</v>
      </c>
    </row>
    <row r="345">
      <c r="A345" s="3">
        <f>IFERROR(__xludf.DUMMYFUNCTION("""COMPUTED_VALUE"""),45427.66666666667)</f>
        <v>45427.66667</v>
      </c>
      <c r="B345" s="2">
        <f>IFERROR(__xludf.DUMMYFUNCTION("""COMPUTED_VALUE"""),618.57)</f>
        <v>618.57</v>
      </c>
      <c r="C345" s="2">
        <f>IFERROR(__xludf.DUMMYFUNCTION("""COMPUTED_VALUE"""),624.1)</f>
        <v>624.1</v>
      </c>
      <c r="D345" s="2">
        <f>IFERROR(__xludf.DUMMYFUNCTION("""COMPUTED_VALUE"""),609.1)</f>
        <v>609.1</v>
      </c>
      <c r="E345" s="2">
        <f>IFERROR(__xludf.DUMMYFUNCTION("""COMPUTED_VALUE"""),613.52)</f>
        <v>613.52</v>
      </c>
      <c r="F345" s="2">
        <f>IFERROR(__xludf.DUMMYFUNCTION("""COMPUTED_VALUE"""),5670607.0)</f>
        <v>5670607</v>
      </c>
    </row>
    <row r="346">
      <c r="A346" s="3">
        <f>IFERROR(__xludf.DUMMYFUNCTION("""COMPUTED_VALUE"""),45428.66666666667)</f>
        <v>45428.66667</v>
      </c>
      <c r="B346" s="2">
        <f>IFERROR(__xludf.DUMMYFUNCTION("""COMPUTED_VALUE"""),615.75)</f>
        <v>615.75</v>
      </c>
      <c r="C346" s="2">
        <f>IFERROR(__xludf.DUMMYFUNCTION("""COMPUTED_VALUE"""),618.34)</f>
        <v>618.34</v>
      </c>
      <c r="D346" s="2">
        <f>IFERROR(__xludf.DUMMYFUNCTION("""COMPUTED_VALUE"""),609.09)</f>
        <v>609.09</v>
      </c>
      <c r="E346" s="2">
        <f>IFERROR(__xludf.DUMMYFUNCTION("""COMPUTED_VALUE"""),610.52)</f>
        <v>610.52</v>
      </c>
      <c r="F346" s="2">
        <f>IFERROR(__xludf.DUMMYFUNCTION("""COMPUTED_VALUE"""),3056350.0)</f>
        <v>3056350</v>
      </c>
    </row>
    <row r="347">
      <c r="A347" s="3">
        <f>IFERROR(__xludf.DUMMYFUNCTION("""COMPUTED_VALUE"""),45429.66666666667)</f>
        <v>45429.66667</v>
      </c>
      <c r="B347" s="2">
        <f>IFERROR(__xludf.DUMMYFUNCTION("""COMPUTED_VALUE"""),617.0)</f>
        <v>617</v>
      </c>
      <c r="C347" s="2">
        <f>IFERROR(__xludf.DUMMYFUNCTION("""COMPUTED_VALUE"""),625.79)</f>
        <v>625.79</v>
      </c>
      <c r="D347" s="2">
        <f>IFERROR(__xludf.DUMMYFUNCTION("""COMPUTED_VALUE"""),614.71)</f>
        <v>614.71</v>
      </c>
      <c r="E347" s="2">
        <f>IFERROR(__xludf.DUMMYFUNCTION("""COMPUTED_VALUE"""),621.1)</f>
        <v>621.1</v>
      </c>
      <c r="F347" s="2">
        <f>IFERROR(__xludf.DUMMYFUNCTION("""COMPUTED_VALUE"""),3782708.0)</f>
        <v>3782708</v>
      </c>
    </row>
    <row r="348">
      <c r="A348" s="3">
        <f>IFERROR(__xludf.DUMMYFUNCTION("""COMPUTED_VALUE"""),45432.66666666667)</f>
        <v>45432.66667</v>
      </c>
      <c r="B348" s="2">
        <f>IFERROR(__xludf.DUMMYFUNCTION("""COMPUTED_VALUE"""),620.4)</f>
        <v>620.4</v>
      </c>
      <c r="C348" s="2">
        <f>IFERROR(__xludf.DUMMYFUNCTION("""COMPUTED_VALUE"""),644.37)</f>
        <v>644.37</v>
      </c>
      <c r="D348" s="2">
        <f>IFERROR(__xludf.DUMMYFUNCTION("""COMPUTED_VALUE"""),619.52)</f>
        <v>619.52</v>
      </c>
      <c r="E348" s="2">
        <f>IFERROR(__xludf.DUMMYFUNCTION("""COMPUTED_VALUE"""),640.82)</f>
        <v>640.82</v>
      </c>
      <c r="F348" s="2">
        <f>IFERROR(__xludf.DUMMYFUNCTION("""COMPUTED_VALUE"""),3857853.0)</f>
        <v>3857853</v>
      </c>
    </row>
    <row r="349">
      <c r="A349" s="3">
        <f>IFERROR(__xludf.DUMMYFUNCTION("""COMPUTED_VALUE"""),45433.66666666667)</f>
        <v>45433.66667</v>
      </c>
      <c r="B349" s="2">
        <f>IFERROR(__xludf.DUMMYFUNCTION("""COMPUTED_VALUE"""),636.76)</f>
        <v>636.76</v>
      </c>
      <c r="C349" s="2">
        <f>IFERROR(__xludf.DUMMYFUNCTION("""COMPUTED_VALUE"""),650.88)</f>
        <v>650.88</v>
      </c>
      <c r="D349" s="2">
        <f>IFERROR(__xludf.DUMMYFUNCTION("""COMPUTED_VALUE"""),634.22)</f>
        <v>634.22</v>
      </c>
      <c r="E349" s="2">
        <f>IFERROR(__xludf.DUMMYFUNCTION("""COMPUTED_VALUE"""),650.61)</f>
        <v>650.61</v>
      </c>
      <c r="F349" s="2">
        <f>IFERROR(__xludf.DUMMYFUNCTION("""COMPUTED_VALUE"""),2920155.0)</f>
        <v>2920155</v>
      </c>
    </row>
    <row r="350">
      <c r="A350" s="3">
        <f>IFERROR(__xludf.DUMMYFUNCTION("""COMPUTED_VALUE"""),45434.66666666667)</f>
        <v>45434.66667</v>
      </c>
      <c r="B350" s="2">
        <f>IFERROR(__xludf.DUMMYFUNCTION("""COMPUTED_VALUE"""),647.14)</f>
        <v>647.14</v>
      </c>
      <c r="C350" s="2">
        <f>IFERROR(__xludf.DUMMYFUNCTION("""COMPUTED_VALUE"""),649.25)</f>
        <v>649.25</v>
      </c>
      <c r="D350" s="2">
        <f>IFERROR(__xludf.DUMMYFUNCTION("""COMPUTED_VALUE"""),638.12)</f>
        <v>638.12</v>
      </c>
      <c r="E350" s="2">
        <f>IFERROR(__xludf.DUMMYFUNCTION("""COMPUTED_VALUE"""),640.47)</f>
        <v>640.47</v>
      </c>
      <c r="F350" s="2">
        <f>IFERROR(__xludf.DUMMYFUNCTION("""COMPUTED_VALUE"""),2176174.0)</f>
        <v>2176174</v>
      </c>
    </row>
    <row r="351">
      <c r="A351" s="3">
        <f>IFERROR(__xludf.DUMMYFUNCTION("""COMPUTED_VALUE"""),45435.66666666667)</f>
        <v>45435.66667</v>
      </c>
      <c r="B351" s="2">
        <f>IFERROR(__xludf.DUMMYFUNCTION("""COMPUTED_VALUE"""),642.34)</f>
        <v>642.34</v>
      </c>
      <c r="C351" s="2">
        <f>IFERROR(__xludf.DUMMYFUNCTION("""COMPUTED_VALUE"""),642.71)</f>
        <v>642.71</v>
      </c>
      <c r="D351" s="2">
        <f>IFERROR(__xludf.DUMMYFUNCTION("""COMPUTED_VALUE"""),630.0)</f>
        <v>630</v>
      </c>
      <c r="E351" s="2">
        <f>IFERROR(__xludf.DUMMYFUNCTION("""COMPUTED_VALUE"""),635.67)</f>
        <v>635.67</v>
      </c>
      <c r="F351" s="2">
        <f>IFERROR(__xludf.DUMMYFUNCTION("""COMPUTED_VALUE"""),2313939.0)</f>
        <v>2313939</v>
      </c>
    </row>
    <row r="352">
      <c r="A352" s="3">
        <f>IFERROR(__xludf.DUMMYFUNCTION("""COMPUTED_VALUE"""),45436.66666666667)</f>
        <v>45436.66667</v>
      </c>
      <c r="B352" s="2">
        <f>IFERROR(__xludf.DUMMYFUNCTION("""COMPUTED_VALUE"""),639.4)</f>
        <v>639.4</v>
      </c>
      <c r="C352" s="2">
        <f>IFERROR(__xludf.DUMMYFUNCTION("""COMPUTED_VALUE"""),652.0)</f>
        <v>652</v>
      </c>
      <c r="D352" s="2">
        <f>IFERROR(__xludf.DUMMYFUNCTION("""COMPUTED_VALUE"""),637.6)</f>
        <v>637.6</v>
      </c>
      <c r="E352" s="2">
        <f>IFERROR(__xludf.DUMMYFUNCTION("""COMPUTED_VALUE"""),646.75)</f>
        <v>646.75</v>
      </c>
      <c r="F352" s="2">
        <f>IFERROR(__xludf.DUMMYFUNCTION("""COMPUTED_VALUE"""),2615260.0)</f>
        <v>2615260</v>
      </c>
    </row>
    <row r="353">
      <c r="A353" s="3">
        <f>IFERROR(__xludf.DUMMYFUNCTION("""COMPUTED_VALUE"""),45440.66666666667)</f>
        <v>45440.66667</v>
      </c>
      <c r="B353" s="2">
        <f>IFERROR(__xludf.DUMMYFUNCTION("""COMPUTED_VALUE"""),647.05)</f>
        <v>647.05</v>
      </c>
      <c r="C353" s="2">
        <f>IFERROR(__xludf.DUMMYFUNCTION("""COMPUTED_VALUE"""),649.75)</f>
        <v>649.75</v>
      </c>
      <c r="D353" s="2">
        <f>IFERROR(__xludf.DUMMYFUNCTION("""COMPUTED_VALUE"""),643.03)</f>
        <v>643.03</v>
      </c>
      <c r="E353" s="2">
        <f>IFERROR(__xludf.DUMMYFUNCTION("""COMPUTED_VALUE"""),649.0)</f>
        <v>649</v>
      </c>
      <c r="F353" s="2">
        <f>IFERROR(__xludf.DUMMYFUNCTION("""COMPUTED_VALUE"""),2609451.0)</f>
        <v>2609451</v>
      </c>
    </row>
    <row r="354">
      <c r="A354" s="3">
        <f>IFERROR(__xludf.DUMMYFUNCTION("""COMPUTED_VALUE"""),45441.66666666667)</f>
        <v>45441.66667</v>
      </c>
      <c r="B354" s="2">
        <f>IFERROR(__xludf.DUMMYFUNCTION("""COMPUTED_VALUE"""),644.13)</f>
        <v>644.13</v>
      </c>
      <c r="C354" s="2">
        <f>IFERROR(__xludf.DUMMYFUNCTION("""COMPUTED_VALUE"""),664.25)</f>
        <v>664.25</v>
      </c>
      <c r="D354" s="2">
        <f>IFERROR(__xludf.DUMMYFUNCTION("""COMPUTED_VALUE"""),643.89)</f>
        <v>643.89</v>
      </c>
      <c r="E354" s="2">
        <f>IFERROR(__xludf.DUMMYFUNCTION("""COMPUTED_VALUE"""),654.62)</f>
        <v>654.62</v>
      </c>
      <c r="F354" s="2">
        <f>IFERROR(__xludf.DUMMYFUNCTION("""COMPUTED_VALUE"""),3695935.0)</f>
        <v>3695935</v>
      </c>
    </row>
    <row r="355">
      <c r="A355" s="3">
        <f>IFERROR(__xludf.DUMMYFUNCTION("""COMPUTED_VALUE"""),45442.66666666667)</f>
        <v>45442.66667</v>
      </c>
      <c r="B355" s="2">
        <f>IFERROR(__xludf.DUMMYFUNCTION("""COMPUTED_VALUE"""),653.52)</f>
        <v>653.52</v>
      </c>
      <c r="C355" s="2">
        <f>IFERROR(__xludf.DUMMYFUNCTION("""COMPUTED_VALUE"""),656.49)</f>
        <v>656.49</v>
      </c>
      <c r="D355" s="2">
        <f>IFERROR(__xludf.DUMMYFUNCTION("""COMPUTED_VALUE"""),644.73)</f>
        <v>644.73</v>
      </c>
      <c r="E355" s="2">
        <f>IFERROR(__xludf.DUMMYFUNCTION("""COMPUTED_VALUE"""),647.66)</f>
        <v>647.66</v>
      </c>
      <c r="F355" s="2">
        <f>IFERROR(__xludf.DUMMYFUNCTION("""COMPUTED_VALUE"""),2393354.0)</f>
        <v>2393354</v>
      </c>
    </row>
    <row r="356">
      <c r="A356" s="3">
        <f>IFERROR(__xludf.DUMMYFUNCTION("""COMPUTED_VALUE"""),45443.66666666667)</f>
        <v>45443.66667</v>
      </c>
      <c r="B356" s="2">
        <f>IFERROR(__xludf.DUMMYFUNCTION("""COMPUTED_VALUE"""),644.01)</f>
        <v>644.01</v>
      </c>
      <c r="C356" s="2">
        <f>IFERROR(__xludf.DUMMYFUNCTION("""COMPUTED_VALUE"""),648.58)</f>
        <v>648.58</v>
      </c>
      <c r="D356" s="2">
        <f>IFERROR(__xludf.DUMMYFUNCTION("""COMPUTED_VALUE"""),628.3)</f>
        <v>628.3</v>
      </c>
      <c r="E356" s="2">
        <f>IFERROR(__xludf.DUMMYFUNCTION("""COMPUTED_VALUE"""),641.62)</f>
        <v>641.62</v>
      </c>
      <c r="F356" s="2">
        <f>IFERROR(__xludf.DUMMYFUNCTION("""COMPUTED_VALUE"""),4071023.0)</f>
        <v>4071023</v>
      </c>
    </row>
    <row r="357">
      <c r="A357" s="3">
        <f>IFERROR(__xludf.DUMMYFUNCTION("""COMPUTED_VALUE"""),45446.66666666667)</f>
        <v>45446.66667</v>
      </c>
      <c r="B357" s="2">
        <f>IFERROR(__xludf.DUMMYFUNCTION("""COMPUTED_VALUE"""),645.22)</f>
        <v>645.22</v>
      </c>
      <c r="C357" s="2">
        <f>IFERROR(__xludf.DUMMYFUNCTION("""COMPUTED_VALUE"""),646.78)</f>
        <v>646.78</v>
      </c>
      <c r="D357" s="2">
        <f>IFERROR(__xludf.DUMMYFUNCTION("""COMPUTED_VALUE"""),627.27)</f>
        <v>627.27</v>
      </c>
      <c r="E357" s="2">
        <f>IFERROR(__xludf.DUMMYFUNCTION("""COMPUTED_VALUE"""),633.79)</f>
        <v>633.79</v>
      </c>
      <c r="F357" s="2">
        <f>IFERROR(__xludf.DUMMYFUNCTION("""COMPUTED_VALUE"""),2323506.0)</f>
        <v>2323506</v>
      </c>
    </row>
    <row r="358">
      <c r="A358" s="3">
        <f>IFERROR(__xludf.DUMMYFUNCTION("""COMPUTED_VALUE"""),45447.66666666667)</f>
        <v>45447.66667</v>
      </c>
      <c r="B358" s="2">
        <f>IFERROR(__xludf.DUMMYFUNCTION("""COMPUTED_VALUE"""),633.78)</f>
        <v>633.78</v>
      </c>
      <c r="C358" s="2">
        <f>IFERROR(__xludf.DUMMYFUNCTION("""COMPUTED_VALUE"""),635.23)</f>
        <v>635.23</v>
      </c>
      <c r="D358" s="2">
        <f>IFERROR(__xludf.DUMMYFUNCTION("""COMPUTED_VALUE"""),626.44)</f>
        <v>626.44</v>
      </c>
      <c r="E358" s="2">
        <f>IFERROR(__xludf.DUMMYFUNCTION("""COMPUTED_VALUE"""),631.62)</f>
        <v>631.62</v>
      </c>
      <c r="F358" s="2">
        <f>IFERROR(__xludf.DUMMYFUNCTION("""COMPUTED_VALUE"""),3008151.0)</f>
        <v>3008151</v>
      </c>
    </row>
    <row r="359">
      <c r="A359" s="3">
        <f>IFERROR(__xludf.DUMMYFUNCTION("""COMPUTED_VALUE"""),45448.66666666667)</f>
        <v>45448.66667</v>
      </c>
      <c r="B359" s="2">
        <f>IFERROR(__xludf.DUMMYFUNCTION("""COMPUTED_VALUE"""),634.02)</f>
        <v>634.02</v>
      </c>
      <c r="C359" s="2">
        <f>IFERROR(__xludf.DUMMYFUNCTION("""COMPUTED_VALUE"""),651.25)</f>
        <v>651.25</v>
      </c>
      <c r="D359" s="2">
        <f>IFERROR(__xludf.DUMMYFUNCTION("""COMPUTED_VALUE"""),628.25)</f>
        <v>628.25</v>
      </c>
      <c r="E359" s="2">
        <f>IFERROR(__xludf.DUMMYFUNCTION("""COMPUTED_VALUE"""),650.27)</f>
        <v>650.27</v>
      </c>
      <c r="F359" s="2">
        <f>IFERROR(__xludf.DUMMYFUNCTION("""COMPUTED_VALUE"""),2682614.0)</f>
        <v>2682614</v>
      </c>
    </row>
    <row r="360">
      <c r="A360" s="3">
        <f>IFERROR(__xludf.DUMMYFUNCTION("""COMPUTED_VALUE"""),45449.66666666667)</f>
        <v>45449.66667</v>
      </c>
      <c r="B360" s="2">
        <f>IFERROR(__xludf.DUMMYFUNCTION("""COMPUTED_VALUE"""),644.89)</f>
        <v>644.89</v>
      </c>
      <c r="C360" s="2">
        <f>IFERROR(__xludf.DUMMYFUNCTION("""COMPUTED_VALUE"""),657.99)</f>
        <v>657.99</v>
      </c>
      <c r="D360" s="2">
        <f>IFERROR(__xludf.DUMMYFUNCTION("""COMPUTED_VALUE"""),644.24)</f>
        <v>644.24</v>
      </c>
      <c r="E360" s="2">
        <f>IFERROR(__xludf.DUMMYFUNCTION("""COMPUTED_VALUE"""),648.52)</f>
        <v>648.52</v>
      </c>
      <c r="F360" s="2">
        <f>IFERROR(__xludf.DUMMYFUNCTION("""COMPUTED_VALUE"""),2466664.0)</f>
        <v>2466664</v>
      </c>
    </row>
    <row r="361">
      <c r="A361" s="3">
        <f>IFERROR(__xludf.DUMMYFUNCTION("""COMPUTED_VALUE"""),45450.66666666667)</f>
        <v>45450.66667</v>
      </c>
      <c r="B361" s="2">
        <f>IFERROR(__xludf.DUMMYFUNCTION("""COMPUTED_VALUE"""),649.38)</f>
        <v>649.38</v>
      </c>
      <c r="C361" s="2">
        <f>IFERROR(__xludf.DUMMYFUNCTION("""COMPUTED_VALUE"""),650.4)</f>
        <v>650.4</v>
      </c>
      <c r="D361" s="2">
        <f>IFERROR(__xludf.DUMMYFUNCTION("""COMPUTED_VALUE"""),640.24)</f>
        <v>640.24</v>
      </c>
      <c r="E361" s="2">
        <f>IFERROR(__xludf.DUMMYFUNCTION("""COMPUTED_VALUE"""),641.47)</f>
        <v>641.47</v>
      </c>
      <c r="F361" s="2">
        <f>IFERROR(__xludf.DUMMYFUNCTION("""COMPUTED_VALUE"""),1876631.0)</f>
        <v>1876631</v>
      </c>
    </row>
    <row r="362">
      <c r="A362" s="3">
        <f>IFERROR(__xludf.DUMMYFUNCTION("""COMPUTED_VALUE"""),45453.66666666667)</f>
        <v>45453.66667</v>
      </c>
      <c r="B362" s="2">
        <f>IFERROR(__xludf.DUMMYFUNCTION("""COMPUTED_VALUE"""),641.01)</f>
        <v>641.01</v>
      </c>
      <c r="C362" s="2">
        <f>IFERROR(__xludf.DUMMYFUNCTION("""COMPUTED_VALUE"""),644.79)</f>
        <v>644.79</v>
      </c>
      <c r="D362" s="2">
        <f>IFERROR(__xludf.DUMMYFUNCTION("""COMPUTED_VALUE"""),635.59)</f>
        <v>635.59</v>
      </c>
      <c r="E362" s="2">
        <f>IFERROR(__xludf.DUMMYFUNCTION("""COMPUTED_VALUE"""),644.5)</f>
        <v>644.5</v>
      </c>
      <c r="F362" s="2">
        <f>IFERROR(__xludf.DUMMYFUNCTION("""COMPUTED_VALUE"""),2066759.0)</f>
        <v>2066759</v>
      </c>
    </row>
    <row r="363">
      <c r="A363" s="3">
        <f>IFERROR(__xludf.DUMMYFUNCTION("""COMPUTED_VALUE"""),45454.66666666667)</f>
        <v>45454.66667</v>
      </c>
      <c r="B363" s="2">
        <f>IFERROR(__xludf.DUMMYFUNCTION("""COMPUTED_VALUE"""),640.72)</f>
        <v>640.72</v>
      </c>
      <c r="C363" s="2">
        <f>IFERROR(__xludf.DUMMYFUNCTION("""COMPUTED_VALUE"""),650.19)</f>
        <v>650.19</v>
      </c>
      <c r="D363" s="2">
        <f>IFERROR(__xludf.DUMMYFUNCTION("""COMPUTED_VALUE"""),640.52)</f>
        <v>640.52</v>
      </c>
      <c r="E363" s="2">
        <f>IFERROR(__xludf.DUMMYFUNCTION("""COMPUTED_VALUE"""),648.55)</f>
        <v>648.55</v>
      </c>
      <c r="F363" s="2">
        <f>IFERROR(__xludf.DUMMYFUNCTION("""COMPUTED_VALUE"""),2167417.0)</f>
        <v>2167417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tr">
        <f>IFERROR(__xludf.DUMMYFUNCTION("(GOOGLEFINANCE(""NVDA"", ""all"", DATE(2023, 1, 1), today()))"),"Date")</f>
        <v>Date</v>
      </c>
      <c r="B1" s="2" t="str">
        <f>IFERROR(__xludf.DUMMYFUNCTION("""COMPUTED_VALUE"""),"Open")</f>
        <v>Open</v>
      </c>
      <c r="C1" s="2" t="str">
        <f>IFERROR(__xludf.DUMMYFUNCTION("""COMPUTED_VALUE"""),"High")</f>
        <v>High</v>
      </c>
      <c r="D1" s="2" t="str">
        <f>IFERROR(__xludf.DUMMYFUNCTION("""COMPUTED_VALUE"""),"Low")</f>
        <v>Low</v>
      </c>
      <c r="E1" s="2" t="str">
        <f>IFERROR(__xludf.DUMMYFUNCTION("""COMPUTED_VALUE"""),"Close")</f>
        <v>Close</v>
      </c>
      <c r="F1" s="2" t="str">
        <f>IFERROR(__xludf.DUMMYFUNCTION("""COMPUTED_VALUE"""),"Volume")</f>
        <v>Volume</v>
      </c>
    </row>
    <row r="2">
      <c r="A2" s="3">
        <f>IFERROR(__xludf.DUMMYFUNCTION("""COMPUTED_VALUE"""),44929.66666666667)</f>
        <v>44929.66667</v>
      </c>
      <c r="B2" s="2">
        <f>IFERROR(__xludf.DUMMYFUNCTION("""COMPUTED_VALUE"""),14.85)</f>
        <v>14.85</v>
      </c>
      <c r="C2" s="2">
        <f>IFERROR(__xludf.DUMMYFUNCTION("""COMPUTED_VALUE"""),15.0)</f>
        <v>15</v>
      </c>
      <c r="D2" s="2">
        <f>IFERROR(__xludf.DUMMYFUNCTION("""COMPUTED_VALUE"""),14.1)</f>
        <v>14.1</v>
      </c>
      <c r="E2" s="2">
        <f>IFERROR(__xludf.DUMMYFUNCTION("""COMPUTED_VALUE"""),14.32)</f>
        <v>14.32</v>
      </c>
      <c r="F2" s="2">
        <f>IFERROR(__xludf.DUMMYFUNCTION("""COMPUTED_VALUE"""),4.0127658E7)</f>
        <v>40127658</v>
      </c>
    </row>
    <row r="3">
      <c r="A3" s="3">
        <f>IFERROR(__xludf.DUMMYFUNCTION("""COMPUTED_VALUE"""),44930.66666666667)</f>
        <v>44930.66667</v>
      </c>
      <c r="B3" s="2">
        <f>IFERROR(__xludf.DUMMYFUNCTION("""COMPUTED_VALUE"""),14.57)</f>
        <v>14.57</v>
      </c>
      <c r="C3" s="2">
        <f>IFERROR(__xludf.DUMMYFUNCTION("""COMPUTED_VALUE"""),14.85)</f>
        <v>14.85</v>
      </c>
      <c r="D3" s="2">
        <f>IFERROR(__xludf.DUMMYFUNCTION("""COMPUTED_VALUE"""),14.24)</f>
        <v>14.24</v>
      </c>
      <c r="E3" s="2">
        <f>IFERROR(__xludf.DUMMYFUNCTION("""COMPUTED_VALUE"""),14.75)</f>
        <v>14.75</v>
      </c>
      <c r="F3" s="2">
        <f>IFERROR(__xludf.DUMMYFUNCTION("""COMPUTED_VALUE"""),4.313236E7)</f>
        <v>43132360</v>
      </c>
    </row>
    <row r="4">
      <c r="A4" s="3">
        <f>IFERROR(__xludf.DUMMYFUNCTION("""COMPUTED_VALUE"""),44931.66666666667)</f>
        <v>44931.66667</v>
      </c>
      <c r="B4" s="2">
        <f>IFERROR(__xludf.DUMMYFUNCTION("""COMPUTED_VALUE"""),14.49)</f>
        <v>14.49</v>
      </c>
      <c r="C4" s="2">
        <f>IFERROR(__xludf.DUMMYFUNCTION("""COMPUTED_VALUE"""),14.56)</f>
        <v>14.56</v>
      </c>
      <c r="D4" s="2">
        <f>IFERROR(__xludf.DUMMYFUNCTION("""COMPUTED_VALUE"""),14.15)</f>
        <v>14.15</v>
      </c>
      <c r="E4" s="2">
        <f>IFERROR(__xludf.DUMMYFUNCTION("""COMPUTED_VALUE"""),14.27)</f>
        <v>14.27</v>
      </c>
      <c r="F4" s="2">
        <f>IFERROR(__xludf.DUMMYFUNCTION("""COMPUTED_VALUE"""),3.8916811E7)</f>
        <v>38916811</v>
      </c>
    </row>
    <row r="5">
      <c r="A5" s="3">
        <f>IFERROR(__xludf.DUMMYFUNCTION("""COMPUTED_VALUE"""),44932.66666666667)</f>
        <v>44932.66667</v>
      </c>
      <c r="B5" s="2">
        <f>IFERROR(__xludf.DUMMYFUNCTION("""COMPUTED_VALUE"""),14.47)</f>
        <v>14.47</v>
      </c>
      <c r="C5" s="2">
        <f>IFERROR(__xludf.DUMMYFUNCTION("""COMPUTED_VALUE"""),15.01)</f>
        <v>15.01</v>
      </c>
      <c r="D5" s="2">
        <f>IFERROR(__xludf.DUMMYFUNCTION("""COMPUTED_VALUE"""),14.03)</f>
        <v>14.03</v>
      </c>
      <c r="E5" s="2">
        <f>IFERROR(__xludf.DUMMYFUNCTION("""COMPUTED_VALUE"""),14.86)</f>
        <v>14.86</v>
      </c>
      <c r="F5" s="2">
        <f>IFERROR(__xludf.DUMMYFUNCTION("""COMPUTED_VALUE"""),4.0504362E7)</f>
        <v>40504362</v>
      </c>
    </row>
    <row r="6">
      <c r="A6" s="3">
        <f>IFERROR(__xludf.DUMMYFUNCTION("""COMPUTED_VALUE"""),44935.66666666667)</f>
        <v>44935.66667</v>
      </c>
      <c r="B6" s="2">
        <f>IFERROR(__xludf.DUMMYFUNCTION("""COMPUTED_VALUE"""),15.28)</f>
        <v>15.28</v>
      </c>
      <c r="C6" s="2">
        <f>IFERROR(__xludf.DUMMYFUNCTION("""COMPUTED_VALUE"""),16.06)</f>
        <v>16.06</v>
      </c>
      <c r="D6" s="2">
        <f>IFERROR(__xludf.DUMMYFUNCTION("""COMPUTED_VALUE"""),15.14)</f>
        <v>15.14</v>
      </c>
      <c r="E6" s="2">
        <f>IFERROR(__xludf.DUMMYFUNCTION("""COMPUTED_VALUE"""),15.63)</f>
        <v>15.63</v>
      </c>
      <c r="F6" s="2">
        <f>IFERROR(__xludf.DUMMYFUNCTION("""COMPUTED_VALUE"""),5.0423056E7)</f>
        <v>50423056</v>
      </c>
    </row>
    <row r="7">
      <c r="A7" s="3">
        <f>IFERROR(__xludf.DUMMYFUNCTION("""COMPUTED_VALUE"""),44936.66666666667)</f>
        <v>44936.66667</v>
      </c>
      <c r="B7" s="2">
        <f>IFERROR(__xludf.DUMMYFUNCTION("""COMPUTED_VALUE"""),15.51)</f>
        <v>15.51</v>
      </c>
      <c r="C7" s="2">
        <f>IFERROR(__xludf.DUMMYFUNCTION("""COMPUTED_VALUE"""),15.96)</f>
        <v>15.96</v>
      </c>
      <c r="D7" s="2">
        <f>IFERROR(__xludf.DUMMYFUNCTION("""COMPUTED_VALUE"""),15.47)</f>
        <v>15.47</v>
      </c>
      <c r="E7" s="2">
        <f>IFERROR(__xludf.DUMMYFUNCTION("""COMPUTED_VALUE"""),15.91)</f>
        <v>15.91</v>
      </c>
      <c r="F7" s="2">
        <f>IFERROR(__xludf.DUMMYFUNCTION("""COMPUTED_VALUE"""),3.8410126E7)</f>
        <v>38410126</v>
      </c>
    </row>
    <row r="8">
      <c r="A8" s="3">
        <f>IFERROR(__xludf.DUMMYFUNCTION("""COMPUTED_VALUE"""),44937.66666666667)</f>
        <v>44937.66667</v>
      </c>
      <c r="B8" s="2">
        <f>IFERROR(__xludf.DUMMYFUNCTION("""COMPUTED_VALUE"""),15.84)</f>
        <v>15.84</v>
      </c>
      <c r="C8" s="2">
        <f>IFERROR(__xludf.DUMMYFUNCTION("""COMPUTED_VALUE"""),16.03)</f>
        <v>16.03</v>
      </c>
      <c r="D8" s="2">
        <f>IFERROR(__xludf.DUMMYFUNCTION("""COMPUTED_VALUE"""),15.56)</f>
        <v>15.56</v>
      </c>
      <c r="E8" s="2">
        <f>IFERROR(__xludf.DUMMYFUNCTION("""COMPUTED_VALUE"""),16.0)</f>
        <v>16</v>
      </c>
      <c r="F8" s="2">
        <f>IFERROR(__xludf.DUMMYFUNCTION("""COMPUTED_VALUE"""),3.5328493E7)</f>
        <v>35328493</v>
      </c>
    </row>
    <row r="9">
      <c r="A9" s="3">
        <f>IFERROR(__xludf.DUMMYFUNCTION("""COMPUTED_VALUE"""),44938.66666666667)</f>
        <v>44938.66667</v>
      </c>
      <c r="B9" s="2">
        <f>IFERROR(__xludf.DUMMYFUNCTION("""COMPUTED_VALUE"""),16.1)</f>
        <v>16.1</v>
      </c>
      <c r="C9" s="2">
        <f>IFERROR(__xludf.DUMMYFUNCTION("""COMPUTED_VALUE"""),16.64)</f>
        <v>16.64</v>
      </c>
      <c r="D9" s="2">
        <f>IFERROR(__xludf.DUMMYFUNCTION("""COMPUTED_VALUE"""),15.49)</f>
        <v>15.49</v>
      </c>
      <c r="E9" s="2">
        <f>IFERROR(__xludf.DUMMYFUNCTION("""COMPUTED_VALUE"""),16.51)</f>
        <v>16.51</v>
      </c>
      <c r="F9" s="2">
        <f>IFERROR(__xludf.DUMMYFUNCTION("""COMPUTED_VALUE"""),5.5140906E7)</f>
        <v>55140906</v>
      </c>
    </row>
    <row r="10">
      <c r="A10" s="3">
        <f>IFERROR(__xludf.DUMMYFUNCTION("""COMPUTED_VALUE"""),44939.66666666667)</f>
        <v>44939.66667</v>
      </c>
      <c r="B10" s="2">
        <f>IFERROR(__xludf.DUMMYFUNCTION("""COMPUTED_VALUE"""),16.28)</f>
        <v>16.28</v>
      </c>
      <c r="C10" s="2">
        <f>IFERROR(__xludf.DUMMYFUNCTION("""COMPUTED_VALUE"""),16.92)</f>
        <v>16.92</v>
      </c>
      <c r="D10" s="2">
        <f>IFERROR(__xludf.DUMMYFUNCTION("""COMPUTED_VALUE"""),16.17)</f>
        <v>16.17</v>
      </c>
      <c r="E10" s="2">
        <f>IFERROR(__xludf.DUMMYFUNCTION("""COMPUTED_VALUE"""),16.9)</f>
        <v>16.9</v>
      </c>
      <c r="F10" s="2">
        <f>IFERROR(__xludf.DUMMYFUNCTION("""COMPUTED_VALUE"""),4.4728706E7)</f>
        <v>44728706</v>
      </c>
    </row>
    <row r="11">
      <c r="A11" s="3">
        <f>IFERROR(__xludf.DUMMYFUNCTION("""COMPUTED_VALUE"""),44943.66666666667)</f>
        <v>44943.66667</v>
      </c>
      <c r="B11" s="2">
        <f>IFERROR(__xludf.DUMMYFUNCTION("""COMPUTED_VALUE"""),16.9)</f>
        <v>16.9</v>
      </c>
      <c r="C11" s="2">
        <f>IFERROR(__xludf.DUMMYFUNCTION("""COMPUTED_VALUE"""),17.73)</f>
        <v>17.73</v>
      </c>
      <c r="D11" s="2">
        <f>IFERROR(__xludf.DUMMYFUNCTION("""COMPUTED_VALUE"""),16.9)</f>
        <v>16.9</v>
      </c>
      <c r="E11" s="2">
        <f>IFERROR(__xludf.DUMMYFUNCTION("""COMPUTED_VALUE"""),17.7)</f>
        <v>17.7</v>
      </c>
      <c r="F11" s="2">
        <f>IFERROR(__xludf.DUMMYFUNCTION("""COMPUTED_VALUE"""),5.1110216E7)</f>
        <v>51110216</v>
      </c>
    </row>
    <row r="12">
      <c r="A12" s="3">
        <f>IFERROR(__xludf.DUMMYFUNCTION("""COMPUTED_VALUE"""),44944.66666666667)</f>
        <v>44944.66667</v>
      </c>
      <c r="B12" s="2">
        <f>IFERROR(__xludf.DUMMYFUNCTION("""COMPUTED_VALUE"""),17.67)</f>
        <v>17.67</v>
      </c>
      <c r="C12" s="2">
        <f>IFERROR(__xludf.DUMMYFUNCTION("""COMPUTED_VALUE"""),17.87)</f>
        <v>17.87</v>
      </c>
      <c r="D12" s="2">
        <f>IFERROR(__xludf.DUMMYFUNCTION("""COMPUTED_VALUE"""),17.28)</f>
        <v>17.28</v>
      </c>
      <c r="E12" s="2">
        <f>IFERROR(__xludf.DUMMYFUNCTION("""COMPUTED_VALUE"""),17.38)</f>
        <v>17.38</v>
      </c>
      <c r="F12" s="2">
        <f>IFERROR(__xludf.DUMMYFUNCTION("""COMPUTED_VALUE"""),4.3962355E7)</f>
        <v>43962355</v>
      </c>
    </row>
    <row r="13">
      <c r="A13" s="3">
        <f>IFERROR(__xludf.DUMMYFUNCTION("""COMPUTED_VALUE"""),44945.66666666667)</f>
        <v>44945.66667</v>
      </c>
      <c r="B13" s="2">
        <f>IFERROR(__xludf.DUMMYFUNCTION("""COMPUTED_VALUE"""),17.04)</f>
        <v>17.04</v>
      </c>
      <c r="C13" s="2">
        <f>IFERROR(__xludf.DUMMYFUNCTION("""COMPUTED_VALUE"""),17.2)</f>
        <v>17.2</v>
      </c>
      <c r="D13" s="2">
        <f>IFERROR(__xludf.DUMMYFUNCTION("""COMPUTED_VALUE"""),16.73)</f>
        <v>16.73</v>
      </c>
      <c r="E13" s="2">
        <f>IFERROR(__xludf.DUMMYFUNCTION("""COMPUTED_VALUE"""),16.77)</f>
        <v>16.77</v>
      </c>
      <c r="F13" s="2">
        <f>IFERROR(__xludf.DUMMYFUNCTION("""COMPUTED_VALUE"""),4.529316E7)</f>
        <v>45293160</v>
      </c>
    </row>
    <row r="14">
      <c r="A14" s="3">
        <f>IFERROR(__xludf.DUMMYFUNCTION("""COMPUTED_VALUE"""),44946.66666666667)</f>
        <v>44946.66667</v>
      </c>
      <c r="B14" s="2">
        <f>IFERROR(__xludf.DUMMYFUNCTION("""COMPUTED_VALUE"""),17.01)</f>
        <v>17.01</v>
      </c>
      <c r="C14" s="2">
        <f>IFERROR(__xludf.DUMMYFUNCTION("""COMPUTED_VALUE"""),17.86)</f>
        <v>17.86</v>
      </c>
      <c r="D14" s="2">
        <f>IFERROR(__xludf.DUMMYFUNCTION("""COMPUTED_VALUE"""),16.83)</f>
        <v>16.83</v>
      </c>
      <c r="E14" s="2">
        <f>IFERROR(__xludf.DUMMYFUNCTION("""COMPUTED_VALUE"""),17.84)</f>
        <v>17.84</v>
      </c>
      <c r="F14" s="2">
        <f>IFERROR(__xludf.DUMMYFUNCTION("""COMPUTED_VALUE"""),5.6496712E7)</f>
        <v>56496712</v>
      </c>
    </row>
    <row r="15">
      <c r="A15" s="3">
        <f>IFERROR(__xludf.DUMMYFUNCTION("""COMPUTED_VALUE"""),44949.66666666667)</f>
        <v>44949.66667</v>
      </c>
      <c r="B15" s="2">
        <f>IFERROR(__xludf.DUMMYFUNCTION("""COMPUTED_VALUE"""),18.06)</f>
        <v>18.06</v>
      </c>
      <c r="C15" s="2">
        <f>IFERROR(__xludf.DUMMYFUNCTION("""COMPUTED_VALUE"""),19.25)</f>
        <v>19.25</v>
      </c>
      <c r="D15" s="2">
        <f>IFERROR(__xludf.DUMMYFUNCTION("""COMPUTED_VALUE"""),17.82)</f>
        <v>17.82</v>
      </c>
      <c r="E15" s="2">
        <f>IFERROR(__xludf.DUMMYFUNCTION("""COMPUTED_VALUE"""),19.19)</f>
        <v>19.19</v>
      </c>
      <c r="F15" s="2">
        <f>IFERROR(__xludf.DUMMYFUNCTION("""COMPUTED_VALUE"""),6.5516259E7)</f>
        <v>65516259</v>
      </c>
    </row>
    <row r="16">
      <c r="A16" s="3">
        <f>IFERROR(__xludf.DUMMYFUNCTION("""COMPUTED_VALUE"""),44950.66666666667)</f>
        <v>44950.66667</v>
      </c>
      <c r="B16" s="2">
        <f>IFERROR(__xludf.DUMMYFUNCTION("""COMPUTED_VALUE"""),18.83)</f>
        <v>18.83</v>
      </c>
      <c r="C16" s="2">
        <f>IFERROR(__xludf.DUMMYFUNCTION("""COMPUTED_VALUE"""),19.5)</f>
        <v>19.5</v>
      </c>
      <c r="D16" s="2">
        <f>IFERROR(__xludf.DUMMYFUNCTION("""COMPUTED_VALUE"""),18.82)</f>
        <v>18.82</v>
      </c>
      <c r="E16" s="2">
        <f>IFERROR(__xludf.DUMMYFUNCTION("""COMPUTED_VALUE"""),19.27)</f>
        <v>19.27</v>
      </c>
      <c r="F16" s="2">
        <f>IFERROR(__xludf.DUMMYFUNCTION("""COMPUTED_VALUE"""),4.962041E7)</f>
        <v>49620410</v>
      </c>
    </row>
    <row r="17">
      <c r="A17" s="3">
        <f>IFERROR(__xludf.DUMMYFUNCTION("""COMPUTED_VALUE"""),44951.66666666667)</f>
        <v>44951.66667</v>
      </c>
      <c r="B17" s="2">
        <f>IFERROR(__xludf.DUMMYFUNCTION("""COMPUTED_VALUE"""),18.91)</f>
        <v>18.91</v>
      </c>
      <c r="C17" s="2">
        <f>IFERROR(__xludf.DUMMYFUNCTION("""COMPUTED_VALUE"""),19.37)</f>
        <v>19.37</v>
      </c>
      <c r="D17" s="2">
        <f>IFERROR(__xludf.DUMMYFUNCTION("""COMPUTED_VALUE"""),18.58)</f>
        <v>18.58</v>
      </c>
      <c r="E17" s="2">
        <f>IFERROR(__xludf.DUMMYFUNCTION("""COMPUTED_VALUE"""),19.32)</f>
        <v>19.32</v>
      </c>
      <c r="F17" s="2">
        <f>IFERROR(__xludf.DUMMYFUNCTION("""COMPUTED_VALUE"""),4.4953711E7)</f>
        <v>44953711</v>
      </c>
    </row>
    <row r="18">
      <c r="A18" s="3">
        <f>IFERROR(__xludf.DUMMYFUNCTION("""COMPUTED_VALUE"""),44952.66666666667)</f>
        <v>44952.66667</v>
      </c>
      <c r="B18" s="2">
        <f>IFERROR(__xludf.DUMMYFUNCTION("""COMPUTED_VALUE"""),19.7)</f>
        <v>19.7</v>
      </c>
      <c r="C18" s="2">
        <f>IFERROR(__xludf.DUMMYFUNCTION("""COMPUTED_VALUE"""),20.17)</f>
        <v>20.17</v>
      </c>
      <c r="D18" s="2">
        <f>IFERROR(__xludf.DUMMYFUNCTION("""COMPUTED_VALUE"""),19.28)</f>
        <v>19.28</v>
      </c>
      <c r="E18" s="2">
        <f>IFERROR(__xludf.DUMMYFUNCTION("""COMPUTED_VALUE"""),19.8)</f>
        <v>19.8</v>
      </c>
      <c r="F18" s="2">
        <f>IFERROR(__xludf.DUMMYFUNCTION("""COMPUTED_VALUE"""),4.8953542E7)</f>
        <v>48953542</v>
      </c>
    </row>
    <row r="19">
      <c r="A19" s="3">
        <f>IFERROR(__xludf.DUMMYFUNCTION("""COMPUTED_VALUE"""),44953.66666666667)</f>
        <v>44953.66667</v>
      </c>
      <c r="B19" s="2">
        <f>IFERROR(__xludf.DUMMYFUNCTION("""COMPUTED_VALUE"""),19.46)</f>
        <v>19.46</v>
      </c>
      <c r="C19" s="2">
        <f>IFERROR(__xludf.DUMMYFUNCTION("""COMPUTED_VALUE"""),20.63)</f>
        <v>20.63</v>
      </c>
      <c r="D19" s="2">
        <f>IFERROR(__xludf.DUMMYFUNCTION("""COMPUTED_VALUE"""),19.41)</f>
        <v>19.41</v>
      </c>
      <c r="E19" s="2">
        <f>IFERROR(__xludf.DUMMYFUNCTION("""COMPUTED_VALUE"""),20.36)</f>
        <v>20.36</v>
      </c>
      <c r="F19" s="2">
        <f>IFERROR(__xludf.DUMMYFUNCTION("""COMPUTED_VALUE"""),5.4214198E7)</f>
        <v>54214198</v>
      </c>
    </row>
    <row r="20">
      <c r="A20" s="3">
        <f>IFERROR(__xludf.DUMMYFUNCTION("""COMPUTED_VALUE"""),44956.66666666667)</f>
        <v>44956.66667</v>
      </c>
      <c r="B20" s="2">
        <f>IFERROR(__xludf.DUMMYFUNCTION("""COMPUTED_VALUE"""),19.95)</f>
        <v>19.95</v>
      </c>
      <c r="C20" s="2">
        <f>IFERROR(__xludf.DUMMYFUNCTION("""COMPUTED_VALUE"""),20.14)</f>
        <v>20.14</v>
      </c>
      <c r="D20" s="2">
        <f>IFERROR(__xludf.DUMMYFUNCTION("""COMPUTED_VALUE"""),19.15)</f>
        <v>19.15</v>
      </c>
      <c r="E20" s="2">
        <f>IFERROR(__xludf.DUMMYFUNCTION("""COMPUTED_VALUE"""),19.16)</f>
        <v>19.16</v>
      </c>
      <c r="F20" s="2">
        <f>IFERROR(__xludf.DUMMYFUNCTION("""COMPUTED_VALUE"""),4.8861115E7)</f>
        <v>48861115</v>
      </c>
    </row>
    <row r="21">
      <c r="A21" s="3">
        <f>IFERROR(__xludf.DUMMYFUNCTION("""COMPUTED_VALUE"""),44957.66666666667)</f>
        <v>44957.66667</v>
      </c>
      <c r="B21" s="2">
        <f>IFERROR(__xludf.DUMMYFUNCTION("""COMPUTED_VALUE"""),19.17)</f>
        <v>19.17</v>
      </c>
      <c r="C21" s="2">
        <f>IFERROR(__xludf.DUMMYFUNCTION("""COMPUTED_VALUE"""),19.69)</f>
        <v>19.69</v>
      </c>
      <c r="D21" s="2">
        <f>IFERROR(__xludf.DUMMYFUNCTION("""COMPUTED_VALUE"""),18.95)</f>
        <v>18.95</v>
      </c>
      <c r="E21" s="2">
        <f>IFERROR(__xludf.DUMMYFUNCTION("""COMPUTED_VALUE"""),19.54)</f>
        <v>19.54</v>
      </c>
      <c r="F21" s="2">
        <f>IFERROR(__xludf.DUMMYFUNCTION("""COMPUTED_VALUE"""),4.9801658E7)</f>
        <v>49801658</v>
      </c>
    </row>
    <row r="22">
      <c r="A22" s="3">
        <f>IFERROR(__xludf.DUMMYFUNCTION("""COMPUTED_VALUE"""),44958.66666666667)</f>
        <v>44958.66667</v>
      </c>
      <c r="B22" s="2">
        <f>IFERROR(__xludf.DUMMYFUNCTION("""COMPUTED_VALUE"""),19.69)</f>
        <v>19.69</v>
      </c>
      <c r="C22" s="2">
        <f>IFERROR(__xludf.DUMMYFUNCTION("""COMPUTED_VALUE"""),21.19)</f>
        <v>21.19</v>
      </c>
      <c r="D22" s="2">
        <f>IFERROR(__xludf.DUMMYFUNCTION("""COMPUTED_VALUE"""),19.61)</f>
        <v>19.61</v>
      </c>
      <c r="E22" s="2">
        <f>IFERROR(__xludf.DUMMYFUNCTION("""COMPUTED_VALUE"""),20.94)</f>
        <v>20.94</v>
      </c>
      <c r="F22" s="2">
        <f>IFERROR(__xludf.DUMMYFUNCTION("""COMPUTED_VALUE"""),6.6047704E7)</f>
        <v>66047704</v>
      </c>
    </row>
    <row r="23">
      <c r="A23" s="3">
        <f>IFERROR(__xludf.DUMMYFUNCTION("""COMPUTED_VALUE"""),44959.66666666667)</f>
        <v>44959.66667</v>
      </c>
      <c r="B23" s="2">
        <f>IFERROR(__xludf.DUMMYFUNCTION("""COMPUTED_VALUE"""),21.0)</f>
        <v>21</v>
      </c>
      <c r="C23" s="2">
        <f>IFERROR(__xludf.DUMMYFUNCTION("""COMPUTED_VALUE"""),21.95)</f>
        <v>21.95</v>
      </c>
      <c r="D23" s="2">
        <f>IFERROR(__xludf.DUMMYFUNCTION("""COMPUTED_VALUE"""),20.7)</f>
        <v>20.7</v>
      </c>
      <c r="E23" s="2">
        <f>IFERROR(__xludf.DUMMYFUNCTION("""COMPUTED_VALUE"""),21.71)</f>
        <v>21.71</v>
      </c>
      <c r="F23" s="2">
        <f>IFERROR(__xludf.DUMMYFUNCTION("""COMPUTED_VALUE"""),5.642758E7)</f>
        <v>56427580</v>
      </c>
    </row>
    <row r="24">
      <c r="A24" s="3">
        <f>IFERROR(__xludf.DUMMYFUNCTION("""COMPUTED_VALUE"""),44960.66666666667)</f>
        <v>44960.66667</v>
      </c>
      <c r="B24" s="2">
        <f>IFERROR(__xludf.DUMMYFUNCTION("""COMPUTED_VALUE"""),21.0)</f>
        <v>21</v>
      </c>
      <c r="C24" s="2">
        <f>IFERROR(__xludf.DUMMYFUNCTION("""COMPUTED_VALUE"""),21.74)</f>
        <v>21.74</v>
      </c>
      <c r="D24" s="2">
        <f>IFERROR(__xludf.DUMMYFUNCTION("""COMPUTED_VALUE"""),20.79)</f>
        <v>20.79</v>
      </c>
      <c r="E24" s="2">
        <f>IFERROR(__xludf.DUMMYFUNCTION("""COMPUTED_VALUE"""),21.1)</f>
        <v>21.1</v>
      </c>
      <c r="F24" s="2">
        <f>IFERROR(__xludf.DUMMYFUNCTION("""COMPUTED_VALUE"""),4.2936595E7)</f>
        <v>42936595</v>
      </c>
    </row>
    <row r="25">
      <c r="A25" s="3">
        <f>IFERROR(__xludf.DUMMYFUNCTION("""COMPUTED_VALUE"""),44963.66666666667)</f>
        <v>44963.66667</v>
      </c>
      <c r="B25" s="2">
        <f>IFERROR(__xludf.DUMMYFUNCTION("""COMPUTED_VALUE"""),20.81)</f>
        <v>20.81</v>
      </c>
      <c r="C25" s="2">
        <f>IFERROR(__xludf.DUMMYFUNCTION("""COMPUTED_VALUE"""),21.57)</f>
        <v>21.57</v>
      </c>
      <c r="D25" s="2">
        <f>IFERROR(__xludf.DUMMYFUNCTION("""COMPUTED_VALUE"""),20.79)</f>
        <v>20.79</v>
      </c>
      <c r="E25" s="2">
        <f>IFERROR(__xludf.DUMMYFUNCTION("""COMPUTED_VALUE"""),21.09)</f>
        <v>21.09</v>
      </c>
      <c r="F25" s="2">
        <f>IFERROR(__xludf.DUMMYFUNCTION("""COMPUTED_VALUE"""),4.5219709E7)</f>
        <v>45219709</v>
      </c>
    </row>
    <row r="26">
      <c r="A26" s="3">
        <f>IFERROR(__xludf.DUMMYFUNCTION("""COMPUTED_VALUE"""),44964.66666666667)</f>
        <v>44964.66667</v>
      </c>
      <c r="B26" s="2">
        <f>IFERROR(__xludf.DUMMYFUNCTION("""COMPUTED_VALUE"""),21.38)</f>
        <v>21.38</v>
      </c>
      <c r="C26" s="2">
        <f>IFERROR(__xludf.DUMMYFUNCTION("""COMPUTED_VALUE"""),22.26)</f>
        <v>22.26</v>
      </c>
      <c r="D26" s="2">
        <f>IFERROR(__xludf.DUMMYFUNCTION("""COMPUTED_VALUE"""),21.15)</f>
        <v>21.15</v>
      </c>
      <c r="E26" s="2">
        <f>IFERROR(__xludf.DUMMYFUNCTION("""COMPUTED_VALUE"""),22.17)</f>
        <v>22.17</v>
      </c>
      <c r="F26" s="2">
        <f>IFERROR(__xludf.DUMMYFUNCTION("""COMPUTED_VALUE"""),6.6414961E7)</f>
        <v>66414961</v>
      </c>
    </row>
    <row r="27">
      <c r="A27" s="3">
        <f>IFERROR(__xludf.DUMMYFUNCTION("""COMPUTED_VALUE"""),44965.66666666667)</f>
        <v>44965.66667</v>
      </c>
      <c r="B27" s="2">
        <f>IFERROR(__xludf.DUMMYFUNCTION("""COMPUTED_VALUE"""),22.39)</f>
        <v>22.39</v>
      </c>
      <c r="C27" s="2">
        <f>IFERROR(__xludf.DUMMYFUNCTION("""COMPUTED_VALUE"""),22.88)</f>
        <v>22.88</v>
      </c>
      <c r="D27" s="2">
        <f>IFERROR(__xludf.DUMMYFUNCTION("""COMPUTED_VALUE"""),22.01)</f>
        <v>22.01</v>
      </c>
      <c r="E27" s="2">
        <f>IFERROR(__xludf.DUMMYFUNCTION("""COMPUTED_VALUE"""),22.21)</f>
        <v>22.21</v>
      </c>
      <c r="F27" s="2">
        <f>IFERROR(__xludf.DUMMYFUNCTION("""COMPUTED_VALUE"""),5.5965122E7)</f>
        <v>55965122</v>
      </c>
    </row>
    <row r="28">
      <c r="A28" s="3">
        <f>IFERROR(__xludf.DUMMYFUNCTION("""COMPUTED_VALUE"""),44966.66666666667)</f>
        <v>44966.66667</v>
      </c>
      <c r="B28" s="2">
        <f>IFERROR(__xludf.DUMMYFUNCTION("""COMPUTED_VALUE"""),22.61)</f>
        <v>22.61</v>
      </c>
      <c r="C28" s="2">
        <f>IFERROR(__xludf.DUMMYFUNCTION("""COMPUTED_VALUE"""),23.02)</f>
        <v>23.02</v>
      </c>
      <c r="D28" s="2">
        <f>IFERROR(__xludf.DUMMYFUNCTION("""COMPUTED_VALUE"""),22.12)</f>
        <v>22.12</v>
      </c>
      <c r="E28" s="2">
        <f>IFERROR(__xludf.DUMMYFUNCTION("""COMPUTED_VALUE"""),22.34)</f>
        <v>22.34</v>
      </c>
      <c r="F28" s="2">
        <f>IFERROR(__xludf.DUMMYFUNCTION("""COMPUTED_VALUE"""),5.2387578E7)</f>
        <v>52387578</v>
      </c>
    </row>
    <row r="29">
      <c r="A29" s="3">
        <f>IFERROR(__xludf.DUMMYFUNCTION("""COMPUTED_VALUE"""),44967.66666666667)</f>
        <v>44967.66667</v>
      </c>
      <c r="B29" s="2">
        <f>IFERROR(__xludf.DUMMYFUNCTION("""COMPUTED_VALUE"""),21.69)</f>
        <v>21.69</v>
      </c>
      <c r="C29" s="2">
        <f>IFERROR(__xludf.DUMMYFUNCTION("""COMPUTED_VALUE"""),22.08)</f>
        <v>22.08</v>
      </c>
      <c r="D29" s="2">
        <f>IFERROR(__xludf.DUMMYFUNCTION("""COMPUTED_VALUE"""),20.81)</f>
        <v>20.81</v>
      </c>
      <c r="E29" s="2">
        <f>IFERROR(__xludf.DUMMYFUNCTION("""COMPUTED_VALUE"""),21.27)</f>
        <v>21.27</v>
      </c>
      <c r="F29" s="2">
        <f>IFERROR(__xludf.DUMMYFUNCTION("""COMPUTED_VALUE"""),5.5073675E7)</f>
        <v>55073675</v>
      </c>
    </row>
    <row r="30">
      <c r="A30" s="3">
        <f>IFERROR(__xludf.DUMMYFUNCTION("""COMPUTED_VALUE"""),44970.66666666667)</f>
        <v>44970.66667</v>
      </c>
      <c r="B30" s="2">
        <f>IFERROR(__xludf.DUMMYFUNCTION("""COMPUTED_VALUE"""),21.54)</f>
        <v>21.54</v>
      </c>
      <c r="C30" s="2">
        <f>IFERROR(__xludf.DUMMYFUNCTION("""COMPUTED_VALUE"""),22.05)</f>
        <v>22.05</v>
      </c>
      <c r="D30" s="2">
        <f>IFERROR(__xludf.DUMMYFUNCTION("""COMPUTED_VALUE"""),20.96)</f>
        <v>20.96</v>
      </c>
      <c r="E30" s="2">
        <f>IFERROR(__xludf.DUMMYFUNCTION("""COMPUTED_VALUE"""),21.79)</f>
        <v>21.79</v>
      </c>
      <c r="F30" s="2">
        <f>IFERROR(__xludf.DUMMYFUNCTION("""COMPUTED_VALUE"""),4.7491862E7)</f>
        <v>47491862</v>
      </c>
    </row>
    <row r="31">
      <c r="A31" s="3">
        <f>IFERROR(__xludf.DUMMYFUNCTION("""COMPUTED_VALUE"""),44971.66666666667)</f>
        <v>44971.66667</v>
      </c>
      <c r="B31" s="2">
        <f>IFERROR(__xludf.DUMMYFUNCTION("""COMPUTED_VALUE"""),21.58)</f>
        <v>21.58</v>
      </c>
      <c r="C31" s="2">
        <f>IFERROR(__xludf.DUMMYFUNCTION("""COMPUTED_VALUE"""),23.05)</f>
        <v>23.05</v>
      </c>
      <c r="D31" s="2">
        <f>IFERROR(__xludf.DUMMYFUNCTION("""COMPUTED_VALUE"""),21.37)</f>
        <v>21.37</v>
      </c>
      <c r="E31" s="2">
        <f>IFERROR(__xludf.DUMMYFUNCTION("""COMPUTED_VALUE"""),22.97)</f>
        <v>22.97</v>
      </c>
      <c r="F31" s="2">
        <f>IFERROR(__xludf.DUMMYFUNCTION("""COMPUTED_VALUE"""),6.754735E7)</f>
        <v>67547350</v>
      </c>
    </row>
    <row r="32">
      <c r="A32" s="3">
        <f>IFERROR(__xludf.DUMMYFUNCTION("""COMPUTED_VALUE"""),44972.66666666667)</f>
        <v>44972.66667</v>
      </c>
      <c r="B32" s="2">
        <f>IFERROR(__xludf.DUMMYFUNCTION("""COMPUTED_VALUE"""),22.55)</f>
        <v>22.55</v>
      </c>
      <c r="C32" s="2">
        <f>IFERROR(__xludf.DUMMYFUNCTION("""COMPUTED_VALUE"""),22.86)</f>
        <v>22.86</v>
      </c>
      <c r="D32" s="2">
        <f>IFERROR(__xludf.DUMMYFUNCTION("""COMPUTED_VALUE"""),22.11)</f>
        <v>22.11</v>
      </c>
      <c r="E32" s="2">
        <f>IFERROR(__xludf.DUMMYFUNCTION("""COMPUTED_VALUE"""),22.76)</f>
        <v>22.76</v>
      </c>
      <c r="F32" s="2">
        <f>IFERROR(__xludf.DUMMYFUNCTION("""COMPUTED_VALUE"""),4.2118826E7)</f>
        <v>42118826</v>
      </c>
    </row>
    <row r="33">
      <c r="A33" s="3">
        <f>IFERROR(__xludf.DUMMYFUNCTION("""COMPUTED_VALUE"""),44973.66666666667)</f>
        <v>44973.66667</v>
      </c>
      <c r="B33" s="2">
        <f>IFERROR(__xludf.DUMMYFUNCTION("""COMPUTED_VALUE"""),22.13)</f>
        <v>22.13</v>
      </c>
      <c r="C33" s="2">
        <f>IFERROR(__xludf.DUMMYFUNCTION("""COMPUTED_VALUE"""),22.55)</f>
        <v>22.55</v>
      </c>
      <c r="D33" s="2">
        <f>IFERROR(__xludf.DUMMYFUNCTION("""COMPUTED_VALUE"""),21.93)</f>
        <v>21.93</v>
      </c>
      <c r="E33" s="2">
        <f>IFERROR(__xludf.DUMMYFUNCTION("""COMPUTED_VALUE"""),22.0)</f>
        <v>22</v>
      </c>
      <c r="F33" s="2">
        <f>IFERROR(__xludf.DUMMYFUNCTION("""COMPUTED_VALUE"""),4.1202628E7)</f>
        <v>41202628</v>
      </c>
    </row>
    <row r="34">
      <c r="A34" s="3">
        <f>IFERROR(__xludf.DUMMYFUNCTION("""COMPUTED_VALUE"""),44974.66666666667)</f>
        <v>44974.66667</v>
      </c>
      <c r="B34" s="2">
        <f>IFERROR(__xludf.DUMMYFUNCTION("""COMPUTED_VALUE"""),21.63)</f>
        <v>21.63</v>
      </c>
      <c r="C34" s="2">
        <f>IFERROR(__xludf.DUMMYFUNCTION("""COMPUTED_VALUE"""),21.74)</f>
        <v>21.74</v>
      </c>
      <c r="D34" s="2">
        <f>IFERROR(__xludf.DUMMYFUNCTION("""COMPUTED_VALUE"""),20.98)</f>
        <v>20.98</v>
      </c>
      <c r="E34" s="2">
        <f>IFERROR(__xludf.DUMMYFUNCTION("""COMPUTED_VALUE"""),21.39)</f>
        <v>21.39</v>
      </c>
      <c r="F34" s="2">
        <f>IFERROR(__xludf.DUMMYFUNCTION("""COMPUTED_VALUE"""),4.6588764E7)</f>
        <v>46588764</v>
      </c>
    </row>
    <row r="35">
      <c r="A35" s="3">
        <f>IFERROR(__xludf.DUMMYFUNCTION("""COMPUTED_VALUE"""),44978.66666666667)</f>
        <v>44978.66667</v>
      </c>
      <c r="B35" s="2">
        <f>IFERROR(__xludf.DUMMYFUNCTION("""COMPUTED_VALUE"""),21.0)</f>
        <v>21</v>
      </c>
      <c r="C35" s="2">
        <f>IFERROR(__xludf.DUMMYFUNCTION("""COMPUTED_VALUE"""),21.49)</f>
        <v>21.49</v>
      </c>
      <c r="D35" s="2">
        <f>IFERROR(__xludf.DUMMYFUNCTION("""COMPUTED_VALUE"""),20.62)</f>
        <v>20.62</v>
      </c>
      <c r="E35" s="2">
        <f>IFERROR(__xludf.DUMMYFUNCTION("""COMPUTED_VALUE"""),20.66)</f>
        <v>20.66</v>
      </c>
      <c r="F35" s="2">
        <f>IFERROR(__xludf.DUMMYFUNCTION("""COMPUTED_VALUE"""),4.1001455E7)</f>
        <v>41001455</v>
      </c>
    </row>
    <row r="36">
      <c r="A36" s="3">
        <f>IFERROR(__xludf.DUMMYFUNCTION("""COMPUTED_VALUE"""),44979.66666666667)</f>
        <v>44979.66667</v>
      </c>
      <c r="B36" s="2">
        <f>IFERROR(__xludf.DUMMYFUNCTION("""COMPUTED_VALUE"""),20.71)</f>
        <v>20.71</v>
      </c>
      <c r="C36" s="2">
        <f>IFERROR(__xludf.DUMMYFUNCTION("""COMPUTED_VALUE"""),21.1)</f>
        <v>21.1</v>
      </c>
      <c r="D36" s="2">
        <f>IFERROR(__xludf.DUMMYFUNCTION("""COMPUTED_VALUE"""),20.42)</f>
        <v>20.42</v>
      </c>
      <c r="E36" s="2">
        <f>IFERROR(__xludf.DUMMYFUNCTION("""COMPUTED_VALUE"""),20.75)</f>
        <v>20.75</v>
      </c>
      <c r="F36" s="2">
        <f>IFERROR(__xludf.DUMMYFUNCTION("""COMPUTED_VALUE"""),5.1318432E7)</f>
        <v>51318432</v>
      </c>
    </row>
    <row r="37">
      <c r="A37" s="3">
        <f>IFERROR(__xludf.DUMMYFUNCTION("""COMPUTED_VALUE"""),44980.66666666667)</f>
        <v>44980.66667</v>
      </c>
      <c r="B37" s="2">
        <f>IFERROR(__xludf.DUMMYFUNCTION("""COMPUTED_VALUE"""),23.44)</f>
        <v>23.44</v>
      </c>
      <c r="C37" s="2">
        <f>IFERROR(__xludf.DUMMYFUNCTION("""COMPUTED_VALUE"""),23.89)</f>
        <v>23.89</v>
      </c>
      <c r="D37" s="2">
        <f>IFERROR(__xludf.DUMMYFUNCTION("""COMPUTED_VALUE"""),23.03)</f>
        <v>23.03</v>
      </c>
      <c r="E37" s="2">
        <f>IFERROR(__xludf.DUMMYFUNCTION("""COMPUTED_VALUE"""),23.66)</f>
        <v>23.66</v>
      </c>
      <c r="F37" s="2">
        <f>IFERROR(__xludf.DUMMYFUNCTION("""COMPUTED_VALUE"""),1.11799541E8)</f>
        <v>111799541</v>
      </c>
    </row>
    <row r="38">
      <c r="A38" s="3">
        <f>IFERROR(__xludf.DUMMYFUNCTION("""COMPUTED_VALUE"""),44981.66666666667)</f>
        <v>44981.66667</v>
      </c>
      <c r="B38" s="2">
        <f>IFERROR(__xludf.DUMMYFUNCTION("""COMPUTED_VALUE"""),23.23)</f>
        <v>23.23</v>
      </c>
      <c r="C38" s="2">
        <f>IFERROR(__xludf.DUMMYFUNCTION("""COMPUTED_VALUE"""),23.47)</f>
        <v>23.47</v>
      </c>
      <c r="D38" s="2">
        <f>IFERROR(__xludf.DUMMYFUNCTION("""COMPUTED_VALUE"""),22.95)</f>
        <v>22.95</v>
      </c>
      <c r="E38" s="2">
        <f>IFERROR(__xludf.DUMMYFUNCTION("""COMPUTED_VALUE"""),23.29)</f>
        <v>23.29</v>
      </c>
      <c r="F38" s="2">
        <f>IFERROR(__xludf.DUMMYFUNCTION("""COMPUTED_VALUE"""),5.8971591E7)</f>
        <v>58971591</v>
      </c>
    </row>
    <row r="39">
      <c r="A39" s="3">
        <f>IFERROR(__xludf.DUMMYFUNCTION("""COMPUTED_VALUE"""),44984.66666666667)</f>
        <v>44984.66667</v>
      </c>
      <c r="B39" s="2">
        <f>IFERROR(__xludf.DUMMYFUNCTION("""COMPUTED_VALUE"""),23.67)</f>
        <v>23.67</v>
      </c>
      <c r="C39" s="2">
        <f>IFERROR(__xludf.DUMMYFUNCTION("""COMPUTED_VALUE"""),23.88)</f>
        <v>23.88</v>
      </c>
      <c r="D39" s="2">
        <f>IFERROR(__xludf.DUMMYFUNCTION("""COMPUTED_VALUE"""),23.45)</f>
        <v>23.45</v>
      </c>
      <c r="E39" s="2">
        <f>IFERROR(__xludf.DUMMYFUNCTION("""COMPUTED_VALUE"""),23.5)</f>
        <v>23.5</v>
      </c>
      <c r="F39" s="2">
        <f>IFERROR(__xludf.DUMMYFUNCTION("""COMPUTED_VALUE"""),4.5299367E7)</f>
        <v>45299367</v>
      </c>
    </row>
    <row r="40">
      <c r="A40" s="3">
        <f>IFERROR(__xludf.DUMMYFUNCTION("""COMPUTED_VALUE"""),44985.66666666667)</f>
        <v>44985.66667</v>
      </c>
      <c r="B40" s="2">
        <f>IFERROR(__xludf.DUMMYFUNCTION("""COMPUTED_VALUE"""),23.37)</f>
        <v>23.37</v>
      </c>
      <c r="C40" s="2">
        <f>IFERROR(__xludf.DUMMYFUNCTION("""COMPUTED_VALUE"""),23.83)</f>
        <v>23.83</v>
      </c>
      <c r="D40" s="2">
        <f>IFERROR(__xludf.DUMMYFUNCTION("""COMPUTED_VALUE"""),23.21)</f>
        <v>23.21</v>
      </c>
      <c r="E40" s="2">
        <f>IFERROR(__xludf.DUMMYFUNCTION("""COMPUTED_VALUE"""),23.22)</f>
        <v>23.22</v>
      </c>
      <c r="F40" s="2">
        <f>IFERROR(__xludf.DUMMYFUNCTION("""COMPUTED_VALUE"""),4.559628E7)</f>
        <v>45596280</v>
      </c>
    </row>
    <row r="41">
      <c r="A41" s="3">
        <f>IFERROR(__xludf.DUMMYFUNCTION("""COMPUTED_VALUE"""),44986.66666666667)</f>
        <v>44986.66667</v>
      </c>
      <c r="B41" s="2">
        <f>IFERROR(__xludf.DUMMYFUNCTION("""COMPUTED_VALUE"""),23.19)</f>
        <v>23.19</v>
      </c>
      <c r="C41" s="2">
        <f>IFERROR(__xludf.DUMMYFUNCTION("""COMPUTED_VALUE"""),23.26)</f>
        <v>23.26</v>
      </c>
      <c r="D41" s="2">
        <f>IFERROR(__xludf.DUMMYFUNCTION("""COMPUTED_VALUE"""),22.51)</f>
        <v>22.51</v>
      </c>
      <c r="E41" s="2">
        <f>IFERROR(__xludf.DUMMYFUNCTION("""COMPUTED_VALUE"""),22.7)</f>
        <v>22.7</v>
      </c>
      <c r="F41" s="2">
        <f>IFERROR(__xludf.DUMMYFUNCTION("""COMPUTED_VALUE"""),4.6002562E7)</f>
        <v>46002562</v>
      </c>
    </row>
    <row r="42">
      <c r="A42" s="3">
        <f>IFERROR(__xludf.DUMMYFUNCTION("""COMPUTED_VALUE"""),44987.66666666667)</f>
        <v>44987.66667</v>
      </c>
      <c r="B42" s="2">
        <f>IFERROR(__xludf.DUMMYFUNCTION("""COMPUTED_VALUE"""),22.49)</f>
        <v>22.49</v>
      </c>
      <c r="C42" s="2">
        <f>IFERROR(__xludf.DUMMYFUNCTION("""COMPUTED_VALUE"""),23.38)</f>
        <v>23.38</v>
      </c>
      <c r="D42" s="2">
        <f>IFERROR(__xludf.DUMMYFUNCTION("""COMPUTED_VALUE"""),22.43)</f>
        <v>22.43</v>
      </c>
      <c r="E42" s="2">
        <f>IFERROR(__xludf.DUMMYFUNCTION("""COMPUTED_VALUE"""),23.31)</f>
        <v>23.31</v>
      </c>
      <c r="F42" s="2">
        <f>IFERROR(__xludf.DUMMYFUNCTION("""COMPUTED_VALUE"""),3.9007465E7)</f>
        <v>39007465</v>
      </c>
    </row>
    <row r="43">
      <c r="A43" s="3">
        <f>IFERROR(__xludf.DUMMYFUNCTION("""COMPUTED_VALUE"""),44988.66666666667)</f>
        <v>44988.66667</v>
      </c>
      <c r="B43" s="2">
        <f>IFERROR(__xludf.DUMMYFUNCTION("""COMPUTED_VALUE"""),23.32)</f>
        <v>23.32</v>
      </c>
      <c r="C43" s="2">
        <f>IFERROR(__xludf.DUMMYFUNCTION("""COMPUTED_VALUE"""),23.9)</f>
        <v>23.9</v>
      </c>
      <c r="D43" s="2">
        <f>IFERROR(__xludf.DUMMYFUNCTION("""COMPUTED_VALUE"""),23.13)</f>
        <v>23.13</v>
      </c>
      <c r="E43" s="2">
        <f>IFERROR(__xludf.DUMMYFUNCTION("""COMPUTED_VALUE"""),23.89)</f>
        <v>23.89</v>
      </c>
      <c r="F43" s="2">
        <f>IFERROR(__xludf.DUMMYFUNCTION("""COMPUTED_VALUE"""),4.123933E7)</f>
        <v>41239330</v>
      </c>
    </row>
    <row r="44">
      <c r="A44" s="3">
        <f>IFERROR(__xludf.DUMMYFUNCTION("""COMPUTED_VALUE"""),44991.66666666667)</f>
        <v>44991.66667</v>
      </c>
      <c r="B44" s="2">
        <f>IFERROR(__xludf.DUMMYFUNCTION("""COMPUTED_VALUE"""),23.89)</f>
        <v>23.89</v>
      </c>
      <c r="C44" s="2">
        <f>IFERROR(__xludf.DUMMYFUNCTION("""COMPUTED_VALUE"""),24.25)</f>
        <v>24.25</v>
      </c>
      <c r="D44" s="2">
        <f>IFERROR(__xludf.DUMMYFUNCTION("""COMPUTED_VALUE"""),23.49)</f>
        <v>23.49</v>
      </c>
      <c r="E44" s="2">
        <f>IFERROR(__xludf.DUMMYFUNCTION("""COMPUTED_VALUE"""),23.55)</f>
        <v>23.55</v>
      </c>
      <c r="F44" s="2">
        <f>IFERROR(__xludf.DUMMYFUNCTION("""COMPUTED_VALUE"""),4.3742923E7)</f>
        <v>43742923</v>
      </c>
    </row>
    <row r="45">
      <c r="A45" s="3">
        <f>IFERROR(__xludf.DUMMYFUNCTION("""COMPUTED_VALUE"""),44992.66666666667)</f>
        <v>44992.66667</v>
      </c>
      <c r="B45" s="2">
        <f>IFERROR(__xludf.DUMMYFUNCTION("""COMPUTED_VALUE"""),23.6)</f>
        <v>23.6</v>
      </c>
      <c r="C45" s="2">
        <f>IFERROR(__xludf.DUMMYFUNCTION("""COMPUTED_VALUE"""),24.13)</f>
        <v>24.13</v>
      </c>
      <c r="D45" s="2">
        <f>IFERROR(__xludf.DUMMYFUNCTION("""COMPUTED_VALUE"""),23.24)</f>
        <v>23.24</v>
      </c>
      <c r="E45" s="2">
        <f>IFERROR(__xludf.DUMMYFUNCTION("""COMPUTED_VALUE"""),23.29)</f>
        <v>23.29</v>
      </c>
      <c r="F45" s="2">
        <f>IFERROR(__xludf.DUMMYFUNCTION("""COMPUTED_VALUE"""),5.1515388E7)</f>
        <v>51515388</v>
      </c>
    </row>
    <row r="46">
      <c r="A46" s="3">
        <f>IFERROR(__xludf.DUMMYFUNCTION("""COMPUTED_VALUE"""),44993.66666666667)</f>
        <v>44993.66667</v>
      </c>
      <c r="B46" s="2">
        <f>IFERROR(__xludf.DUMMYFUNCTION("""COMPUTED_VALUE"""),23.49)</f>
        <v>23.49</v>
      </c>
      <c r="C46" s="2">
        <f>IFERROR(__xludf.DUMMYFUNCTION("""COMPUTED_VALUE"""),24.2)</f>
        <v>24.2</v>
      </c>
      <c r="D46" s="2">
        <f>IFERROR(__xludf.DUMMYFUNCTION("""COMPUTED_VALUE"""),23.42)</f>
        <v>23.42</v>
      </c>
      <c r="E46" s="2">
        <f>IFERROR(__xludf.DUMMYFUNCTION("""COMPUTED_VALUE"""),24.18)</f>
        <v>24.18</v>
      </c>
      <c r="F46" s="2">
        <f>IFERROR(__xludf.DUMMYFUNCTION("""COMPUTED_VALUE"""),5.1357339E7)</f>
        <v>51357339</v>
      </c>
    </row>
    <row r="47">
      <c r="A47" s="3">
        <f>IFERROR(__xludf.DUMMYFUNCTION("""COMPUTED_VALUE"""),44994.66666666667)</f>
        <v>44994.66667</v>
      </c>
      <c r="B47" s="2">
        <f>IFERROR(__xludf.DUMMYFUNCTION("""COMPUTED_VALUE"""),24.18)</f>
        <v>24.18</v>
      </c>
      <c r="C47" s="2">
        <f>IFERROR(__xludf.DUMMYFUNCTION("""COMPUTED_VALUE"""),24.45)</f>
        <v>24.45</v>
      </c>
      <c r="D47" s="2">
        <f>IFERROR(__xludf.DUMMYFUNCTION("""COMPUTED_VALUE"""),23.38)</f>
        <v>23.38</v>
      </c>
      <c r="E47" s="2">
        <f>IFERROR(__xludf.DUMMYFUNCTION("""COMPUTED_VALUE"""),23.44)</f>
        <v>23.44</v>
      </c>
      <c r="F47" s="2">
        <f>IFERROR(__xludf.DUMMYFUNCTION("""COMPUTED_VALUE"""),5.0125699E7)</f>
        <v>50125699</v>
      </c>
    </row>
    <row r="48">
      <c r="A48" s="3">
        <f>IFERROR(__xludf.DUMMYFUNCTION("""COMPUTED_VALUE"""),44995.66666666667)</f>
        <v>44995.66667</v>
      </c>
      <c r="B48" s="2">
        <f>IFERROR(__xludf.DUMMYFUNCTION("""COMPUTED_VALUE"""),23.41)</f>
        <v>23.41</v>
      </c>
      <c r="C48" s="2">
        <f>IFERROR(__xludf.DUMMYFUNCTION("""COMPUTED_VALUE"""),23.63)</f>
        <v>23.63</v>
      </c>
      <c r="D48" s="2">
        <f>IFERROR(__xludf.DUMMYFUNCTION("""COMPUTED_VALUE"""),22.73)</f>
        <v>22.73</v>
      </c>
      <c r="E48" s="2">
        <f>IFERROR(__xludf.DUMMYFUNCTION("""COMPUTED_VALUE"""),22.97)</f>
        <v>22.97</v>
      </c>
      <c r="F48" s="2">
        <f>IFERROR(__xludf.DUMMYFUNCTION("""COMPUTED_VALUE"""),4.7486565E7)</f>
        <v>47486565</v>
      </c>
    </row>
    <row r="49">
      <c r="A49" s="3">
        <f>IFERROR(__xludf.DUMMYFUNCTION("""COMPUTED_VALUE"""),44998.66666666667)</f>
        <v>44998.66667</v>
      </c>
      <c r="B49" s="2">
        <f>IFERROR(__xludf.DUMMYFUNCTION("""COMPUTED_VALUE"""),22.75)</f>
        <v>22.75</v>
      </c>
      <c r="C49" s="2">
        <f>IFERROR(__xludf.DUMMYFUNCTION("""COMPUTED_VALUE"""),23.3)</f>
        <v>23.3</v>
      </c>
      <c r="D49" s="2">
        <f>IFERROR(__xludf.DUMMYFUNCTION("""COMPUTED_VALUE"""),22.3)</f>
        <v>22.3</v>
      </c>
      <c r="E49" s="2">
        <f>IFERROR(__xludf.DUMMYFUNCTION("""COMPUTED_VALUE"""),22.97)</f>
        <v>22.97</v>
      </c>
      <c r="F49" s="2">
        <f>IFERROR(__xludf.DUMMYFUNCTION("""COMPUTED_VALUE"""),4.2189032E7)</f>
        <v>42189032</v>
      </c>
    </row>
    <row r="50">
      <c r="A50" s="3">
        <f>IFERROR(__xludf.DUMMYFUNCTION("""COMPUTED_VALUE"""),44999.66666666667)</f>
        <v>44999.66667</v>
      </c>
      <c r="B50" s="2">
        <f>IFERROR(__xludf.DUMMYFUNCTION("""COMPUTED_VALUE"""),23.5)</f>
        <v>23.5</v>
      </c>
      <c r="C50" s="2">
        <f>IFERROR(__xludf.DUMMYFUNCTION("""COMPUTED_VALUE"""),24.22)</f>
        <v>24.22</v>
      </c>
      <c r="D50" s="2">
        <f>IFERROR(__xludf.DUMMYFUNCTION("""COMPUTED_VALUE"""),23.46)</f>
        <v>23.46</v>
      </c>
      <c r="E50" s="2">
        <f>IFERROR(__xludf.DUMMYFUNCTION("""COMPUTED_VALUE"""),24.06)</f>
        <v>24.06</v>
      </c>
      <c r="F50" s="2">
        <f>IFERROR(__xludf.DUMMYFUNCTION("""COMPUTED_VALUE"""),4.7491013E7)</f>
        <v>47491013</v>
      </c>
    </row>
    <row r="51">
      <c r="A51" s="3">
        <f>IFERROR(__xludf.DUMMYFUNCTION("""COMPUTED_VALUE"""),45000.66666666667)</f>
        <v>45000.66667</v>
      </c>
      <c r="B51" s="2">
        <f>IFERROR(__xludf.DUMMYFUNCTION("""COMPUTED_VALUE"""),23.76)</f>
        <v>23.76</v>
      </c>
      <c r="C51" s="2">
        <f>IFERROR(__xludf.DUMMYFUNCTION("""COMPUTED_VALUE"""),24.29)</f>
        <v>24.29</v>
      </c>
      <c r="D51" s="2">
        <f>IFERROR(__xludf.DUMMYFUNCTION("""COMPUTED_VALUE"""),23.36)</f>
        <v>23.36</v>
      </c>
      <c r="E51" s="2">
        <f>IFERROR(__xludf.DUMMYFUNCTION("""COMPUTED_VALUE"""),24.23)</f>
        <v>24.23</v>
      </c>
      <c r="F51" s="2">
        <f>IFERROR(__xludf.DUMMYFUNCTION("""COMPUTED_VALUE"""),5.2448574E7)</f>
        <v>52448574</v>
      </c>
    </row>
    <row r="52">
      <c r="A52" s="3">
        <f>IFERROR(__xludf.DUMMYFUNCTION("""COMPUTED_VALUE"""),45001.66666666667)</f>
        <v>45001.66667</v>
      </c>
      <c r="B52" s="2">
        <f>IFERROR(__xludf.DUMMYFUNCTION("""COMPUTED_VALUE"""),24.03)</f>
        <v>24.03</v>
      </c>
      <c r="C52" s="2">
        <f>IFERROR(__xludf.DUMMYFUNCTION("""COMPUTED_VALUE"""),25.59)</f>
        <v>25.59</v>
      </c>
      <c r="D52" s="2">
        <f>IFERROR(__xludf.DUMMYFUNCTION("""COMPUTED_VALUE"""),23.89)</f>
        <v>23.89</v>
      </c>
      <c r="E52" s="2">
        <f>IFERROR(__xludf.DUMMYFUNCTION("""COMPUTED_VALUE"""),25.54)</f>
        <v>25.54</v>
      </c>
      <c r="F52" s="2">
        <f>IFERROR(__xludf.DUMMYFUNCTION("""COMPUTED_VALUE"""),5.8494626E7)</f>
        <v>58494626</v>
      </c>
    </row>
    <row r="53">
      <c r="A53" s="3">
        <f>IFERROR(__xludf.DUMMYFUNCTION("""COMPUTED_VALUE"""),45002.66666666667)</f>
        <v>45002.66667</v>
      </c>
      <c r="B53" s="2">
        <f>IFERROR(__xludf.DUMMYFUNCTION("""COMPUTED_VALUE"""),25.98)</f>
        <v>25.98</v>
      </c>
      <c r="C53" s="2">
        <f>IFERROR(__xludf.DUMMYFUNCTION("""COMPUTED_VALUE"""),26.4)</f>
        <v>26.4</v>
      </c>
      <c r="D53" s="2">
        <f>IFERROR(__xludf.DUMMYFUNCTION("""COMPUTED_VALUE"""),25.67)</f>
        <v>25.67</v>
      </c>
      <c r="E53" s="2">
        <f>IFERROR(__xludf.DUMMYFUNCTION("""COMPUTED_VALUE"""),25.73)</f>
        <v>25.73</v>
      </c>
      <c r="F53" s="2">
        <f>IFERROR(__xludf.DUMMYFUNCTION("""COMPUTED_VALUE"""),8.4854656E7)</f>
        <v>84854656</v>
      </c>
    </row>
    <row r="54">
      <c r="A54" s="3">
        <f>IFERROR(__xludf.DUMMYFUNCTION("""COMPUTED_VALUE"""),45005.66666666667)</f>
        <v>45005.66667</v>
      </c>
      <c r="B54" s="2">
        <f>IFERROR(__xludf.DUMMYFUNCTION("""COMPUTED_VALUE"""),25.62)</f>
        <v>25.62</v>
      </c>
      <c r="C54" s="2">
        <f>IFERROR(__xludf.DUMMYFUNCTION("""COMPUTED_VALUE"""),26.02)</f>
        <v>26.02</v>
      </c>
      <c r="D54" s="2">
        <f>IFERROR(__xludf.DUMMYFUNCTION("""COMPUTED_VALUE"""),25.13)</f>
        <v>25.13</v>
      </c>
      <c r="E54" s="2">
        <f>IFERROR(__xludf.DUMMYFUNCTION("""COMPUTED_VALUE"""),25.9)</f>
        <v>25.9</v>
      </c>
      <c r="F54" s="2">
        <f>IFERROR(__xludf.DUMMYFUNCTION("""COMPUTED_VALUE"""),4.3274719E7)</f>
        <v>43274719</v>
      </c>
    </row>
    <row r="55">
      <c r="A55" s="3">
        <f>IFERROR(__xludf.DUMMYFUNCTION("""COMPUTED_VALUE"""),45006.66666666667)</f>
        <v>45006.66667</v>
      </c>
      <c r="B55" s="2">
        <f>IFERROR(__xludf.DUMMYFUNCTION("""COMPUTED_VALUE"""),26.18)</f>
        <v>26.18</v>
      </c>
      <c r="C55" s="2">
        <f>IFERROR(__xludf.DUMMYFUNCTION("""COMPUTED_VALUE"""),26.39)</f>
        <v>26.39</v>
      </c>
      <c r="D55" s="2">
        <f>IFERROR(__xludf.DUMMYFUNCTION("""COMPUTED_VALUE"""),25.38)</f>
        <v>25.38</v>
      </c>
      <c r="E55" s="2">
        <f>IFERROR(__xludf.DUMMYFUNCTION("""COMPUTED_VALUE"""),26.2)</f>
        <v>26.2</v>
      </c>
      <c r="F55" s="2">
        <f>IFERROR(__xludf.DUMMYFUNCTION("""COMPUTED_VALUE"""),5.4740776E7)</f>
        <v>54740776</v>
      </c>
    </row>
    <row r="56">
      <c r="A56" s="3">
        <f>IFERROR(__xludf.DUMMYFUNCTION("""COMPUTED_VALUE"""),45007.66666666667)</f>
        <v>45007.66667</v>
      </c>
      <c r="B56" s="2">
        <f>IFERROR(__xludf.DUMMYFUNCTION("""COMPUTED_VALUE"""),26.43)</f>
        <v>26.43</v>
      </c>
      <c r="C56" s="2">
        <f>IFERROR(__xludf.DUMMYFUNCTION("""COMPUTED_VALUE"""),27.59)</f>
        <v>27.59</v>
      </c>
      <c r="D56" s="2">
        <f>IFERROR(__xludf.DUMMYFUNCTION("""COMPUTED_VALUE"""),26.24)</f>
        <v>26.24</v>
      </c>
      <c r="E56" s="2">
        <f>IFERROR(__xludf.DUMMYFUNCTION("""COMPUTED_VALUE"""),26.47)</f>
        <v>26.47</v>
      </c>
      <c r="F56" s="2">
        <f>IFERROR(__xludf.DUMMYFUNCTION("""COMPUTED_VALUE"""),7.9729511E7)</f>
        <v>79729511</v>
      </c>
    </row>
    <row r="57">
      <c r="A57" s="3">
        <f>IFERROR(__xludf.DUMMYFUNCTION("""COMPUTED_VALUE"""),45008.66666666667)</f>
        <v>45008.66667</v>
      </c>
      <c r="B57" s="2">
        <f>IFERROR(__xludf.DUMMYFUNCTION("""COMPUTED_VALUE"""),27.12)</f>
        <v>27.12</v>
      </c>
      <c r="C57" s="2">
        <f>IFERROR(__xludf.DUMMYFUNCTION("""COMPUTED_VALUE"""),27.5)</f>
        <v>27.5</v>
      </c>
      <c r="D57" s="2">
        <f>IFERROR(__xludf.DUMMYFUNCTION("""COMPUTED_VALUE"""),26.69)</f>
        <v>26.69</v>
      </c>
      <c r="E57" s="2">
        <f>IFERROR(__xludf.DUMMYFUNCTION("""COMPUTED_VALUE"""),27.19)</f>
        <v>27.19</v>
      </c>
      <c r="F57" s="2">
        <f>IFERROR(__xludf.DUMMYFUNCTION("""COMPUTED_VALUE"""),5.6488876E7)</f>
        <v>56488876</v>
      </c>
    </row>
    <row r="58">
      <c r="A58" s="3">
        <f>IFERROR(__xludf.DUMMYFUNCTION("""COMPUTED_VALUE"""),45009.66666666667)</f>
        <v>45009.66667</v>
      </c>
      <c r="B58" s="2">
        <f>IFERROR(__xludf.DUMMYFUNCTION("""COMPUTED_VALUE"""),27.03)</f>
        <v>27.03</v>
      </c>
      <c r="C58" s="2">
        <f>IFERROR(__xludf.DUMMYFUNCTION("""COMPUTED_VALUE"""),27.17)</f>
        <v>27.17</v>
      </c>
      <c r="D58" s="2">
        <f>IFERROR(__xludf.DUMMYFUNCTION("""COMPUTED_VALUE"""),26.36)</f>
        <v>26.36</v>
      </c>
      <c r="E58" s="2">
        <f>IFERROR(__xludf.DUMMYFUNCTION("""COMPUTED_VALUE"""),26.78)</f>
        <v>26.78</v>
      </c>
      <c r="F58" s="2">
        <f>IFERROR(__xludf.DUMMYFUNCTION("""COMPUTED_VALUE"""),4.5541407E7)</f>
        <v>45541407</v>
      </c>
    </row>
    <row r="59">
      <c r="A59" s="3">
        <f>IFERROR(__xludf.DUMMYFUNCTION("""COMPUTED_VALUE"""),45012.66666666667)</f>
        <v>45012.66667</v>
      </c>
      <c r="B59" s="2">
        <f>IFERROR(__xludf.DUMMYFUNCTION("""COMPUTED_VALUE"""),26.84)</f>
        <v>26.84</v>
      </c>
      <c r="C59" s="2">
        <f>IFERROR(__xludf.DUMMYFUNCTION("""COMPUTED_VALUE"""),27.0)</f>
        <v>27</v>
      </c>
      <c r="D59" s="2">
        <f>IFERROR(__xludf.DUMMYFUNCTION("""COMPUTED_VALUE"""),26.37)</f>
        <v>26.37</v>
      </c>
      <c r="E59" s="2">
        <f>IFERROR(__xludf.DUMMYFUNCTION("""COMPUTED_VALUE"""),26.53)</f>
        <v>26.53</v>
      </c>
      <c r="F59" s="2">
        <f>IFERROR(__xludf.DUMMYFUNCTION("""COMPUTED_VALUE"""),3.6102574E7)</f>
        <v>36102574</v>
      </c>
    </row>
    <row r="60">
      <c r="A60" s="3">
        <f>IFERROR(__xludf.DUMMYFUNCTION("""COMPUTED_VALUE"""),45013.66666666667)</f>
        <v>45013.66667</v>
      </c>
      <c r="B60" s="2">
        <f>IFERROR(__xludf.DUMMYFUNCTION("""COMPUTED_VALUE"""),26.45)</f>
        <v>26.45</v>
      </c>
      <c r="C60" s="2">
        <f>IFERROR(__xludf.DUMMYFUNCTION("""COMPUTED_VALUE"""),26.51)</f>
        <v>26.51</v>
      </c>
      <c r="D60" s="2">
        <f>IFERROR(__xludf.DUMMYFUNCTION("""COMPUTED_VALUE"""),25.85)</f>
        <v>25.85</v>
      </c>
      <c r="E60" s="2">
        <f>IFERROR(__xludf.DUMMYFUNCTION("""COMPUTED_VALUE"""),26.41)</f>
        <v>26.41</v>
      </c>
      <c r="F60" s="2">
        <f>IFERROR(__xludf.DUMMYFUNCTION("""COMPUTED_VALUE"""),3.5610378E7)</f>
        <v>35610378</v>
      </c>
    </row>
    <row r="61">
      <c r="A61" s="3">
        <f>IFERROR(__xludf.DUMMYFUNCTION("""COMPUTED_VALUE"""),45014.66666666667)</f>
        <v>45014.66667</v>
      </c>
      <c r="B61" s="2">
        <f>IFERROR(__xludf.DUMMYFUNCTION("""COMPUTED_VALUE"""),26.83)</f>
        <v>26.83</v>
      </c>
      <c r="C61" s="2">
        <f>IFERROR(__xludf.DUMMYFUNCTION("""COMPUTED_VALUE"""),27.08)</f>
        <v>27.08</v>
      </c>
      <c r="D61" s="2">
        <f>IFERROR(__xludf.DUMMYFUNCTION("""COMPUTED_VALUE"""),26.6)</f>
        <v>26.6</v>
      </c>
      <c r="E61" s="2">
        <f>IFERROR(__xludf.DUMMYFUNCTION("""COMPUTED_VALUE"""),26.98)</f>
        <v>26.98</v>
      </c>
      <c r="F61" s="2">
        <f>IFERROR(__xludf.DUMMYFUNCTION("""COMPUTED_VALUE"""),3.9369387E7)</f>
        <v>39369387</v>
      </c>
    </row>
    <row r="62">
      <c r="A62" s="3">
        <f>IFERROR(__xludf.DUMMYFUNCTION("""COMPUTED_VALUE"""),45015.66666666667)</f>
        <v>45015.66667</v>
      </c>
      <c r="B62" s="2">
        <f>IFERROR(__xludf.DUMMYFUNCTION("""COMPUTED_VALUE"""),27.23)</f>
        <v>27.23</v>
      </c>
      <c r="C62" s="2">
        <f>IFERROR(__xludf.DUMMYFUNCTION("""COMPUTED_VALUE"""),27.5)</f>
        <v>27.5</v>
      </c>
      <c r="D62" s="2">
        <f>IFERROR(__xludf.DUMMYFUNCTION("""COMPUTED_VALUE"""),27.1)</f>
        <v>27.1</v>
      </c>
      <c r="E62" s="2">
        <f>IFERROR(__xludf.DUMMYFUNCTION("""COMPUTED_VALUE"""),27.38)</f>
        <v>27.38</v>
      </c>
      <c r="F62" s="2">
        <f>IFERROR(__xludf.DUMMYFUNCTION("""COMPUTED_VALUE"""),3.6451574E7)</f>
        <v>36451574</v>
      </c>
    </row>
    <row r="63">
      <c r="A63" s="3">
        <f>IFERROR(__xludf.DUMMYFUNCTION("""COMPUTED_VALUE"""),45016.66666666667)</f>
        <v>45016.66667</v>
      </c>
      <c r="B63" s="2">
        <f>IFERROR(__xludf.DUMMYFUNCTION("""COMPUTED_VALUE"""),27.14)</f>
        <v>27.14</v>
      </c>
      <c r="C63" s="2">
        <f>IFERROR(__xludf.DUMMYFUNCTION("""COMPUTED_VALUE"""),27.83)</f>
        <v>27.83</v>
      </c>
      <c r="D63" s="2">
        <f>IFERROR(__xludf.DUMMYFUNCTION("""COMPUTED_VALUE"""),27.11)</f>
        <v>27.11</v>
      </c>
      <c r="E63" s="2">
        <f>IFERROR(__xludf.DUMMYFUNCTION("""COMPUTED_VALUE"""),27.78)</f>
        <v>27.78</v>
      </c>
      <c r="F63" s="2">
        <f>IFERROR(__xludf.DUMMYFUNCTION("""COMPUTED_VALUE"""),4.3393277E7)</f>
        <v>43393277</v>
      </c>
    </row>
    <row r="64">
      <c r="A64" s="3">
        <f>IFERROR(__xludf.DUMMYFUNCTION("""COMPUTED_VALUE"""),45019.66666666667)</f>
        <v>45019.66667</v>
      </c>
      <c r="B64" s="2">
        <f>IFERROR(__xludf.DUMMYFUNCTION("""COMPUTED_VALUE"""),27.51)</f>
        <v>27.51</v>
      </c>
      <c r="C64" s="2">
        <f>IFERROR(__xludf.DUMMYFUNCTION("""COMPUTED_VALUE"""),28.0)</f>
        <v>28</v>
      </c>
      <c r="D64" s="2">
        <f>IFERROR(__xludf.DUMMYFUNCTION("""COMPUTED_VALUE"""),27.34)</f>
        <v>27.34</v>
      </c>
      <c r="E64" s="2">
        <f>IFERROR(__xludf.DUMMYFUNCTION("""COMPUTED_VALUE"""),27.97)</f>
        <v>27.97</v>
      </c>
      <c r="F64" s="2">
        <f>IFERROR(__xludf.DUMMYFUNCTION("""COMPUTED_VALUE"""),3.987156E7)</f>
        <v>39871560</v>
      </c>
    </row>
    <row r="65">
      <c r="A65" s="3">
        <f>IFERROR(__xludf.DUMMYFUNCTION("""COMPUTED_VALUE"""),45020.66666666667)</f>
        <v>45020.66667</v>
      </c>
      <c r="B65" s="2">
        <f>IFERROR(__xludf.DUMMYFUNCTION("""COMPUTED_VALUE"""),27.97)</f>
        <v>27.97</v>
      </c>
      <c r="C65" s="2">
        <f>IFERROR(__xludf.DUMMYFUNCTION("""COMPUTED_VALUE"""),28.0)</f>
        <v>28</v>
      </c>
      <c r="D65" s="2">
        <f>IFERROR(__xludf.DUMMYFUNCTION("""COMPUTED_VALUE"""),27.31)</f>
        <v>27.31</v>
      </c>
      <c r="E65" s="2">
        <f>IFERROR(__xludf.DUMMYFUNCTION("""COMPUTED_VALUE"""),27.45)</f>
        <v>27.45</v>
      </c>
      <c r="F65" s="2">
        <f>IFERROR(__xludf.DUMMYFUNCTION("""COMPUTED_VALUE"""),3.6859153E7)</f>
        <v>36859153</v>
      </c>
    </row>
    <row r="66">
      <c r="A66" s="3">
        <f>IFERROR(__xludf.DUMMYFUNCTION("""COMPUTED_VALUE"""),45021.66666666667)</f>
        <v>45021.66667</v>
      </c>
      <c r="B66" s="2">
        <f>IFERROR(__xludf.DUMMYFUNCTION("""COMPUTED_VALUE"""),26.83)</f>
        <v>26.83</v>
      </c>
      <c r="C66" s="2">
        <f>IFERROR(__xludf.DUMMYFUNCTION("""COMPUTED_VALUE"""),27.0)</f>
        <v>27</v>
      </c>
      <c r="D66" s="2">
        <f>IFERROR(__xludf.DUMMYFUNCTION("""COMPUTED_VALUE"""),26.4)</f>
        <v>26.4</v>
      </c>
      <c r="E66" s="2">
        <f>IFERROR(__xludf.DUMMYFUNCTION("""COMPUTED_VALUE"""),26.88)</f>
        <v>26.88</v>
      </c>
      <c r="F66" s="2">
        <f>IFERROR(__xludf.DUMMYFUNCTION("""COMPUTED_VALUE"""),5.1501474E7)</f>
        <v>51501474</v>
      </c>
    </row>
    <row r="67">
      <c r="A67" s="3">
        <f>IFERROR(__xludf.DUMMYFUNCTION("""COMPUTED_VALUE"""),45022.66666666667)</f>
        <v>45022.66667</v>
      </c>
      <c r="B67" s="2">
        <f>IFERROR(__xludf.DUMMYFUNCTION("""COMPUTED_VALUE"""),26.58)</f>
        <v>26.58</v>
      </c>
      <c r="C67" s="2">
        <f>IFERROR(__xludf.DUMMYFUNCTION("""COMPUTED_VALUE"""),27.08)</f>
        <v>27.08</v>
      </c>
      <c r="D67" s="2">
        <f>IFERROR(__xludf.DUMMYFUNCTION("""COMPUTED_VALUE"""),26.43)</f>
        <v>26.43</v>
      </c>
      <c r="E67" s="2">
        <f>IFERROR(__xludf.DUMMYFUNCTION("""COMPUTED_VALUE"""),27.04)</f>
        <v>27.04</v>
      </c>
      <c r="F67" s="2">
        <f>IFERROR(__xludf.DUMMYFUNCTION("""COMPUTED_VALUE"""),3.9765434E7)</f>
        <v>39765434</v>
      </c>
    </row>
    <row r="68">
      <c r="A68" s="3">
        <f>IFERROR(__xludf.DUMMYFUNCTION("""COMPUTED_VALUE"""),45026.66666666667)</f>
        <v>45026.66667</v>
      </c>
      <c r="B68" s="2">
        <f>IFERROR(__xludf.DUMMYFUNCTION("""COMPUTED_VALUE"""),26.82)</f>
        <v>26.82</v>
      </c>
      <c r="C68" s="2">
        <f>IFERROR(__xludf.DUMMYFUNCTION("""COMPUTED_VALUE"""),27.62)</f>
        <v>27.62</v>
      </c>
      <c r="D68" s="2">
        <f>IFERROR(__xludf.DUMMYFUNCTION("""COMPUTED_VALUE"""),26.67)</f>
        <v>26.67</v>
      </c>
      <c r="E68" s="2">
        <f>IFERROR(__xludf.DUMMYFUNCTION("""COMPUTED_VALUE"""),27.58)</f>
        <v>27.58</v>
      </c>
      <c r="F68" s="2">
        <f>IFERROR(__xludf.DUMMYFUNCTION("""COMPUTED_VALUE"""),3.9527855E7)</f>
        <v>39527855</v>
      </c>
    </row>
    <row r="69">
      <c r="A69" s="3">
        <f>IFERROR(__xludf.DUMMYFUNCTION("""COMPUTED_VALUE"""),45027.66666666667)</f>
        <v>45027.66667</v>
      </c>
      <c r="B69" s="2">
        <f>IFERROR(__xludf.DUMMYFUNCTION("""COMPUTED_VALUE"""),27.72)</f>
        <v>27.72</v>
      </c>
      <c r="C69" s="2">
        <f>IFERROR(__xludf.DUMMYFUNCTION("""COMPUTED_VALUE"""),27.79)</f>
        <v>27.79</v>
      </c>
      <c r="D69" s="2">
        <f>IFERROR(__xludf.DUMMYFUNCTION("""COMPUTED_VALUE"""),27.13)</f>
        <v>27.13</v>
      </c>
      <c r="E69" s="2">
        <f>IFERROR(__xludf.DUMMYFUNCTION("""COMPUTED_VALUE"""),27.17)</f>
        <v>27.17</v>
      </c>
      <c r="F69" s="2">
        <f>IFERROR(__xludf.DUMMYFUNCTION("""COMPUTED_VALUE"""),3.1437817E7)</f>
        <v>31437817</v>
      </c>
    </row>
    <row r="70">
      <c r="A70" s="3">
        <f>IFERROR(__xludf.DUMMYFUNCTION("""COMPUTED_VALUE"""),45028.66666666667)</f>
        <v>45028.66667</v>
      </c>
      <c r="B70" s="2">
        <f>IFERROR(__xludf.DUMMYFUNCTION("""COMPUTED_VALUE"""),27.37)</f>
        <v>27.37</v>
      </c>
      <c r="C70" s="2">
        <f>IFERROR(__xludf.DUMMYFUNCTION("""COMPUTED_VALUE"""),27.47)</f>
        <v>27.47</v>
      </c>
      <c r="D70" s="2">
        <f>IFERROR(__xludf.DUMMYFUNCTION("""COMPUTED_VALUE"""),26.45)</f>
        <v>26.45</v>
      </c>
      <c r="E70" s="2">
        <f>IFERROR(__xludf.DUMMYFUNCTION("""COMPUTED_VALUE"""),26.5)</f>
        <v>26.5</v>
      </c>
      <c r="F70" s="2">
        <f>IFERROR(__xludf.DUMMYFUNCTION("""COMPUTED_VALUE"""),4.4625895E7)</f>
        <v>44625895</v>
      </c>
    </row>
    <row r="71">
      <c r="A71" s="3">
        <f>IFERROR(__xludf.DUMMYFUNCTION("""COMPUTED_VALUE"""),45029.66666666667)</f>
        <v>45029.66667</v>
      </c>
      <c r="B71" s="2">
        <f>IFERROR(__xludf.DUMMYFUNCTION("""COMPUTED_VALUE"""),26.73)</f>
        <v>26.73</v>
      </c>
      <c r="C71" s="2">
        <f>IFERROR(__xludf.DUMMYFUNCTION("""COMPUTED_VALUE"""),26.89)</f>
        <v>26.89</v>
      </c>
      <c r="D71" s="2">
        <f>IFERROR(__xludf.DUMMYFUNCTION("""COMPUTED_VALUE"""),26.33)</f>
        <v>26.33</v>
      </c>
      <c r="E71" s="2">
        <f>IFERROR(__xludf.DUMMYFUNCTION("""COMPUTED_VALUE"""),26.46)</f>
        <v>26.46</v>
      </c>
      <c r="F71" s="2">
        <f>IFERROR(__xludf.DUMMYFUNCTION("""COMPUTED_VALUE"""),3.5361528E7)</f>
        <v>35361528</v>
      </c>
    </row>
    <row r="72">
      <c r="A72" s="3">
        <f>IFERROR(__xludf.DUMMYFUNCTION("""COMPUTED_VALUE"""),45030.66666666667)</f>
        <v>45030.66667</v>
      </c>
      <c r="B72" s="2">
        <f>IFERROR(__xludf.DUMMYFUNCTION("""COMPUTED_VALUE"""),26.5)</f>
        <v>26.5</v>
      </c>
      <c r="C72" s="2">
        <f>IFERROR(__xludf.DUMMYFUNCTION("""COMPUTED_VALUE"""),26.88)</f>
        <v>26.88</v>
      </c>
      <c r="D72" s="2">
        <f>IFERROR(__xludf.DUMMYFUNCTION("""COMPUTED_VALUE"""),26.22)</f>
        <v>26.22</v>
      </c>
      <c r="E72" s="2">
        <f>IFERROR(__xludf.DUMMYFUNCTION("""COMPUTED_VALUE"""),26.76)</f>
        <v>26.76</v>
      </c>
      <c r="F72" s="2">
        <f>IFERROR(__xludf.DUMMYFUNCTION("""COMPUTED_VALUE"""),3.9566013E7)</f>
        <v>39566013</v>
      </c>
    </row>
    <row r="73">
      <c r="A73" s="3">
        <f>IFERROR(__xludf.DUMMYFUNCTION("""COMPUTED_VALUE"""),45033.66666666667)</f>
        <v>45033.66667</v>
      </c>
      <c r="B73" s="2">
        <f>IFERROR(__xludf.DUMMYFUNCTION("""COMPUTED_VALUE"""),26.57)</f>
        <v>26.57</v>
      </c>
      <c r="C73" s="2">
        <f>IFERROR(__xludf.DUMMYFUNCTION("""COMPUTED_VALUE"""),27.01)</f>
        <v>27.01</v>
      </c>
      <c r="D73" s="2">
        <f>IFERROR(__xludf.DUMMYFUNCTION("""COMPUTED_VALUE"""),26.43)</f>
        <v>26.43</v>
      </c>
      <c r="E73" s="2">
        <f>IFERROR(__xludf.DUMMYFUNCTION("""COMPUTED_VALUE"""),27.0)</f>
        <v>27</v>
      </c>
      <c r="F73" s="2">
        <f>IFERROR(__xludf.DUMMYFUNCTION("""COMPUTED_VALUE"""),3.214713E7)</f>
        <v>32147130</v>
      </c>
    </row>
    <row r="74">
      <c r="A74" s="3">
        <f>IFERROR(__xludf.DUMMYFUNCTION("""COMPUTED_VALUE"""),45034.66666666667)</f>
        <v>45034.66667</v>
      </c>
      <c r="B74" s="2">
        <f>IFERROR(__xludf.DUMMYFUNCTION("""COMPUTED_VALUE"""),27.53)</f>
        <v>27.53</v>
      </c>
      <c r="C74" s="2">
        <f>IFERROR(__xludf.DUMMYFUNCTION("""COMPUTED_VALUE"""),28.11)</f>
        <v>28.11</v>
      </c>
      <c r="D74" s="2">
        <f>IFERROR(__xludf.DUMMYFUNCTION("""COMPUTED_VALUE"""),27.36)</f>
        <v>27.36</v>
      </c>
      <c r="E74" s="2">
        <f>IFERROR(__xludf.DUMMYFUNCTION("""COMPUTED_VALUE"""),27.67)</f>
        <v>27.67</v>
      </c>
      <c r="F74" s="2">
        <f>IFERROR(__xludf.DUMMYFUNCTION("""COMPUTED_VALUE"""),6.0481154E7)</f>
        <v>60481154</v>
      </c>
    </row>
    <row r="75">
      <c r="A75" s="3">
        <f>IFERROR(__xludf.DUMMYFUNCTION("""COMPUTED_VALUE"""),45035.66666666667)</f>
        <v>45035.66667</v>
      </c>
      <c r="B75" s="2">
        <f>IFERROR(__xludf.DUMMYFUNCTION("""COMPUTED_VALUE"""),27.36)</f>
        <v>27.36</v>
      </c>
      <c r="C75" s="2">
        <f>IFERROR(__xludf.DUMMYFUNCTION("""COMPUTED_VALUE"""),28.0)</f>
        <v>28</v>
      </c>
      <c r="D75" s="2">
        <f>IFERROR(__xludf.DUMMYFUNCTION("""COMPUTED_VALUE"""),27.23)</f>
        <v>27.23</v>
      </c>
      <c r="E75" s="2">
        <f>IFERROR(__xludf.DUMMYFUNCTION("""COMPUTED_VALUE"""),27.93)</f>
        <v>27.93</v>
      </c>
      <c r="F75" s="2">
        <f>IFERROR(__xludf.DUMMYFUNCTION("""COMPUTED_VALUE"""),3.5866041E7)</f>
        <v>35866041</v>
      </c>
    </row>
    <row r="76">
      <c r="A76" s="3">
        <f>IFERROR(__xludf.DUMMYFUNCTION("""COMPUTED_VALUE"""),45036.66666666667)</f>
        <v>45036.66667</v>
      </c>
      <c r="B76" s="2">
        <f>IFERROR(__xludf.DUMMYFUNCTION("""COMPUTED_VALUE"""),27.67)</f>
        <v>27.67</v>
      </c>
      <c r="C76" s="2">
        <f>IFERROR(__xludf.DUMMYFUNCTION("""COMPUTED_VALUE"""),28.03)</f>
        <v>28.03</v>
      </c>
      <c r="D76" s="2">
        <f>IFERROR(__xludf.DUMMYFUNCTION("""COMPUTED_VALUE"""),27.0)</f>
        <v>27</v>
      </c>
      <c r="E76" s="2">
        <f>IFERROR(__xludf.DUMMYFUNCTION("""COMPUTED_VALUE"""),27.1)</f>
        <v>27.1</v>
      </c>
      <c r="F76" s="2">
        <f>IFERROR(__xludf.DUMMYFUNCTION("""COMPUTED_VALUE"""),4.2771326E7)</f>
        <v>42771326</v>
      </c>
    </row>
    <row r="77">
      <c r="A77" s="3">
        <f>IFERROR(__xludf.DUMMYFUNCTION("""COMPUTED_VALUE"""),45037.66666666667)</f>
        <v>45037.66667</v>
      </c>
      <c r="B77" s="2">
        <f>IFERROR(__xludf.DUMMYFUNCTION("""COMPUTED_VALUE"""),26.95)</f>
        <v>26.95</v>
      </c>
      <c r="C77" s="2">
        <f>IFERROR(__xludf.DUMMYFUNCTION("""COMPUTED_VALUE"""),27.18)</f>
        <v>27.18</v>
      </c>
      <c r="D77" s="2">
        <f>IFERROR(__xludf.DUMMYFUNCTION("""COMPUTED_VALUE"""),26.72)</f>
        <v>26.72</v>
      </c>
      <c r="E77" s="2">
        <f>IFERROR(__xludf.DUMMYFUNCTION("""COMPUTED_VALUE"""),27.12)</f>
        <v>27.12</v>
      </c>
      <c r="F77" s="2">
        <f>IFERROR(__xludf.DUMMYFUNCTION("""COMPUTED_VALUE"""),3.4510277E7)</f>
        <v>34510277</v>
      </c>
    </row>
    <row r="78">
      <c r="A78" s="3">
        <f>IFERROR(__xludf.DUMMYFUNCTION("""COMPUTED_VALUE"""),45040.66666666667)</f>
        <v>45040.66667</v>
      </c>
      <c r="B78" s="2">
        <f>IFERROR(__xludf.DUMMYFUNCTION("""COMPUTED_VALUE"""),27.01)</f>
        <v>27.01</v>
      </c>
      <c r="C78" s="2">
        <f>IFERROR(__xludf.DUMMYFUNCTION("""COMPUTED_VALUE"""),27.37)</f>
        <v>27.37</v>
      </c>
      <c r="D78" s="2">
        <f>IFERROR(__xludf.DUMMYFUNCTION("""COMPUTED_VALUE"""),26.67)</f>
        <v>26.67</v>
      </c>
      <c r="E78" s="2">
        <f>IFERROR(__xludf.DUMMYFUNCTION("""COMPUTED_VALUE"""),27.04)</f>
        <v>27.04</v>
      </c>
      <c r="F78" s="2">
        <f>IFERROR(__xludf.DUMMYFUNCTION("""COMPUTED_VALUE"""),3.3928186E7)</f>
        <v>33928186</v>
      </c>
    </row>
    <row r="79">
      <c r="A79" s="3">
        <f>IFERROR(__xludf.DUMMYFUNCTION("""COMPUTED_VALUE"""),45041.66666666667)</f>
        <v>45041.66667</v>
      </c>
      <c r="B79" s="2">
        <f>IFERROR(__xludf.DUMMYFUNCTION("""COMPUTED_VALUE"""),27.08)</f>
        <v>27.08</v>
      </c>
      <c r="C79" s="2">
        <f>IFERROR(__xludf.DUMMYFUNCTION("""COMPUTED_VALUE"""),27.25)</f>
        <v>27.25</v>
      </c>
      <c r="D79" s="2">
        <f>IFERROR(__xludf.DUMMYFUNCTION("""COMPUTED_VALUE"""),26.23)</f>
        <v>26.23</v>
      </c>
      <c r="E79" s="2">
        <f>IFERROR(__xludf.DUMMYFUNCTION("""COMPUTED_VALUE"""),26.24)</f>
        <v>26.24</v>
      </c>
      <c r="F79" s="2">
        <f>IFERROR(__xludf.DUMMYFUNCTION("""COMPUTED_VALUE"""),3.7852716E7)</f>
        <v>37852716</v>
      </c>
    </row>
    <row r="80">
      <c r="A80" s="3">
        <f>IFERROR(__xludf.DUMMYFUNCTION("""COMPUTED_VALUE"""),45042.66666666667)</f>
        <v>45042.66667</v>
      </c>
      <c r="B80" s="2">
        <f>IFERROR(__xludf.DUMMYFUNCTION("""COMPUTED_VALUE"""),27.0)</f>
        <v>27</v>
      </c>
      <c r="C80" s="2">
        <f>IFERROR(__xludf.DUMMYFUNCTION("""COMPUTED_VALUE"""),27.33)</f>
        <v>27.33</v>
      </c>
      <c r="D80" s="2">
        <f>IFERROR(__xludf.DUMMYFUNCTION("""COMPUTED_VALUE"""),26.71)</f>
        <v>26.71</v>
      </c>
      <c r="E80" s="2">
        <f>IFERROR(__xludf.DUMMYFUNCTION("""COMPUTED_VALUE"""),26.96)</f>
        <v>26.96</v>
      </c>
      <c r="F80" s="2">
        <f>IFERROR(__xludf.DUMMYFUNCTION("""COMPUTED_VALUE"""),4.0633681E7)</f>
        <v>40633681</v>
      </c>
    </row>
    <row r="81">
      <c r="A81" s="3">
        <f>IFERROR(__xludf.DUMMYFUNCTION("""COMPUTED_VALUE"""),45043.66666666667)</f>
        <v>45043.66667</v>
      </c>
      <c r="B81" s="2">
        <f>IFERROR(__xludf.DUMMYFUNCTION("""COMPUTED_VALUE"""),27.36)</f>
        <v>27.36</v>
      </c>
      <c r="C81" s="2">
        <f>IFERROR(__xludf.DUMMYFUNCTION("""COMPUTED_VALUE"""),27.5)</f>
        <v>27.5</v>
      </c>
      <c r="D81" s="2">
        <f>IFERROR(__xludf.DUMMYFUNCTION("""COMPUTED_VALUE"""),26.63)</f>
        <v>26.63</v>
      </c>
      <c r="E81" s="2">
        <f>IFERROR(__xludf.DUMMYFUNCTION("""COMPUTED_VALUE"""),27.23)</f>
        <v>27.23</v>
      </c>
      <c r="F81" s="2">
        <f>IFERROR(__xludf.DUMMYFUNCTION("""COMPUTED_VALUE"""),3.7716119E7)</f>
        <v>37716119</v>
      </c>
    </row>
    <row r="82">
      <c r="A82" s="3">
        <f>IFERROR(__xludf.DUMMYFUNCTION("""COMPUTED_VALUE"""),45044.66666666667)</f>
        <v>45044.66667</v>
      </c>
      <c r="B82" s="2">
        <f>IFERROR(__xludf.DUMMYFUNCTION("""COMPUTED_VALUE"""),27.23)</f>
        <v>27.23</v>
      </c>
      <c r="C82" s="2">
        <f>IFERROR(__xludf.DUMMYFUNCTION("""COMPUTED_VALUE"""),27.76)</f>
        <v>27.76</v>
      </c>
      <c r="D82" s="2">
        <f>IFERROR(__xludf.DUMMYFUNCTION("""COMPUTED_VALUE"""),27.07)</f>
        <v>27.07</v>
      </c>
      <c r="E82" s="2">
        <f>IFERROR(__xludf.DUMMYFUNCTION("""COMPUTED_VALUE"""),27.75)</f>
        <v>27.75</v>
      </c>
      <c r="F82" s="2">
        <f>IFERROR(__xludf.DUMMYFUNCTION("""COMPUTED_VALUE"""),2.9221614E7)</f>
        <v>29221614</v>
      </c>
    </row>
    <row r="83">
      <c r="A83" s="3">
        <f>IFERROR(__xludf.DUMMYFUNCTION("""COMPUTED_VALUE"""),45047.66666666667)</f>
        <v>45047.66667</v>
      </c>
      <c r="B83" s="2">
        <f>IFERROR(__xludf.DUMMYFUNCTION("""COMPUTED_VALUE"""),27.84)</f>
        <v>27.84</v>
      </c>
      <c r="C83" s="2">
        <f>IFERROR(__xludf.DUMMYFUNCTION("""COMPUTED_VALUE"""),29.06)</f>
        <v>29.06</v>
      </c>
      <c r="D83" s="2">
        <f>IFERROR(__xludf.DUMMYFUNCTION("""COMPUTED_VALUE"""),27.78)</f>
        <v>27.78</v>
      </c>
      <c r="E83" s="2">
        <f>IFERROR(__xludf.DUMMYFUNCTION("""COMPUTED_VALUE"""),28.91)</f>
        <v>28.91</v>
      </c>
      <c r="F83" s="2">
        <f>IFERROR(__xludf.DUMMYFUNCTION("""COMPUTED_VALUE"""),5.7032853E7)</f>
        <v>57032853</v>
      </c>
    </row>
    <row r="84">
      <c r="A84" s="3">
        <f>IFERROR(__xludf.DUMMYFUNCTION("""COMPUTED_VALUE"""),45048.66666666667)</f>
        <v>45048.66667</v>
      </c>
      <c r="B84" s="2">
        <f>IFERROR(__xludf.DUMMYFUNCTION("""COMPUTED_VALUE"""),28.68)</f>
        <v>28.68</v>
      </c>
      <c r="C84" s="2">
        <f>IFERROR(__xludf.DUMMYFUNCTION("""COMPUTED_VALUE"""),28.84)</f>
        <v>28.84</v>
      </c>
      <c r="D84" s="2">
        <f>IFERROR(__xludf.DUMMYFUNCTION("""COMPUTED_VALUE"""),28.08)</f>
        <v>28.08</v>
      </c>
      <c r="E84" s="2">
        <f>IFERROR(__xludf.DUMMYFUNCTION("""COMPUTED_VALUE"""),28.21)</f>
        <v>28.21</v>
      </c>
      <c r="F84" s="2">
        <f>IFERROR(__xludf.DUMMYFUNCTION("""COMPUTED_VALUE"""),4.0272957E7)</f>
        <v>40272957</v>
      </c>
    </row>
    <row r="85">
      <c r="A85" s="3">
        <f>IFERROR(__xludf.DUMMYFUNCTION("""COMPUTED_VALUE"""),45049.66666666667)</f>
        <v>45049.66667</v>
      </c>
      <c r="B85" s="2">
        <f>IFERROR(__xludf.DUMMYFUNCTION("""COMPUTED_VALUE"""),27.84)</f>
        <v>27.84</v>
      </c>
      <c r="C85" s="2">
        <f>IFERROR(__xludf.DUMMYFUNCTION("""COMPUTED_VALUE"""),28.37)</f>
        <v>28.37</v>
      </c>
      <c r="D85" s="2">
        <f>IFERROR(__xludf.DUMMYFUNCTION("""COMPUTED_VALUE"""),27.47)</f>
        <v>27.47</v>
      </c>
      <c r="E85" s="2">
        <f>IFERROR(__xludf.DUMMYFUNCTION("""COMPUTED_VALUE"""),27.8)</f>
        <v>27.8</v>
      </c>
      <c r="F85" s="2">
        <f>IFERROR(__xludf.DUMMYFUNCTION("""COMPUTED_VALUE"""),3.833874E7)</f>
        <v>38338740</v>
      </c>
    </row>
    <row r="86">
      <c r="A86" s="3">
        <f>IFERROR(__xludf.DUMMYFUNCTION("""COMPUTED_VALUE"""),45050.66666666667)</f>
        <v>45050.66667</v>
      </c>
      <c r="B86" s="2">
        <f>IFERROR(__xludf.DUMMYFUNCTION("""COMPUTED_VALUE"""),27.65)</f>
        <v>27.65</v>
      </c>
      <c r="C86" s="2">
        <f>IFERROR(__xludf.DUMMYFUNCTION("""COMPUTED_VALUE"""),27.86)</f>
        <v>27.86</v>
      </c>
      <c r="D86" s="2">
        <f>IFERROR(__xludf.DUMMYFUNCTION("""COMPUTED_VALUE"""),27.24)</f>
        <v>27.24</v>
      </c>
      <c r="E86" s="2">
        <f>IFERROR(__xludf.DUMMYFUNCTION("""COMPUTED_VALUE"""),27.56)</f>
        <v>27.56</v>
      </c>
      <c r="F86" s="2">
        <f>IFERROR(__xludf.DUMMYFUNCTION("""COMPUTED_VALUE"""),3.2185041E7)</f>
        <v>32185041</v>
      </c>
    </row>
    <row r="87">
      <c r="A87" s="3">
        <f>IFERROR(__xludf.DUMMYFUNCTION("""COMPUTED_VALUE"""),45051.66666666667)</f>
        <v>45051.66667</v>
      </c>
      <c r="B87" s="2">
        <f>IFERROR(__xludf.DUMMYFUNCTION("""COMPUTED_VALUE"""),27.83)</f>
        <v>27.83</v>
      </c>
      <c r="C87" s="2">
        <f>IFERROR(__xludf.DUMMYFUNCTION("""COMPUTED_VALUE"""),28.76)</f>
        <v>28.76</v>
      </c>
      <c r="D87" s="2">
        <f>IFERROR(__xludf.DUMMYFUNCTION("""COMPUTED_VALUE"""),27.73)</f>
        <v>27.73</v>
      </c>
      <c r="E87" s="2">
        <f>IFERROR(__xludf.DUMMYFUNCTION("""COMPUTED_VALUE"""),28.68)</f>
        <v>28.68</v>
      </c>
      <c r="F87" s="2">
        <f>IFERROR(__xludf.DUMMYFUNCTION("""COMPUTED_VALUE"""),3.6149408E7)</f>
        <v>36149408</v>
      </c>
    </row>
    <row r="88">
      <c r="A88" s="3">
        <f>IFERROR(__xludf.DUMMYFUNCTION("""COMPUTED_VALUE"""),45054.66666666667)</f>
        <v>45054.66667</v>
      </c>
      <c r="B88" s="2">
        <f>IFERROR(__xludf.DUMMYFUNCTION("""COMPUTED_VALUE"""),28.52)</f>
        <v>28.52</v>
      </c>
      <c r="C88" s="2">
        <f>IFERROR(__xludf.DUMMYFUNCTION("""COMPUTED_VALUE"""),29.22)</f>
        <v>29.22</v>
      </c>
      <c r="D88" s="2">
        <f>IFERROR(__xludf.DUMMYFUNCTION("""COMPUTED_VALUE"""),28.35)</f>
        <v>28.35</v>
      </c>
      <c r="E88" s="2">
        <f>IFERROR(__xludf.DUMMYFUNCTION("""COMPUTED_VALUE"""),29.15)</f>
        <v>29.15</v>
      </c>
      <c r="F88" s="2">
        <f>IFERROR(__xludf.DUMMYFUNCTION("""COMPUTED_VALUE"""),3.449789E7)</f>
        <v>34497890</v>
      </c>
    </row>
    <row r="89">
      <c r="A89" s="3">
        <f>IFERROR(__xludf.DUMMYFUNCTION("""COMPUTED_VALUE"""),45055.66666666667)</f>
        <v>45055.66667</v>
      </c>
      <c r="B89" s="2">
        <f>IFERROR(__xludf.DUMMYFUNCTION("""COMPUTED_VALUE"""),28.9)</f>
        <v>28.9</v>
      </c>
      <c r="C89" s="2">
        <f>IFERROR(__xludf.DUMMYFUNCTION("""COMPUTED_VALUE"""),28.97)</f>
        <v>28.97</v>
      </c>
      <c r="D89" s="2">
        <f>IFERROR(__xludf.DUMMYFUNCTION("""COMPUTED_VALUE"""),28.45)</f>
        <v>28.45</v>
      </c>
      <c r="E89" s="2">
        <f>IFERROR(__xludf.DUMMYFUNCTION("""COMPUTED_VALUE"""),28.57)</f>
        <v>28.57</v>
      </c>
      <c r="F89" s="2">
        <f>IFERROR(__xludf.DUMMYFUNCTION("""COMPUTED_VALUE"""),3.1486946E7)</f>
        <v>31486946</v>
      </c>
    </row>
    <row r="90">
      <c r="A90" s="3">
        <f>IFERROR(__xludf.DUMMYFUNCTION("""COMPUTED_VALUE"""),45056.66666666667)</f>
        <v>45056.66667</v>
      </c>
      <c r="B90" s="2">
        <f>IFERROR(__xludf.DUMMYFUNCTION("""COMPUTED_VALUE"""),29.01)</f>
        <v>29.01</v>
      </c>
      <c r="C90" s="2">
        <f>IFERROR(__xludf.DUMMYFUNCTION("""COMPUTED_VALUE"""),29.11)</f>
        <v>29.11</v>
      </c>
      <c r="D90" s="2">
        <f>IFERROR(__xludf.DUMMYFUNCTION("""COMPUTED_VALUE"""),28.46)</f>
        <v>28.46</v>
      </c>
      <c r="E90" s="2">
        <f>IFERROR(__xludf.DUMMYFUNCTION("""COMPUTED_VALUE"""),28.89)</f>
        <v>28.89</v>
      </c>
      <c r="F90" s="2">
        <f>IFERROR(__xludf.DUMMYFUNCTION("""COMPUTED_VALUE"""),3.6934998E7)</f>
        <v>36934998</v>
      </c>
    </row>
    <row r="91">
      <c r="A91" s="3">
        <f>IFERROR(__xludf.DUMMYFUNCTION("""COMPUTED_VALUE"""),45057.66666666667)</f>
        <v>45057.66667</v>
      </c>
      <c r="B91" s="2">
        <f>IFERROR(__xludf.DUMMYFUNCTION("""COMPUTED_VALUE"""),28.9)</f>
        <v>28.9</v>
      </c>
      <c r="C91" s="2">
        <f>IFERROR(__xludf.DUMMYFUNCTION("""COMPUTED_VALUE"""),28.95)</f>
        <v>28.95</v>
      </c>
      <c r="D91" s="2">
        <f>IFERROR(__xludf.DUMMYFUNCTION("""COMPUTED_VALUE"""),28.25)</f>
        <v>28.25</v>
      </c>
      <c r="E91" s="2">
        <f>IFERROR(__xludf.DUMMYFUNCTION("""COMPUTED_VALUE"""),28.58)</f>
        <v>28.58</v>
      </c>
      <c r="F91" s="2">
        <f>IFERROR(__xludf.DUMMYFUNCTION("""COMPUTED_VALUE"""),3.2214903E7)</f>
        <v>32214903</v>
      </c>
    </row>
    <row r="92">
      <c r="A92" s="3">
        <f>IFERROR(__xludf.DUMMYFUNCTION("""COMPUTED_VALUE"""),45058.66666666667)</f>
        <v>45058.66667</v>
      </c>
      <c r="B92" s="2">
        <f>IFERROR(__xludf.DUMMYFUNCTION("""COMPUTED_VALUE"""),28.53)</f>
        <v>28.53</v>
      </c>
      <c r="C92" s="2">
        <f>IFERROR(__xludf.DUMMYFUNCTION("""COMPUTED_VALUE"""),28.78)</f>
        <v>28.78</v>
      </c>
      <c r="D92" s="2">
        <f>IFERROR(__xludf.DUMMYFUNCTION("""COMPUTED_VALUE"""),28.05)</f>
        <v>28.05</v>
      </c>
      <c r="E92" s="2">
        <f>IFERROR(__xludf.DUMMYFUNCTION("""COMPUTED_VALUE"""),28.34)</f>
        <v>28.34</v>
      </c>
      <c r="F92" s="2">
        <f>IFERROR(__xludf.DUMMYFUNCTION("""COMPUTED_VALUE"""),2.7422225E7)</f>
        <v>27422225</v>
      </c>
    </row>
    <row r="93">
      <c r="A93" s="3">
        <f>IFERROR(__xludf.DUMMYFUNCTION("""COMPUTED_VALUE"""),45061.66666666667)</f>
        <v>45061.66667</v>
      </c>
      <c r="B93" s="2">
        <f>IFERROR(__xludf.DUMMYFUNCTION("""COMPUTED_VALUE"""),28.51)</f>
        <v>28.51</v>
      </c>
      <c r="C93" s="2">
        <f>IFERROR(__xludf.DUMMYFUNCTION("""COMPUTED_VALUE"""),28.97)</f>
        <v>28.97</v>
      </c>
      <c r="D93" s="2">
        <f>IFERROR(__xludf.DUMMYFUNCTION("""COMPUTED_VALUE"""),28.15)</f>
        <v>28.15</v>
      </c>
      <c r="E93" s="2">
        <f>IFERROR(__xludf.DUMMYFUNCTION("""COMPUTED_VALUE"""),28.95)</f>
        <v>28.95</v>
      </c>
      <c r="F93" s="2">
        <f>IFERROR(__xludf.DUMMYFUNCTION("""COMPUTED_VALUE"""),2.9392587E7)</f>
        <v>29392587</v>
      </c>
    </row>
    <row r="94">
      <c r="A94" s="3">
        <f>IFERROR(__xludf.DUMMYFUNCTION("""COMPUTED_VALUE"""),45062.66666666667)</f>
        <v>45062.66667</v>
      </c>
      <c r="B94" s="2">
        <f>IFERROR(__xludf.DUMMYFUNCTION("""COMPUTED_VALUE"""),28.84)</f>
        <v>28.84</v>
      </c>
      <c r="C94" s="2">
        <f>IFERROR(__xludf.DUMMYFUNCTION("""COMPUTED_VALUE"""),29.87)</f>
        <v>29.87</v>
      </c>
      <c r="D94" s="2">
        <f>IFERROR(__xludf.DUMMYFUNCTION("""COMPUTED_VALUE"""),28.83)</f>
        <v>28.83</v>
      </c>
      <c r="E94" s="2">
        <f>IFERROR(__xludf.DUMMYFUNCTION("""COMPUTED_VALUE"""),29.21)</f>
        <v>29.21</v>
      </c>
      <c r="F94" s="2">
        <f>IFERROR(__xludf.DUMMYFUNCTION("""COMPUTED_VALUE"""),4.4940494E7)</f>
        <v>44940494</v>
      </c>
    </row>
    <row r="95">
      <c r="A95" s="3">
        <f>IFERROR(__xludf.DUMMYFUNCTION("""COMPUTED_VALUE"""),45063.66666666667)</f>
        <v>45063.66667</v>
      </c>
      <c r="B95" s="2">
        <f>IFERROR(__xludf.DUMMYFUNCTION("""COMPUTED_VALUE"""),29.58)</f>
        <v>29.58</v>
      </c>
      <c r="C95" s="2">
        <f>IFERROR(__xludf.DUMMYFUNCTION("""COMPUTED_VALUE"""),30.2)</f>
        <v>30.2</v>
      </c>
      <c r="D95" s="2">
        <f>IFERROR(__xludf.DUMMYFUNCTION("""COMPUTED_VALUE"""),29.43)</f>
        <v>29.43</v>
      </c>
      <c r="E95" s="2">
        <f>IFERROR(__xludf.DUMMYFUNCTION("""COMPUTED_VALUE"""),30.18)</f>
        <v>30.18</v>
      </c>
      <c r="F95" s="2">
        <f>IFERROR(__xludf.DUMMYFUNCTION("""COMPUTED_VALUE"""),4.3253541E7)</f>
        <v>43253541</v>
      </c>
    </row>
    <row r="96">
      <c r="A96" s="3">
        <f>IFERROR(__xludf.DUMMYFUNCTION("""COMPUTED_VALUE"""),45064.66666666667)</f>
        <v>45064.66667</v>
      </c>
      <c r="B96" s="2">
        <f>IFERROR(__xludf.DUMMYFUNCTION("""COMPUTED_VALUE"""),30.41)</f>
        <v>30.41</v>
      </c>
      <c r="C96" s="2">
        <f>IFERROR(__xludf.DUMMYFUNCTION("""COMPUTED_VALUE"""),31.83)</f>
        <v>31.83</v>
      </c>
      <c r="D96" s="2">
        <f>IFERROR(__xludf.DUMMYFUNCTION("""COMPUTED_VALUE"""),30.32)</f>
        <v>30.32</v>
      </c>
      <c r="E96" s="2">
        <f>IFERROR(__xludf.DUMMYFUNCTION("""COMPUTED_VALUE"""),31.68)</f>
        <v>31.68</v>
      </c>
      <c r="F96" s="2">
        <f>IFERROR(__xludf.DUMMYFUNCTION("""COMPUTED_VALUE"""),7.4872501E7)</f>
        <v>74872501</v>
      </c>
    </row>
    <row r="97">
      <c r="A97" s="3">
        <f>IFERROR(__xludf.DUMMYFUNCTION("""COMPUTED_VALUE"""),45065.66666666667)</f>
        <v>45065.66667</v>
      </c>
      <c r="B97" s="2">
        <f>IFERROR(__xludf.DUMMYFUNCTION("""COMPUTED_VALUE"""),31.54)</f>
        <v>31.54</v>
      </c>
      <c r="C97" s="2">
        <f>IFERROR(__xludf.DUMMYFUNCTION("""COMPUTED_VALUE"""),31.58)</f>
        <v>31.58</v>
      </c>
      <c r="D97" s="2">
        <f>IFERROR(__xludf.DUMMYFUNCTION("""COMPUTED_VALUE"""),30.92)</f>
        <v>30.92</v>
      </c>
      <c r="E97" s="2">
        <f>IFERROR(__xludf.DUMMYFUNCTION("""COMPUTED_VALUE"""),31.26)</f>
        <v>31.26</v>
      </c>
      <c r="F97" s="2">
        <f>IFERROR(__xludf.DUMMYFUNCTION("""COMPUTED_VALUE"""),4.7390765E7)</f>
        <v>47390765</v>
      </c>
    </row>
    <row r="98">
      <c r="A98" s="3">
        <f>IFERROR(__xludf.DUMMYFUNCTION("""COMPUTED_VALUE"""),45068.66666666667)</f>
        <v>45068.66667</v>
      </c>
      <c r="B98" s="2">
        <f>IFERROR(__xludf.DUMMYFUNCTION("""COMPUTED_VALUE"""),30.9)</f>
        <v>30.9</v>
      </c>
      <c r="C98" s="2">
        <f>IFERROR(__xludf.DUMMYFUNCTION("""COMPUTED_VALUE"""),31.52)</f>
        <v>31.52</v>
      </c>
      <c r="D98" s="2">
        <f>IFERROR(__xludf.DUMMYFUNCTION("""COMPUTED_VALUE"""),30.68)</f>
        <v>30.68</v>
      </c>
      <c r="E98" s="2">
        <f>IFERROR(__xludf.DUMMYFUNCTION("""COMPUTED_VALUE"""),31.18)</f>
        <v>31.18</v>
      </c>
      <c r="F98" s="2">
        <f>IFERROR(__xludf.DUMMYFUNCTION("""COMPUTED_VALUE"""),3.7199967E7)</f>
        <v>37199967</v>
      </c>
    </row>
    <row r="99">
      <c r="A99" s="3">
        <f>IFERROR(__xludf.DUMMYFUNCTION("""COMPUTED_VALUE"""),45069.66666666667)</f>
        <v>45069.66667</v>
      </c>
      <c r="B99" s="2">
        <f>IFERROR(__xludf.DUMMYFUNCTION("""COMPUTED_VALUE"""),31.0)</f>
        <v>31</v>
      </c>
      <c r="C99" s="2">
        <f>IFERROR(__xludf.DUMMYFUNCTION("""COMPUTED_VALUE"""),31.29)</f>
        <v>31.29</v>
      </c>
      <c r="D99" s="2">
        <f>IFERROR(__xludf.DUMMYFUNCTION("""COMPUTED_VALUE"""),30.63)</f>
        <v>30.63</v>
      </c>
      <c r="E99" s="2">
        <f>IFERROR(__xludf.DUMMYFUNCTION("""COMPUTED_VALUE"""),30.69)</f>
        <v>30.69</v>
      </c>
      <c r="F99" s="2">
        <f>IFERROR(__xludf.DUMMYFUNCTION("""COMPUTED_VALUE"""),3.5625326E7)</f>
        <v>35625326</v>
      </c>
    </row>
    <row r="100">
      <c r="A100" s="3">
        <f>IFERROR(__xludf.DUMMYFUNCTION("""COMPUTED_VALUE"""),45070.66666666667)</f>
        <v>45070.66667</v>
      </c>
      <c r="B100" s="2">
        <f>IFERROR(__xludf.DUMMYFUNCTION("""COMPUTED_VALUE"""),30.21)</f>
        <v>30.21</v>
      </c>
      <c r="C100" s="2">
        <f>IFERROR(__xludf.DUMMYFUNCTION("""COMPUTED_VALUE"""),30.61)</f>
        <v>30.61</v>
      </c>
      <c r="D100" s="2">
        <f>IFERROR(__xludf.DUMMYFUNCTION("""COMPUTED_VALUE"""),29.81)</f>
        <v>29.81</v>
      </c>
      <c r="E100" s="2">
        <f>IFERROR(__xludf.DUMMYFUNCTION("""COMPUTED_VALUE"""),30.54)</f>
        <v>30.54</v>
      </c>
      <c r="F100" s="2">
        <f>IFERROR(__xludf.DUMMYFUNCTION("""COMPUTED_VALUE"""),7.2141851E7)</f>
        <v>72141851</v>
      </c>
    </row>
    <row r="101">
      <c r="A101" s="3">
        <f>IFERROR(__xludf.DUMMYFUNCTION("""COMPUTED_VALUE"""),45071.66666666667)</f>
        <v>45071.66667</v>
      </c>
      <c r="B101" s="2">
        <f>IFERROR(__xludf.DUMMYFUNCTION("""COMPUTED_VALUE"""),38.52)</f>
        <v>38.52</v>
      </c>
      <c r="C101" s="2">
        <f>IFERROR(__xludf.DUMMYFUNCTION("""COMPUTED_VALUE"""),39.48)</f>
        <v>39.48</v>
      </c>
      <c r="D101" s="2">
        <f>IFERROR(__xludf.DUMMYFUNCTION("""COMPUTED_VALUE"""),36.64)</f>
        <v>36.64</v>
      </c>
      <c r="E101" s="2">
        <f>IFERROR(__xludf.DUMMYFUNCTION("""COMPUTED_VALUE"""),37.98)</f>
        <v>37.98</v>
      </c>
      <c r="F101" s="2">
        <f>IFERROR(__xludf.DUMMYFUNCTION("""COMPUTED_VALUE"""),1.54391067E8)</f>
        <v>154391067</v>
      </c>
    </row>
    <row r="102">
      <c r="A102" s="3">
        <f>IFERROR(__xludf.DUMMYFUNCTION("""COMPUTED_VALUE"""),45072.66666666667)</f>
        <v>45072.66667</v>
      </c>
      <c r="B102" s="2">
        <f>IFERROR(__xludf.DUMMYFUNCTION("""COMPUTED_VALUE"""),37.89)</f>
        <v>37.89</v>
      </c>
      <c r="C102" s="2">
        <f>IFERROR(__xludf.DUMMYFUNCTION("""COMPUTED_VALUE"""),39.17)</f>
        <v>39.17</v>
      </c>
      <c r="D102" s="2">
        <f>IFERROR(__xludf.DUMMYFUNCTION("""COMPUTED_VALUE"""),37.55)</f>
        <v>37.55</v>
      </c>
      <c r="E102" s="2">
        <f>IFERROR(__xludf.DUMMYFUNCTION("""COMPUTED_VALUE"""),38.95)</f>
        <v>38.95</v>
      </c>
      <c r="F102" s="2">
        <f>IFERROR(__xludf.DUMMYFUNCTION("""COMPUTED_VALUE"""),7.1439676E7)</f>
        <v>71439676</v>
      </c>
    </row>
    <row r="103">
      <c r="A103" s="3">
        <f>IFERROR(__xludf.DUMMYFUNCTION("""COMPUTED_VALUE"""),45076.66666666667)</f>
        <v>45076.66667</v>
      </c>
      <c r="B103" s="2">
        <f>IFERROR(__xludf.DUMMYFUNCTION("""COMPUTED_VALUE"""),40.6)</f>
        <v>40.6</v>
      </c>
      <c r="C103" s="2">
        <f>IFERROR(__xludf.DUMMYFUNCTION("""COMPUTED_VALUE"""),41.94)</f>
        <v>41.94</v>
      </c>
      <c r="D103" s="2">
        <f>IFERROR(__xludf.DUMMYFUNCTION("""COMPUTED_VALUE"""),39.95)</f>
        <v>39.95</v>
      </c>
      <c r="E103" s="2">
        <f>IFERROR(__xludf.DUMMYFUNCTION("""COMPUTED_VALUE"""),40.11)</f>
        <v>40.11</v>
      </c>
      <c r="F103" s="2">
        <f>IFERROR(__xludf.DUMMYFUNCTION("""COMPUTED_VALUE"""),9.234011E7)</f>
        <v>92340110</v>
      </c>
    </row>
    <row r="104">
      <c r="A104" s="3">
        <f>IFERROR(__xludf.DUMMYFUNCTION("""COMPUTED_VALUE"""),45077.66666666667)</f>
        <v>45077.66667</v>
      </c>
      <c r="B104" s="2">
        <f>IFERROR(__xludf.DUMMYFUNCTION("""COMPUTED_VALUE"""),39.49)</f>
        <v>39.49</v>
      </c>
      <c r="C104" s="2">
        <f>IFERROR(__xludf.DUMMYFUNCTION("""COMPUTED_VALUE"""),40.3)</f>
        <v>40.3</v>
      </c>
      <c r="D104" s="2">
        <f>IFERROR(__xludf.DUMMYFUNCTION("""COMPUTED_VALUE"""),37.82)</f>
        <v>37.82</v>
      </c>
      <c r="E104" s="2">
        <f>IFERROR(__xludf.DUMMYFUNCTION("""COMPUTED_VALUE"""),37.83)</f>
        <v>37.83</v>
      </c>
      <c r="F104" s="2">
        <f>IFERROR(__xludf.DUMMYFUNCTION("""COMPUTED_VALUE"""),1.0025802E8)</f>
        <v>100258020</v>
      </c>
    </row>
    <row r="105">
      <c r="A105" s="3">
        <f>IFERROR(__xludf.DUMMYFUNCTION("""COMPUTED_VALUE"""),45078.66666666667)</f>
        <v>45078.66667</v>
      </c>
      <c r="B105" s="2">
        <f>IFERROR(__xludf.DUMMYFUNCTION("""COMPUTED_VALUE"""),38.49)</f>
        <v>38.49</v>
      </c>
      <c r="C105" s="2">
        <f>IFERROR(__xludf.DUMMYFUNCTION("""COMPUTED_VALUE"""),40.05)</f>
        <v>40.05</v>
      </c>
      <c r="D105" s="2">
        <f>IFERROR(__xludf.DUMMYFUNCTION("""COMPUTED_VALUE"""),38.34)</f>
        <v>38.34</v>
      </c>
      <c r="E105" s="2">
        <f>IFERROR(__xludf.DUMMYFUNCTION("""COMPUTED_VALUE"""),39.77)</f>
        <v>39.77</v>
      </c>
      <c r="F105" s="2">
        <f>IFERROR(__xludf.DUMMYFUNCTION("""COMPUTED_VALUE"""),6.3587295E7)</f>
        <v>63587295</v>
      </c>
    </row>
    <row r="106">
      <c r="A106" s="3">
        <f>IFERROR(__xludf.DUMMYFUNCTION("""COMPUTED_VALUE"""),45079.66666666667)</f>
        <v>45079.66667</v>
      </c>
      <c r="B106" s="2">
        <f>IFERROR(__xludf.DUMMYFUNCTION("""COMPUTED_VALUE"""),40.1)</f>
        <v>40.1</v>
      </c>
      <c r="C106" s="2">
        <f>IFERROR(__xludf.DUMMYFUNCTION("""COMPUTED_VALUE"""),40.5)</f>
        <v>40.5</v>
      </c>
      <c r="D106" s="2">
        <f>IFERROR(__xludf.DUMMYFUNCTION("""COMPUTED_VALUE"""),39.06)</f>
        <v>39.06</v>
      </c>
      <c r="E106" s="2">
        <f>IFERROR(__xludf.DUMMYFUNCTION("""COMPUTED_VALUE"""),39.33)</f>
        <v>39.33</v>
      </c>
      <c r="F106" s="2">
        <f>IFERROR(__xludf.DUMMYFUNCTION("""COMPUTED_VALUE"""),4.8273121E7)</f>
        <v>48273121</v>
      </c>
    </row>
    <row r="107">
      <c r="A107" s="3">
        <f>IFERROR(__xludf.DUMMYFUNCTION("""COMPUTED_VALUE"""),45082.66666666667)</f>
        <v>45082.66667</v>
      </c>
      <c r="B107" s="2">
        <f>IFERROR(__xludf.DUMMYFUNCTION("""COMPUTED_VALUE"""),38.91)</f>
        <v>38.91</v>
      </c>
      <c r="C107" s="2">
        <f>IFERROR(__xludf.DUMMYFUNCTION("""COMPUTED_VALUE"""),39.57)</f>
        <v>39.57</v>
      </c>
      <c r="D107" s="2">
        <f>IFERROR(__xludf.DUMMYFUNCTION("""COMPUTED_VALUE"""),38.71)</f>
        <v>38.71</v>
      </c>
      <c r="E107" s="2">
        <f>IFERROR(__xludf.DUMMYFUNCTION("""COMPUTED_VALUE"""),39.17)</f>
        <v>39.17</v>
      </c>
      <c r="F107" s="2">
        <f>IFERROR(__xludf.DUMMYFUNCTION("""COMPUTED_VALUE"""),3.9609381E7)</f>
        <v>39609381</v>
      </c>
    </row>
    <row r="108">
      <c r="A108" s="3">
        <f>IFERROR(__xludf.DUMMYFUNCTION("""COMPUTED_VALUE"""),45083.66666666667)</f>
        <v>45083.66667</v>
      </c>
      <c r="B108" s="2">
        <f>IFERROR(__xludf.DUMMYFUNCTION("""COMPUTED_VALUE"""),38.83)</f>
        <v>38.83</v>
      </c>
      <c r="C108" s="2">
        <f>IFERROR(__xludf.DUMMYFUNCTION("""COMPUTED_VALUE"""),39.16)</f>
        <v>39.16</v>
      </c>
      <c r="D108" s="2">
        <f>IFERROR(__xludf.DUMMYFUNCTION("""COMPUTED_VALUE"""),38.15)</f>
        <v>38.15</v>
      </c>
      <c r="E108" s="2">
        <f>IFERROR(__xludf.DUMMYFUNCTION("""COMPUTED_VALUE"""),38.65)</f>
        <v>38.65</v>
      </c>
      <c r="F108" s="2">
        <f>IFERROR(__xludf.DUMMYFUNCTION("""COMPUTED_VALUE"""),3.8872914E7)</f>
        <v>38872914</v>
      </c>
    </row>
    <row r="109">
      <c r="A109" s="3">
        <f>IFERROR(__xludf.DUMMYFUNCTION("""COMPUTED_VALUE"""),45084.66666666667)</f>
        <v>45084.66667</v>
      </c>
      <c r="B109" s="2">
        <f>IFERROR(__xludf.DUMMYFUNCTION("""COMPUTED_VALUE"""),38.92)</f>
        <v>38.92</v>
      </c>
      <c r="C109" s="2">
        <f>IFERROR(__xludf.DUMMYFUNCTION("""COMPUTED_VALUE"""),39.5)</f>
        <v>39.5</v>
      </c>
      <c r="D109" s="2">
        <f>IFERROR(__xludf.DUMMYFUNCTION("""COMPUTED_VALUE"""),37.36)</f>
        <v>37.36</v>
      </c>
      <c r="E109" s="2">
        <f>IFERROR(__xludf.DUMMYFUNCTION("""COMPUTED_VALUE"""),37.48)</f>
        <v>37.48</v>
      </c>
      <c r="F109" s="2">
        <f>IFERROR(__xludf.DUMMYFUNCTION("""COMPUTED_VALUE"""),5.1199789E7)</f>
        <v>51199789</v>
      </c>
    </row>
    <row r="110">
      <c r="A110" s="3">
        <f>IFERROR(__xludf.DUMMYFUNCTION("""COMPUTED_VALUE"""),45085.66666666667)</f>
        <v>45085.66667</v>
      </c>
      <c r="B110" s="2">
        <f>IFERROR(__xludf.DUMMYFUNCTION("""COMPUTED_VALUE"""),37.72)</f>
        <v>37.72</v>
      </c>
      <c r="C110" s="2">
        <f>IFERROR(__xludf.DUMMYFUNCTION("""COMPUTED_VALUE"""),38.86)</f>
        <v>38.86</v>
      </c>
      <c r="D110" s="2">
        <f>IFERROR(__xludf.DUMMYFUNCTION("""COMPUTED_VALUE"""),37.51)</f>
        <v>37.51</v>
      </c>
      <c r="E110" s="2">
        <f>IFERROR(__xludf.DUMMYFUNCTION("""COMPUTED_VALUE"""),38.51)</f>
        <v>38.51</v>
      </c>
      <c r="F110" s="2">
        <f>IFERROR(__xludf.DUMMYFUNCTION("""COMPUTED_VALUE"""),4.177724E7)</f>
        <v>41777240</v>
      </c>
    </row>
    <row r="111">
      <c r="A111" s="3">
        <f>IFERROR(__xludf.DUMMYFUNCTION("""COMPUTED_VALUE"""),45086.66666666667)</f>
        <v>45086.66667</v>
      </c>
      <c r="B111" s="2">
        <f>IFERROR(__xludf.DUMMYFUNCTION("""COMPUTED_VALUE"""),39.04)</f>
        <v>39.04</v>
      </c>
      <c r="C111" s="2">
        <f>IFERROR(__xludf.DUMMYFUNCTION("""COMPUTED_VALUE"""),39.71)</f>
        <v>39.71</v>
      </c>
      <c r="D111" s="2">
        <f>IFERROR(__xludf.DUMMYFUNCTION("""COMPUTED_VALUE"""),38.57)</f>
        <v>38.57</v>
      </c>
      <c r="E111" s="2">
        <f>IFERROR(__xludf.DUMMYFUNCTION("""COMPUTED_VALUE"""),38.77)</f>
        <v>38.77</v>
      </c>
      <c r="F111" s="2">
        <f>IFERROR(__xludf.DUMMYFUNCTION("""COMPUTED_VALUE"""),4.2771747E7)</f>
        <v>42771747</v>
      </c>
    </row>
    <row r="112">
      <c r="A112" s="3">
        <f>IFERROR(__xludf.DUMMYFUNCTION("""COMPUTED_VALUE"""),45089.66666666667)</f>
        <v>45089.66667</v>
      </c>
      <c r="B112" s="2">
        <f>IFERROR(__xludf.DUMMYFUNCTION("""COMPUTED_VALUE"""),39.2)</f>
        <v>39.2</v>
      </c>
      <c r="C112" s="2">
        <f>IFERROR(__xludf.DUMMYFUNCTION("""COMPUTED_VALUE"""),39.53)</f>
        <v>39.53</v>
      </c>
      <c r="D112" s="2">
        <f>IFERROR(__xludf.DUMMYFUNCTION("""COMPUTED_VALUE"""),38.62)</f>
        <v>38.62</v>
      </c>
      <c r="E112" s="2">
        <f>IFERROR(__xludf.DUMMYFUNCTION("""COMPUTED_VALUE"""),39.48)</f>
        <v>39.48</v>
      </c>
      <c r="F112" s="2">
        <f>IFERROR(__xludf.DUMMYFUNCTION("""COMPUTED_VALUE"""),3.8967335E7)</f>
        <v>38967335</v>
      </c>
    </row>
    <row r="113">
      <c r="A113" s="3">
        <f>IFERROR(__xludf.DUMMYFUNCTION("""COMPUTED_VALUE"""),45090.66666666667)</f>
        <v>45090.66667</v>
      </c>
      <c r="B113" s="2">
        <f>IFERROR(__xludf.DUMMYFUNCTION("""COMPUTED_VALUE"""),40.19)</f>
        <v>40.19</v>
      </c>
      <c r="C113" s="2">
        <f>IFERROR(__xludf.DUMMYFUNCTION("""COMPUTED_VALUE"""),41.1)</f>
        <v>41.1</v>
      </c>
      <c r="D113" s="2">
        <f>IFERROR(__xludf.DUMMYFUNCTION("""COMPUTED_VALUE"""),39.74)</f>
        <v>39.74</v>
      </c>
      <c r="E113" s="2">
        <f>IFERROR(__xludf.DUMMYFUNCTION("""COMPUTED_VALUE"""),41.02)</f>
        <v>41.02</v>
      </c>
      <c r="F113" s="2">
        <f>IFERROR(__xludf.DUMMYFUNCTION("""COMPUTED_VALUE"""),6.1320816E7)</f>
        <v>61320816</v>
      </c>
    </row>
    <row r="114">
      <c r="A114" s="3">
        <f>IFERROR(__xludf.DUMMYFUNCTION("""COMPUTED_VALUE"""),45091.66666666667)</f>
        <v>45091.66667</v>
      </c>
      <c r="B114" s="2">
        <f>IFERROR(__xludf.DUMMYFUNCTION("""COMPUTED_VALUE"""),40.82)</f>
        <v>40.82</v>
      </c>
      <c r="C114" s="2">
        <f>IFERROR(__xludf.DUMMYFUNCTION("""COMPUTED_VALUE"""),43.0)</f>
        <v>43</v>
      </c>
      <c r="D114" s="2">
        <f>IFERROR(__xludf.DUMMYFUNCTION("""COMPUTED_VALUE"""),40.55)</f>
        <v>40.55</v>
      </c>
      <c r="E114" s="2">
        <f>IFERROR(__xludf.DUMMYFUNCTION("""COMPUTED_VALUE"""),43.0)</f>
        <v>43</v>
      </c>
      <c r="F114" s="2">
        <f>IFERROR(__xludf.DUMMYFUNCTION("""COMPUTED_VALUE"""),7.4046502E7)</f>
        <v>74046502</v>
      </c>
    </row>
    <row r="115">
      <c r="A115" s="3">
        <f>IFERROR(__xludf.DUMMYFUNCTION("""COMPUTED_VALUE"""),45092.66666666667)</f>
        <v>45092.66667</v>
      </c>
      <c r="B115" s="2">
        <f>IFERROR(__xludf.DUMMYFUNCTION("""COMPUTED_VALUE"""),42.6)</f>
        <v>42.6</v>
      </c>
      <c r="C115" s="2">
        <f>IFERROR(__xludf.DUMMYFUNCTION("""COMPUTED_VALUE"""),43.29)</f>
        <v>43.29</v>
      </c>
      <c r="D115" s="2">
        <f>IFERROR(__xludf.DUMMYFUNCTION("""COMPUTED_VALUE"""),42.15)</f>
        <v>42.15</v>
      </c>
      <c r="E115" s="2">
        <f>IFERROR(__xludf.DUMMYFUNCTION("""COMPUTED_VALUE"""),42.65)</f>
        <v>42.65</v>
      </c>
      <c r="F115" s="2">
        <f>IFERROR(__xludf.DUMMYFUNCTION("""COMPUTED_VALUE"""),5.6862204E7)</f>
        <v>56862204</v>
      </c>
    </row>
    <row r="116">
      <c r="A116" s="3">
        <f>IFERROR(__xludf.DUMMYFUNCTION("""COMPUTED_VALUE"""),45093.66666666667)</f>
        <v>45093.66667</v>
      </c>
      <c r="B116" s="2">
        <f>IFERROR(__xludf.DUMMYFUNCTION("""COMPUTED_VALUE"""),43.45)</f>
        <v>43.45</v>
      </c>
      <c r="C116" s="2">
        <f>IFERROR(__xludf.DUMMYFUNCTION("""COMPUTED_VALUE"""),43.72)</f>
        <v>43.72</v>
      </c>
      <c r="D116" s="2">
        <f>IFERROR(__xludf.DUMMYFUNCTION("""COMPUTED_VALUE"""),42.66)</f>
        <v>42.66</v>
      </c>
      <c r="E116" s="2">
        <f>IFERROR(__xludf.DUMMYFUNCTION("""COMPUTED_VALUE"""),42.69)</f>
        <v>42.69</v>
      </c>
      <c r="F116" s="2">
        <f>IFERROR(__xludf.DUMMYFUNCTION("""COMPUTED_VALUE"""),6.5570941E7)</f>
        <v>65570941</v>
      </c>
    </row>
    <row r="117">
      <c r="A117" s="3">
        <f>IFERROR(__xludf.DUMMYFUNCTION("""COMPUTED_VALUE"""),45097.66666666667)</f>
        <v>45097.66667</v>
      </c>
      <c r="B117" s="2">
        <f>IFERROR(__xludf.DUMMYFUNCTION("""COMPUTED_VALUE"""),43.0)</f>
        <v>43</v>
      </c>
      <c r="C117" s="2">
        <f>IFERROR(__xludf.DUMMYFUNCTION("""COMPUTED_VALUE"""),43.99)</f>
        <v>43.99</v>
      </c>
      <c r="D117" s="2">
        <f>IFERROR(__xludf.DUMMYFUNCTION("""COMPUTED_VALUE"""),42.67)</f>
        <v>42.67</v>
      </c>
      <c r="E117" s="2">
        <f>IFERROR(__xludf.DUMMYFUNCTION("""COMPUTED_VALUE"""),43.81)</f>
        <v>43.81</v>
      </c>
      <c r="F117" s="2">
        <f>IFERROR(__xludf.DUMMYFUNCTION("""COMPUTED_VALUE"""),4.5115311E7)</f>
        <v>45115311</v>
      </c>
    </row>
    <row r="118">
      <c r="A118" s="3">
        <f>IFERROR(__xludf.DUMMYFUNCTION("""COMPUTED_VALUE"""),45098.66666666667)</f>
        <v>45098.66667</v>
      </c>
      <c r="B118" s="2">
        <f>IFERROR(__xludf.DUMMYFUNCTION("""COMPUTED_VALUE"""),43.5)</f>
        <v>43.5</v>
      </c>
      <c r="C118" s="2">
        <f>IFERROR(__xludf.DUMMYFUNCTION("""COMPUTED_VALUE"""),43.62)</f>
        <v>43.62</v>
      </c>
      <c r="D118" s="2">
        <f>IFERROR(__xludf.DUMMYFUNCTION("""COMPUTED_VALUE"""),42.08)</f>
        <v>42.08</v>
      </c>
      <c r="E118" s="2">
        <f>IFERROR(__xludf.DUMMYFUNCTION("""COMPUTED_VALUE"""),43.05)</f>
        <v>43.05</v>
      </c>
      <c r="F118" s="2">
        <f>IFERROR(__xludf.DUMMYFUNCTION("""COMPUTED_VALUE"""),5.5160291E7)</f>
        <v>55160291</v>
      </c>
    </row>
    <row r="119">
      <c r="A119" s="3">
        <f>IFERROR(__xludf.DUMMYFUNCTION("""COMPUTED_VALUE"""),45099.66666666667)</f>
        <v>45099.66667</v>
      </c>
      <c r="B119" s="2">
        <f>IFERROR(__xludf.DUMMYFUNCTION("""COMPUTED_VALUE"""),42.25)</f>
        <v>42.25</v>
      </c>
      <c r="C119" s="2">
        <f>IFERROR(__xludf.DUMMYFUNCTION("""COMPUTED_VALUE"""),43.43)</f>
        <v>43.43</v>
      </c>
      <c r="D119" s="2">
        <f>IFERROR(__xludf.DUMMYFUNCTION("""COMPUTED_VALUE"""),42.23)</f>
        <v>42.23</v>
      </c>
      <c r="E119" s="2">
        <f>IFERROR(__xludf.DUMMYFUNCTION("""COMPUTED_VALUE"""),43.03)</f>
        <v>43.03</v>
      </c>
      <c r="F119" s="2">
        <f>IFERROR(__xludf.DUMMYFUNCTION("""COMPUTED_VALUE"""),4.1773743E7)</f>
        <v>41773743</v>
      </c>
    </row>
    <row r="120">
      <c r="A120" s="3">
        <f>IFERROR(__xludf.DUMMYFUNCTION("""COMPUTED_VALUE"""),45100.66666666667)</f>
        <v>45100.66667</v>
      </c>
      <c r="B120" s="2">
        <f>IFERROR(__xludf.DUMMYFUNCTION("""COMPUTED_VALUE"""),42.46)</f>
        <v>42.46</v>
      </c>
      <c r="C120" s="2">
        <f>IFERROR(__xludf.DUMMYFUNCTION("""COMPUTED_VALUE"""),42.81)</f>
        <v>42.81</v>
      </c>
      <c r="D120" s="2">
        <f>IFERROR(__xludf.DUMMYFUNCTION("""COMPUTED_VALUE"""),42.02)</f>
        <v>42.02</v>
      </c>
      <c r="E120" s="2">
        <f>IFERROR(__xludf.DUMMYFUNCTION("""COMPUTED_VALUE"""),42.21)</f>
        <v>42.21</v>
      </c>
      <c r="F120" s="2">
        <f>IFERROR(__xludf.DUMMYFUNCTION("""COMPUTED_VALUE"""),3.5813984E7)</f>
        <v>35813984</v>
      </c>
    </row>
    <row r="121">
      <c r="A121" s="3">
        <f>IFERROR(__xludf.DUMMYFUNCTION("""COMPUTED_VALUE"""),45103.66666666667)</f>
        <v>45103.66667</v>
      </c>
      <c r="B121" s="2">
        <f>IFERROR(__xludf.DUMMYFUNCTION("""COMPUTED_VALUE"""),42.46)</f>
        <v>42.46</v>
      </c>
      <c r="C121" s="2">
        <f>IFERROR(__xludf.DUMMYFUNCTION("""COMPUTED_VALUE"""),42.76)</f>
        <v>42.76</v>
      </c>
      <c r="D121" s="2">
        <f>IFERROR(__xludf.DUMMYFUNCTION("""COMPUTED_VALUE"""),40.1)</f>
        <v>40.1</v>
      </c>
      <c r="E121" s="2">
        <f>IFERROR(__xludf.DUMMYFUNCTION("""COMPUTED_VALUE"""),40.63)</f>
        <v>40.63</v>
      </c>
      <c r="F121" s="2">
        <f>IFERROR(__xludf.DUMMYFUNCTION("""COMPUTED_VALUE"""),5.9432192E7)</f>
        <v>59432192</v>
      </c>
    </row>
    <row r="122">
      <c r="A122" s="3">
        <f>IFERROR(__xludf.DUMMYFUNCTION("""COMPUTED_VALUE"""),45104.66666666667)</f>
        <v>45104.66667</v>
      </c>
      <c r="B122" s="2">
        <f>IFERROR(__xludf.DUMMYFUNCTION("""COMPUTED_VALUE"""),40.8)</f>
        <v>40.8</v>
      </c>
      <c r="C122" s="2">
        <f>IFERROR(__xludf.DUMMYFUNCTION("""COMPUTED_VALUE"""),41.94)</f>
        <v>41.94</v>
      </c>
      <c r="D122" s="2">
        <f>IFERROR(__xludf.DUMMYFUNCTION("""COMPUTED_VALUE"""),40.45)</f>
        <v>40.45</v>
      </c>
      <c r="E122" s="2">
        <f>IFERROR(__xludf.DUMMYFUNCTION("""COMPUTED_VALUE"""),41.88)</f>
        <v>41.88</v>
      </c>
      <c r="F122" s="2">
        <f>IFERROR(__xludf.DUMMYFUNCTION("""COMPUTED_VALUE"""),4.621747E7)</f>
        <v>46217470</v>
      </c>
    </row>
    <row r="123">
      <c r="A123" s="3">
        <f>IFERROR(__xludf.DUMMYFUNCTION("""COMPUTED_VALUE"""),45105.66666666667)</f>
        <v>45105.66667</v>
      </c>
      <c r="B123" s="2">
        <f>IFERROR(__xludf.DUMMYFUNCTION("""COMPUTED_VALUE"""),40.66)</f>
        <v>40.66</v>
      </c>
      <c r="C123" s="2">
        <f>IFERROR(__xludf.DUMMYFUNCTION("""COMPUTED_VALUE"""),41.85)</f>
        <v>41.85</v>
      </c>
      <c r="D123" s="2">
        <f>IFERROR(__xludf.DUMMYFUNCTION("""COMPUTED_VALUE"""),40.52)</f>
        <v>40.52</v>
      </c>
      <c r="E123" s="2">
        <f>IFERROR(__xludf.DUMMYFUNCTION("""COMPUTED_VALUE"""),41.12)</f>
        <v>41.12</v>
      </c>
      <c r="F123" s="2">
        <f>IFERROR(__xludf.DUMMYFUNCTION("""COMPUTED_VALUE"""),5.8263927E7)</f>
        <v>58263927</v>
      </c>
    </row>
    <row r="124">
      <c r="A124" s="3">
        <f>IFERROR(__xludf.DUMMYFUNCTION("""COMPUTED_VALUE"""),45106.66666666667)</f>
        <v>45106.66667</v>
      </c>
      <c r="B124" s="2">
        <f>IFERROR(__xludf.DUMMYFUNCTION("""COMPUTED_VALUE"""),41.56)</f>
        <v>41.56</v>
      </c>
      <c r="C124" s="2">
        <f>IFERROR(__xludf.DUMMYFUNCTION("""COMPUTED_VALUE"""),41.6)</f>
        <v>41.6</v>
      </c>
      <c r="D124" s="2">
        <f>IFERROR(__xludf.DUMMYFUNCTION("""COMPUTED_VALUE"""),40.6)</f>
        <v>40.6</v>
      </c>
      <c r="E124" s="2">
        <f>IFERROR(__xludf.DUMMYFUNCTION("""COMPUTED_VALUE"""),40.82)</f>
        <v>40.82</v>
      </c>
      <c r="F124" s="2">
        <f>IFERROR(__xludf.DUMMYFUNCTION("""COMPUTED_VALUE"""),3.805143E7)</f>
        <v>38051430</v>
      </c>
    </row>
    <row r="125">
      <c r="A125" s="3">
        <f>IFERROR(__xludf.DUMMYFUNCTION("""COMPUTED_VALUE"""),45107.66666666667)</f>
        <v>45107.66667</v>
      </c>
      <c r="B125" s="2">
        <f>IFERROR(__xludf.DUMMYFUNCTION("""COMPUTED_VALUE"""),41.68)</f>
        <v>41.68</v>
      </c>
      <c r="C125" s="2">
        <f>IFERROR(__xludf.DUMMYFUNCTION("""COMPUTED_VALUE"""),42.55)</f>
        <v>42.55</v>
      </c>
      <c r="D125" s="2">
        <f>IFERROR(__xludf.DUMMYFUNCTION("""COMPUTED_VALUE"""),41.5)</f>
        <v>41.5</v>
      </c>
      <c r="E125" s="2">
        <f>IFERROR(__xludf.DUMMYFUNCTION("""COMPUTED_VALUE"""),42.3)</f>
        <v>42.3</v>
      </c>
      <c r="F125" s="2">
        <f>IFERROR(__xludf.DUMMYFUNCTION("""COMPUTED_VALUE"""),5.0114775E7)</f>
        <v>50114775</v>
      </c>
    </row>
    <row r="126">
      <c r="A126" s="3">
        <f>IFERROR(__xludf.DUMMYFUNCTION("""COMPUTED_VALUE"""),45110.54513888889)</f>
        <v>45110.54514</v>
      </c>
      <c r="B126" s="2">
        <f>IFERROR(__xludf.DUMMYFUNCTION("""COMPUTED_VALUE"""),42.52)</f>
        <v>42.52</v>
      </c>
      <c r="C126" s="2">
        <f>IFERROR(__xludf.DUMMYFUNCTION("""COMPUTED_VALUE"""),42.9)</f>
        <v>42.9</v>
      </c>
      <c r="D126" s="2">
        <f>IFERROR(__xludf.DUMMYFUNCTION("""COMPUTED_VALUE"""),42.2)</f>
        <v>42.2</v>
      </c>
      <c r="E126" s="2">
        <f>IFERROR(__xludf.DUMMYFUNCTION("""COMPUTED_VALUE"""),42.41)</f>
        <v>42.41</v>
      </c>
      <c r="F126" s="2">
        <f>IFERROR(__xludf.DUMMYFUNCTION("""COMPUTED_VALUE"""),1.9820919E7)</f>
        <v>19820919</v>
      </c>
    </row>
    <row r="127">
      <c r="A127" s="3">
        <f>IFERROR(__xludf.DUMMYFUNCTION("""COMPUTED_VALUE"""),45112.66666666667)</f>
        <v>45112.66667</v>
      </c>
      <c r="B127" s="2">
        <f>IFERROR(__xludf.DUMMYFUNCTION("""COMPUTED_VALUE"""),42.14)</f>
        <v>42.14</v>
      </c>
      <c r="C127" s="2">
        <f>IFERROR(__xludf.DUMMYFUNCTION("""COMPUTED_VALUE"""),43.18)</f>
        <v>43.18</v>
      </c>
      <c r="D127" s="2">
        <f>IFERROR(__xludf.DUMMYFUNCTION("""COMPUTED_VALUE"""),42.09)</f>
        <v>42.09</v>
      </c>
      <c r="E127" s="2">
        <f>IFERROR(__xludf.DUMMYFUNCTION("""COMPUTED_VALUE"""),42.32)</f>
        <v>42.32</v>
      </c>
      <c r="F127" s="2">
        <f>IFERROR(__xludf.DUMMYFUNCTION("""COMPUTED_VALUE"""),3.2361756E7)</f>
        <v>32361756</v>
      </c>
    </row>
    <row r="128">
      <c r="A128" s="3">
        <f>IFERROR(__xludf.DUMMYFUNCTION("""COMPUTED_VALUE"""),45113.66666666667)</f>
        <v>45113.66667</v>
      </c>
      <c r="B128" s="2">
        <f>IFERROR(__xludf.DUMMYFUNCTION("""COMPUTED_VALUE"""),41.84)</f>
        <v>41.84</v>
      </c>
      <c r="C128" s="2">
        <f>IFERROR(__xludf.DUMMYFUNCTION("""COMPUTED_VALUE"""),42.18)</f>
        <v>42.18</v>
      </c>
      <c r="D128" s="2">
        <f>IFERROR(__xludf.DUMMYFUNCTION("""COMPUTED_VALUE"""),41.35)</f>
        <v>41.35</v>
      </c>
      <c r="E128" s="2">
        <f>IFERROR(__xludf.DUMMYFUNCTION("""COMPUTED_VALUE"""),42.1)</f>
        <v>42.1</v>
      </c>
      <c r="F128" s="2">
        <f>IFERROR(__xludf.DUMMYFUNCTION("""COMPUTED_VALUE"""),3.0413879E7)</f>
        <v>30413879</v>
      </c>
    </row>
    <row r="129">
      <c r="A129" s="3">
        <f>IFERROR(__xludf.DUMMYFUNCTION("""COMPUTED_VALUE"""),45114.66666666667)</f>
        <v>45114.66667</v>
      </c>
      <c r="B129" s="2">
        <f>IFERROR(__xludf.DUMMYFUNCTION("""COMPUTED_VALUE"""),42.32)</f>
        <v>42.32</v>
      </c>
      <c r="C129" s="2">
        <f>IFERROR(__xludf.DUMMYFUNCTION("""COMPUTED_VALUE"""),43.21)</f>
        <v>43.21</v>
      </c>
      <c r="D129" s="2">
        <f>IFERROR(__xludf.DUMMYFUNCTION("""COMPUTED_VALUE"""),42.18)</f>
        <v>42.18</v>
      </c>
      <c r="E129" s="2">
        <f>IFERROR(__xludf.DUMMYFUNCTION("""COMPUTED_VALUE"""),42.5)</f>
        <v>42.5</v>
      </c>
      <c r="F129" s="2">
        <f>IFERROR(__xludf.DUMMYFUNCTION("""COMPUTED_VALUE"""),3.5588147E7)</f>
        <v>35588147</v>
      </c>
    </row>
    <row r="130">
      <c r="A130" s="3">
        <f>IFERROR(__xludf.DUMMYFUNCTION("""COMPUTED_VALUE"""),45117.66666666667)</f>
        <v>45117.66667</v>
      </c>
      <c r="B130" s="2">
        <f>IFERROR(__xludf.DUMMYFUNCTION("""COMPUTED_VALUE"""),42.66)</f>
        <v>42.66</v>
      </c>
      <c r="C130" s="2">
        <f>IFERROR(__xludf.DUMMYFUNCTION("""COMPUTED_VALUE"""),42.81)</f>
        <v>42.81</v>
      </c>
      <c r="D130" s="2">
        <f>IFERROR(__xludf.DUMMYFUNCTION("""COMPUTED_VALUE"""),41.65)</f>
        <v>41.65</v>
      </c>
      <c r="E130" s="2">
        <f>IFERROR(__xludf.DUMMYFUNCTION("""COMPUTED_VALUE"""),42.18)</f>
        <v>42.18</v>
      </c>
      <c r="F130" s="2">
        <f>IFERROR(__xludf.DUMMYFUNCTION("""COMPUTED_VALUE"""),3.5390811E7)</f>
        <v>35390811</v>
      </c>
    </row>
    <row r="131">
      <c r="A131" s="3">
        <f>IFERROR(__xludf.DUMMYFUNCTION("""COMPUTED_VALUE"""),45118.66666666667)</f>
        <v>45118.66667</v>
      </c>
      <c r="B131" s="2">
        <f>IFERROR(__xludf.DUMMYFUNCTION("""COMPUTED_VALUE"""),42.48)</f>
        <v>42.48</v>
      </c>
      <c r="C131" s="2">
        <f>IFERROR(__xludf.DUMMYFUNCTION("""COMPUTED_VALUE"""),42.76)</f>
        <v>42.76</v>
      </c>
      <c r="D131" s="2">
        <f>IFERROR(__xludf.DUMMYFUNCTION("""COMPUTED_VALUE"""),42.07)</f>
        <v>42.07</v>
      </c>
      <c r="E131" s="2">
        <f>IFERROR(__xludf.DUMMYFUNCTION("""COMPUTED_VALUE"""),42.41)</f>
        <v>42.41</v>
      </c>
      <c r="F131" s="2">
        <f>IFERROR(__xludf.DUMMYFUNCTION("""COMPUTED_VALUE"""),2.9824406E7)</f>
        <v>29824406</v>
      </c>
    </row>
    <row r="132">
      <c r="A132" s="3">
        <f>IFERROR(__xludf.DUMMYFUNCTION("""COMPUTED_VALUE"""),45119.66666666667)</f>
        <v>45119.66667</v>
      </c>
      <c r="B132" s="2">
        <f>IFERROR(__xludf.DUMMYFUNCTION("""COMPUTED_VALUE"""),43.03)</f>
        <v>43.03</v>
      </c>
      <c r="C132" s="2">
        <f>IFERROR(__xludf.DUMMYFUNCTION("""COMPUTED_VALUE"""),43.94)</f>
        <v>43.94</v>
      </c>
      <c r="D132" s="2">
        <f>IFERROR(__xludf.DUMMYFUNCTION("""COMPUTED_VALUE"""),42.78)</f>
        <v>42.78</v>
      </c>
      <c r="E132" s="2">
        <f>IFERROR(__xludf.DUMMYFUNCTION("""COMPUTED_VALUE"""),43.9)</f>
        <v>43.9</v>
      </c>
      <c r="F132" s="2">
        <f>IFERROR(__xludf.DUMMYFUNCTION("""COMPUTED_VALUE"""),4.8127702E7)</f>
        <v>48127702</v>
      </c>
    </row>
    <row r="133">
      <c r="A133" s="3">
        <f>IFERROR(__xludf.DUMMYFUNCTION("""COMPUTED_VALUE"""),45120.66666666667)</f>
        <v>45120.66667</v>
      </c>
      <c r="B133" s="2">
        <f>IFERROR(__xludf.DUMMYFUNCTION("""COMPUTED_VALUE"""),44.52)</f>
        <v>44.52</v>
      </c>
      <c r="C133" s="2">
        <f>IFERROR(__xludf.DUMMYFUNCTION("""COMPUTED_VALUE"""),46.16)</f>
        <v>46.16</v>
      </c>
      <c r="D133" s="2">
        <f>IFERROR(__xludf.DUMMYFUNCTION("""COMPUTED_VALUE"""),44.49)</f>
        <v>44.49</v>
      </c>
      <c r="E133" s="2">
        <f>IFERROR(__xludf.DUMMYFUNCTION("""COMPUTED_VALUE"""),45.98)</f>
        <v>45.98</v>
      </c>
      <c r="F133" s="2">
        <f>IFERROR(__xludf.DUMMYFUNCTION("""COMPUTED_VALUE"""),4.7820369E7)</f>
        <v>47820369</v>
      </c>
    </row>
    <row r="134">
      <c r="A134" s="3">
        <f>IFERROR(__xludf.DUMMYFUNCTION("""COMPUTED_VALUE"""),45121.66666666667)</f>
        <v>45121.66667</v>
      </c>
      <c r="B134" s="2">
        <f>IFERROR(__xludf.DUMMYFUNCTION("""COMPUTED_VALUE"""),46.58)</f>
        <v>46.58</v>
      </c>
      <c r="C134" s="2">
        <f>IFERROR(__xludf.DUMMYFUNCTION("""COMPUTED_VALUE"""),48.09)</f>
        <v>48.09</v>
      </c>
      <c r="D134" s="2">
        <f>IFERROR(__xludf.DUMMYFUNCTION("""COMPUTED_VALUE"""),45.06)</f>
        <v>45.06</v>
      </c>
      <c r="E134" s="2">
        <f>IFERROR(__xludf.DUMMYFUNCTION("""COMPUTED_VALUE"""),45.47)</f>
        <v>45.47</v>
      </c>
      <c r="F134" s="2">
        <f>IFERROR(__xludf.DUMMYFUNCTION("""COMPUTED_VALUE"""),7.7207533E7)</f>
        <v>77207533</v>
      </c>
    </row>
    <row r="135">
      <c r="A135" s="3">
        <f>IFERROR(__xludf.DUMMYFUNCTION("""COMPUTED_VALUE"""),45124.66666666667)</f>
        <v>45124.66667</v>
      </c>
      <c r="B135" s="2">
        <f>IFERROR(__xludf.DUMMYFUNCTION("""COMPUTED_VALUE"""),46.29)</f>
        <v>46.29</v>
      </c>
      <c r="C135" s="2">
        <f>IFERROR(__xludf.DUMMYFUNCTION("""COMPUTED_VALUE"""),46.5)</f>
        <v>46.5</v>
      </c>
      <c r="D135" s="2">
        <f>IFERROR(__xludf.DUMMYFUNCTION("""COMPUTED_VALUE"""),45.26)</f>
        <v>45.26</v>
      </c>
      <c r="E135" s="2">
        <f>IFERROR(__xludf.DUMMYFUNCTION("""COMPUTED_VALUE"""),46.46)</f>
        <v>46.46</v>
      </c>
      <c r="F135" s="2">
        <f>IFERROR(__xludf.DUMMYFUNCTION("""COMPUTED_VALUE"""),5.1048822E7)</f>
        <v>51048822</v>
      </c>
    </row>
    <row r="136">
      <c r="A136" s="3">
        <f>IFERROR(__xludf.DUMMYFUNCTION("""COMPUTED_VALUE"""),45125.66666666667)</f>
        <v>45125.66667</v>
      </c>
      <c r="B136" s="2">
        <f>IFERROR(__xludf.DUMMYFUNCTION("""COMPUTED_VALUE"""),46.7)</f>
        <v>46.7</v>
      </c>
      <c r="C136" s="2">
        <f>IFERROR(__xludf.DUMMYFUNCTION("""COMPUTED_VALUE"""),47.9)</f>
        <v>47.9</v>
      </c>
      <c r="D136" s="2">
        <f>IFERROR(__xludf.DUMMYFUNCTION("""COMPUTED_VALUE"""),45.73)</f>
        <v>45.73</v>
      </c>
      <c r="E136" s="2">
        <f>IFERROR(__xludf.DUMMYFUNCTION("""COMPUTED_VALUE"""),47.49)</f>
        <v>47.49</v>
      </c>
      <c r="F136" s="2">
        <f>IFERROR(__xludf.DUMMYFUNCTION("""COMPUTED_VALUE"""),5.7019042E7)</f>
        <v>57019042</v>
      </c>
    </row>
    <row r="137">
      <c r="A137" s="3">
        <f>IFERROR(__xludf.DUMMYFUNCTION("""COMPUTED_VALUE"""),45126.66666666667)</f>
        <v>45126.66667</v>
      </c>
      <c r="B137" s="2">
        <f>IFERROR(__xludf.DUMMYFUNCTION("""COMPUTED_VALUE"""),47.46)</f>
        <v>47.46</v>
      </c>
      <c r="C137" s="2">
        <f>IFERROR(__xludf.DUMMYFUNCTION("""COMPUTED_VALUE"""),47.82)</f>
        <v>47.82</v>
      </c>
      <c r="D137" s="2">
        <f>IFERROR(__xludf.DUMMYFUNCTION("""COMPUTED_VALUE"""),46.74)</f>
        <v>46.74</v>
      </c>
      <c r="E137" s="2">
        <f>IFERROR(__xludf.DUMMYFUNCTION("""COMPUTED_VALUE"""),47.08)</f>
        <v>47.08</v>
      </c>
      <c r="F137" s="2">
        <f>IFERROR(__xludf.DUMMYFUNCTION("""COMPUTED_VALUE"""),4.2750179E7)</f>
        <v>42750179</v>
      </c>
    </row>
    <row r="138">
      <c r="A138" s="3">
        <f>IFERROR(__xludf.DUMMYFUNCTION("""COMPUTED_VALUE"""),45127.66666666667)</f>
        <v>45127.66667</v>
      </c>
      <c r="B138" s="2">
        <f>IFERROR(__xludf.DUMMYFUNCTION("""COMPUTED_VALUE"""),46.51)</f>
        <v>46.51</v>
      </c>
      <c r="C138" s="2">
        <f>IFERROR(__xludf.DUMMYFUNCTION("""COMPUTED_VALUE"""),47.09)</f>
        <v>47.09</v>
      </c>
      <c r="D138" s="2">
        <f>IFERROR(__xludf.DUMMYFUNCTION("""COMPUTED_VALUE"""),45.06)</f>
        <v>45.06</v>
      </c>
      <c r="E138" s="2">
        <f>IFERROR(__xludf.DUMMYFUNCTION("""COMPUTED_VALUE"""),45.52)</f>
        <v>45.52</v>
      </c>
      <c r="F138" s="2">
        <f>IFERROR(__xludf.DUMMYFUNCTION("""COMPUTED_VALUE"""),5.3786451E7)</f>
        <v>53786451</v>
      </c>
    </row>
    <row r="139">
      <c r="A139" s="3">
        <f>IFERROR(__xludf.DUMMYFUNCTION("""COMPUTED_VALUE"""),45128.66666666667)</f>
        <v>45128.66667</v>
      </c>
      <c r="B139" s="2">
        <f>IFERROR(__xludf.DUMMYFUNCTION("""COMPUTED_VALUE"""),45.79)</f>
        <v>45.79</v>
      </c>
      <c r="C139" s="2">
        <f>IFERROR(__xludf.DUMMYFUNCTION("""COMPUTED_VALUE"""),45.87)</f>
        <v>45.87</v>
      </c>
      <c r="D139" s="2">
        <f>IFERROR(__xludf.DUMMYFUNCTION("""COMPUTED_VALUE"""),44.1)</f>
        <v>44.1</v>
      </c>
      <c r="E139" s="2">
        <f>IFERROR(__xludf.DUMMYFUNCTION("""COMPUTED_VALUE"""),44.31)</f>
        <v>44.31</v>
      </c>
      <c r="F139" s="2">
        <f>IFERROR(__xludf.DUMMYFUNCTION("""COMPUTED_VALUE"""),9.6376863E7)</f>
        <v>96376863</v>
      </c>
    </row>
    <row r="140">
      <c r="A140" s="3">
        <f>IFERROR(__xludf.DUMMYFUNCTION("""COMPUTED_VALUE"""),45131.66666666667)</f>
        <v>45131.66667</v>
      </c>
      <c r="B140" s="2">
        <f>IFERROR(__xludf.DUMMYFUNCTION("""COMPUTED_VALUE"""),44.73)</f>
        <v>44.73</v>
      </c>
      <c r="C140" s="2">
        <f>IFERROR(__xludf.DUMMYFUNCTION("""COMPUTED_VALUE"""),45.11)</f>
        <v>45.11</v>
      </c>
      <c r="D140" s="2">
        <f>IFERROR(__xludf.DUMMYFUNCTION("""COMPUTED_VALUE"""),44.04)</f>
        <v>44.04</v>
      </c>
      <c r="E140" s="2">
        <f>IFERROR(__xludf.DUMMYFUNCTION("""COMPUTED_VALUE"""),44.61)</f>
        <v>44.61</v>
      </c>
      <c r="F140" s="2">
        <f>IFERROR(__xludf.DUMMYFUNCTION("""COMPUTED_VALUE"""),3.8309974E7)</f>
        <v>38309974</v>
      </c>
    </row>
    <row r="141">
      <c r="A141" s="3">
        <f>IFERROR(__xludf.DUMMYFUNCTION("""COMPUTED_VALUE"""),45132.66666666667)</f>
        <v>45132.66667</v>
      </c>
      <c r="B141" s="2">
        <f>IFERROR(__xludf.DUMMYFUNCTION("""COMPUTED_VALUE"""),44.94)</f>
        <v>44.94</v>
      </c>
      <c r="C141" s="2">
        <f>IFERROR(__xludf.DUMMYFUNCTION("""COMPUTED_VALUE"""),46.18)</f>
        <v>46.18</v>
      </c>
      <c r="D141" s="2">
        <f>IFERROR(__xludf.DUMMYFUNCTION("""COMPUTED_VALUE"""),44.92)</f>
        <v>44.92</v>
      </c>
      <c r="E141" s="2">
        <f>IFERROR(__xludf.DUMMYFUNCTION("""COMPUTED_VALUE"""),45.68)</f>
        <v>45.68</v>
      </c>
      <c r="F141" s="2">
        <f>IFERROR(__xludf.DUMMYFUNCTION("""COMPUTED_VALUE"""),3.4808091E7)</f>
        <v>34808091</v>
      </c>
    </row>
    <row r="142">
      <c r="A142" s="3">
        <f>IFERROR(__xludf.DUMMYFUNCTION("""COMPUTED_VALUE"""),45133.66666666667)</f>
        <v>45133.66667</v>
      </c>
      <c r="B142" s="2">
        <f>IFERROR(__xludf.DUMMYFUNCTION("""COMPUTED_VALUE"""),46.02)</f>
        <v>46.02</v>
      </c>
      <c r="C142" s="2">
        <f>IFERROR(__xludf.DUMMYFUNCTION("""COMPUTED_VALUE"""),46.05)</f>
        <v>46.05</v>
      </c>
      <c r="D142" s="2">
        <f>IFERROR(__xludf.DUMMYFUNCTION("""COMPUTED_VALUE"""),44.63)</f>
        <v>44.63</v>
      </c>
      <c r="E142" s="2">
        <f>IFERROR(__xludf.DUMMYFUNCTION("""COMPUTED_VALUE"""),45.45)</f>
        <v>45.45</v>
      </c>
      <c r="F142" s="2">
        <f>IFERROR(__xludf.DUMMYFUNCTION("""COMPUTED_VALUE"""),3.6423726E7)</f>
        <v>36423726</v>
      </c>
    </row>
    <row r="143">
      <c r="A143" s="3">
        <f>IFERROR(__xludf.DUMMYFUNCTION("""COMPUTED_VALUE"""),45134.66666666667)</f>
        <v>45134.66667</v>
      </c>
      <c r="B143" s="2">
        <f>IFERROR(__xludf.DUMMYFUNCTION("""COMPUTED_VALUE"""),46.52)</f>
        <v>46.52</v>
      </c>
      <c r="C143" s="2">
        <f>IFERROR(__xludf.DUMMYFUNCTION("""COMPUTED_VALUE"""),47.4)</f>
        <v>47.4</v>
      </c>
      <c r="D143" s="2">
        <f>IFERROR(__xludf.DUMMYFUNCTION("""COMPUTED_VALUE"""),45.75)</f>
        <v>45.75</v>
      </c>
      <c r="E143" s="2">
        <f>IFERROR(__xludf.DUMMYFUNCTION("""COMPUTED_VALUE"""),45.9)</f>
        <v>45.9</v>
      </c>
      <c r="F143" s="2">
        <f>IFERROR(__xludf.DUMMYFUNCTION("""COMPUTED_VALUE"""),4.5597552E7)</f>
        <v>45597552</v>
      </c>
    </row>
    <row r="144">
      <c r="A144" s="3">
        <f>IFERROR(__xludf.DUMMYFUNCTION("""COMPUTED_VALUE"""),45135.66666666667)</f>
        <v>45135.66667</v>
      </c>
      <c r="B144" s="2">
        <f>IFERROR(__xludf.DUMMYFUNCTION("""COMPUTED_VALUE"""),46.67)</f>
        <v>46.67</v>
      </c>
      <c r="C144" s="2">
        <f>IFERROR(__xludf.DUMMYFUNCTION("""COMPUTED_VALUE"""),47.03)</f>
        <v>47.03</v>
      </c>
      <c r="D144" s="2">
        <f>IFERROR(__xludf.DUMMYFUNCTION("""COMPUTED_VALUE"""),46.38)</f>
        <v>46.38</v>
      </c>
      <c r="E144" s="2">
        <f>IFERROR(__xludf.DUMMYFUNCTION("""COMPUTED_VALUE"""),46.75)</f>
        <v>46.75</v>
      </c>
      <c r="F144" s="2">
        <f>IFERROR(__xludf.DUMMYFUNCTION("""COMPUTED_VALUE"""),3.3119424E7)</f>
        <v>33119424</v>
      </c>
    </row>
    <row r="145">
      <c r="A145" s="3">
        <f>IFERROR(__xludf.DUMMYFUNCTION("""COMPUTED_VALUE"""),45138.66666666667)</f>
        <v>45138.66667</v>
      </c>
      <c r="B145" s="2">
        <f>IFERROR(__xludf.DUMMYFUNCTION("""COMPUTED_VALUE"""),46.75)</f>
        <v>46.75</v>
      </c>
      <c r="C145" s="2">
        <f>IFERROR(__xludf.DUMMYFUNCTION("""COMPUTED_VALUE"""),47.13)</f>
        <v>47.13</v>
      </c>
      <c r="D145" s="2">
        <f>IFERROR(__xludf.DUMMYFUNCTION("""COMPUTED_VALUE"""),46.51)</f>
        <v>46.51</v>
      </c>
      <c r="E145" s="2">
        <f>IFERROR(__xludf.DUMMYFUNCTION("""COMPUTED_VALUE"""),46.73)</f>
        <v>46.73</v>
      </c>
      <c r="F145" s="2">
        <f>IFERROR(__xludf.DUMMYFUNCTION("""COMPUTED_VALUE"""),2.5105528E7)</f>
        <v>25105528</v>
      </c>
    </row>
    <row r="146">
      <c r="A146" s="3">
        <f>IFERROR(__xludf.DUMMYFUNCTION("""COMPUTED_VALUE"""),45139.66666666667)</f>
        <v>45139.66667</v>
      </c>
      <c r="B146" s="2">
        <f>IFERROR(__xludf.DUMMYFUNCTION("""COMPUTED_VALUE"""),46.46)</f>
        <v>46.46</v>
      </c>
      <c r="C146" s="2">
        <f>IFERROR(__xludf.DUMMYFUNCTION("""COMPUTED_VALUE"""),46.9)</f>
        <v>46.9</v>
      </c>
      <c r="D146" s="2">
        <f>IFERROR(__xludf.DUMMYFUNCTION("""COMPUTED_VALUE"""),46.03)</f>
        <v>46.03</v>
      </c>
      <c r="E146" s="2">
        <f>IFERROR(__xludf.DUMMYFUNCTION("""COMPUTED_VALUE"""),46.51)</f>
        <v>46.51</v>
      </c>
      <c r="F146" s="2">
        <f>IFERROR(__xludf.DUMMYFUNCTION("""COMPUTED_VALUE"""),2.3927597E7)</f>
        <v>23927597</v>
      </c>
    </row>
    <row r="147">
      <c r="A147" s="3">
        <f>IFERROR(__xludf.DUMMYFUNCTION("""COMPUTED_VALUE"""),45140.66666666667)</f>
        <v>45140.66667</v>
      </c>
      <c r="B147" s="2">
        <f>IFERROR(__xludf.DUMMYFUNCTION("""COMPUTED_VALUE"""),45.83)</f>
        <v>45.83</v>
      </c>
      <c r="C147" s="2">
        <f>IFERROR(__xludf.DUMMYFUNCTION("""COMPUTED_VALUE"""),45.84)</f>
        <v>45.84</v>
      </c>
      <c r="D147" s="2">
        <f>IFERROR(__xludf.DUMMYFUNCTION("""COMPUTED_VALUE"""),43.39)</f>
        <v>43.39</v>
      </c>
      <c r="E147" s="2">
        <f>IFERROR(__xludf.DUMMYFUNCTION("""COMPUTED_VALUE"""),44.27)</f>
        <v>44.27</v>
      </c>
      <c r="F147" s="2">
        <f>IFERROR(__xludf.DUMMYFUNCTION("""COMPUTED_VALUE"""),5.3014157E7)</f>
        <v>53014157</v>
      </c>
    </row>
    <row r="148">
      <c r="A148" s="3">
        <f>IFERROR(__xludf.DUMMYFUNCTION("""COMPUTED_VALUE"""),45141.66666666667)</f>
        <v>45141.66667</v>
      </c>
      <c r="B148" s="2">
        <f>IFERROR(__xludf.DUMMYFUNCTION("""COMPUTED_VALUE"""),43.8)</f>
        <v>43.8</v>
      </c>
      <c r="C148" s="2">
        <f>IFERROR(__xludf.DUMMYFUNCTION("""COMPUTED_VALUE"""),45.12)</f>
        <v>45.12</v>
      </c>
      <c r="D148" s="2">
        <f>IFERROR(__xludf.DUMMYFUNCTION("""COMPUTED_VALUE"""),43.8)</f>
        <v>43.8</v>
      </c>
      <c r="E148" s="2">
        <f>IFERROR(__xludf.DUMMYFUNCTION("""COMPUTED_VALUE"""),44.52)</f>
        <v>44.52</v>
      </c>
      <c r="F148" s="2">
        <f>IFERROR(__xludf.DUMMYFUNCTION("""COMPUTED_VALUE"""),3.250766E7)</f>
        <v>32507660</v>
      </c>
    </row>
    <row r="149">
      <c r="A149" s="3">
        <f>IFERROR(__xludf.DUMMYFUNCTION("""COMPUTED_VALUE"""),45142.66666666667)</f>
        <v>45142.66667</v>
      </c>
      <c r="B149" s="2">
        <f>IFERROR(__xludf.DUMMYFUNCTION("""COMPUTED_VALUE"""),44.99)</f>
        <v>44.99</v>
      </c>
      <c r="C149" s="2">
        <f>IFERROR(__xludf.DUMMYFUNCTION("""COMPUTED_VALUE"""),45.64)</f>
        <v>45.64</v>
      </c>
      <c r="D149" s="2">
        <f>IFERROR(__xludf.DUMMYFUNCTION("""COMPUTED_VALUE"""),44.39)</f>
        <v>44.39</v>
      </c>
      <c r="E149" s="2">
        <f>IFERROR(__xludf.DUMMYFUNCTION("""COMPUTED_VALUE"""),44.68)</f>
        <v>44.68</v>
      </c>
      <c r="F149" s="2">
        <f>IFERROR(__xludf.DUMMYFUNCTION("""COMPUTED_VALUE"""),3.6266618E7)</f>
        <v>36266618</v>
      </c>
    </row>
    <row r="150">
      <c r="A150" s="3">
        <f>IFERROR(__xludf.DUMMYFUNCTION("""COMPUTED_VALUE"""),45145.66666666667)</f>
        <v>45145.66667</v>
      </c>
      <c r="B150" s="2">
        <f>IFERROR(__xludf.DUMMYFUNCTION("""COMPUTED_VALUE"""),45.11)</f>
        <v>45.11</v>
      </c>
      <c r="C150" s="2">
        <f>IFERROR(__xludf.DUMMYFUNCTION("""COMPUTED_VALUE"""),45.54)</f>
        <v>45.54</v>
      </c>
      <c r="D150" s="2">
        <f>IFERROR(__xludf.DUMMYFUNCTION("""COMPUTED_VALUE"""),44.56)</f>
        <v>44.56</v>
      </c>
      <c r="E150" s="2">
        <f>IFERROR(__xludf.DUMMYFUNCTION("""COMPUTED_VALUE"""),45.42)</f>
        <v>45.42</v>
      </c>
      <c r="F150" s="2">
        <f>IFERROR(__xludf.DUMMYFUNCTION("""COMPUTED_VALUE"""),3.2215354E7)</f>
        <v>32215354</v>
      </c>
    </row>
    <row r="151">
      <c r="A151" s="3">
        <f>IFERROR(__xludf.DUMMYFUNCTION("""COMPUTED_VALUE"""),45146.66666666667)</f>
        <v>45146.66667</v>
      </c>
      <c r="B151" s="2">
        <f>IFERROR(__xludf.DUMMYFUNCTION("""COMPUTED_VALUE"""),44.85)</f>
        <v>44.85</v>
      </c>
      <c r="C151" s="2">
        <f>IFERROR(__xludf.DUMMYFUNCTION("""COMPUTED_VALUE"""),45.24)</f>
        <v>45.24</v>
      </c>
      <c r="D151" s="2">
        <f>IFERROR(__xludf.DUMMYFUNCTION("""COMPUTED_VALUE"""),44.06)</f>
        <v>44.06</v>
      </c>
      <c r="E151" s="2">
        <f>IFERROR(__xludf.DUMMYFUNCTION("""COMPUTED_VALUE"""),44.66)</f>
        <v>44.66</v>
      </c>
      <c r="F151" s="2">
        <f>IFERROR(__xludf.DUMMYFUNCTION("""COMPUTED_VALUE"""),3.5384343E7)</f>
        <v>35384343</v>
      </c>
    </row>
    <row r="152">
      <c r="A152" s="3">
        <f>IFERROR(__xludf.DUMMYFUNCTION("""COMPUTED_VALUE"""),45147.66666666667)</f>
        <v>45147.66667</v>
      </c>
      <c r="B152" s="2">
        <f>IFERROR(__xludf.DUMMYFUNCTION("""COMPUTED_VALUE"""),44.27)</f>
        <v>44.27</v>
      </c>
      <c r="C152" s="2">
        <f>IFERROR(__xludf.DUMMYFUNCTION("""COMPUTED_VALUE"""),44.31)</f>
        <v>44.31</v>
      </c>
      <c r="D152" s="2">
        <f>IFERROR(__xludf.DUMMYFUNCTION("""COMPUTED_VALUE"""),42.13)</f>
        <v>42.13</v>
      </c>
      <c r="E152" s="2">
        <f>IFERROR(__xludf.DUMMYFUNCTION("""COMPUTED_VALUE"""),42.55)</f>
        <v>42.55</v>
      </c>
      <c r="F152" s="2">
        <f>IFERROR(__xludf.DUMMYFUNCTION("""COMPUTED_VALUE"""),5.8644907E7)</f>
        <v>58644907</v>
      </c>
    </row>
    <row r="153">
      <c r="A153" s="3">
        <f>IFERROR(__xludf.DUMMYFUNCTION("""COMPUTED_VALUE"""),45148.66666666667)</f>
        <v>45148.66667</v>
      </c>
      <c r="B153" s="2">
        <f>IFERROR(__xludf.DUMMYFUNCTION("""COMPUTED_VALUE"""),42.16)</f>
        <v>42.16</v>
      </c>
      <c r="C153" s="2">
        <f>IFERROR(__xludf.DUMMYFUNCTION("""COMPUTED_VALUE"""),43.57)</f>
        <v>43.57</v>
      </c>
      <c r="D153" s="2">
        <f>IFERROR(__xludf.DUMMYFUNCTION("""COMPUTED_VALUE"""),41.84)</f>
        <v>41.84</v>
      </c>
      <c r="E153" s="2">
        <f>IFERROR(__xludf.DUMMYFUNCTION("""COMPUTED_VALUE"""),42.39)</f>
        <v>42.39</v>
      </c>
      <c r="F153" s="2">
        <f>IFERROR(__xludf.DUMMYFUNCTION("""COMPUTED_VALUE"""),4.927053E7)</f>
        <v>49270530</v>
      </c>
    </row>
    <row r="154">
      <c r="A154" s="3">
        <f>IFERROR(__xludf.DUMMYFUNCTION("""COMPUTED_VALUE"""),45149.66666666667)</f>
        <v>45149.66667</v>
      </c>
      <c r="B154" s="2">
        <f>IFERROR(__xludf.DUMMYFUNCTION("""COMPUTED_VALUE"""),41.75)</f>
        <v>41.75</v>
      </c>
      <c r="C154" s="2">
        <f>IFERROR(__xludf.DUMMYFUNCTION("""COMPUTED_VALUE"""),42.02)</f>
        <v>42.02</v>
      </c>
      <c r="D154" s="2">
        <f>IFERROR(__xludf.DUMMYFUNCTION("""COMPUTED_VALUE"""),40.64)</f>
        <v>40.64</v>
      </c>
      <c r="E154" s="2">
        <f>IFERROR(__xludf.DUMMYFUNCTION("""COMPUTED_VALUE"""),40.85)</f>
        <v>40.85</v>
      </c>
      <c r="F154" s="2">
        <f>IFERROR(__xludf.DUMMYFUNCTION("""COMPUTED_VALUE"""),5.3308526E7)</f>
        <v>53308526</v>
      </c>
    </row>
    <row r="155">
      <c r="A155" s="3">
        <f>IFERROR(__xludf.DUMMYFUNCTION("""COMPUTED_VALUE"""),45152.66666666667)</f>
        <v>45152.66667</v>
      </c>
      <c r="B155" s="2">
        <f>IFERROR(__xludf.DUMMYFUNCTION("""COMPUTED_VALUE"""),40.49)</f>
        <v>40.49</v>
      </c>
      <c r="C155" s="2">
        <f>IFERROR(__xludf.DUMMYFUNCTION("""COMPUTED_VALUE"""),43.8)</f>
        <v>43.8</v>
      </c>
      <c r="D155" s="2">
        <f>IFERROR(__xludf.DUMMYFUNCTION("""COMPUTED_VALUE"""),40.31)</f>
        <v>40.31</v>
      </c>
      <c r="E155" s="2">
        <f>IFERROR(__xludf.DUMMYFUNCTION("""COMPUTED_VALUE"""),43.75)</f>
        <v>43.75</v>
      </c>
      <c r="F155" s="2">
        <f>IFERROR(__xludf.DUMMYFUNCTION("""COMPUTED_VALUE"""),6.9028583E7)</f>
        <v>69028583</v>
      </c>
    </row>
    <row r="156">
      <c r="A156" s="3">
        <f>IFERROR(__xludf.DUMMYFUNCTION("""COMPUTED_VALUE"""),45153.66666666667)</f>
        <v>45153.66667</v>
      </c>
      <c r="B156" s="2">
        <f>IFERROR(__xludf.DUMMYFUNCTION("""COMPUTED_VALUE"""),44.56)</f>
        <v>44.56</v>
      </c>
      <c r="C156" s="2">
        <f>IFERROR(__xludf.DUMMYFUNCTION("""COMPUTED_VALUE"""),45.27)</f>
        <v>45.27</v>
      </c>
      <c r="D156" s="2">
        <f>IFERROR(__xludf.DUMMYFUNCTION("""COMPUTED_VALUE"""),43.71)</f>
        <v>43.71</v>
      </c>
      <c r="E156" s="2">
        <f>IFERROR(__xludf.DUMMYFUNCTION("""COMPUTED_VALUE"""),43.94)</f>
        <v>43.94</v>
      </c>
      <c r="F156" s="2">
        <f>IFERROR(__xludf.DUMMYFUNCTION("""COMPUTED_VALUE"""),6.7651151E7)</f>
        <v>67651151</v>
      </c>
    </row>
    <row r="157">
      <c r="A157" s="3">
        <f>IFERROR(__xludf.DUMMYFUNCTION("""COMPUTED_VALUE"""),45154.66666666667)</f>
        <v>45154.66667</v>
      </c>
      <c r="B157" s="2">
        <f>IFERROR(__xludf.DUMMYFUNCTION("""COMPUTED_VALUE"""),44.52)</f>
        <v>44.52</v>
      </c>
      <c r="C157" s="2">
        <f>IFERROR(__xludf.DUMMYFUNCTION("""COMPUTED_VALUE"""),44.68)</f>
        <v>44.68</v>
      </c>
      <c r="D157" s="2">
        <f>IFERROR(__xludf.DUMMYFUNCTION("""COMPUTED_VALUE"""),43.41)</f>
        <v>43.41</v>
      </c>
      <c r="E157" s="2">
        <f>IFERROR(__xludf.DUMMYFUNCTION("""COMPUTED_VALUE"""),43.49)</f>
        <v>43.49</v>
      </c>
      <c r="F157" s="2">
        <f>IFERROR(__xludf.DUMMYFUNCTION("""COMPUTED_VALUE"""),5.2745068E7)</f>
        <v>52745068</v>
      </c>
    </row>
    <row r="158">
      <c r="A158" s="3">
        <f>IFERROR(__xludf.DUMMYFUNCTION("""COMPUTED_VALUE"""),45155.66666666667)</f>
        <v>45155.66667</v>
      </c>
      <c r="B158" s="2">
        <f>IFERROR(__xludf.DUMMYFUNCTION("""COMPUTED_VALUE"""),43.97)</f>
        <v>43.97</v>
      </c>
      <c r="C158" s="2">
        <f>IFERROR(__xludf.DUMMYFUNCTION("""COMPUTED_VALUE"""),44.06)</f>
        <v>44.06</v>
      </c>
      <c r="D158" s="2">
        <f>IFERROR(__xludf.DUMMYFUNCTION("""COMPUTED_VALUE"""),43.0)</f>
        <v>43</v>
      </c>
      <c r="E158" s="2">
        <f>IFERROR(__xludf.DUMMYFUNCTION("""COMPUTED_VALUE"""),43.34)</f>
        <v>43.34</v>
      </c>
      <c r="F158" s="2">
        <f>IFERROR(__xludf.DUMMYFUNCTION("""COMPUTED_VALUE"""),4.5239482E7)</f>
        <v>45239482</v>
      </c>
    </row>
    <row r="159">
      <c r="A159" s="3">
        <f>IFERROR(__xludf.DUMMYFUNCTION("""COMPUTED_VALUE"""),45156.66666666667)</f>
        <v>45156.66667</v>
      </c>
      <c r="B159" s="2">
        <f>IFERROR(__xludf.DUMMYFUNCTION("""COMPUTED_VALUE"""),42.64)</f>
        <v>42.64</v>
      </c>
      <c r="C159" s="2">
        <f>IFERROR(__xludf.DUMMYFUNCTION("""COMPUTED_VALUE"""),43.58)</f>
        <v>43.58</v>
      </c>
      <c r="D159" s="2">
        <f>IFERROR(__xludf.DUMMYFUNCTION("""COMPUTED_VALUE"""),41.66)</f>
        <v>41.66</v>
      </c>
      <c r="E159" s="2">
        <f>IFERROR(__xludf.DUMMYFUNCTION("""COMPUTED_VALUE"""),43.3)</f>
        <v>43.3</v>
      </c>
      <c r="F159" s="2">
        <f>IFERROR(__xludf.DUMMYFUNCTION("""COMPUTED_VALUE"""),5.8376787E7)</f>
        <v>58376787</v>
      </c>
    </row>
    <row r="160">
      <c r="A160" s="3">
        <f>IFERROR(__xludf.DUMMYFUNCTION("""COMPUTED_VALUE"""),45159.66666666667)</f>
        <v>45159.66667</v>
      </c>
      <c r="B160" s="2">
        <f>IFERROR(__xludf.DUMMYFUNCTION("""COMPUTED_VALUE"""),44.49)</f>
        <v>44.49</v>
      </c>
      <c r="C160" s="2">
        <f>IFERROR(__xludf.DUMMYFUNCTION("""COMPUTED_VALUE"""),47.07)</f>
        <v>47.07</v>
      </c>
      <c r="D160" s="2">
        <f>IFERROR(__xludf.DUMMYFUNCTION("""COMPUTED_VALUE"""),44.22)</f>
        <v>44.22</v>
      </c>
      <c r="E160" s="2">
        <f>IFERROR(__xludf.DUMMYFUNCTION("""COMPUTED_VALUE"""),46.97)</f>
        <v>46.97</v>
      </c>
      <c r="F160" s="2">
        <f>IFERROR(__xludf.DUMMYFUNCTION("""COMPUTED_VALUE"""),6.9257337E7)</f>
        <v>69257337</v>
      </c>
    </row>
    <row r="161">
      <c r="A161" s="3">
        <f>IFERROR(__xludf.DUMMYFUNCTION("""COMPUTED_VALUE"""),45160.66666666667)</f>
        <v>45160.66667</v>
      </c>
      <c r="B161" s="2">
        <f>IFERROR(__xludf.DUMMYFUNCTION("""COMPUTED_VALUE"""),48.14)</f>
        <v>48.14</v>
      </c>
      <c r="C161" s="2">
        <f>IFERROR(__xludf.DUMMYFUNCTION("""COMPUTED_VALUE"""),48.19)</f>
        <v>48.19</v>
      </c>
      <c r="D161" s="2">
        <f>IFERROR(__xludf.DUMMYFUNCTION("""COMPUTED_VALUE"""),45.33)</f>
        <v>45.33</v>
      </c>
      <c r="E161" s="2">
        <f>IFERROR(__xludf.DUMMYFUNCTION("""COMPUTED_VALUE"""),45.67)</f>
        <v>45.67</v>
      </c>
      <c r="F161" s="2">
        <f>IFERROR(__xludf.DUMMYFUNCTION("""COMPUTED_VALUE"""),7.5720691E7)</f>
        <v>75720691</v>
      </c>
    </row>
    <row r="162">
      <c r="A162" s="3">
        <f>IFERROR(__xludf.DUMMYFUNCTION("""COMPUTED_VALUE"""),45161.66666666667)</f>
        <v>45161.66667</v>
      </c>
      <c r="B162" s="2">
        <f>IFERROR(__xludf.DUMMYFUNCTION("""COMPUTED_VALUE"""),45.87)</f>
        <v>45.87</v>
      </c>
      <c r="C162" s="2">
        <f>IFERROR(__xludf.DUMMYFUNCTION("""COMPUTED_VALUE"""),47.2)</f>
        <v>47.2</v>
      </c>
      <c r="D162" s="2">
        <f>IFERROR(__xludf.DUMMYFUNCTION("""COMPUTED_VALUE"""),45.21)</f>
        <v>45.21</v>
      </c>
      <c r="E162" s="2">
        <f>IFERROR(__xludf.DUMMYFUNCTION("""COMPUTED_VALUE"""),47.12)</f>
        <v>47.12</v>
      </c>
      <c r="F162" s="2">
        <f>IFERROR(__xludf.DUMMYFUNCTION("""COMPUTED_VALUE"""),7.7904608E7)</f>
        <v>77904608</v>
      </c>
    </row>
    <row r="163">
      <c r="A163" s="3">
        <f>IFERROR(__xludf.DUMMYFUNCTION("""COMPUTED_VALUE"""),45162.66666666667)</f>
        <v>45162.66667</v>
      </c>
      <c r="B163" s="2">
        <f>IFERROR(__xludf.DUMMYFUNCTION("""COMPUTED_VALUE"""),50.22)</f>
        <v>50.22</v>
      </c>
      <c r="C163" s="2">
        <f>IFERROR(__xludf.DUMMYFUNCTION("""COMPUTED_VALUE"""),50.27)</f>
        <v>50.27</v>
      </c>
      <c r="D163" s="2">
        <f>IFERROR(__xludf.DUMMYFUNCTION("""COMPUTED_VALUE"""),47.16)</f>
        <v>47.16</v>
      </c>
      <c r="E163" s="2">
        <f>IFERROR(__xludf.DUMMYFUNCTION("""COMPUTED_VALUE"""),47.16)</f>
        <v>47.16</v>
      </c>
      <c r="F163" s="2">
        <f>IFERROR(__xludf.DUMMYFUNCTION("""COMPUTED_VALUE"""),1.15604409E8)</f>
        <v>115604409</v>
      </c>
    </row>
    <row r="164">
      <c r="A164" s="3">
        <f>IFERROR(__xludf.DUMMYFUNCTION("""COMPUTED_VALUE"""),45163.66666666667)</f>
        <v>45163.66667</v>
      </c>
      <c r="B164" s="2">
        <f>IFERROR(__xludf.DUMMYFUNCTION("""COMPUTED_VALUE"""),47.01)</f>
        <v>47.01</v>
      </c>
      <c r="C164" s="2">
        <f>IFERROR(__xludf.DUMMYFUNCTION("""COMPUTED_VALUE"""),47.81)</f>
        <v>47.81</v>
      </c>
      <c r="D164" s="2">
        <f>IFERROR(__xludf.DUMMYFUNCTION("""COMPUTED_VALUE"""),45.02)</f>
        <v>45.02</v>
      </c>
      <c r="E164" s="2">
        <f>IFERROR(__xludf.DUMMYFUNCTION("""COMPUTED_VALUE"""),46.02)</f>
        <v>46.02</v>
      </c>
      <c r="F164" s="2">
        <f>IFERROR(__xludf.DUMMYFUNCTION("""COMPUTED_VALUE"""),9.2534052E7)</f>
        <v>92534052</v>
      </c>
    </row>
    <row r="165">
      <c r="A165" s="3">
        <f>IFERROR(__xludf.DUMMYFUNCTION("""COMPUTED_VALUE"""),45166.66666666667)</f>
        <v>45166.66667</v>
      </c>
      <c r="B165" s="2">
        <f>IFERROR(__xludf.DUMMYFUNCTION("""COMPUTED_VALUE"""),46.48)</f>
        <v>46.48</v>
      </c>
      <c r="C165" s="2">
        <f>IFERROR(__xludf.DUMMYFUNCTION("""COMPUTED_VALUE"""),46.98)</f>
        <v>46.98</v>
      </c>
      <c r="D165" s="2">
        <f>IFERROR(__xludf.DUMMYFUNCTION("""COMPUTED_VALUE"""),44.89)</f>
        <v>44.89</v>
      </c>
      <c r="E165" s="2">
        <f>IFERROR(__xludf.DUMMYFUNCTION("""COMPUTED_VALUE"""),46.84)</f>
        <v>46.84</v>
      </c>
      <c r="F165" s="2">
        <f>IFERROR(__xludf.DUMMYFUNCTION("""COMPUTED_VALUE"""),6.8519223E7)</f>
        <v>68519223</v>
      </c>
    </row>
    <row r="166">
      <c r="A166" s="3">
        <f>IFERROR(__xludf.DUMMYFUNCTION("""COMPUTED_VALUE"""),45167.66666666667)</f>
        <v>45167.66667</v>
      </c>
      <c r="B166" s="2">
        <f>IFERROR(__xludf.DUMMYFUNCTION("""COMPUTED_VALUE"""),46.67)</f>
        <v>46.67</v>
      </c>
      <c r="C166" s="2">
        <f>IFERROR(__xludf.DUMMYFUNCTION("""COMPUTED_VALUE"""),49.08)</f>
        <v>49.08</v>
      </c>
      <c r="D166" s="2">
        <f>IFERROR(__xludf.DUMMYFUNCTION("""COMPUTED_VALUE"""),46.39)</f>
        <v>46.39</v>
      </c>
      <c r="E166" s="2">
        <f>IFERROR(__xludf.DUMMYFUNCTION("""COMPUTED_VALUE"""),48.78)</f>
        <v>48.78</v>
      </c>
      <c r="F166" s="2">
        <f>IFERROR(__xludf.DUMMYFUNCTION("""COMPUTED_VALUE"""),7.0139699E7)</f>
        <v>70139699</v>
      </c>
    </row>
    <row r="167">
      <c r="A167" s="3">
        <f>IFERROR(__xludf.DUMMYFUNCTION("""COMPUTED_VALUE"""),45168.66666666667)</f>
        <v>45168.66667</v>
      </c>
      <c r="B167" s="2">
        <f>IFERROR(__xludf.DUMMYFUNCTION("""COMPUTED_VALUE"""),49.04)</f>
        <v>49.04</v>
      </c>
      <c r="C167" s="2">
        <f>IFERROR(__xludf.DUMMYFUNCTION("""COMPUTED_VALUE"""),49.93)</f>
        <v>49.93</v>
      </c>
      <c r="D167" s="2">
        <f>IFERROR(__xludf.DUMMYFUNCTION("""COMPUTED_VALUE"""),48.43)</f>
        <v>48.43</v>
      </c>
      <c r="E167" s="2">
        <f>IFERROR(__xludf.DUMMYFUNCTION("""COMPUTED_VALUE"""),49.26)</f>
        <v>49.26</v>
      </c>
      <c r="F167" s="2">
        <f>IFERROR(__xludf.DUMMYFUNCTION("""COMPUTED_VALUE"""),7.3520598E7)</f>
        <v>73520598</v>
      </c>
    </row>
    <row r="168">
      <c r="A168" s="3">
        <f>IFERROR(__xludf.DUMMYFUNCTION("""COMPUTED_VALUE"""),45169.66666666667)</f>
        <v>45169.66667</v>
      </c>
      <c r="B168" s="2">
        <f>IFERROR(__xludf.DUMMYFUNCTION("""COMPUTED_VALUE"""),49.38)</f>
        <v>49.38</v>
      </c>
      <c r="C168" s="2">
        <f>IFERROR(__xludf.DUMMYFUNCTION("""COMPUTED_VALUE"""),49.74)</f>
        <v>49.74</v>
      </c>
      <c r="D168" s="2">
        <f>IFERROR(__xludf.DUMMYFUNCTION("""COMPUTED_VALUE"""),48.96)</f>
        <v>48.96</v>
      </c>
      <c r="E168" s="2">
        <f>IFERROR(__xludf.DUMMYFUNCTION("""COMPUTED_VALUE"""),49.36)</f>
        <v>49.36</v>
      </c>
      <c r="F168" s="2">
        <f>IFERROR(__xludf.DUMMYFUNCTION("""COMPUTED_VALUE"""),5.2856977E7)</f>
        <v>52856977</v>
      </c>
    </row>
    <row r="169">
      <c r="A169" s="3">
        <f>IFERROR(__xludf.DUMMYFUNCTION("""COMPUTED_VALUE"""),45170.66666666667)</f>
        <v>45170.66667</v>
      </c>
      <c r="B169" s="2">
        <f>IFERROR(__xludf.DUMMYFUNCTION("""COMPUTED_VALUE"""),49.76)</f>
        <v>49.76</v>
      </c>
      <c r="C169" s="2">
        <f>IFERROR(__xludf.DUMMYFUNCTION("""COMPUTED_VALUE"""),49.8)</f>
        <v>49.8</v>
      </c>
      <c r="D169" s="2">
        <f>IFERROR(__xludf.DUMMYFUNCTION("""COMPUTED_VALUE"""),48.14)</f>
        <v>48.14</v>
      </c>
      <c r="E169" s="2">
        <f>IFERROR(__xludf.DUMMYFUNCTION("""COMPUTED_VALUE"""),48.51)</f>
        <v>48.51</v>
      </c>
      <c r="F169" s="2">
        <f>IFERROR(__xludf.DUMMYFUNCTION("""COMPUTED_VALUE"""),4.638303E7)</f>
        <v>46383030</v>
      </c>
    </row>
    <row r="170">
      <c r="A170" s="3">
        <f>IFERROR(__xludf.DUMMYFUNCTION("""COMPUTED_VALUE"""),45174.66666666667)</f>
        <v>45174.66667</v>
      </c>
      <c r="B170" s="2">
        <f>IFERROR(__xludf.DUMMYFUNCTION("""COMPUTED_VALUE"""),48.22)</f>
        <v>48.22</v>
      </c>
      <c r="C170" s="2">
        <f>IFERROR(__xludf.DUMMYFUNCTION("""COMPUTED_VALUE"""),48.85)</f>
        <v>48.85</v>
      </c>
      <c r="D170" s="2">
        <f>IFERROR(__xludf.DUMMYFUNCTION("""COMPUTED_VALUE"""),47.86)</f>
        <v>47.86</v>
      </c>
      <c r="E170" s="2">
        <f>IFERROR(__xludf.DUMMYFUNCTION("""COMPUTED_VALUE"""),48.55)</f>
        <v>48.55</v>
      </c>
      <c r="F170" s="2">
        <f>IFERROR(__xludf.DUMMYFUNCTION("""COMPUTED_VALUE"""),3.8265258E7)</f>
        <v>38265258</v>
      </c>
    </row>
    <row r="171">
      <c r="A171" s="3">
        <f>IFERROR(__xludf.DUMMYFUNCTION("""COMPUTED_VALUE"""),45175.66666666667)</f>
        <v>45175.66667</v>
      </c>
      <c r="B171" s="2">
        <f>IFERROR(__xludf.DUMMYFUNCTION("""COMPUTED_VALUE"""),48.44)</f>
        <v>48.44</v>
      </c>
      <c r="C171" s="2">
        <f>IFERROR(__xludf.DUMMYFUNCTION("""COMPUTED_VALUE"""),48.55)</f>
        <v>48.55</v>
      </c>
      <c r="D171" s="2">
        <f>IFERROR(__xludf.DUMMYFUNCTION("""COMPUTED_VALUE"""),46.58)</f>
        <v>46.58</v>
      </c>
      <c r="E171" s="2">
        <f>IFERROR(__xludf.DUMMYFUNCTION("""COMPUTED_VALUE"""),47.06)</f>
        <v>47.06</v>
      </c>
      <c r="F171" s="2">
        <f>IFERROR(__xludf.DUMMYFUNCTION("""COMPUTED_VALUE"""),4.6866957E7)</f>
        <v>46866957</v>
      </c>
    </row>
    <row r="172">
      <c r="A172" s="3">
        <f>IFERROR(__xludf.DUMMYFUNCTION("""COMPUTED_VALUE"""),45176.66666666667)</f>
        <v>45176.66667</v>
      </c>
      <c r="B172" s="2">
        <f>IFERROR(__xludf.DUMMYFUNCTION("""COMPUTED_VALUE"""),45.53)</f>
        <v>45.53</v>
      </c>
      <c r="C172" s="2">
        <f>IFERROR(__xludf.DUMMYFUNCTION("""COMPUTED_VALUE"""),46.34)</f>
        <v>46.34</v>
      </c>
      <c r="D172" s="2">
        <f>IFERROR(__xludf.DUMMYFUNCTION("""COMPUTED_VALUE"""),45.15)</f>
        <v>45.15</v>
      </c>
      <c r="E172" s="2">
        <f>IFERROR(__xludf.DUMMYFUNCTION("""COMPUTED_VALUE"""),46.24)</f>
        <v>46.24</v>
      </c>
      <c r="F172" s="2">
        <f>IFERROR(__xludf.DUMMYFUNCTION("""COMPUTED_VALUE"""),4.3332989E7)</f>
        <v>43332989</v>
      </c>
    </row>
    <row r="173">
      <c r="A173" s="3">
        <f>IFERROR(__xludf.DUMMYFUNCTION("""COMPUTED_VALUE"""),45177.66666666667)</f>
        <v>45177.66667</v>
      </c>
      <c r="B173" s="2">
        <f>IFERROR(__xludf.DUMMYFUNCTION("""COMPUTED_VALUE"""),45.94)</f>
        <v>45.94</v>
      </c>
      <c r="C173" s="2">
        <f>IFERROR(__xludf.DUMMYFUNCTION("""COMPUTED_VALUE"""),46.61)</f>
        <v>46.61</v>
      </c>
      <c r="D173" s="2">
        <f>IFERROR(__xludf.DUMMYFUNCTION("""COMPUTED_VALUE"""),45.27)</f>
        <v>45.27</v>
      </c>
      <c r="E173" s="2">
        <f>IFERROR(__xludf.DUMMYFUNCTION("""COMPUTED_VALUE"""),45.57)</f>
        <v>45.57</v>
      </c>
      <c r="F173" s="2">
        <f>IFERROR(__xludf.DUMMYFUNCTION("""COMPUTED_VALUE"""),4.7389994E7)</f>
        <v>47389994</v>
      </c>
    </row>
    <row r="174">
      <c r="A174" s="3">
        <f>IFERROR(__xludf.DUMMYFUNCTION("""COMPUTED_VALUE"""),45180.66666666667)</f>
        <v>45180.66667</v>
      </c>
      <c r="B174" s="2">
        <f>IFERROR(__xludf.DUMMYFUNCTION("""COMPUTED_VALUE"""),46.15)</f>
        <v>46.15</v>
      </c>
      <c r="C174" s="2">
        <f>IFERROR(__xludf.DUMMYFUNCTION("""COMPUTED_VALUE"""),46.16)</f>
        <v>46.16</v>
      </c>
      <c r="D174" s="2">
        <f>IFERROR(__xludf.DUMMYFUNCTION("""COMPUTED_VALUE"""),44.31)</f>
        <v>44.31</v>
      </c>
      <c r="E174" s="2">
        <f>IFERROR(__xludf.DUMMYFUNCTION("""COMPUTED_VALUE"""),45.18)</f>
        <v>45.18</v>
      </c>
      <c r="F174" s="2">
        <f>IFERROR(__xludf.DUMMYFUNCTION("""COMPUTED_VALUE"""),4.7396555E7)</f>
        <v>47396555</v>
      </c>
    </row>
    <row r="175">
      <c r="A175" s="3">
        <f>IFERROR(__xludf.DUMMYFUNCTION("""COMPUTED_VALUE"""),45181.66666666667)</f>
        <v>45181.66667</v>
      </c>
      <c r="B175" s="2">
        <f>IFERROR(__xludf.DUMMYFUNCTION("""COMPUTED_VALUE"""),44.74)</f>
        <v>44.74</v>
      </c>
      <c r="C175" s="2">
        <f>IFERROR(__xludf.DUMMYFUNCTION("""COMPUTED_VALUE"""),45.67)</f>
        <v>45.67</v>
      </c>
      <c r="D175" s="2">
        <f>IFERROR(__xludf.DUMMYFUNCTION("""COMPUTED_VALUE"""),44.53)</f>
        <v>44.53</v>
      </c>
      <c r="E175" s="2">
        <f>IFERROR(__xludf.DUMMYFUNCTION("""COMPUTED_VALUE"""),44.87)</f>
        <v>44.87</v>
      </c>
      <c r="F175" s="2">
        <f>IFERROR(__xludf.DUMMYFUNCTION("""COMPUTED_VALUE"""),3.4925634E7)</f>
        <v>34925634</v>
      </c>
    </row>
    <row r="176">
      <c r="A176" s="3">
        <f>IFERROR(__xludf.DUMMYFUNCTION("""COMPUTED_VALUE"""),45182.66666666667)</f>
        <v>45182.66667</v>
      </c>
      <c r="B176" s="2">
        <f>IFERROR(__xludf.DUMMYFUNCTION("""COMPUTED_VALUE"""),44.6)</f>
        <v>44.6</v>
      </c>
      <c r="C176" s="2">
        <f>IFERROR(__xludf.DUMMYFUNCTION("""COMPUTED_VALUE"""),45.93)</f>
        <v>45.93</v>
      </c>
      <c r="D176" s="2">
        <f>IFERROR(__xludf.DUMMYFUNCTION("""COMPUTED_VALUE"""),44.5)</f>
        <v>44.5</v>
      </c>
      <c r="E176" s="2">
        <f>IFERROR(__xludf.DUMMYFUNCTION("""COMPUTED_VALUE"""),45.49)</f>
        <v>45.49</v>
      </c>
      <c r="F176" s="2">
        <f>IFERROR(__xludf.DUMMYFUNCTION("""COMPUTED_VALUE"""),3.9835535E7)</f>
        <v>39835535</v>
      </c>
    </row>
    <row r="177">
      <c r="A177" s="3">
        <f>IFERROR(__xludf.DUMMYFUNCTION("""COMPUTED_VALUE"""),45183.66666666667)</f>
        <v>45183.66667</v>
      </c>
      <c r="B177" s="2">
        <f>IFERROR(__xludf.DUMMYFUNCTION("""COMPUTED_VALUE"""),45.95)</f>
        <v>45.95</v>
      </c>
      <c r="C177" s="2">
        <f>IFERROR(__xludf.DUMMYFUNCTION("""COMPUTED_VALUE"""),45.99)</f>
        <v>45.99</v>
      </c>
      <c r="D177" s="2">
        <f>IFERROR(__xludf.DUMMYFUNCTION("""COMPUTED_VALUE"""),45.13)</f>
        <v>45.13</v>
      </c>
      <c r="E177" s="2">
        <f>IFERROR(__xludf.DUMMYFUNCTION("""COMPUTED_VALUE"""),45.58)</f>
        <v>45.58</v>
      </c>
      <c r="F177" s="2">
        <f>IFERROR(__xludf.DUMMYFUNCTION("""COMPUTED_VALUE"""),3.700972E7)</f>
        <v>37009720</v>
      </c>
    </row>
    <row r="178">
      <c r="A178" s="3">
        <f>IFERROR(__xludf.DUMMYFUNCTION("""COMPUTED_VALUE"""),45184.66666666667)</f>
        <v>45184.66667</v>
      </c>
      <c r="B178" s="2">
        <f>IFERROR(__xludf.DUMMYFUNCTION("""COMPUTED_VALUE"""),45.34)</f>
        <v>45.34</v>
      </c>
      <c r="C178" s="2">
        <f>IFERROR(__xludf.DUMMYFUNCTION("""COMPUTED_VALUE"""),45.6)</f>
        <v>45.6</v>
      </c>
      <c r="D178" s="2">
        <f>IFERROR(__xludf.DUMMYFUNCTION("""COMPUTED_VALUE"""),43.81)</f>
        <v>43.81</v>
      </c>
      <c r="E178" s="2">
        <f>IFERROR(__xludf.DUMMYFUNCTION("""COMPUTED_VALUE"""),43.9)</f>
        <v>43.9</v>
      </c>
      <c r="F178" s="2">
        <f>IFERROR(__xludf.DUMMYFUNCTION("""COMPUTED_VALUE"""),5.0683051E7)</f>
        <v>50683051</v>
      </c>
    </row>
    <row r="179">
      <c r="A179" s="3">
        <f>IFERROR(__xludf.DUMMYFUNCTION("""COMPUTED_VALUE"""),45187.66666666667)</f>
        <v>45187.66667</v>
      </c>
      <c r="B179" s="2">
        <f>IFERROR(__xludf.DUMMYFUNCTION("""COMPUTED_VALUE"""),42.75)</f>
        <v>42.75</v>
      </c>
      <c r="C179" s="2">
        <f>IFERROR(__xludf.DUMMYFUNCTION("""COMPUTED_VALUE"""),44.24)</f>
        <v>44.24</v>
      </c>
      <c r="D179" s="2">
        <f>IFERROR(__xludf.DUMMYFUNCTION("""COMPUTED_VALUE"""),42.0)</f>
        <v>42</v>
      </c>
      <c r="E179" s="2">
        <f>IFERROR(__xludf.DUMMYFUNCTION("""COMPUTED_VALUE"""),43.97)</f>
        <v>43.97</v>
      </c>
      <c r="F179" s="2">
        <f>IFERROR(__xludf.DUMMYFUNCTION("""COMPUTED_VALUE"""),5.0027079E7)</f>
        <v>50027079</v>
      </c>
    </row>
    <row r="180">
      <c r="A180" s="3">
        <f>IFERROR(__xludf.DUMMYFUNCTION("""COMPUTED_VALUE"""),45188.66666666667)</f>
        <v>45188.66667</v>
      </c>
      <c r="B180" s="2">
        <f>IFERROR(__xludf.DUMMYFUNCTION("""COMPUTED_VALUE"""),43.83)</f>
        <v>43.83</v>
      </c>
      <c r="C180" s="2">
        <f>IFERROR(__xludf.DUMMYFUNCTION("""COMPUTED_VALUE"""),43.97)</f>
        <v>43.97</v>
      </c>
      <c r="D180" s="2">
        <f>IFERROR(__xludf.DUMMYFUNCTION("""COMPUTED_VALUE"""),43.0)</f>
        <v>43</v>
      </c>
      <c r="E180" s="2">
        <f>IFERROR(__xludf.DUMMYFUNCTION("""COMPUTED_VALUE"""),43.52)</f>
        <v>43.52</v>
      </c>
      <c r="F180" s="2">
        <f>IFERROR(__xludf.DUMMYFUNCTION("""COMPUTED_VALUE"""),3.7306424E7)</f>
        <v>37306424</v>
      </c>
    </row>
    <row r="181">
      <c r="A181" s="3">
        <f>IFERROR(__xludf.DUMMYFUNCTION("""COMPUTED_VALUE"""),45189.66666666667)</f>
        <v>45189.66667</v>
      </c>
      <c r="B181" s="2">
        <f>IFERROR(__xludf.DUMMYFUNCTION("""COMPUTED_VALUE"""),43.6)</f>
        <v>43.6</v>
      </c>
      <c r="C181" s="2">
        <f>IFERROR(__xludf.DUMMYFUNCTION("""COMPUTED_VALUE"""),43.9)</f>
        <v>43.9</v>
      </c>
      <c r="D181" s="2">
        <f>IFERROR(__xludf.DUMMYFUNCTION("""COMPUTED_VALUE"""),42.22)</f>
        <v>42.22</v>
      </c>
      <c r="E181" s="2">
        <f>IFERROR(__xludf.DUMMYFUNCTION("""COMPUTED_VALUE"""),42.24)</f>
        <v>42.24</v>
      </c>
      <c r="F181" s="2">
        <f>IFERROR(__xludf.DUMMYFUNCTION("""COMPUTED_VALUE"""),3.6710769E7)</f>
        <v>36710769</v>
      </c>
    </row>
    <row r="182">
      <c r="A182" s="3">
        <f>IFERROR(__xludf.DUMMYFUNCTION("""COMPUTED_VALUE"""),45190.66666666667)</f>
        <v>45190.66667</v>
      </c>
      <c r="B182" s="2">
        <f>IFERROR(__xludf.DUMMYFUNCTION("""COMPUTED_VALUE"""),41.58)</f>
        <v>41.58</v>
      </c>
      <c r="C182" s="2">
        <f>IFERROR(__xludf.DUMMYFUNCTION("""COMPUTED_VALUE"""),42.1)</f>
        <v>42.1</v>
      </c>
      <c r="D182" s="2">
        <f>IFERROR(__xludf.DUMMYFUNCTION("""COMPUTED_VALUE"""),40.98)</f>
        <v>40.98</v>
      </c>
      <c r="E182" s="2">
        <f>IFERROR(__xludf.DUMMYFUNCTION("""COMPUTED_VALUE"""),41.02)</f>
        <v>41.02</v>
      </c>
      <c r="F182" s="2">
        <f>IFERROR(__xludf.DUMMYFUNCTION("""COMPUTED_VALUE"""),4.5073596E7)</f>
        <v>45073596</v>
      </c>
    </row>
    <row r="183">
      <c r="A183" s="3">
        <f>IFERROR(__xludf.DUMMYFUNCTION("""COMPUTED_VALUE"""),45191.66666666667)</f>
        <v>45191.66667</v>
      </c>
      <c r="B183" s="2">
        <f>IFERROR(__xludf.DUMMYFUNCTION("""COMPUTED_VALUE"""),41.57)</f>
        <v>41.57</v>
      </c>
      <c r="C183" s="2">
        <f>IFERROR(__xludf.DUMMYFUNCTION("""COMPUTED_VALUE"""),42.12)</f>
        <v>42.12</v>
      </c>
      <c r="D183" s="2">
        <f>IFERROR(__xludf.DUMMYFUNCTION("""COMPUTED_VALUE"""),41.23)</f>
        <v>41.23</v>
      </c>
      <c r="E183" s="2">
        <f>IFERROR(__xludf.DUMMYFUNCTION("""COMPUTED_VALUE"""),41.61)</f>
        <v>41.61</v>
      </c>
      <c r="F183" s="2">
        <f>IFERROR(__xludf.DUMMYFUNCTION("""COMPUTED_VALUE"""),4.7923631E7)</f>
        <v>47923631</v>
      </c>
    </row>
    <row r="184">
      <c r="A184" s="3">
        <f>IFERROR(__xludf.DUMMYFUNCTION("""COMPUTED_VALUE"""),45194.66666666667)</f>
        <v>45194.66667</v>
      </c>
      <c r="B184" s="2">
        <f>IFERROR(__xludf.DUMMYFUNCTION("""COMPUTED_VALUE"""),41.59)</f>
        <v>41.59</v>
      </c>
      <c r="C184" s="2">
        <f>IFERROR(__xludf.DUMMYFUNCTION("""COMPUTED_VALUE"""),42.54)</f>
        <v>42.54</v>
      </c>
      <c r="D184" s="2">
        <f>IFERROR(__xludf.DUMMYFUNCTION("""COMPUTED_VALUE"""),41.18)</f>
        <v>41.18</v>
      </c>
      <c r="E184" s="2">
        <f>IFERROR(__xludf.DUMMYFUNCTION("""COMPUTED_VALUE"""),42.22)</f>
        <v>42.22</v>
      </c>
      <c r="F184" s="2">
        <f>IFERROR(__xludf.DUMMYFUNCTION("""COMPUTED_VALUE"""),4.1909096E7)</f>
        <v>41909096</v>
      </c>
    </row>
    <row r="185">
      <c r="A185" s="3">
        <f>IFERROR(__xludf.DUMMYFUNCTION("""COMPUTED_VALUE"""),45195.66666666667)</f>
        <v>45195.66667</v>
      </c>
      <c r="B185" s="2">
        <f>IFERROR(__xludf.DUMMYFUNCTION("""COMPUTED_VALUE"""),42.0)</f>
        <v>42</v>
      </c>
      <c r="C185" s="2">
        <f>IFERROR(__xludf.DUMMYFUNCTION("""COMPUTED_VALUE"""),42.82)</f>
        <v>42.82</v>
      </c>
      <c r="D185" s="2">
        <f>IFERROR(__xludf.DUMMYFUNCTION("""COMPUTED_VALUE"""),41.66)</f>
        <v>41.66</v>
      </c>
      <c r="E185" s="2">
        <f>IFERROR(__xludf.DUMMYFUNCTION("""COMPUTED_VALUE"""),41.91)</f>
        <v>41.91</v>
      </c>
      <c r="F185" s="2">
        <f>IFERROR(__xludf.DUMMYFUNCTION("""COMPUTED_VALUE"""),4.0228209E7)</f>
        <v>40228209</v>
      </c>
    </row>
    <row r="186">
      <c r="A186" s="3">
        <f>IFERROR(__xludf.DUMMYFUNCTION("""COMPUTED_VALUE"""),45196.66666666667)</f>
        <v>45196.66667</v>
      </c>
      <c r="B186" s="2">
        <f>IFERROR(__xludf.DUMMYFUNCTION("""COMPUTED_VALUE"""),42.33)</f>
        <v>42.33</v>
      </c>
      <c r="C186" s="2">
        <f>IFERROR(__xludf.DUMMYFUNCTION("""COMPUTED_VALUE"""),42.87)</f>
        <v>42.87</v>
      </c>
      <c r="D186" s="2">
        <f>IFERROR(__xludf.DUMMYFUNCTION("""COMPUTED_VALUE"""),41.63)</f>
        <v>41.63</v>
      </c>
      <c r="E186" s="2">
        <f>IFERROR(__xludf.DUMMYFUNCTION("""COMPUTED_VALUE"""),42.47)</f>
        <v>42.47</v>
      </c>
      <c r="F186" s="2">
        <f>IFERROR(__xludf.DUMMYFUNCTION("""COMPUTED_VALUE"""),4.449352E7)</f>
        <v>44493520</v>
      </c>
    </row>
    <row r="187">
      <c r="A187" s="3">
        <f>IFERROR(__xludf.DUMMYFUNCTION("""COMPUTED_VALUE"""),45197.66666666667)</f>
        <v>45197.66667</v>
      </c>
      <c r="B187" s="2">
        <f>IFERROR(__xludf.DUMMYFUNCTION("""COMPUTED_VALUE"""),42.46)</f>
        <v>42.46</v>
      </c>
      <c r="C187" s="2">
        <f>IFERROR(__xludf.DUMMYFUNCTION("""COMPUTED_VALUE"""),43.45)</f>
        <v>43.45</v>
      </c>
      <c r="D187" s="2">
        <f>IFERROR(__xludf.DUMMYFUNCTION("""COMPUTED_VALUE"""),42.12)</f>
        <v>42.12</v>
      </c>
      <c r="E187" s="2">
        <f>IFERROR(__xludf.DUMMYFUNCTION("""COMPUTED_VALUE"""),43.09)</f>
        <v>43.09</v>
      </c>
      <c r="F187" s="2">
        <f>IFERROR(__xludf.DUMMYFUNCTION("""COMPUTED_VALUE"""),4.2466279E7)</f>
        <v>42466279</v>
      </c>
    </row>
    <row r="188">
      <c r="A188" s="3">
        <f>IFERROR(__xludf.DUMMYFUNCTION("""COMPUTED_VALUE"""),45198.66666666667)</f>
        <v>45198.66667</v>
      </c>
      <c r="B188" s="2">
        <f>IFERROR(__xludf.DUMMYFUNCTION("""COMPUTED_VALUE"""),43.83)</f>
        <v>43.83</v>
      </c>
      <c r="C188" s="2">
        <f>IFERROR(__xludf.DUMMYFUNCTION("""COMPUTED_VALUE"""),44.14)</f>
        <v>44.14</v>
      </c>
      <c r="D188" s="2">
        <f>IFERROR(__xludf.DUMMYFUNCTION("""COMPUTED_VALUE"""),43.31)</f>
        <v>43.31</v>
      </c>
      <c r="E188" s="2">
        <f>IFERROR(__xludf.DUMMYFUNCTION("""COMPUTED_VALUE"""),43.5)</f>
        <v>43.5</v>
      </c>
      <c r="F188" s="2">
        <f>IFERROR(__xludf.DUMMYFUNCTION("""COMPUTED_VALUE"""),3.9782993E7)</f>
        <v>39782993</v>
      </c>
    </row>
    <row r="189">
      <c r="A189" s="3">
        <f>IFERROR(__xludf.DUMMYFUNCTION("""COMPUTED_VALUE"""),45201.66666666667)</f>
        <v>45201.66667</v>
      </c>
      <c r="B189" s="2">
        <f>IFERROR(__xludf.DUMMYFUNCTION("""COMPUTED_VALUE"""),44.03)</f>
        <v>44.03</v>
      </c>
      <c r="C189" s="2">
        <f>IFERROR(__xludf.DUMMYFUNCTION("""COMPUTED_VALUE"""),45.18)</f>
        <v>45.18</v>
      </c>
      <c r="D189" s="2">
        <f>IFERROR(__xludf.DUMMYFUNCTION("""COMPUTED_VALUE"""),43.86)</f>
        <v>43.86</v>
      </c>
      <c r="E189" s="2">
        <f>IFERROR(__xludf.DUMMYFUNCTION("""COMPUTED_VALUE"""),44.78)</f>
        <v>44.78</v>
      </c>
      <c r="F189" s="2">
        <f>IFERROR(__xludf.DUMMYFUNCTION("""COMPUTED_VALUE"""),4.3329821E7)</f>
        <v>43329821</v>
      </c>
    </row>
    <row r="190">
      <c r="A190" s="3">
        <f>IFERROR(__xludf.DUMMYFUNCTION("""COMPUTED_VALUE"""),45202.66666666667)</f>
        <v>45202.66667</v>
      </c>
      <c r="B190" s="2">
        <f>IFERROR(__xludf.DUMMYFUNCTION("""COMPUTED_VALUE"""),44.81)</f>
        <v>44.81</v>
      </c>
      <c r="C190" s="2">
        <f>IFERROR(__xludf.DUMMYFUNCTION("""COMPUTED_VALUE"""),45.13)</f>
        <v>45.13</v>
      </c>
      <c r="D190" s="2">
        <f>IFERROR(__xludf.DUMMYFUNCTION("""COMPUTED_VALUE"""),43.25)</f>
        <v>43.25</v>
      </c>
      <c r="E190" s="2">
        <f>IFERROR(__xludf.DUMMYFUNCTION("""COMPUTED_VALUE"""),43.52)</f>
        <v>43.52</v>
      </c>
      <c r="F190" s="2">
        <f>IFERROR(__xludf.DUMMYFUNCTION("""COMPUTED_VALUE"""),4.7084954E7)</f>
        <v>47084954</v>
      </c>
    </row>
    <row r="191">
      <c r="A191" s="3">
        <f>IFERROR(__xludf.DUMMYFUNCTION("""COMPUTED_VALUE"""),45203.66666666667)</f>
        <v>45203.66667</v>
      </c>
      <c r="B191" s="2">
        <f>IFERROR(__xludf.DUMMYFUNCTION("""COMPUTED_VALUE"""),43.74)</f>
        <v>43.74</v>
      </c>
      <c r="C191" s="2">
        <f>IFERROR(__xludf.DUMMYFUNCTION("""COMPUTED_VALUE"""),44.14)</f>
        <v>44.14</v>
      </c>
      <c r="D191" s="2">
        <f>IFERROR(__xludf.DUMMYFUNCTION("""COMPUTED_VALUE"""),43.29)</f>
        <v>43.29</v>
      </c>
      <c r="E191" s="2">
        <f>IFERROR(__xludf.DUMMYFUNCTION("""COMPUTED_VALUE"""),44.04)</f>
        <v>44.04</v>
      </c>
      <c r="F191" s="2">
        <f>IFERROR(__xludf.DUMMYFUNCTION("""COMPUTED_VALUE"""),3.6182086E7)</f>
        <v>36182086</v>
      </c>
    </row>
    <row r="192">
      <c r="A192" s="3">
        <f>IFERROR(__xludf.DUMMYFUNCTION("""COMPUTED_VALUE"""),45204.66666666667)</f>
        <v>45204.66667</v>
      </c>
      <c r="B192" s="2">
        <f>IFERROR(__xludf.DUMMYFUNCTION("""COMPUTED_VALUE"""),44.05)</f>
        <v>44.05</v>
      </c>
      <c r="C192" s="2">
        <f>IFERROR(__xludf.DUMMYFUNCTION("""COMPUTED_VALUE"""),44.9)</f>
        <v>44.9</v>
      </c>
      <c r="D192" s="2">
        <f>IFERROR(__xludf.DUMMYFUNCTION("""COMPUTED_VALUE"""),43.89)</f>
        <v>43.89</v>
      </c>
      <c r="E192" s="2">
        <f>IFERROR(__xludf.DUMMYFUNCTION("""COMPUTED_VALUE"""),44.69)</f>
        <v>44.69</v>
      </c>
      <c r="F192" s="2">
        <f>IFERROR(__xludf.DUMMYFUNCTION("""COMPUTED_VALUE"""),3.9348309E7)</f>
        <v>39348309</v>
      </c>
    </row>
    <row r="193">
      <c r="A193" s="3">
        <f>IFERROR(__xludf.DUMMYFUNCTION("""COMPUTED_VALUE"""),45205.66666666667)</f>
        <v>45205.66667</v>
      </c>
      <c r="B193" s="2">
        <f>IFERROR(__xludf.DUMMYFUNCTION("""COMPUTED_VALUE"""),44.19)</f>
        <v>44.19</v>
      </c>
      <c r="C193" s="2">
        <f>IFERROR(__xludf.DUMMYFUNCTION("""COMPUTED_VALUE"""),45.79)</f>
        <v>45.79</v>
      </c>
      <c r="D193" s="2">
        <f>IFERROR(__xludf.DUMMYFUNCTION("""COMPUTED_VALUE"""),44.03)</f>
        <v>44.03</v>
      </c>
      <c r="E193" s="2">
        <f>IFERROR(__xludf.DUMMYFUNCTION("""COMPUTED_VALUE"""),45.76)</f>
        <v>45.76</v>
      </c>
      <c r="F193" s="2">
        <f>IFERROR(__xludf.DUMMYFUNCTION("""COMPUTED_VALUE"""),4.3443602E7)</f>
        <v>43443602</v>
      </c>
    </row>
    <row r="194">
      <c r="A194" s="3">
        <f>IFERROR(__xludf.DUMMYFUNCTION("""COMPUTED_VALUE"""),45208.66666666667)</f>
        <v>45208.66667</v>
      </c>
      <c r="B194" s="2">
        <f>IFERROR(__xludf.DUMMYFUNCTION("""COMPUTED_VALUE"""),44.84)</f>
        <v>44.84</v>
      </c>
      <c r="C194" s="2">
        <f>IFERROR(__xludf.DUMMYFUNCTION("""COMPUTED_VALUE"""),45.61)</f>
        <v>45.61</v>
      </c>
      <c r="D194" s="2">
        <f>IFERROR(__xludf.DUMMYFUNCTION("""COMPUTED_VALUE"""),44.37)</f>
        <v>44.37</v>
      </c>
      <c r="E194" s="2">
        <f>IFERROR(__xludf.DUMMYFUNCTION("""COMPUTED_VALUE"""),45.27)</f>
        <v>45.27</v>
      </c>
      <c r="F194" s="2">
        <f>IFERROR(__xludf.DUMMYFUNCTION("""COMPUTED_VALUE"""),4.0967472E7)</f>
        <v>40967472</v>
      </c>
    </row>
    <row r="195">
      <c r="A195" s="3">
        <f>IFERROR(__xludf.DUMMYFUNCTION("""COMPUTED_VALUE"""),45209.66666666667)</f>
        <v>45209.66667</v>
      </c>
      <c r="B195" s="2">
        <f>IFERROR(__xludf.DUMMYFUNCTION("""COMPUTED_VALUE"""),45.31)</f>
        <v>45.31</v>
      </c>
      <c r="C195" s="2">
        <f>IFERROR(__xludf.DUMMYFUNCTION("""COMPUTED_VALUE"""),46.26)</f>
        <v>46.26</v>
      </c>
      <c r="D195" s="2">
        <f>IFERROR(__xludf.DUMMYFUNCTION("""COMPUTED_VALUE"""),45.09)</f>
        <v>45.09</v>
      </c>
      <c r="E195" s="2">
        <f>IFERROR(__xludf.DUMMYFUNCTION("""COMPUTED_VALUE"""),45.8)</f>
        <v>45.8</v>
      </c>
      <c r="F195" s="2">
        <f>IFERROR(__xludf.DUMMYFUNCTION("""COMPUTED_VALUE"""),3.6858208E7)</f>
        <v>36858208</v>
      </c>
    </row>
    <row r="196">
      <c r="A196" s="3">
        <f>IFERROR(__xludf.DUMMYFUNCTION("""COMPUTED_VALUE"""),45210.66666666667)</f>
        <v>45210.66667</v>
      </c>
      <c r="B196" s="2">
        <f>IFERROR(__xludf.DUMMYFUNCTION("""COMPUTED_VALUE"""),46.2)</f>
        <v>46.2</v>
      </c>
      <c r="C196" s="2">
        <f>IFERROR(__xludf.DUMMYFUNCTION("""COMPUTED_VALUE"""),46.86)</f>
        <v>46.86</v>
      </c>
      <c r="D196" s="2">
        <f>IFERROR(__xludf.DUMMYFUNCTION("""COMPUTED_VALUE"""),46.05)</f>
        <v>46.05</v>
      </c>
      <c r="E196" s="2">
        <f>IFERROR(__xludf.DUMMYFUNCTION("""COMPUTED_VALUE"""),46.81)</f>
        <v>46.81</v>
      </c>
      <c r="F196" s="2">
        <f>IFERROR(__xludf.DUMMYFUNCTION("""COMPUTED_VALUE"""),3.7813689E7)</f>
        <v>37813689</v>
      </c>
    </row>
    <row r="197">
      <c r="A197" s="3">
        <f>IFERROR(__xludf.DUMMYFUNCTION("""COMPUTED_VALUE"""),45211.66666666667)</f>
        <v>45211.66667</v>
      </c>
      <c r="B197" s="2">
        <f>IFERROR(__xludf.DUMMYFUNCTION("""COMPUTED_VALUE"""),46.78)</f>
        <v>46.78</v>
      </c>
      <c r="C197" s="2">
        <f>IFERROR(__xludf.DUMMYFUNCTION("""COMPUTED_VALUE"""),47.61)</f>
        <v>47.61</v>
      </c>
      <c r="D197" s="2">
        <f>IFERROR(__xludf.DUMMYFUNCTION("""COMPUTED_VALUE"""),46.33)</f>
        <v>46.33</v>
      </c>
      <c r="E197" s="2">
        <f>IFERROR(__xludf.DUMMYFUNCTION("""COMPUTED_VALUE"""),46.95)</f>
        <v>46.95</v>
      </c>
      <c r="F197" s="2">
        <f>IFERROR(__xludf.DUMMYFUNCTION("""COMPUTED_VALUE"""),4.81325E7)</f>
        <v>48132500</v>
      </c>
    </row>
    <row r="198">
      <c r="A198" s="3">
        <f>IFERROR(__xludf.DUMMYFUNCTION("""COMPUTED_VALUE"""),45212.66666666667)</f>
        <v>45212.66667</v>
      </c>
      <c r="B198" s="2">
        <f>IFERROR(__xludf.DUMMYFUNCTION("""COMPUTED_VALUE"""),46.96)</f>
        <v>46.96</v>
      </c>
      <c r="C198" s="2">
        <f>IFERROR(__xludf.DUMMYFUNCTION("""COMPUTED_VALUE"""),47.12)</f>
        <v>47.12</v>
      </c>
      <c r="D198" s="2">
        <f>IFERROR(__xludf.DUMMYFUNCTION("""COMPUTED_VALUE"""),45.28)</f>
        <v>45.28</v>
      </c>
      <c r="E198" s="2">
        <f>IFERROR(__xludf.DUMMYFUNCTION("""COMPUTED_VALUE"""),45.46)</f>
        <v>45.46</v>
      </c>
      <c r="F198" s="2">
        <f>IFERROR(__xludf.DUMMYFUNCTION("""COMPUTED_VALUE"""),4.7542599E7)</f>
        <v>47542599</v>
      </c>
    </row>
    <row r="199">
      <c r="A199" s="3">
        <f>IFERROR(__xludf.DUMMYFUNCTION("""COMPUTED_VALUE"""),45215.66666666667)</f>
        <v>45215.66667</v>
      </c>
      <c r="B199" s="2">
        <f>IFERROR(__xludf.DUMMYFUNCTION("""COMPUTED_VALUE"""),45.06)</f>
        <v>45.06</v>
      </c>
      <c r="C199" s="2">
        <f>IFERROR(__xludf.DUMMYFUNCTION("""COMPUTED_VALUE"""),46.23)</f>
        <v>46.23</v>
      </c>
      <c r="D199" s="2">
        <f>IFERROR(__xludf.DUMMYFUNCTION("""COMPUTED_VALUE"""),44.91)</f>
        <v>44.91</v>
      </c>
      <c r="E199" s="2">
        <f>IFERROR(__xludf.DUMMYFUNCTION("""COMPUTED_VALUE"""),46.1)</f>
        <v>46.1</v>
      </c>
      <c r="F199" s="2">
        <f>IFERROR(__xludf.DUMMYFUNCTION("""COMPUTED_VALUE"""),3.7509924E7)</f>
        <v>37509924</v>
      </c>
    </row>
    <row r="200">
      <c r="A200" s="3">
        <f>IFERROR(__xludf.DUMMYFUNCTION("""COMPUTED_VALUE"""),45216.66666666667)</f>
        <v>45216.66667</v>
      </c>
      <c r="B200" s="2">
        <f>IFERROR(__xludf.DUMMYFUNCTION("""COMPUTED_VALUE"""),44.0)</f>
        <v>44</v>
      </c>
      <c r="C200" s="2">
        <f>IFERROR(__xludf.DUMMYFUNCTION("""COMPUTED_VALUE"""),44.75)</f>
        <v>44.75</v>
      </c>
      <c r="D200" s="2">
        <f>IFERROR(__xludf.DUMMYFUNCTION("""COMPUTED_VALUE"""),42.48)</f>
        <v>42.48</v>
      </c>
      <c r="E200" s="2">
        <f>IFERROR(__xludf.DUMMYFUNCTION("""COMPUTED_VALUE"""),43.94)</f>
        <v>43.94</v>
      </c>
      <c r="F200" s="2">
        <f>IFERROR(__xludf.DUMMYFUNCTION("""COMPUTED_VALUE"""),8.1233267E7)</f>
        <v>81233267</v>
      </c>
    </row>
    <row r="201">
      <c r="A201" s="3">
        <f>IFERROR(__xludf.DUMMYFUNCTION("""COMPUTED_VALUE"""),45217.66666666667)</f>
        <v>45217.66667</v>
      </c>
      <c r="B201" s="2">
        <f>IFERROR(__xludf.DUMMYFUNCTION("""COMPUTED_VALUE"""),42.59)</f>
        <v>42.59</v>
      </c>
      <c r="C201" s="2">
        <f>IFERROR(__xludf.DUMMYFUNCTION("""COMPUTED_VALUE"""),43.22)</f>
        <v>43.22</v>
      </c>
      <c r="D201" s="2">
        <f>IFERROR(__xludf.DUMMYFUNCTION("""COMPUTED_VALUE"""),41.83)</f>
        <v>41.83</v>
      </c>
      <c r="E201" s="2">
        <f>IFERROR(__xludf.DUMMYFUNCTION("""COMPUTED_VALUE"""),42.2)</f>
        <v>42.2</v>
      </c>
      <c r="F201" s="2">
        <f>IFERROR(__xludf.DUMMYFUNCTION("""COMPUTED_VALUE"""),6.2729434E7)</f>
        <v>62729434</v>
      </c>
    </row>
    <row r="202">
      <c r="A202" s="3">
        <f>IFERROR(__xludf.DUMMYFUNCTION("""COMPUTED_VALUE"""),45218.66666666667)</f>
        <v>45218.66667</v>
      </c>
      <c r="B202" s="2">
        <f>IFERROR(__xludf.DUMMYFUNCTION("""COMPUTED_VALUE"""),42.81)</f>
        <v>42.81</v>
      </c>
      <c r="C202" s="2">
        <f>IFERROR(__xludf.DUMMYFUNCTION("""COMPUTED_VALUE"""),43.3)</f>
        <v>43.3</v>
      </c>
      <c r="D202" s="2">
        <f>IFERROR(__xludf.DUMMYFUNCTION("""COMPUTED_VALUE"""),41.88)</f>
        <v>41.88</v>
      </c>
      <c r="E202" s="2">
        <f>IFERROR(__xludf.DUMMYFUNCTION("""COMPUTED_VALUE"""),42.1)</f>
        <v>42.1</v>
      </c>
      <c r="F202" s="2">
        <f>IFERROR(__xludf.DUMMYFUNCTION("""COMPUTED_VALUE"""),5.0123308E7)</f>
        <v>50123308</v>
      </c>
    </row>
    <row r="203">
      <c r="A203" s="3">
        <f>IFERROR(__xludf.DUMMYFUNCTION("""COMPUTED_VALUE"""),45219.66666666667)</f>
        <v>45219.66667</v>
      </c>
      <c r="B203" s="2">
        <f>IFERROR(__xludf.DUMMYFUNCTION("""COMPUTED_VALUE"""),41.89)</f>
        <v>41.89</v>
      </c>
      <c r="C203" s="2">
        <f>IFERROR(__xludf.DUMMYFUNCTION("""COMPUTED_VALUE"""),42.47)</f>
        <v>42.47</v>
      </c>
      <c r="D203" s="2">
        <f>IFERROR(__xludf.DUMMYFUNCTION("""COMPUTED_VALUE"""),41.08)</f>
        <v>41.08</v>
      </c>
      <c r="E203" s="2">
        <f>IFERROR(__xludf.DUMMYFUNCTION("""COMPUTED_VALUE"""),41.39)</f>
        <v>41.39</v>
      </c>
      <c r="F203" s="2">
        <f>IFERROR(__xludf.DUMMYFUNCTION("""COMPUTED_VALUE"""),4.7726605E7)</f>
        <v>47726605</v>
      </c>
    </row>
    <row r="204">
      <c r="A204" s="3">
        <f>IFERROR(__xludf.DUMMYFUNCTION("""COMPUTED_VALUE"""),45222.66666666667)</f>
        <v>45222.66667</v>
      </c>
      <c r="B204" s="2">
        <f>IFERROR(__xludf.DUMMYFUNCTION("""COMPUTED_VALUE"""),41.23)</f>
        <v>41.23</v>
      </c>
      <c r="C204" s="2">
        <f>IFERROR(__xludf.DUMMYFUNCTION("""COMPUTED_VALUE"""),43.25)</f>
        <v>43.25</v>
      </c>
      <c r="D204" s="2">
        <f>IFERROR(__xludf.DUMMYFUNCTION("""COMPUTED_VALUE"""),40.95)</f>
        <v>40.95</v>
      </c>
      <c r="E204" s="2">
        <f>IFERROR(__xludf.DUMMYFUNCTION("""COMPUTED_VALUE"""),42.98)</f>
        <v>42.98</v>
      </c>
      <c r="F204" s="2">
        <f>IFERROR(__xludf.DUMMYFUNCTION("""COMPUTED_VALUE"""),4.7853049E7)</f>
        <v>47853049</v>
      </c>
    </row>
    <row r="205">
      <c r="A205" s="3">
        <f>IFERROR(__xludf.DUMMYFUNCTION("""COMPUTED_VALUE"""),45223.66666666667)</f>
        <v>45223.66667</v>
      </c>
      <c r="B205" s="2">
        <f>IFERROR(__xludf.DUMMYFUNCTION("""COMPUTED_VALUE"""),43.08)</f>
        <v>43.08</v>
      </c>
      <c r="C205" s="2">
        <f>IFERROR(__xludf.DUMMYFUNCTION("""COMPUTED_VALUE"""),43.7)</f>
        <v>43.7</v>
      </c>
      <c r="D205" s="2">
        <f>IFERROR(__xludf.DUMMYFUNCTION("""COMPUTED_VALUE"""),42.69)</f>
        <v>42.69</v>
      </c>
      <c r="E205" s="2">
        <f>IFERROR(__xludf.DUMMYFUNCTION("""COMPUTED_VALUE"""),43.66)</f>
        <v>43.66</v>
      </c>
      <c r="F205" s="2">
        <f>IFERROR(__xludf.DUMMYFUNCTION("""COMPUTED_VALUE"""),4.0146337E7)</f>
        <v>40146337</v>
      </c>
    </row>
    <row r="206">
      <c r="A206" s="3">
        <f>IFERROR(__xludf.DUMMYFUNCTION("""COMPUTED_VALUE"""),45224.66666666667)</f>
        <v>45224.66667</v>
      </c>
      <c r="B206" s="2">
        <f>IFERROR(__xludf.DUMMYFUNCTION("""COMPUTED_VALUE"""),43.4)</f>
        <v>43.4</v>
      </c>
      <c r="C206" s="2">
        <f>IFERROR(__xludf.DUMMYFUNCTION("""COMPUTED_VALUE"""),43.65)</f>
        <v>43.65</v>
      </c>
      <c r="D206" s="2">
        <f>IFERROR(__xludf.DUMMYFUNCTION("""COMPUTED_VALUE"""),41.56)</f>
        <v>41.56</v>
      </c>
      <c r="E206" s="2">
        <f>IFERROR(__xludf.DUMMYFUNCTION("""COMPUTED_VALUE"""),41.78)</f>
        <v>41.78</v>
      </c>
      <c r="F206" s="2">
        <f>IFERROR(__xludf.DUMMYFUNCTION("""COMPUTED_VALUE"""),3.9837922E7)</f>
        <v>39837922</v>
      </c>
    </row>
    <row r="207">
      <c r="A207" s="3">
        <f>IFERROR(__xludf.DUMMYFUNCTION("""COMPUTED_VALUE"""),45225.66666666667)</f>
        <v>45225.66667</v>
      </c>
      <c r="B207" s="2">
        <f>IFERROR(__xludf.DUMMYFUNCTION("""COMPUTED_VALUE"""),41.85)</f>
        <v>41.85</v>
      </c>
      <c r="C207" s="2">
        <f>IFERROR(__xludf.DUMMYFUNCTION("""COMPUTED_VALUE"""),42.26)</f>
        <v>42.26</v>
      </c>
      <c r="D207" s="2">
        <f>IFERROR(__xludf.DUMMYFUNCTION("""COMPUTED_VALUE"""),39.88)</f>
        <v>39.88</v>
      </c>
      <c r="E207" s="2">
        <f>IFERROR(__xludf.DUMMYFUNCTION("""COMPUTED_VALUE"""),40.33)</f>
        <v>40.33</v>
      </c>
      <c r="F207" s="2">
        <f>IFERROR(__xludf.DUMMYFUNCTION("""COMPUTED_VALUE"""),5.4100132E7)</f>
        <v>54100132</v>
      </c>
    </row>
    <row r="208">
      <c r="A208" s="3">
        <f>IFERROR(__xludf.DUMMYFUNCTION("""COMPUTED_VALUE"""),45226.66666666667)</f>
        <v>45226.66667</v>
      </c>
      <c r="B208" s="2">
        <f>IFERROR(__xludf.DUMMYFUNCTION("""COMPUTED_VALUE"""),41.13)</f>
        <v>41.13</v>
      </c>
      <c r="C208" s="2">
        <f>IFERROR(__xludf.DUMMYFUNCTION("""COMPUTED_VALUE"""),41.21)</f>
        <v>41.21</v>
      </c>
      <c r="D208" s="2">
        <f>IFERROR(__xludf.DUMMYFUNCTION("""COMPUTED_VALUE"""),40.02)</f>
        <v>40.02</v>
      </c>
      <c r="E208" s="2">
        <f>IFERROR(__xludf.DUMMYFUNCTION("""COMPUTED_VALUE"""),40.5)</f>
        <v>40.5</v>
      </c>
      <c r="F208" s="2">
        <f>IFERROR(__xludf.DUMMYFUNCTION("""COMPUTED_VALUE"""),4.1678441E7)</f>
        <v>41678441</v>
      </c>
    </row>
    <row r="209">
      <c r="A209" s="3">
        <f>IFERROR(__xludf.DUMMYFUNCTION("""COMPUTED_VALUE"""),45229.66666666667)</f>
        <v>45229.66667</v>
      </c>
      <c r="B209" s="2">
        <f>IFERROR(__xludf.DUMMYFUNCTION("""COMPUTED_VALUE"""),41.09)</f>
        <v>41.09</v>
      </c>
      <c r="C209" s="2">
        <f>IFERROR(__xludf.DUMMYFUNCTION("""COMPUTED_VALUE"""),41.77)</f>
        <v>41.77</v>
      </c>
      <c r="D209" s="2">
        <f>IFERROR(__xludf.DUMMYFUNCTION("""COMPUTED_VALUE"""),40.48)</f>
        <v>40.48</v>
      </c>
      <c r="E209" s="2">
        <f>IFERROR(__xludf.DUMMYFUNCTION("""COMPUTED_VALUE"""),41.16)</f>
        <v>41.16</v>
      </c>
      <c r="F209" s="2">
        <f>IFERROR(__xludf.DUMMYFUNCTION("""COMPUTED_VALUE"""),3.8802814E7)</f>
        <v>38802814</v>
      </c>
    </row>
    <row r="210">
      <c r="A210" s="3">
        <f>IFERROR(__xludf.DUMMYFUNCTION("""COMPUTED_VALUE"""),45230.66666666667)</f>
        <v>45230.66667</v>
      </c>
      <c r="B210" s="2">
        <f>IFERROR(__xludf.DUMMYFUNCTION("""COMPUTED_VALUE"""),40.45)</f>
        <v>40.45</v>
      </c>
      <c r="C210" s="2">
        <f>IFERROR(__xludf.DUMMYFUNCTION("""COMPUTED_VALUE"""),40.88)</f>
        <v>40.88</v>
      </c>
      <c r="D210" s="2">
        <f>IFERROR(__xludf.DUMMYFUNCTION("""COMPUTED_VALUE"""),39.23)</f>
        <v>39.23</v>
      </c>
      <c r="E210" s="2">
        <f>IFERROR(__xludf.DUMMYFUNCTION("""COMPUTED_VALUE"""),40.78)</f>
        <v>40.78</v>
      </c>
      <c r="F210" s="2">
        <f>IFERROR(__xludf.DUMMYFUNCTION("""COMPUTED_VALUE"""),5.179687E7)</f>
        <v>51796870</v>
      </c>
    </row>
    <row r="211">
      <c r="A211" s="3">
        <f>IFERROR(__xludf.DUMMYFUNCTION("""COMPUTED_VALUE"""),45231.66666666667)</f>
        <v>45231.66667</v>
      </c>
      <c r="B211" s="2">
        <f>IFERROR(__xludf.DUMMYFUNCTION("""COMPUTED_VALUE"""),40.88)</f>
        <v>40.88</v>
      </c>
      <c r="C211" s="2">
        <f>IFERROR(__xludf.DUMMYFUNCTION("""COMPUTED_VALUE"""),42.38)</f>
        <v>42.38</v>
      </c>
      <c r="D211" s="2">
        <f>IFERROR(__xludf.DUMMYFUNCTION("""COMPUTED_VALUE"""),40.87)</f>
        <v>40.87</v>
      </c>
      <c r="E211" s="2">
        <f>IFERROR(__xludf.DUMMYFUNCTION("""COMPUTED_VALUE"""),42.33)</f>
        <v>42.33</v>
      </c>
      <c r="F211" s="2">
        <f>IFERROR(__xludf.DUMMYFUNCTION("""COMPUTED_VALUE"""),4.375929E7)</f>
        <v>43759290</v>
      </c>
    </row>
    <row r="212">
      <c r="A212" s="3">
        <f>IFERROR(__xludf.DUMMYFUNCTION("""COMPUTED_VALUE"""),45232.66666666667)</f>
        <v>45232.66667</v>
      </c>
      <c r="B212" s="2">
        <f>IFERROR(__xludf.DUMMYFUNCTION("""COMPUTED_VALUE"""),43.33)</f>
        <v>43.33</v>
      </c>
      <c r="C212" s="2">
        <f>IFERROR(__xludf.DUMMYFUNCTION("""COMPUTED_VALUE"""),43.88)</f>
        <v>43.88</v>
      </c>
      <c r="D212" s="2">
        <f>IFERROR(__xludf.DUMMYFUNCTION("""COMPUTED_VALUE"""),42.89)</f>
        <v>42.89</v>
      </c>
      <c r="E212" s="2">
        <f>IFERROR(__xludf.DUMMYFUNCTION("""COMPUTED_VALUE"""),43.51)</f>
        <v>43.51</v>
      </c>
      <c r="F212" s="2">
        <f>IFERROR(__xludf.DUMMYFUNCTION("""COMPUTED_VALUE"""),4.0917187E7)</f>
        <v>40917187</v>
      </c>
    </row>
    <row r="213">
      <c r="A213" s="3">
        <f>IFERROR(__xludf.DUMMYFUNCTION("""COMPUTED_VALUE"""),45233.66666666667)</f>
        <v>45233.66667</v>
      </c>
      <c r="B213" s="2">
        <f>IFERROR(__xludf.DUMMYFUNCTION("""COMPUTED_VALUE"""),44.02)</f>
        <v>44.02</v>
      </c>
      <c r="C213" s="2">
        <f>IFERROR(__xludf.DUMMYFUNCTION("""COMPUTED_VALUE"""),45.31)</f>
        <v>45.31</v>
      </c>
      <c r="D213" s="2">
        <f>IFERROR(__xludf.DUMMYFUNCTION("""COMPUTED_VALUE"""),43.72)</f>
        <v>43.72</v>
      </c>
      <c r="E213" s="2">
        <f>IFERROR(__xludf.DUMMYFUNCTION("""COMPUTED_VALUE"""),45.01)</f>
        <v>45.01</v>
      </c>
      <c r="F213" s="2">
        <f>IFERROR(__xludf.DUMMYFUNCTION("""COMPUTED_VALUE"""),4.2460959E7)</f>
        <v>42460959</v>
      </c>
    </row>
    <row r="214">
      <c r="A214" s="3">
        <f>IFERROR(__xludf.DUMMYFUNCTION("""COMPUTED_VALUE"""),45236.66666666667)</f>
        <v>45236.66667</v>
      </c>
      <c r="B214" s="2">
        <f>IFERROR(__xludf.DUMMYFUNCTION("""COMPUTED_VALUE"""),45.28)</f>
        <v>45.28</v>
      </c>
      <c r="C214" s="2">
        <f>IFERROR(__xludf.DUMMYFUNCTION("""COMPUTED_VALUE"""),45.94)</f>
        <v>45.94</v>
      </c>
      <c r="D214" s="2">
        <f>IFERROR(__xludf.DUMMYFUNCTION("""COMPUTED_VALUE"""),44.9)</f>
        <v>44.9</v>
      </c>
      <c r="E214" s="2">
        <f>IFERROR(__xludf.DUMMYFUNCTION("""COMPUTED_VALUE"""),45.75)</f>
        <v>45.75</v>
      </c>
      <c r="F214" s="2">
        <f>IFERROR(__xludf.DUMMYFUNCTION("""COMPUTED_VALUE"""),4.0073335E7)</f>
        <v>40073335</v>
      </c>
    </row>
    <row r="215">
      <c r="A215" s="3">
        <f>IFERROR(__xludf.DUMMYFUNCTION("""COMPUTED_VALUE"""),45237.66666666667)</f>
        <v>45237.66667</v>
      </c>
      <c r="B215" s="2">
        <f>IFERROR(__xludf.DUMMYFUNCTION("""COMPUTED_VALUE"""),45.72)</f>
        <v>45.72</v>
      </c>
      <c r="C215" s="2">
        <f>IFERROR(__xludf.DUMMYFUNCTION("""COMPUTED_VALUE"""),46.22)</f>
        <v>46.22</v>
      </c>
      <c r="D215" s="2">
        <f>IFERROR(__xludf.DUMMYFUNCTION("""COMPUTED_VALUE"""),45.16)</f>
        <v>45.16</v>
      </c>
      <c r="E215" s="2">
        <f>IFERROR(__xludf.DUMMYFUNCTION("""COMPUTED_VALUE"""),45.96)</f>
        <v>45.96</v>
      </c>
      <c r="F215" s="2">
        <f>IFERROR(__xludf.DUMMYFUNCTION("""COMPUTED_VALUE"""),3.4316547E7)</f>
        <v>34316547</v>
      </c>
    </row>
    <row r="216">
      <c r="A216" s="3">
        <f>IFERROR(__xludf.DUMMYFUNCTION("""COMPUTED_VALUE"""),45238.66666666667)</f>
        <v>45238.66667</v>
      </c>
      <c r="B216" s="2">
        <f>IFERROR(__xludf.DUMMYFUNCTION("""COMPUTED_VALUE"""),46.1)</f>
        <v>46.1</v>
      </c>
      <c r="C216" s="2">
        <f>IFERROR(__xludf.DUMMYFUNCTION("""COMPUTED_VALUE"""),46.87)</f>
        <v>46.87</v>
      </c>
      <c r="D216" s="2">
        <f>IFERROR(__xludf.DUMMYFUNCTION("""COMPUTED_VALUE"""),45.97)</f>
        <v>45.97</v>
      </c>
      <c r="E216" s="2">
        <f>IFERROR(__xludf.DUMMYFUNCTION("""COMPUTED_VALUE"""),46.57)</f>
        <v>46.57</v>
      </c>
      <c r="F216" s="2">
        <f>IFERROR(__xludf.DUMMYFUNCTION("""COMPUTED_VALUE"""),3.4671894E7)</f>
        <v>34671894</v>
      </c>
    </row>
    <row r="217">
      <c r="A217" s="3">
        <f>IFERROR(__xludf.DUMMYFUNCTION("""COMPUTED_VALUE"""),45239.66666666667)</f>
        <v>45239.66667</v>
      </c>
      <c r="B217" s="2">
        <f>IFERROR(__xludf.DUMMYFUNCTION("""COMPUTED_VALUE"""),47.47)</f>
        <v>47.47</v>
      </c>
      <c r="C217" s="2">
        <f>IFERROR(__xludf.DUMMYFUNCTION("""COMPUTED_VALUE"""),48.23)</f>
        <v>48.23</v>
      </c>
      <c r="D217" s="2">
        <f>IFERROR(__xludf.DUMMYFUNCTION("""COMPUTED_VALUE"""),46.75)</f>
        <v>46.75</v>
      </c>
      <c r="E217" s="2">
        <f>IFERROR(__xludf.DUMMYFUNCTION("""COMPUTED_VALUE"""),46.95)</f>
        <v>46.95</v>
      </c>
      <c r="F217" s="2">
        <f>IFERROR(__xludf.DUMMYFUNCTION("""COMPUTED_VALUE"""),5.4049597E7)</f>
        <v>54049597</v>
      </c>
    </row>
    <row r="218">
      <c r="A218" s="3">
        <f>IFERROR(__xludf.DUMMYFUNCTION("""COMPUTED_VALUE"""),45240.66666666667)</f>
        <v>45240.66667</v>
      </c>
      <c r="B218" s="2">
        <f>IFERROR(__xludf.DUMMYFUNCTION("""COMPUTED_VALUE"""),47.5)</f>
        <v>47.5</v>
      </c>
      <c r="C218" s="2">
        <f>IFERROR(__xludf.DUMMYFUNCTION("""COMPUTED_VALUE"""),48.47)</f>
        <v>48.47</v>
      </c>
      <c r="D218" s="2">
        <f>IFERROR(__xludf.DUMMYFUNCTION("""COMPUTED_VALUE"""),47.28)</f>
        <v>47.28</v>
      </c>
      <c r="E218" s="2">
        <f>IFERROR(__xludf.DUMMYFUNCTION("""COMPUTED_VALUE"""),48.34)</f>
        <v>48.34</v>
      </c>
      <c r="F218" s="2">
        <f>IFERROR(__xludf.DUMMYFUNCTION("""COMPUTED_VALUE"""),4.2244156E7)</f>
        <v>42244156</v>
      </c>
    </row>
    <row r="219">
      <c r="A219" s="3">
        <f>IFERROR(__xludf.DUMMYFUNCTION("""COMPUTED_VALUE"""),45243.66666666667)</f>
        <v>45243.66667</v>
      </c>
      <c r="B219" s="2">
        <f>IFERROR(__xludf.DUMMYFUNCTION("""COMPUTED_VALUE"""),48.32)</f>
        <v>48.32</v>
      </c>
      <c r="C219" s="2">
        <f>IFERROR(__xludf.DUMMYFUNCTION("""COMPUTED_VALUE"""),49.12)</f>
        <v>49.12</v>
      </c>
      <c r="D219" s="2">
        <f>IFERROR(__xludf.DUMMYFUNCTION("""COMPUTED_VALUE"""),48.1)</f>
        <v>48.1</v>
      </c>
      <c r="E219" s="2">
        <f>IFERROR(__xludf.DUMMYFUNCTION("""COMPUTED_VALUE"""),48.62)</f>
        <v>48.62</v>
      </c>
      <c r="F219" s="2">
        <f>IFERROR(__xludf.DUMMYFUNCTION("""COMPUTED_VALUE"""),3.841357E7)</f>
        <v>38413570</v>
      </c>
    </row>
    <row r="220">
      <c r="A220" s="3">
        <f>IFERROR(__xludf.DUMMYFUNCTION("""COMPUTED_VALUE"""),45244.66666666667)</f>
        <v>45244.66667</v>
      </c>
      <c r="B220" s="2">
        <f>IFERROR(__xludf.DUMMYFUNCTION("""COMPUTED_VALUE"""),49.68)</f>
        <v>49.68</v>
      </c>
      <c r="C220" s="2">
        <f>IFERROR(__xludf.DUMMYFUNCTION("""COMPUTED_VALUE"""),49.83)</f>
        <v>49.83</v>
      </c>
      <c r="D220" s="2">
        <f>IFERROR(__xludf.DUMMYFUNCTION("""COMPUTED_VALUE"""),49.04)</f>
        <v>49.04</v>
      </c>
      <c r="E220" s="2">
        <f>IFERROR(__xludf.DUMMYFUNCTION("""COMPUTED_VALUE"""),49.66)</f>
        <v>49.66</v>
      </c>
      <c r="F220" s="2">
        <f>IFERROR(__xludf.DUMMYFUNCTION("""COMPUTED_VALUE"""),4.1695387E7)</f>
        <v>41695387</v>
      </c>
    </row>
    <row r="221">
      <c r="A221" s="3">
        <f>IFERROR(__xludf.DUMMYFUNCTION("""COMPUTED_VALUE"""),45245.66666666667)</f>
        <v>45245.66667</v>
      </c>
      <c r="B221" s="2">
        <f>IFERROR(__xludf.DUMMYFUNCTION("""COMPUTED_VALUE"""),49.94)</f>
        <v>49.94</v>
      </c>
      <c r="C221" s="2">
        <f>IFERROR(__xludf.DUMMYFUNCTION("""COMPUTED_VALUE"""),49.96)</f>
        <v>49.96</v>
      </c>
      <c r="D221" s="2">
        <f>IFERROR(__xludf.DUMMYFUNCTION("""COMPUTED_VALUE"""),48.2)</f>
        <v>48.2</v>
      </c>
      <c r="E221" s="2">
        <f>IFERROR(__xludf.DUMMYFUNCTION("""COMPUTED_VALUE"""),48.89)</f>
        <v>48.89</v>
      </c>
      <c r="F221" s="2">
        <f>IFERROR(__xludf.DUMMYFUNCTION("""COMPUTED_VALUE"""),4.7549735E7)</f>
        <v>47549735</v>
      </c>
    </row>
    <row r="222">
      <c r="A222" s="3">
        <f>IFERROR(__xludf.DUMMYFUNCTION("""COMPUTED_VALUE"""),45246.66666666667)</f>
        <v>45246.66667</v>
      </c>
      <c r="B222" s="2">
        <f>IFERROR(__xludf.DUMMYFUNCTION("""COMPUTED_VALUE"""),48.68)</f>
        <v>48.68</v>
      </c>
      <c r="C222" s="2">
        <f>IFERROR(__xludf.DUMMYFUNCTION("""COMPUTED_VALUE"""),49.52)</f>
        <v>49.52</v>
      </c>
      <c r="D222" s="2">
        <f>IFERROR(__xludf.DUMMYFUNCTION("""COMPUTED_VALUE"""),48.33)</f>
        <v>48.33</v>
      </c>
      <c r="E222" s="2">
        <f>IFERROR(__xludf.DUMMYFUNCTION("""COMPUTED_VALUE"""),49.48)</f>
        <v>49.48</v>
      </c>
      <c r="F222" s="2">
        <f>IFERROR(__xludf.DUMMYFUNCTION("""COMPUTED_VALUE"""),3.3975624E7)</f>
        <v>33975624</v>
      </c>
    </row>
    <row r="223">
      <c r="A223" s="3">
        <f>IFERROR(__xludf.DUMMYFUNCTION("""COMPUTED_VALUE"""),45247.66666666667)</f>
        <v>45247.66667</v>
      </c>
      <c r="B223" s="2">
        <f>IFERROR(__xludf.DUMMYFUNCTION("""COMPUTED_VALUE"""),49.52)</f>
        <v>49.52</v>
      </c>
      <c r="C223" s="2">
        <f>IFERROR(__xludf.DUMMYFUNCTION("""COMPUTED_VALUE"""),49.72)</f>
        <v>49.72</v>
      </c>
      <c r="D223" s="2">
        <f>IFERROR(__xludf.DUMMYFUNCTION("""COMPUTED_VALUE"""),49.01)</f>
        <v>49.01</v>
      </c>
      <c r="E223" s="2">
        <f>IFERROR(__xludf.DUMMYFUNCTION("""COMPUTED_VALUE"""),49.3)</f>
        <v>49.3</v>
      </c>
      <c r="F223" s="2">
        <f>IFERROR(__xludf.DUMMYFUNCTION("""COMPUTED_VALUE"""),3.2589691E7)</f>
        <v>32589691</v>
      </c>
    </row>
    <row r="224">
      <c r="A224" s="3">
        <f>IFERROR(__xludf.DUMMYFUNCTION("""COMPUTED_VALUE"""),45250.66666666667)</f>
        <v>45250.66667</v>
      </c>
      <c r="B224" s="2">
        <f>IFERROR(__xludf.DUMMYFUNCTION("""COMPUTED_VALUE"""),49.31)</f>
        <v>49.31</v>
      </c>
      <c r="C224" s="2">
        <f>IFERROR(__xludf.DUMMYFUNCTION("""COMPUTED_VALUE"""),50.55)</f>
        <v>50.55</v>
      </c>
      <c r="D224" s="2">
        <f>IFERROR(__xludf.DUMMYFUNCTION("""COMPUTED_VALUE"""),49.18)</f>
        <v>49.18</v>
      </c>
      <c r="E224" s="2">
        <f>IFERROR(__xludf.DUMMYFUNCTION("""COMPUTED_VALUE"""),50.41)</f>
        <v>50.41</v>
      </c>
      <c r="F224" s="2">
        <f>IFERROR(__xludf.DUMMYFUNCTION("""COMPUTED_VALUE"""),4.161426E7)</f>
        <v>41614260</v>
      </c>
    </row>
    <row r="225">
      <c r="A225" s="3">
        <f>IFERROR(__xludf.DUMMYFUNCTION("""COMPUTED_VALUE"""),45251.66666666667)</f>
        <v>45251.66667</v>
      </c>
      <c r="B225" s="2">
        <f>IFERROR(__xludf.DUMMYFUNCTION("""COMPUTED_VALUE"""),50.13)</f>
        <v>50.13</v>
      </c>
      <c r="C225" s="2">
        <f>IFERROR(__xludf.DUMMYFUNCTION("""COMPUTED_VALUE"""),50.52)</f>
        <v>50.52</v>
      </c>
      <c r="D225" s="2">
        <f>IFERROR(__xludf.DUMMYFUNCTION("""COMPUTED_VALUE"""),49.22)</f>
        <v>49.22</v>
      </c>
      <c r="E225" s="2">
        <f>IFERROR(__xludf.DUMMYFUNCTION("""COMPUTED_VALUE"""),49.94)</f>
        <v>49.94</v>
      </c>
      <c r="F225" s="2">
        <f>IFERROR(__xludf.DUMMYFUNCTION("""COMPUTED_VALUE"""),5.6574687E7)</f>
        <v>56574687</v>
      </c>
    </row>
    <row r="226">
      <c r="A226" s="3">
        <f>IFERROR(__xludf.DUMMYFUNCTION("""COMPUTED_VALUE"""),45252.66666666667)</f>
        <v>45252.66667</v>
      </c>
      <c r="B226" s="2">
        <f>IFERROR(__xludf.DUMMYFUNCTION("""COMPUTED_VALUE"""),49.85)</f>
        <v>49.85</v>
      </c>
      <c r="C226" s="2">
        <f>IFERROR(__xludf.DUMMYFUNCTION("""COMPUTED_VALUE"""),50.33)</f>
        <v>50.33</v>
      </c>
      <c r="D226" s="2">
        <f>IFERROR(__xludf.DUMMYFUNCTION("""COMPUTED_VALUE"""),47.69)</f>
        <v>47.69</v>
      </c>
      <c r="E226" s="2">
        <f>IFERROR(__xludf.DUMMYFUNCTION("""COMPUTED_VALUE"""),48.72)</f>
        <v>48.72</v>
      </c>
      <c r="F226" s="2">
        <f>IFERROR(__xludf.DUMMYFUNCTION("""COMPUTED_VALUE"""),9.0064233E7)</f>
        <v>90064233</v>
      </c>
    </row>
    <row r="227">
      <c r="A227" s="3">
        <f>IFERROR(__xludf.DUMMYFUNCTION("""COMPUTED_VALUE"""),45254.54513888889)</f>
        <v>45254.54514</v>
      </c>
      <c r="B227" s="2">
        <f>IFERROR(__xludf.DUMMYFUNCTION("""COMPUTED_VALUE"""),48.47)</f>
        <v>48.47</v>
      </c>
      <c r="C227" s="2">
        <f>IFERROR(__xludf.DUMMYFUNCTION("""COMPUTED_VALUE"""),48.92)</f>
        <v>48.92</v>
      </c>
      <c r="D227" s="2">
        <f>IFERROR(__xludf.DUMMYFUNCTION("""COMPUTED_VALUE"""),47.75)</f>
        <v>47.75</v>
      </c>
      <c r="E227" s="2">
        <f>IFERROR(__xludf.DUMMYFUNCTION("""COMPUTED_VALUE"""),47.78)</f>
        <v>47.78</v>
      </c>
      <c r="F227" s="2">
        <f>IFERROR(__xludf.DUMMYFUNCTION("""COMPUTED_VALUE"""),2.9464464E7)</f>
        <v>29464464</v>
      </c>
    </row>
    <row r="228">
      <c r="A228" s="3">
        <f>IFERROR(__xludf.DUMMYFUNCTION("""COMPUTED_VALUE"""),45257.66666666667)</f>
        <v>45257.66667</v>
      </c>
      <c r="B228" s="2">
        <f>IFERROR(__xludf.DUMMYFUNCTION("""COMPUTED_VALUE"""),47.8)</f>
        <v>47.8</v>
      </c>
      <c r="C228" s="2">
        <f>IFERROR(__xludf.DUMMYFUNCTION("""COMPUTED_VALUE"""),48.53)</f>
        <v>48.53</v>
      </c>
      <c r="D228" s="2">
        <f>IFERROR(__xludf.DUMMYFUNCTION("""COMPUTED_VALUE"""),47.65)</f>
        <v>47.65</v>
      </c>
      <c r="E228" s="2">
        <f>IFERROR(__xludf.DUMMYFUNCTION("""COMPUTED_VALUE"""),48.24)</f>
        <v>48.24</v>
      </c>
      <c r="F228" s="2">
        <f>IFERROR(__xludf.DUMMYFUNCTION("""COMPUTED_VALUE"""),3.956619E7)</f>
        <v>39566190</v>
      </c>
    </row>
    <row r="229">
      <c r="A229" s="3">
        <f>IFERROR(__xludf.DUMMYFUNCTION("""COMPUTED_VALUE"""),45258.66666666667)</f>
        <v>45258.66667</v>
      </c>
      <c r="B229" s="2">
        <f>IFERROR(__xludf.DUMMYFUNCTION("""COMPUTED_VALUE"""),48.24)</f>
        <v>48.24</v>
      </c>
      <c r="C229" s="2">
        <f>IFERROR(__xludf.DUMMYFUNCTION("""COMPUTED_VALUE"""),48.32)</f>
        <v>48.32</v>
      </c>
      <c r="D229" s="2">
        <f>IFERROR(__xludf.DUMMYFUNCTION("""COMPUTED_VALUE"""),47.47)</f>
        <v>47.47</v>
      </c>
      <c r="E229" s="2">
        <f>IFERROR(__xludf.DUMMYFUNCTION("""COMPUTED_VALUE"""),47.82)</f>
        <v>47.82</v>
      </c>
      <c r="F229" s="2">
        <f>IFERROR(__xludf.DUMMYFUNCTION("""COMPUTED_VALUE"""),4.0149085E7)</f>
        <v>40149085</v>
      </c>
    </row>
    <row r="230">
      <c r="A230" s="3">
        <f>IFERROR(__xludf.DUMMYFUNCTION("""COMPUTED_VALUE"""),45259.66666666667)</f>
        <v>45259.66667</v>
      </c>
      <c r="B230" s="2">
        <f>IFERROR(__xludf.DUMMYFUNCTION("""COMPUTED_VALUE"""),48.38)</f>
        <v>48.38</v>
      </c>
      <c r="C230" s="2">
        <f>IFERROR(__xludf.DUMMYFUNCTION("""COMPUTED_VALUE"""),48.76)</f>
        <v>48.76</v>
      </c>
      <c r="D230" s="2">
        <f>IFERROR(__xludf.DUMMYFUNCTION("""COMPUTED_VALUE"""),47.86)</f>
        <v>47.86</v>
      </c>
      <c r="E230" s="2">
        <f>IFERROR(__xludf.DUMMYFUNCTION("""COMPUTED_VALUE"""),48.14)</f>
        <v>48.14</v>
      </c>
      <c r="F230" s="2">
        <f>IFERROR(__xludf.DUMMYFUNCTION("""COMPUTED_VALUE"""),3.8200465E7)</f>
        <v>38200465</v>
      </c>
    </row>
    <row r="231">
      <c r="A231" s="3">
        <f>IFERROR(__xludf.DUMMYFUNCTION("""COMPUTED_VALUE"""),45260.66666666667)</f>
        <v>45260.66667</v>
      </c>
      <c r="B231" s="2">
        <f>IFERROR(__xludf.DUMMYFUNCTION("""COMPUTED_VALUE"""),48.02)</f>
        <v>48.02</v>
      </c>
      <c r="C231" s="2">
        <f>IFERROR(__xludf.DUMMYFUNCTION("""COMPUTED_VALUE"""),48.11)</f>
        <v>48.11</v>
      </c>
      <c r="D231" s="2">
        <f>IFERROR(__xludf.DUMMYFUNCTION("""COMPUTED_VALUE"""),46.42)</f>
        <v>46.42</v>
      </c>
      <c r="E231" s="2">
        <f>IFERROR(__xludf.DUMMYFUNCTION("""COMPUTED_VALUE"""),46.77)</f>
        <v>46.77</v>
      </c>
      <c r="F231" s="2">
        <f>IFERROR(__xludf.DUMMYFUNCTION("""COMPUTED_VALUE"""),5.2624663E7)</f>
        <v>52624663</v>
      </c>
    </row>
    <row r="232">
      <c r="A232" s="3">
        <f>IFERROR(__xludf.DUMMYFUNCTION("""COMPUTED_VALUE"""),45261.66666666667)</f>
        <v>45261.66667</v>
      </c>
      <c r="B232" s="2">
        <f>IFERROR(__xludf.DUMMYFUNCTION("""COMPUTED_VALUE"""),46.53)</f>
        <v>46.53</v>
      </c>
      <c r="C232" s="2">
        <f>IFERROR(__xludf.DUMMYFUNCTION("""COMPUTED_VALUE"""),47.2)</f>
        <v>47.2</v>
      </c>
      <c r="D232" s="2">
        <f>IFERROR(__xludf.DUMMYFUNCTION("""COMPUTED_VALUE"""),46.19)</f>
        <v>46.19</v>
      </c>
      <c r="E232" s="2">
        <f>IFERROR(__xludf.DUMMYFUNCTION("""COMPUTED_VALUE"""),46.77)</f>
        <v>46.77</v>
      </c>
      <c r="F232" s="2">
        <f>IFERROR(__xludf.DUMMYFUNCTION("""COMPUTED_VALUE"""),3.6931701E7)</f>
        <v>36931701</v>
      </c>
    </row>
    <row r="233">
      <c r="A233" s="3">
        <f>IFERROR(__xludf.DUMMYFUNCTION("""COMPUTED_VALUE"""),45264.66666666667)</f>
        <v>45264.66667</v>
      </c>
      <c r="B233" s="2">
        <f>IFERROR(__xludf.DUMMYFUNCTION("""COMPUTED_VALUE"""),46.08)</f>
        <v>46.08</v>
      </c>
      <c r="C233" s="2">
        <f>IFERROR(__xludf.DUMMYFUNCTION("""COMPUTED_VALUE"""),46.08)</f>
        <v>46.08</v>
      </c>
      <c r="D233" s="2">
        <f>IFERROR(__xludf.DUMMYFUNCTION("""COMPUTED_VALUE"""),45.01)</f>
        <v>45.01</v>
      </c>
      <c r="E233" s="2">
        <f>IFERROR(__xludf.DUMMYFUNCTION("""COMPUTED_VALUE"""),45.51)</f>
        <v>45.51</v>
      </c>
      <c r="F233" s="2">
        <f>IFERROR(__xludf.DUMMYFUNCTION("""COMPUTED_VALUE"""),4.3754344E7)</f>
        <v>43754344</v>
      </c>
    </row>
    <row r="234">
      <c r="A234" s="3">
        <f>IFERROR(__xludf.DUMMYFUNCTION("""COMPUTED_VALUE"""),45265.66666666667)</f>
        <v>45265.66667</v>
      </c>
      <c r="B234" s="2">
        <f>IFERROR(__xludf.DUMMYFUNCTION("""COMPUTED_VALUE"""),45.47)</f>
        <v>45.47</v>
      </c>
      <c r="C234" s="2">
        <f>IFERROR(__xludf.DUMMYFUNCTION("""COMPUTED_VALUE"""),46.6)</f>
        <v>46.6</v>
      </c>
      <c r="D234" s="2">
        <f>IFERROR(__xludf.DUMMYFUNCTION("""COMPUTED_VALUE"""),45.27)</f>
        <v>45.27</v>
      </c>
      <c r="E234" s="2">
        <f>IFERROR(__xludf.DUMMYFUNCTION("""COMPUTED_VALUE"""),46.57)</f>
        <v>46.57</v>
      </c>
      <c r="F234" s="2">
        <f>IFERROR(__xludf.DUMMYFUNCTION("""COMPUTED_VALUE"""),3.7171762E7)</f>
        <v>37171762</v>
      </c>
    </row>
    <row r="235">
      <c r="A235" s="3">
        <f>IFERROR(__xludf.DUMMYFUNCTION("""COMPUTED_VALUE"""),45266.66666666667)</f>
        <v>45266.66667</v>
      </c>
      <c r="B235" s="2">
        <f>IFERROR(__xludf.DUMMYFUNCTION("""COMPUTED_VALUE"""),47.21)</f>
        <v>47.21</v>
      </c>
      <c r="C235" s="2">
        <f>IFERROR(__xludf.DUMMYFUNCTION("""COMPUTED_VALUE"""),47.39)</f>
        <v>47.39</v>
      </c>
      <c r="D235" s="2">
        <f>IFERROR(__xludf.DUMMYFUNCTION("""COMPUTED_VALUE"""),45.41)</f>
        <v>45.41</v>
      </c>
      <c r="E235" s="2">
        <f>IFERROR(__xludf.DUMMYFUNCTION("""COMPUTED_VALUE"""),45.5)</f>
        <v>45.5</v>
      </c>
      <c r="F235" s="2">
        <f>IFERROR(__xludf.DUMMYFUNCTION("""COMPUTED_VALUE"""),3.8058955E7)</f>
        <v>38058955</v>
      </c>
    </row>
    <row r="236">
      <c r="A236" s="3">
        <f>IFERROR(__xludf.DUMMYFUNCTION("""COMPUTED_VALUE"""),45267.66666666667)</f>
        <v>45267.66667</v>
      </c>
      <c r="B236" s="2">
        <f>IFERROR(__xludf.DUMMYFUNCTION("""COMPUTED_VALUE"""),45.7)</f>
        <v>45.7</v>
      </c>
      <c r="C236" s="2">
        <f>IFERROR(__xludf.DUMMYFUNCTION("""COMPUTED_VALUE"""),46.63)</f>
        <v>46.63</v>
      </c>
      <c r="D236" s="2">
        <f>IFERROR(__xludf.DUMMYFUNCTION("""COMPUTED_VALUE"""),45.6)</f>
        <v>45.6</v>
      </c>
      <c r="E236" s="2">
        <f>IFERROR(__xludf.DUMMYFUNCTION("""COMPUTED_VALUE"""),46.6)</f>
        <v>46.6</v>
      </c>
      <c r="F236" s="2">
        <f>IFERROR(__xludf.DUMMYFUNCTION("""COMPUTED_VALUE"""),3.5082255E7)</f>
        <v>35082255</v>
      </c>
    </row>
    <row r="237">
      <c r="A237" s="3">
        <f>IFERROR(__xludf.DUMMYFUNCTION("""COMPUTED_VALUE"""),45268.66666666667)</f>
        <v>45268.66667</v>
      </c>
      <c r="B237" s="2">
        <f>IFERROR(__xludf.DUMMYFUNCTION("""COMPUTED_VALUE"""),46.6)</f>
        <v>46.6</v>
      </c>
      <c r="C237" s="2">
        <f>IFERROR(__xludf.DUMMYFUNCTION("""COMPUTED_VALUE"""),47.74)</f>
        <v>47.74</v>
      </c>
      <c r="D237" s="2">
        <f>IFERROR(__xludf.DUMMYFUNCTION("""COMPUTED_VALUE"""),46.55)</f>
        <v>46.55</v>
      </c>
      <c r="E237" s="2">
        <f>IFERROR(__xludf.DUMMYFUNCTION("""COMPUTED_VALUE"""),47.51)</f>
        <v>47.51</v>
      </c>
      <c r="F237" s="2">
        <f>IFERROR(__xludf.DUMMYFUNCTION("""COMPUTED_VALUE"""),3.592237E7)</f>
        <v>35922370</v>
      </c>
    </row>
    <row r="238">
      <c r="A238" s="3">
        <f>IFERROR(__xludf.DUMMYFUNCTION("""COMPUTED_VALUE"""),45271.66666666667)</f>
        <v>45271.66667</v>
      </c>
      <c r="B238" s="2">
        <f>IFERROR(__xludf.DUMMYFUNCTION("""COMPUTED_VALUE"""),47.49)</f>
        <v>47.49</v>
      </c>
      <c r="C238" s="2">
        <f>IFERROR(__xludf.DUMMYFUNCTION("""COMPUTED_VALUE"""),47.53)</f>
        <v>47.53</v>
      </c>
      <c r="D238" s="2">
        <f>IFERROR(__xludf.DUMMYFUNCTION("""COMPUTED_VALUE"""),45.83)</f>
        <v>45.83</v>
      </c>
      <c r="E238" s="2">
        <f>IFERROR(__xludf.DUMMYFUNCTION("""COMPUTED_VALUE"""),46.63)</f>
        <v>46.63</v>
      </c>
      <c r="F238" s="2">
        <f>IFERROR(__xludf.DUMMYFUNCTION("""COMPUTED_VALUE"""),5.0972809E7)</f>
        <v>50972809</v>
      </c>
    </row>
    <row r="239">
      <c r="A239" s="3">
        <f>IFERROR(__xludf.DUMMYFUNCTION("""COMPUTED_VALUE"""),45272.66666666667)</f>
        <v>45272.66667</v>
      </c>
      <c r="B239" s="2">
        <f>IFERROR(__xludf.DUMMYFUNCTION("""COMPUTED_VALUE"""),46.05)</f>
        <v>46.05</v>
      </c>
      <c r="C239" s="2">
        <f>IFERROR(__xludf.DUMMYFUNCTION("""COMPUTED_VALUE"""),47.67)</f>
        <v>47.67</v>
      </c>
      <c r="D239" s="2">
        <f>IFERROR(__xludf.DUMMYFUNCTION("""COMPUTED_VALUE"""),46.05)</f>
        <v>46.05</v>
      </c>
      <c r="E239" s="2">
        <f>IFERROR(__xludf.DUMMYFUNCTION("""COMPUTED_VALUE"""),47.66)</f>
        <v>47.66</v>
      </c>
      <c r="F239" s="2">
        <f>IFERROR(__xludf.DUMMYFUNCTION("""COMPUTED_VALUE"""),3.7238686E7)</f>
        <v>37238686</v>
      </c>
    </row>
    <row r="240">
      <c r="A240" s="3">
        <f>IFERROR(__xludf.DUMMYFUNCTION("""COMPUTED_VALUE"""),45273.66666666667)</f>
        <v>45273.66667</v>
      </c>
      <c r="B240" s="2">
        <f>IFERROR(__xludf.DUMMYFUNCTION("""COMPUTED_VALUE"""),47.63)</f>
        <v>47.63</v>
      </c>
      <c r="C240" s="2">
        <f>IFERROR(__xludf.DUMMYFUNCTION("""COMPUTED_VALUE"""),48.59)</f>
        <v>48.59</v>
      </c>
      <c r="D240" s="2">
        <f>IFERROR(__xludf.DUMMYFUNCTION("""COMPUTED_VALUE"""),47.61)</f>
        <v>47.61</v>
      </c>
      <c r="E240" s="2">
        <f>IFERROR(__xludf.DUMMYFUNCTION("""COMPUTED_VALUE"""),48.09)</f>
        <v>48.09</v>
      </c>
      <c r="F240" s="2">
        <f>IFERROR(__xludf.DUMMYFUNCTION("""COMPUTED_VALUE"""),4.4779186E7)</f>
        <v>44779186</v>
      </c>
    </row>
    <row r="241">
      <c r="A241" s="3">
        <f>IFERROR(__xludf.DUMMYFUNCTION("""COMPUTED_VALUE"""),45274.66666666667)</f>
        <v>45274.66667</v>
      </c>
      <c r="B241" s="2">
        <f>IFERROR(__xludf.DUMMYFUNCTION("""COMPUTED_VALUE"""),48.39)</f>
        <v>48.39</v>
      </c>
      <c r="C241" s="2">
        <f>IFERROR(__xludf.DUMMYFUNCTION("""COMPUTED_VALUE"""),48.67)</f>
        <v>48.67</v>
      </c>
      <c r="D241" s="2">
        <f>IFERROR(__xludf.DUMMYFUNCTION("""COMPUTED_VALUE"""),47.42)</f>
        <v>47.42</v>
      </c>
      <c r="E241" s="2">
        <f>IFERROR(__xludf.DUMMYFUNCTION("""COMPUTED_VALUE"""),48.35)</f>
        <v>48.35</v>
      </c>
      <c r="F241" s="2">
        <f>IFERROR(__xludf.DUMMYFUNCTION("""COMPUTED_VALUE"""),3.9123174E7)</f>
        <v>39123174</v>
      </c>
    </row>
    <row r="242">
      <c r="A242" s="3">
        <f>IFERROR(__xludf.DUMMYFUNCTION("""COMPUTED_VALUE"""),45275.66666666667)</f>
        <v>45275.66667</v>
      </c>
      <c r="B242" s="2">
        <f>IFERROR(__xludf.DUMMYFUNCTION("""COMPUTED_VALUE"""),48.19)</f>
        <v>48.19</v>
      </c>
      <c r="C242" s="2">
        <f>IFERROR(__xludf.DUMMYFUNCTION("""COMPUTED_VALUE"""),49.4)</f>
        <v>49.4</v>
      </c>
      <c r="D242" s="2">
        <f>IFERROR(__xludf.DUMMYFUNCTION("""COMPUTED_VALUE"""),48.12)</f>
        <v>48.12</v>
      </c>
      <c r="E242" s="2">
        <f>IFERROR(__xludf.DUMMYFUNCTION("""COMPUTED_VALUE"""),48.89)</f>
        <v>48.89</v>
      </c>
      <c r="F242" s="2">
        <f>IFERROR(__xludf.DUMMYFUNCTION("""COMPUTED_VALUE"""),4.7994758E7)</f>
        <v>47994758</v>
      </c>
    </row>
    <row r="243">
      <c r="A243" s="3">
        <f>IFERROR(__xludf.DUMMYFUNCTION("""COMPUTED_VALUE"""),45278.66666666667)</f>
        <v>45278.66667</v>
      </c>
      <c r="B243" s="2">
        <f>IFERROR(__xludf.DUMMYFUNCTION("""COMPUTED_VALUE"""),49.4)</f>
        <v>49.4</v>
      </c>
      <c r="C243" s="2">
        <f>IFERROR(__xludf.DUMMYFUNCTION("""COMPUTED_VALUE"""),50.43)</f>
        <v>50.43</v>
      </c>
      <c r="D243" s="2">
        <f>IFERROR(__xludf.DUMMYFUNCTION("""COMPUTED_VALUE"""),49.15)</f>
        <v>49.15</v>
      </c>
      <c r="E243" s="2">
        <f>IFERROR(__xludf.DUMMYFUNCTION("""COMPUTED_VALUE"""),50.08)</f>
        <v>50.08</v>
      </c>
      <c r="F243" s="2">
        <f>IFERROR(__xludf.DUMMYFUNCTION("""COMPUTED_VALUE"""),4.1258717E7)</f>
        <v>41258717</v>
      </c>
    </row>
    <row r="244">
      <c r="A244" s="3">
        <f>IFERROR(__xludf.DUMMYFUNCTION("""COMPUTED_VALUE"""),45279.66666666667)</f>
        <v>45279.66667</v>
      </c>
      <c r="B244" s="2">
        <f>IFERROR(__xludf.DUMMYFUNCTION("""COMPUTED_VALUE"""),49.42)</f>
        <v>49.42</v>
      </c>
      <c r="C244" s="2">
        <f>IFERROR(__xludf.DUMMYFUNCTION("""COMPUTED_VALUE"""),49.7)</f>
        <v>49.7</v>
      </c>
      <c r="D244" s="2">
        <f>IFERROR(__xludf.DUMMYFUNCTION("""COMPUTED_VALUE"""),48.9)</f>
        <v>48.9</v>
      </c>
      <c r="E244" s="2">
        <f>IFERROR(__xludf.DUMMYFUNCTION("""COMPUTED_VALUE"""),49.6)</f>
        <v>49.6</v>
      </c>
      <c r="F244" s="2">
        <f>IFERROR(__xludf.DUMMYFUNCTION("""COMPUTED_VALUE"""),4.6444446E7)</f>
        <v>46444446</v>
      </c>
    </row>
    <row r="245">
      <c r="A245" s="3">
        <f>IFERROR(__xludf.DUMMYFUNCTION("""COMPUTED_VALUE"""),45280.66666666667)</f>
        <v>45280.66667</v>
      </c>
      <c r="B245" s="2">
        <f>IFERROR(__xludf.DUMMYFUNCTION("""COMPUTED_VALUE"""),49.66)</f>
        <v>49.66</v>
      </c>
      <c r="C245" s="2">
        <f>IFERROR(__xludf.DUMMYFUNCTION("""COMPUTED_VALUE"""),50.0)</f>
        <v>50</v>
      </c>
      <c r="D245" s="2">
        <f>IFERROR(__xludf.DUMMYFUNCTION("""COMPUTED_VALUE"""),48.1)</f>
        <v>48.1</v>
      </c>
      <c r="E245" s="2">
        <f>IFERROR(__xludf.DUMMYFUNCTION("""COMPUTED_VALUE"""),48.11)</f>
        <v>48.11</v>
      </c>
      <c r="F245" s="2">
        <f>IFERROR(__xludf.DUMMYFUNCTION("""COMPUTED_VALUE"""),3.9789439E7)</f>
        <v>39789439</v>
      </c>
    </row>
    <row r="246">
      <c r="A246" s="3">
        <f>IFERROR(__xludf.DUMMYFUNCTION("""COMPUTED_VALUE"""),45281.66666666667)</f>
        <v>45281.66667</v>
      </c>
      <c r="B246" s="2">
        <f>IFERROR(__xludf.DUMMYFUNCTION("""COMPUTED_VALUE"""),48.81)</f>
        <v>48.81</v>
      </c>
      <c r="C246" s="2">
        <f>IFERROR(__xludf.DUMMYFUNCTION("""COMPUTED_VALUE"""),49.1)</f>
        <v>49.1</v>
      </c>
      <c r="D246" s="2">
        <f>IFERROR(__xludf.DUMMYFUNCTION("""COMPUTED_VALUE"""),48.42)</f>
        <v>48.42</v>
      </c>
      <c r="E246" s="2">
        <f>IFERROR(__xludf.DUMMYFUNCTION("""COMPUTED_VALUE"""),48.99)</f>
        <v>48.99</v>
      </c>
      <c r="F246" s="2">
        <f>IFERROR(__xludf.DUMMYFUNCTION("""COMPUTED_VALUE"""),3.0042535E7)</f>
        <v>30042535</v>
      </c>
    </row>
    <row r="247">
      <c r="A247" s="3">
        <f>IFERROR(__xludf.DUMMYFUNCTION("""COMPUTED_VALUE"""),45282.66666666667)</f>
        <v>45282.66667</v>
      </c>
      <c r="B247" s="2">
        <f>IFERROR(__xludf.DUMMYFUNCTION("""COMPUTED_VALUE"""),49.2)</f>
        <v>49.2</v>
      </c>
      <c r="C247" s="2">
        <f>IFERROR(__xludf.DUMMYFUNCTION("""COMPUTED_VALUE"""),49.38)</f>
        <v>49.38</v>
      </c>
      <c r="D247" s="2">
        <f>IFERROR(__xludf.DUMMYFUNCTION("""COMPUTED_VALUE"""),48.47)</f>
        <v>48.47</v>
      </c>
      <c r="E247" s="2">
        <f>IFERROR(__xludf.DUMMYFUNCTION("""COMPUTED_VALUE"""),48.83)</f>
        <v>48.83</v>
      </c>
      <c r="F247" s="2">
        <f>IFERROR(__xludf.DUMMYFUNCTION("""COMPUTED_VALUE"""),2.5250676E7)</f>
        <v>25250676</v>
      </c>
    </row>
    <row r="248">
      <c r="A248" s="3">
        <f>IFERROR(__xludf.DUMMYFUNCTION("""COMPUTED_VALUE"""),45286.66666666667)</f>
        <v>45286.66667</v>
      </c>
      <c r="B248" s="2">
        <f>IFERROR(__xludf.DUMMYFUNCTION("""COMPUTED_VALUE"""),48.97)</f>
        <v>48.97</v>
      </c>
      <c r="C248" s="2">
        <f>IFERROR(__xludf.DUMMYFUNCTION("""COMPUTED_VALUE"""),49.6)</f>
        <v>49.6</v>
      </c>
      <c r="D248" s="2">
        <f>IFERROR(__xludf.DUMMYFUNCTION("""COMPUTED_VALUE"""),48.96)</f>
        <v>48.96</v>
      </c>
      <c r="E248" s="2">
        <f>IFERROR(__xludf.DUMMYFUNCTION("""COMPUTED_VALUE"""),49.28)</f>
        <v>49.28</v>
      </c>
      <c r="F248" s="2">
        <f>IFERROR(__xludf.DUMMYFUNCTION("""COMPUTED_VALUE"""),2.4419952E7)</f>
        <v>24419952</v>
      </c>
    </row>
    <row r="249">
      <c r="A249" s="3">
        <f>IFERROR(__xludf.DUMMYFUNCTION("""COMPUTED_VALUE"""),45287.66666666667)</f>
        <v>45287.66667</v>
      </c>
      <c r="B249" s="2">
        <f>IFERROR(__xludf.DUMMYFUNCTION("""COMPUTED_VALUE"""),49.51)</f>
        <v>49.51</v>
      </c>
      <c r="C249" s="2">
        <f>IFERROR(__xludf.DUMMYFUNCTION("""COMPUTED_VALUE"""),49.68)</f>
        <v>49.68</v>
      </c>
      <c r="D249" s="2">
        <f>IFERROR(__xludf.DUMMYFUNCTION("""COMPUTED_VALUE"""),49.09)</f>
        <v>49.09</v>
      </c>
      <c r="E249" s="2">
        <f>IFERROR(__xludf.DUMMYFUNCTION("""COMPUTED_VALUE"""),49.42)</f>
        <v>49.42</v>
      </c>
      <c r="F249" s="2">
        <f>IFERROR(__xludf.DUMMYFUNCTION("""COMPUTED_VALUE"""),2.3364798E7)</f>
        <v>23364798</v>
      </c>
    </row>
    <row r="250">
      <c r="A250" s="3">
        <f>IFERROR(__xludf.DUMMYFUNCTION("""COMPUTED_VALUE"""),45288.66666666667)</f>
        <v>45288.66667</v>
      </c>
      <c r="B250" s="2">
        <f>IFERROR(__xludf.DUMMYFUNCTION("""COMPUTED_VALUE"""),49.64)</f>
        <v>49.64</v>
      </c>
      <c r="C250" s="2">
        <f>IFERROR(__xludf.DUMMYFUNCTION("""COMPUTED_VALUE"""),49.88)</f>
        <v>49.88</v>
      </c>
      <c r="D250" s="2">
        <f>IFERROR(__xludf.DUMMYFUNCTION("""COMPUTED_VALUE"""),49.41)</f>
        <v>49.41</v>
      </c>
      <c r="E250" s="2">
        <f>IFERROR(__xludf.DUMMYFUNCTION("""COMPUTED_VALUE"""),49.52)</f>
        <v>49.52</v>
      </c>
      <c r="F250" s="2">
        <f>IFERROR(__xludf.DUMMYFUNCTION("""COMPUTED_VALUE"""),2.4658748E7)</f>
        <v>24658748</v>
      </c>
    </row>
    <row r="251">
      <c r="A251" s="3">
        <f>IFERROR(__xludf.DUMMYFUNCTION("""COMPUTED_VALUE"""),45289.66666666667)</f>
        <v>45289.66667</v>
      </c>
      <c r="B251" s="2">
        <f>IFERROR(__xludf.DUMMYFUNCTION("""COMPUTED_VALUE"""),49.81)</f>
        <v>49.81</v>
      </c>
      <c r="C251" s="2">
        <f>IFERROR(__xludf.DUMMYFUNCTION("""COMPUTED_VALUE"""),50.0)</f>
        <v>50</v>
      </c>
      <c r="D251" s="2">
        <f>IFERROR(__xludf.DUMMYFUNCTION("""COMPUTED_VALUE"""),48.75)</f>
        <v>48.75</v>
      </c>
      <c r="E251" s="2">
        <f>IFERROR(__xludf.DUMMYFUNCTION("""COMPUTED_VALUE"""),49.52)</f>
        <v>49.52</v>
      </c>
      <c r="F251" s="2">
        <f>IFERROR(__xludf.DUMMYFUNCTION("""COMPUTED_VALUE"""),3.892933E7)</f>
        <v>38929330</v>
      </c>
    </row>
    <row r="252">
      <c r="A252" s="3">
        <f>IFERROR(__xludf.DUMMYFUNCTION("""COMPUTED_VALUE"""),45293.66666666667)</f>
        <v>45293.66667</v>
      </c>
      <c r="B252" s="2">
        <f>IFERROR(__xludf.DUMMYFUNCTION("""COMPUTED_VALUE"""),49.24)</f>
        <v>49.24</v>
      </c>
      <c r="C252" s="2">
        <f>IFERROR(__xludf.DUMMYFUNCTION("""COMPUTED_VALUE"""),49.3)</f>
        <v>49.3</v>
      </c>
      <c r="D252" s="2">
        <f>IFERROR(__xludf.DUMMYFUNCTION("""COMPUTED_VALUE"""),47.6)</f>
        <v>47.6</v>
      </c>
      <c r="E252" s="2">
        <f>IFERROR(__xludf.DUMMYFUNCTION("""COMPUTED_VALUE"""),48.17)</f>
        <v>48.17</v>
      </c>
      <c r="F252" s="2">
        <f>IFERROR(__xludf.DUMMYFUNCTION("""COMPUTED_VALUE"""),4.1125422E7)</f>
        <v>41125422</v>
      </c>
    </row>
    <row r="253">
      <c r="A253" s="3">
        <f>IFERROR(__xludf.DUMMYFUNCTION("""COMPUTED_VALUE"""),45294.66666666667)</f>
        <v>45294.66667</v>
      </c>
      <c r="B253" s="2">
        <f>IFERROR(__xludf.DUMMYFUNCTION("""COMPUTED_VALUE"""),47.49)</f>
        <v>47.49</v>
      </c>
      <c r="C253" s="2">
        <f>IFERROR(__xludf.DUMMYFUNCTION("""COMPUTED_VALUE"""),48.18)</f>
        <v>48.18</v>
      </c>
      <c r="D253" s="2">
        <f>IFERROR(__xludf.DUMMYFUNCTION("""COMPUTED_VALUE"""),47.32)</f>
        <v>47.32</v>
      </c>
      <c r="E253" s="2">
        <f>IFERROR(__xludf.DUMMYFUNCTION("""COMPUTED_VALUE"""),47.57)</f>
        <v>47.57</v>
      </c>
      <c r="F253" s="2">
        <f>IFERROR(__xludf.DUMMYFUNCTION("""COMPUTED_VALUE"""),3.2089617E7)</f>
        <v>32089617</v>
      </c>
    </row>
    <row r="254">
      <c r="A254" s="3">
        <f>IFERROR(__xludf.DUMMYFUNCTION("""COMPUTED_VALUE"""),45295.66666666667)</f>
        <v>45295.66667</v>
      </c>
      <c r="B254" s="2">
        <f>IFERROR(__xludf.DUMMYFUNCTION("""COMPUTED_VALUE"""),47.77)</f>
        <v>47.77</v>
      </c>
      <c r="C254" s="2">
        <f>IFERROR(__xludf.DUMMYFUNCTION("""COMPUTED_VALUE"""),48.5)</f>
        <v>48.5</v>
      </c>
      <c r="D254" s="2">
        <f>IFERROR(__xludf.DUMMYFUNCTION("""COMPUTED_VALUE"""),47.51)</f>
        <v>47.51</v>
      </c>
      <c r="E254" s="2">
        <f>IFERROR(__xludf.DUMMYFUNCTION("""COMPUTED_VALUE"""),48.0)</f>
        <v>48</v>
      </c>
      <c r="F254" s="2">
        <f>IFERROR(__xludf.DUMMYFUNCTION("""COMPUTED_VALUE"""),3.0653489E7)</f>
        <v>30653489</v>
      </c>
    </row>
    <row r="255">
      <c r="A255" s="3">
        <f>IFERROR(__xludf.DUMMYFUNCTION("""COMPUTED_VALUE"""),45296.66666666667)</f>
        <v>45296.66667</v>
      </c>
      <c r="B255" s="2">
        <f>IFERROR(__xludf.DUMMYFUNCTION("""COMPUTED_VALUE"""),48.46)</f>
        <v>48.46</v>
      </c>
      <c r="C255" s="2">
        <f>IFERROR(__xludf.DUMMYFUNCTION("""COMPUTED_VALUE"""),49.55)</f>
        <v>49.55</v>
      </c>
      <c r="D255" s="2">
        <f>IFERROR(__xludf.DUMMYFUNCTION("""COMPUTED_VALUE"""),48.31)</f>
        <v>48.31</v>
      </c>
      <c r="E255" s="2">
        <f>IFERROR(__xludf.DUMMYFUNCTION("""COMPUTED_VALUE"""),49.1)</f>
        <v>49.1</v>
      </c>
      <c r="F255" s="2">
        <f>IFERROR(__xludf.DUMMYFUNCTION("""COMPUTED_VALUE"""),4.1503927E7)</f>
        <v>41503927</v>
      </c>
    </row>
    <row r="256">
      <c r="A256" s="3">
        <f>IFERROR(__xludf.DUMMYFUNCTION("""COMPUTED_VALUE"""),45299.66666666667)</f>
        <v>45299.66667</v>
      </c>
      <c r="B256" s="2">
        <f>IFERROR(__xludf.DUMMYFUNCTION("""COMPUTED_VALUE"""),49.51)</f>
        <v>49.51</v>
      </c>
      <c r="C256" s="2">
        <f>IFERROR(__xludf.DUMMYFUNCTION("""COMPUTED_VALUE"""),52.28)</f>
        <v>52.28</v>
      </c>
      <c r="D256" s="2">
        <f>IFERROR(__xludf.DUMMYFUNCTION("""COMPUTED_VALUE"""),49.48)</f>
        <v>49.48</v>
      </c>
      <c r="E256" s="2">
        <f>IFERROR(__xludf.DUMMYFUNCTION("""COMPUTED_VALUE"""),52.25)</f>
        <v>52.25</v>
      </c>
      <c r="F256" s="2">
        <f>IFERROR(__xludf.DUMMYFUNCTION("""COMPUTED_VALUE"""),6.425099E7)</f>
        <v>64250990</v>
      </c>
    </row>
    <row r="257">
      <c r="A257" s="3">
        <f>IFERROR(__xludf.DUMMYFUNCTION("""COMPUTED_VALUE"""),45300.66666666667)</f>
        <v>45300.66667</v>
      </c>
      <c r="B257" s="2">
        <f>IFERROR(__xludf.DUMMYFUNCTION("""COMPUTED_VALUE"""),52.4)</f>
        <v>52.4</v>
      </c>
      <c r="C257" s="2">
        <f>IFERROR(__xludf.DUMMYFUNCTION("""COMPUTED_VALUE"""),54.33)</f>
        <v>54.33</v>
      </c>
      <c r="D257" s="2">
        <f>IFERROR(__xludf.DUMMYFUNCTION("""COMPUTED_VALUE"""),51.69)</f>
        <v>51.69</v>
      </c>
      <c r="E257" s="2">
        <f>IFERROR(__xludf.DUMMYFUNCTION("""COMPUTED_VALUE"""),53.14)</f>
        <v>53.14</v>
      </c>
      <c r="F257" s="2">
        <f>IFERROR(__xludf.DUMMYFUNCTION("""COMPUTED_VALUE"""),7.7310006E7)</f>
        <v>77310006</v>
      </c>
    </row>
    <row r="258">
      <c r="A258" s="3">
        <f>IFERROR(__xludf.DUMMYFUNCTION("""COMPUTED_VALUE"""),45301.66666666667)</f>
        <v>45301.66667</v>
      </c>
      <c r="B258" s="2">
        <f>IFERROR(__xludf.DUMMYFUNCTION("""COMPUTED_VALUE"""),53.62)</f>
        <v>53.62</v>
      </c>
      <c r="C258" s="2">
        <f>IFERROR(__xludf.DUMMYFUNCTION("""COMPUTED_VALUE"""),54.6)</f>
        <v>54.6</v>
      </c>
      <c r="D258" s="2">
        <f>IFERROR(__xludf.DUMMYFUNCTION("""COMPUTED_VALUE"""),53.49)</f>
        <v>53.49</v>
      </c>
      <c r="E258" s="2">
        <f>IFERROR(__xludf.DUMMYFUNCTION("""COMPUTED_VALUE"""),54.35)</f>
        <v>54.35</v>
      </c>
      <c r="F258" s="2">
        <f>IFERROR(__xludf.DUMMYFUNCTION("""COMPUTED_VALUE"""),5.3379576E7)</f>
        <v>53379576</v>
      </c>
    </row>
    <row r="259">
      <c r="A259" s="3">
        <f>IFERROR(__xludf.DUMMYFUNCTION("""COMPUTED_VALUE"""),45302.66666666667)</f>
        <v>45302.66667</v>
      </c>
      <c r="B259" s="2">
        <f>IFERROR(__xludf.DUMMYFUNCTION("""COMPUTED_VALUE"""),55.0)</f>
        <v>55</v>
      </c>
      <c r="C259" s="2">
        <f>IFERROR(__xludf.DUMMYFUNCTION("""COMPUTED_VALUE"""),55.35)</f>
        <v>55.35</v>
      </c>
      <c r="D259" s="2">
        <f>IFERROR(__xludf.DUMMYFUNCTION("""COMPUTED_VALUE"""),53.56)</f>
        <v>53.56</v>
      </c>
      <c r="E259" s="2">
        <f>IFERROR(__xludf.DUMMYFUNCTION("""COMPUTED_VALUE"""),54.82)</f>
        <v>54.82</v>
      </c>
      <c r="F259" s="2">
        <f>IFERROR(__xludf.DUMMYFUNCTION("""COMPUTED_VALUE"""),5.9675877E7)</f>
        <v>59675877</v>
      </c>
    </row>
    <row r="260">
      <c r="A260" s="3">
        <f>IFERROR(__xludf.DUMMYFUNCTION("""COMPUTED_VALUE"""),45303.66666666667)</f>
        <v>45303.66667</v>
      </c>
      <c r="B260" s="2">
        <f>IFERROR(__xludf.DUMMYFUNCTION("""COMPUTED_VALUE"""),54.62)</f>
        <v>54.62</v>
      </c>
      <c r="C260" s="2">
        <f>IFERROR(__xludf.DUMMYFUNCTION("""COMPUTED_VALUE"""),54.97)</f>
        <v>54.97</v>
      </c>
      <c r="D260" s="2">
        <f>IFERROR(__xludf.DUMMYFUNCTION("""COMPUTED_VALUE"""),54.33)</f>
        <v>54.33</v>
      </c>
      <c r="E260" s="2">
        <f>IFERROR(__xludf.DUMMYFUNCTION("""COMPUTED_VALUE"""),54.71)</f>
        <v>54.71</v>
      </c>
      <c r="F260" s="2">
        <f>IFERROR(__xludf.DUMMYFUNCTION("""COMPUTED_VALUE"""),3.529936E7)</f>
        <v>35299360</v>
      </c>
    </row>
    <row r="261">
      <c r="A261" s="3">
        <f>IFERROR(__xludf.DUMMYFUNCTION("""COMPUTED_VALUE"""),45307.66666666667)</f>
        <v>45307.66667</v>
      </c>
      <c r="B261" s="2">
        <f>IFERROR(__xludf.DUMMYFUNCTION("""COMPUTED_VALUE"""),55.02)</f>
        <v>55.02</v>
      </c>
      <c r="C261" s="2">
        <f>IFERROR(__xludf.DUMMYFUNCTION("""COMPUTED_VALUE"""),56.83)</f>
        <v>56.83</v>
      </c>
      <c r="D261" s="2">
        <f>IFERROR(__xludf.DUMMYFUNCTION("""COMPUTED_VALUE"""),54.9)</f>
        <v>54.9</v>
      </c>
      <c r="E261" s="2">
        <f>IFERROR(__xludf.DUMMYFUNCTION("""COMPUTED_VALUE"""),56.38)</f>
        <v>56.38</v>
      </c>
      <c r="F261" s="2">
        <f>IFERROR(__xludf.DUMMYFUNCTION("""COMPUTED_VALUE"""),4.4957973E7)</f>
        <v>44957973</v>
      </c>
    </row>
    <row r="262">
      <c r="A262" s="3">
        <f>IFERROR(__xludf.DUMMYFUNCTION("""COMPUTED_VALUE"""),45308.66666666667)</f>
        <v>45308.66667</v>
      </c>
      <c r="B262" s="2">
        <f>IFERROR(__xludf.DUMMYFUNCTION("""COMPUTED_VALUE"""),56.35)</f>
        <v>56.35</v>
      </c>
      <c r="C262" s="2">
        <f>IFERROR(__xludf.DUMMYFUNCTION("""COMPUTED_VALUE"""),56.47)</f>
        <v>56.47</v>
      </c>
      <c r="D262" s="2">
        <f>IFERROR(__xludf.DUMMYFUNCTION("""COMPUTED_VALUE"""),54.74)</f>
        <v>54.74</v>
      </c>
      <c r="E262" s="2">
        <f>IFERROR(__xludf.DUMMYFUNCTION("""COMPUTED_VALUE"""),56.05)</f>
        <v>56.05</v>
      </c>
      <c r="F262" s="2">
        <f>IFERROR(__xludf.DUMMYFUNCTION("""COMPUTED_VALUE"""),4.7439444E7)</f>
        <v>47439444</v>
      </c>
    </row>
    <row r="263">
      <c r="A263" s="3">
        <f>IFERROR(__xludf.DUMMYFUNCTION("""COMPUTED_VALUE"""),45309.66666666667)</f>
        <v>45309.66667</v>
      </c>
      <c r="B263" s="2">
        <f>IFERROR(__xludf.DUMMYFUNCTION("""COMPUTED_VALUE"""),57.26)</f>
        <v>57.26</v>
      </c>
      <c r="C263" s="2">
        <f>IFERROR(__xludf.DUMMYFUNCTION("""COMPUTED_VALUE"""),57.6)</f>
        <v>57.6</v>
      </c>
      <c r="D263" s="2">
        <f>IFERROR(__xludf.DUMMYFUNCTION("""COMPUTED_VALUE"""),56.11)</f>
        <v>56.11</v>
      </c>
      <c r="E263" s="2">
        <f>IFERROR(__xludf.DUMMYFUNCTION("""COMPUTED_VALUE"""),57.11)</f>
        <v>57.11</v>
      </c>
      <c r="F263" s="2">
        <f>IFERROR(__xludf.DUMMYFUNCTION("""COMPUTED_VALUE"""),4.9165036E7)</f>
        <v>49165036</v>
      </c>
    </row>
    <row r="264">
      <c r="A264" s="3">
        <f>IFERROR(__xludf.DUMMYFUNCTION("""COMPUTED_VALUE"""),45310.66666666667)</f>
        <v>45310.66667</v>
      </c>
      <c r="B264" s="2">
        <f>IFERROR(__xludf.DUMMYFUNCTION("""COMPUTED_VALUE"""),57.99)</f>
        <v>57.99</v>
      </c>
      <c r="C264" s="2">
        <f>IFERROR(__xludf.DUMMYFUNCTION("""COMPUTED_VALUE"""),59.5)</f>
        <v>59.5</v>
      </c>
      <c r="D264" s="2">
        <f>IFERROR(__xludf.DUMMYFUNCTION("""COMPUTED_VALUE"""),57.23)</f>
        <v>57.23</v>
      </c>
      <c r="E264" s="2">
        <f>IFERROR(__xludf.DUMMYFUNCTION("""COMPUTED_VALUE"""),59.49)</f>
        <v>59.49</v>
      </c>
      <c r="F264" s="2">
        <f>IFERROR(__xludf.DUMMYFUNCTION("""COMPUTED_VALUE"""),5.4350148E7)</f>
        <v>54350148</v>
      </c>
    </row>
    <row r="265">
      <c r="A265" s="3">
        <f>IFERROR(__xludf.DUMMYFUNCTION("""COMPUTED_VALUE"""),45313.66666666667)</f>
        <v>45313.66667</v>
      </c>
      <c r="B265" s="2">
        <f>IFERROR(__xludf.DUMMYFUNCTION("""COMPUTED_VALUE"""),60.05)</f>
        <v>60.05</v>
      </c>
      <c r="C265" s="2">
        <f>IFERROR(__xludf.DUMMYFUNCTION("""COMPUTED_VALUE"""),60.33)</f>
        <v>60.33</v>
      </c>
      <c r="D265" s="2">
        <f>IFERROR(__xludf.DUMMYFUNCTION("""COMPUTED_VALUE"""),59.07)</f>
        <v>59.07</v>
      </c>
      <c r="E265" s="2">
        <f>IFERROR(__xludf.DUMMYFUNCTION("""COMPUTED_VALUE"""),59.65)</f>
        <v>59.65</v>
      </c>
      <c r="F265" s="2">
        <f>IFERROR(__xludf.DUMMYFUNCTION("""COMPUTED_VALUE"""),4.5295463E7)</f>
        <v>45295463</v>
      </c>
    </row>
    <row r="266">
      <c r="A266" s="3">
        <f>IFERROR(__xludf.DUMMYFUNCTION("""COMPUTED_VALUE"""),45314.66666666667)</f>
        <v>45314.66667</v>
      </c>
      <c r="B266" s="2">
        <f>IFERROR(__xludf.DUMMYFUNCTION("""COMPUTED_VALUE"""),59.57)</f>
        <v>59.57</v>
      </c>
      <c r="C266" s="2">
        <f>IFERROR(__xludf.DUMMYFUNCTION("""COMPUTED_VALUE"""),59.91)</f>
        <v>59.91</v>
      </c>
      <c r="D266" s="2">
        <f>IFERROR(__xludf.DUMMYFUNCTION("""COMPUTED_VALUE"""),58.59)</f>
        <v>58.59</v>
      </c>
      <c r="E266" s="2">
        <f>IFERROR(__xludf.DUMMYFUNCTION("""COMPUTED_VALUE"""),59.87)</f>
        <v>59.87</v>
      </c>
      <c r="F266" s="2">
        <f>IFERROR(__xludf.DUMMYFUNCTION("""COMPUTED_VALUE"""),2.9465445E7)</f>
        <v>29465445</v>
      </c>
    </row>
    <row r="267">
      <c r="A267" s="3">
        <f>IFERROR(__xludf.DUMMYFUNCTION("""COMPUTED_VALUE"""),45315.66666666667)</f>
        <v>45315.66667</v>
      </c>
      <c r="B267" s="2">
        <f>IFERROR(__xludf.DUMMYFUNCTION("""COMPUTED_VALUE"""),60.3)</f>
        <v>60.3</v>
      </c>
      <c r="C267" s="2">
        <f>IFERROR(__xludf.DUMMYFUNCTION("""COMPUTED_VALUE"""),62.85)</f>
        <v>62.85</v>
      </c>
      <c r="D267" s="2">
        <f>IFERROR(__xludf.DUMMYFUNCTION("""COMPUTED_VALUE"""),59.94)</f>
        <v>59.94</v>
      </c>
      <c r="E267" s="2">
        <f>IFERROR(__xludf.DUMMYFUNCTION("""COMPUTED_VALUE"""),61.36)</f>
        <v>61.36</v>
      </c>
      <c r="F267" s="2">
        <f>IFERROR(__xludf.DUMMYFUNCTION("""COMPUTED_VALUE"""),5.6027076E7)</f>
        <v>56027076</v>
      </c>
    </row>
    <row r="268">
      <c r="A268" s="3">
        <f>IFERROR(__xludf.DUMMYFUNCTION("""COMPUTED_VALUE"""),45316.66666666667)</f>
        <v>45316.66667</v>
      </c>
      <c r="B268" s="2">
        <f>IFERROR(__xludf.DUMMYFUNCTION("""COMPUTED_VALUE"""),62.35)</f>
        <v>62.35</v>
      </c>
      <c r="C268" s="2">
        <f>IFERROR(__xludf.DUMMYFUNCTION("""COMPUTED_VALUE"""),62.72)</f>
        <v>62.72</v>
      </c>
      <c r="D268" s="2">
        <f>IFERROR(__xludf.DUMMYFUNCTION("""COMPUTED_VALUE"""),60.85)</f>
        <v>60.85</v>
      </c>
      <c r="E268" s="2">
        <f>IFERROR(__xludf.DUMMYFUNCTION("""COMPUTED_VALUE"""),61.62)</f>
        <v>61.62</v>
      </c>
      <c r="F268" s="2">
        <f>IFERROR(__xludf.DUMMYFUNCTION("""COMPUTED_VALUE"""),4.8277684E7)</f>
        <v>48277684</v>
      </c>
    </row>
    <row r="269">
      <c r="A269" s="3">
        <f>IFERROR(__xludf.DUMMYFUNCTION("""COMPUTED_VALUE"""),45317.66666666667)</f>
        <v>45317.66667</v>
      </c>
      <c r="B269" s="2">
        <f>IFERROR(__xludf.DUMMYFUNCTION("""COMPUTED_VALUE"""),60.96)</f>
        <v>60.96</v>
      </c>
      <c r="C269" s="2">
        <f>IFERROR(__xludf.DUMMYFUNCTION("""COMPUTED_VALUE"""),61.78)</f>
        <v>61.78</v>
      </c>
      <c r="D269" s="2">
        <f>IFERROR(__xludf.DUMMYFUNCTION("""COMPUTED_VALUE"""),60.57)</f>
        <v>60.57</v>
      </c>
      <c r="E269" s="2">
        <f>IFERROR(__xludf.DUMMYFUNCTION("""COMPUTED_VALUE"""),61.03)</f>
        <v>61.03</v>
      </c>
      <c r="F269" s="2">
        <f>IFERROR(__xludf.DUMMYFUNCTION("""COMPUTED_VALUE"""),3.9030859E7)</f>
        <v>39030859</v>
      </c>
    </row>
    <row r="270">
      <c r="A270" s="3">
        <f>IFERROR(__xludf.DUMMYFUNCTION("""COMPUTED_VALUE"""),45320.66666666667)</f>
        <v>45320.66667</v>
      </c>
      <c r="B270" s="2">
        <f>IFERROR(__xludf.DUMMYFUNCTION("""COMPUTED_VALUE"""),61.23)</f>
        <v>61.23</v>
      </c>
      <c r="C270" s="2">
        <f>IFERROR(__xludf.DUMMYFUNCTION("""COMPUTED_VALUE"""),62.49)</f>
        <v>62.49</v>
      </c>
      <c r="D270" s="2">
        <f>IFERROR(__xludf.DUMMYFUNCTION("""COMPUTED_VALUE"""),60.91)</f>
        <v>60.91</v>
      </c>
      <c r="E270" s="2">
        <f>IFERROR(__xludf.DUMMYFUNCTION("""COMPUTED_VALUE"""),62.47)</f>
        <v>62.47</v>
      </c>
      <c r="F270" s="2">
        <f>IFERROR(__xludf.DUMMYFUNCTION("""COMPUTED_VALUE"""),3.4873298E7)</f>
        <v>34873298</v>
      </c>
    </row>
    <row r="271">
      <c r="A271" s="3">
        <f>IFERROR(__xludf.DUMMYFUNCTION("""COMPUTED_VALUE"""),45321.66666666667)</f>
        <v>45321.66667</v>
      </c>
      <c r="B271" s="2">
        <f>IFERROR(__xludf.DUMMYFUNCTION("""COMPUTED_VALUE"""),62.9)</f>
        <v>62.9</v>
      </c>
      <c r="C271" s="2">
        <f>IFERROR(__xludf.DUMMYFUNCTION("""COMPUTED_VALUE"""),63.49)</f>
        <v>63.49</v>
      </c>
      <c r="D271" s="2">
        <f>IFERROR(__xludf.DUMMYFUNCTION("""COMPUTED_VALUE"""),62.26)</f>
        <v>62.26</v>
      </c>
      <c r="E271" s="2">
        <f>IFERROR(__xludf.DUMMYFUNCTION("""COMPUTED_VALUE"""),62.77)</f>
        <v>62.77</v>
      </c>
      <c r="F271" s="2">
        <f>IFERROR(__xludf.DUMMYFUNCTION("""COMPUTED_VALUE"""),4.107353E7)</f>
        <v>41073530</v>
      </c>
    </row>
    <row r="272">
      <c r="A272" s="3">
        <f>IFERROR(__xludf.DUMMYFUNCTION("""COMPUTED_VALUE"""),45322.66666666667)</f>
        <v>45322.66667</v>
      </c>
      <c r="B272" s="2">
        <f>IFERROR(__xludf.DUMMYFUNCTION("""COMPUTED_VALUE"""),61.44)</f>
        <v>61.44</v>
      </c>
      <c r="C272" s="2">
        <f>IFERROR(__xludf.DUMMYFUNCTION("""COMPUTED_VALUE"""),62.27)</f>
        <v>62.27</v>
      </c>
      <c r="D272" s="2">
        <f>IFERROR(__xludf.DUMMYFUNCTION("""COMPUTED_VALUE"""),60.7)</f>
        <v>60.7</v>
      </c>
      <c r="E272" s="2">
        <f>IFERROR(__xludf.DUMMYFUNCTION("""COMPUTED_VALUE"""),61.53)</f>
        <v>61.53</v>
      </c>
      <c r="F272" s="2">
        <f>IFERROR(__xludf.DUMMYFUNCTION("""COMPUTED_VALUE"""),4.5379487E7)</f>
        <v>45379487</v>
      </c>
    </row>
    <row r="273">
      <c r="A273" s="3">
        <f>IFERROR(__xludf.DUMMYFUNCTION("""COMPUTED_VALUE"""),45323.66666666667)</f>
        <v>45323.66667</v>
      </c>
      <c r="B273" s="2">
        <f>IFERROR(__xludf.DUMMYFUNCTION("""COMPUTED_VALUE"""),62.1)</f>
        <v>62.1</v>
      </c>
      <c r="C273" s="2">
        <f>IFERROR(__xludf.DUMMYFUNCTION("""COMPUTED_VALUE"""),63.19)</f>
        <v>63.19</v>
      </c>
      <c r="D273" s="2">
        <f>IFERROR(__xludf.DUMMYFUNCTION("""COMPUTED_VALUE"""),61.65)</f>
        <v>61.65</v>
      </c>
      <c r="E273" s="2">
        <f>IFERROR(__xludf.DUMMYFUNCTION("""COMPUTED_VALUE"""),63.03)</f>
        <v>63.03</v>
      </c>
      <c r="F273" s="2">
        <f>IFERROR(__xludf.DUMMYFUNCTION("""COMPUTED_VALUE"""),3.6914579E7)</f>
        <v>36914579</v>
      </c>
    </row>
    <row r="274">
      <c r="A274" s="3">
        <f>IFERROR(__xludf.DUMMYFUNCTION("""COMPUTED_VALUE"""),45324.66666666667)</f>
        <v>45324.66667</v>
      </c>
      <c r="B274" s="2">
        <f>IFERROR(__xludf.DUMMYFUNCTION("""COMPUTED_VALUE"""),63.97)</f>
        <v>63.97</v>
      </c>
      <c r="C274" s="2">
        <f>IFERROR(__xludf.DUMMYFUNCTION("""COMPUTED_VALUE"""),66.6)</f>
        <v>66.6</v>
      </c>
      <c r="D274" s="2">
        <f>IFERROR(__xludf.DUMMYFUNCTION("""COMPUTED_VALUE"""),63.69)</f>
        <v>63.69</v>
      </c>
      <c r="E274" s="2">
        <f>IFERROR(__xludf.DUMMYFUNCTION("""COMPUTED_VALUE"""),66.16)</f>
        <v>66.16</v>
      </c>
      <c r="F274" s="2">
        <f>IFERROR(__xludf.DUMMYFUNCTION("""COMPUTED_VALUE"""),4.7657765E7)</f>
        <v>47657765</v>
      </c>
    </row>
    <row r="275">
      <c r="A275" s="3">
        <f>IFERROR(__xludf.DUMMYFUNCTION("""COMPUTED_VALUE"""),45327.66666666667)</f>
        <v>45327.66667</v>
      </c>
      <c r="B275" s="2">
        <f>IFERROR(__xludf.DUMMYFUNCTION("""COMPUTED_VALUE"""),68.22)</f>
        <v>68.22</v>
      </c>
      <c r="C275" s="2">
        <f>IFERROR(__xludf.DUMMYFUNCTION("""COMPUTED_VALUE"""),69.5)</f>
        <v>69.5</v>
      </c>
      <c r="D275" s="2">
        <f>IFERROR(__xludf.DUMMYFUNCTION("""COMPUTED_VALUE"""),67.21)</f>
        <v>67.21</v>
      </c>
      <c r="E275" s="2">
        <f>IFERROR(__xludf.DUMMYFUNCTION("""COMPUTED_VALUE"""),69.33)</f>
        <v>69.33</v>
      </c>
      <c r="F275" s="2">
        <f>IFERROR(__xludf.DUMMYFUNCTION("""COMPUTED_VALUE"""),6.8007801E7)</f>
        <v>68007801</v>
      </c>
    </row>
    <row r="276">
      <c r="A276" s="3">
        <f>IFERROR(__xludf.DUMMYFUNCTION("""COMPUTED_VALUE"""),45328.66666666667)</f>
        <v>45328.66667</v>
      </c>
      <c r="B276" s="2">
        <f>IFERROR(__xludf.DUMMYFUNCTION("""COMPUTED_VALUE"""),69.63)</f>
        <v>69.63</v>
      </c>
      <c r="C276" s="2">
        <f>IFERROR(__xludf.DUMMYFUNCTION("""COMPUTED_VALUE"""),69.75)</f>
        <v>69.75</v>
      </c>
      <c r="D276" s="2">
        <f>IFERROR(__xludf.DUMMYFUNCTION("""COMPUTED_VALUE"""),66.3)</f>
        <v>66.3</v>
      </c>
      <c r="E276" s="2">
        <f>IFERROR(__xludf.DUMMYFUNCTION("""COMPUTED_VALUE"""),68.22)</f>
        <v>68.22</v>
      </c>
      <c r="F276" s="2">
        <f>IFERROR(__xludf.DUMMYFUNCTION("""COMPUTED_VALUE"""),6.8311136E7)</f>
        <v>68311136</v>
      </c>
    </row>
    <row r="277">
      <c r="A277" s="3">
        <f>IFERROR(__xludf.DUMMYFUNCTION("""COMPUTED_VALUE"""),45329.66666666667)</f>
        <v>45329.66667</v>
      </c>
      <c r="B277" s="2">
        <f>IFERROR(__xludf.DUMMYFUNCTION("""COMPUTED_VALUE"""),68.32)</f>
        <v>68.32</v>
      </c>
      <c r="C277" s="2">
        <f>IFERROR(__xludf.DUMMYFUNCTION("""COMPUTED_VALUE"""),70.22)</f>
        <v>70.22</v>
      </c>
      <c r="D277" s="2">
        <f>IFERROR(__xludf.DUMMYFUNCTION("""COMPUTED_VALUE"""),67.6)</f>
        <v>67.6</v>
      </c>
      <c r="E277" s="2">
        <f>IFERROR(__xludf.DUMMYFUNCTION("""COMPUTED_VALUE"""),70.1)</f>
        <v>70.1</v>
      </c>
      <c r="F277" s="2">
        <f>IFERROR(__xludf.DUMMYFUNCTION("""COMPUTED_VALUE"""),4.9557455E7)</f>
        <v>49557455</v>
      </c>
    </row>
    <row r="278">
      <c r="A278" s="3">
        <f>IFERROR(__xludf.DUMMYFUNCTION("""COMPUTED_VALUE"""),45330.66666666667)</f>
        <v>45330.66667</v>
      </c>
      <c r="B278" s="2">
        <f>IFERROR(__xludf.DUMMYFUNCTION("""COMPUTED_VALUE"""),70.07)</f>
        <v>70.07</v>
      </c>
      <c r="C278" s="2">
        <f>IFERROR(__xludf.DUMMYFUNCTION("""COMPUTED_VALUE"""),70.79)</f>
        <v>70.79</v>
      </c>
      <c r="D278" s="2">
        <f>IFERROR(__xludf.DUMMYFUNCTION("""COMPUTED_VALUE"""),69.46)</f>
        <v>69.46</v>
      </c>
      <c r="E278" s="2">
        <f>IFERROR(__xludf.DUMMYFUNCTION("""COMPUTED_VALUE"""),69.64)</f>
        <v>69.64</v>
      </c>
      <c r="F278" s="2">
        <f>IFERROR(__xludf.DUMMYFUNCTION("""COMPUTED_VALUE"""),4.1442211E7)</f>
        <v>41442211</v>
      </c>
    </row>
    <row r="279">
      <c r="A279" s="3">
        <f>IFERROR(__xludf.DUMMYFUNCTION("""COMPUTED_VALUE"""),45331.66666666667)</f>
        <v>45331.66667</v>
      </c>
      <c r="B279" s="2">
        <f>IFERROR(__xludf.DUMMYFUNCTION("""COMPUTED_VALUE"""),70.53)</f>
        <v>70.53</v>
      </c>
      <c r="C279" s="2">
        <f>IFERROR(__xludf.DUMMYFUNCTION("""COMPUTED_VALUE"""),72.19)</f>
        <v>72.19</v>
      </c>
      <c r="D279" s="2">
        <f>IFERROR(__xludf.DUMMYFUNCTION("""COMPUTED_VALUE"""),70.21)</f>
        <v>70.21</v>
      </c>
      <c r="E279" s="2">
        <f>IFERROR(__xludf.DUMMYFUNCTION("""COMPUTED_VALUE"""),72.13)</f>
        <v>72.13</v>
      </c>
      <c r="F279" s="2">
        <f>IFERROR(__xludf.DUMMYFUNCTION("""COMPUTED_VALUE"""),4.3663689E7)</f>
        <v>43663689</v>
      </c>
    </row>
    <row r="280">
      <c r="A280" s="3">
        <f>IFERROR(__xludf.DUMMYFUNCTION("""COMPUTED_VALUE"""),45334.66666666667)</f>
        <v>45334.66667</v>
      </c>
      <c r="B280" s="2">
        <f>IFERROR(__xludf.DUMMYFUNCTION("""COMPUTED_VALUE"""),72.6)</f>
        <v>72.6</v>
      </c>
      <c r="C280" s="2">
        <f>IFERROR(__xludf.DUMMYFUNCTION("""COMPUTED_VALUE"""),74.61)</f>
        <v>74.61</v>
      </c>
      <c r="D280" s="2">
        <f>IFERROR(__xludf.DUMMYFUNCTION("""COMPUTED_VALUE"""),71.25)</f>
        <v>71.25</v>
      </c>
      <c r="E280" s="2">
        <f>IFERROR(__xludf.DUMMYFUNCTION("""COMPUTED_VALUE"""),72.25)</f>
        <v>72.25</v>
      </c>
      <c r="F280" s="2">
        <f>IFERROR(__xludf.DUMMYFUNCTION("""COMPUTED_VALUE"""),6.1371018E7)</f>
        <v>61371018</v>
      </c>
    </row>
    <row r="281">
      <c r="A281" s="3">
        <f>IFERROR(__xludf.DUMMYFUNCTION("""COMPUTED_VALUE"""),45335.66666666667)</f>
        <v>45335.66667</v>
      </c>
      <c r="B281" s="2">
        <f>IFERROR(__xludf.DUMMYFUNCTION("""COMPUTED_VALUE"""),70.4)</f>
        <v>70.4</v>
      </c>
      <c r="C281" s="2">
        <f>IFERROR(__xludf.DUMMYFUNCTION("""COMPUTED_VALUE"""),73.45)</f>
        <v>73.45</v>
      </c>
      <c r="D281" s="2">
        <f>IFERROR(__xludf.DUMMYFUNCTION("""COMPUTED_VALUE"""),69.62)</f>
        <v>69.62</v>
      </c>
      <c r="E281" s="2">
        <f>IFERROR(__xludf.DUMMYFUNCTION("""COMPUTED_VALUE"""),72.13)</f>
        <v>72.13</v>
      </c>
      <c r="F281" s="2">
        <f>IFERROR(__xludf.DUMMYFUNCTION("""COMPUTED_VALUE"""),6.0258015E7)</f>
        <v>60258015</v>
      </c>
    </row>
    <row r="282">
      <c r="A282" s="3">
        <f>IFERROR(__xludf.DUMMYFUNCTION("""COMPUTED_VALUE"""),45336.66666666667)</f>
        <v>45336.66667</v>
      </c>
      <c r="B282" s="2">
        <f>IFERROR(__xludf.DUMMYFUNCTION("""COMPUTED_VALUE"""),73.2)</f>
        <v>73.2</v>
      </c>
      <c r="C282" s="2">
        <f>IFERROR(__xludf.DUMMYFUNCTION("""COMPUTED_VALUE"""),74.24)</f>
        <v>74.24</v>
      </c>
      <c r="D282" s="2">
        <f>IFERROR(__xludf.DUMMYFUNCTION("""COMPUTED_VALUE"""),71.94)</f>
        <v>71.94</v>
      </c>
      <c r="E282" s="2">
        <f>IFERROR(__xludf.DUMMYFUNCTION("""COMPUTED_VALUE"""),73.9)</f>
        <v>73.9</v>
      </c>
      <c r="F282" s="2">
        <f>IFERROR(__xludf.DUMMYFUNCTION("""COMPUTED_VALUE"""),5.0491742E7)</f>
        <v>50491742</v>
      </c>
    </row>
    <row r="283">
      <c r="A283" s="3">
        <f>IFERROR(__xludf.DUMMYFUNCTION("""COMPUTED_VALUE"""),45337.66666666667)</f>
        <v>45337.66667</v>
      </c>
      <c r="B283" s="2">
        <f>IFERROR(__xludf.DUMMYFUNCTION("""COMPUTED_VALUE"""),73.87)</f>
        <v>73.87</v>
      </c>
      <c r="C283" s="2">
        <f>IFERROR(__xludf.DUMMYFUNCTION("""COMPUTED_VALUE"""),73.97)</f>
        <v>73.97</v>
      </c>
      <c r="D283" s="2">
        <f>IFERROR(__xludf.DUMMYFUNCTION("""COMPUTED_VALUE"""),72.4)</f>
        <v>72.4</v>
      </c>
      <c r="E283" s="2">
        <f>IFERROR(__xludf.DUMMYFUNCTION("""COMPUTED_VALUE"""),72.66)</f>
        <v>72.66</v>
      </c>
      <c r="F283" s="2">
        <f>IFERROR(__xludf.DUMMYFUNCTION("""COMPUTED_VALUE"""),4.2012181E7)</f>
        <v>42012181</v>
      </c>
    </row>
    <row r="284">
      <c r="A284" s="3">
        <f>IFERROR(__xludf.DUMMYFUNCTION("""COMPUTED_VALUE"""),45338.66666666667)</f>
        <v>45338.66667</v>
      </c>
      <c r="B284" s="2">
        <f>IFERROR(__xludf.DUMMYFUNCTION("""COMPUTED_VALUE"""),74.1)</f>
        <v>74.1</v>
      </c>
      <c r="C284" s="2">
        <f>IFERROR(__xludf.DUMMYFUNCTION("""COMPUTED_VALUE"""),74.4)</f>
        <v>74.4</v>
      </c>
      <c r="D284" s="2">
        <f>IFERROR(__xludf.DUMMYFUNCTION("""COMPUTED_VALUE"""),72.5)</f>
        <v>72.5</v>
      </c>
      <c r="E284" s="2">
        <f>IFERROR(__xludf.DUMMYFUNCTION("""COMPUTED_VALUE"""),72.61)</f>
        <v>72.61</v>
      </c>
      <c r="F284" s="2">
        <f>IFERROR(__xludf.DUMMYFUNCTION("""COMPUTED_VALUE"""),4.9532662E7)</f>
        <v>49532662</v>
      </c>
    </row>
    <row r="285">
      <c r="A285" s="3">
        <f>IFERROR(__xludf.DUMMYFUNCTION("""COMPUTED_VALUE"""),45342.66666666667)</f>
        <v>45342.66667</v>
      </c>
      <c r="B285" s="2">
        <f>IFERROR(__xludf.DUMMYFUNCTION("""COMPUTED_VALUE"""),71.95)</f>
        <v>71.95</v>
      </c>
      <c r="C285" s="2">
        <f>IFERROR(__xludf.DUMMYFUNCTION("""COMPUTED_VALUE"""),71.96)</f>
        <v>71.96</v>
      </c>
      <c r="D285" s="2">
        <f>IFERROR(__xludf.DUMMYFUNCTION("""COMPUTED_VALUE"""),67.73)</f>
        <v>67.73</v>
      </c>
      <c r="E285" s="2">
        <f>IFERROR(__xludf.DUMMYFUNCTION("""COMPUTED_VALUE"""),69.45)</f>
        <v>69.45</v>
      </c>
      <c r="F285" s="2">
        <f>IFERROR(__xludf.DUMMYFUNCTION("""COMPUTED_VALUE"""),7.048331E7)</f>
        <v>70483310</v>
      </c>
    </row>
    <row r="286">
      <c r="A286" s="3">
        <f>IFERROR(__xludf.DUMMYFUNCTION("""COMPUTED_VALUE"""),45343.66666666667)</f>
        <v>45343.66667</v>
      </c>
      <c r="B286" s="2">
        <f>IFERROR(__xludf.DUMMYFUNCTION("""COMPUTED_VALUE"""),68.01)</f>
        <v>68.01</v>
      </c>
      <c r="C286" s="2">
        <f>IFERROR(__xludf.DUMMYFUNCTION("""COMPUTED_VALUE"""),68.89)</f>
        <v>68.89</v>
      </c>
      <c r="D286" s="2">
        <f>IFERROR(__xludf.DUMMYFUNCTION("""COMPUTED_VALUE"""),66.25)</f>
        <v>66.25</v>
      </c>
      <c r="E286" s="2">
        <f>IFERROR(__xludf.DUMMYFUNCTION("""COMPUTED_VALUE"""),67.47)</f>
        <v>67.47</v>
      </c>
      <c r="F286" s="2">
        <f>IFERROR(__xludf.DUMMYFUNCTION("""COMPUTED_VALUE"""),6.9029813E7)</f>
        <v>69029813</v>
      </c>
    </row>
    <row r="287">
      <c r="A287" s="3">
        <f>IFERROR(__xludf.DUMMYFUNCTION("""COMPUTED_VALUE"""),45344.66666666667)</f>
        <v>45344.66667</v>
      </c>
      <c r="B287" s="2">
        <f>IFERROR(__xludf.DUMMYFUNCTION("""COMPUTED_VALUE"""),75.03)</f>
        <v>75.03</v>
      </c>
      <c r="C287" s="2">
        <f>IFERROR(__xludf.DUMMYFUNCTION("""COMPUTED_VALUE"""),78.58)</f>
        <v>78.58</v>
      </c>
      <c r="D287" s="2">
        <f>IFERROR(__xludf.DUMMYFUNCTION("""COMPUTED_VALUE"""),74.22)</f>
        <v>74.22</v>
      </c>
      <c r="E287" s="2">
        <f>IFERROR(__xludf.DUMMYFUNCTION("""COMPUTED_VALUE"""),78.54)</f>
        <v>78.54</v>
      </c>
      <c r="F287" s="2">
        <f>IFERROR(__xludf.DUMMYFUNCTION("""COMPUTED_VALUE"""),8.6509974E7)</f>
        <v>86509974</v>
      </c>
    </row>
    <row r="288">
      <c r="A288" s="3">
        <f>IFERROR(__xludf.DUMMYFUNCTION("""COMPUTED_VALUE"""),45345.66666666667)</f>
        <v>45345.66667</v>
      </c>
      <c r="B288" s="2">
        <f>IFERROR(__xludf.DUMMYFUNCTION("""COMPUTED_VALUE"""),80.79)</f>
        <v>80.79</v>
      </c>
      <c r="C288" s="2">
        <f>IFERROR(__xludf.DUMMYFUNCTION("""COMPUTED_VALUE"""),82.39)</f>
        <v>82.39</v>
      </c>
      <c r="D288" s="2">
        <f>IFERROR(__xludf.DUMMYFUNCTION("""COMPUTED_VALUE"""),77.57)</f>
        <v>77.57</v>
      </c>
      <c r="E288" s="2">
        <f>IFERROR(__xludf.DUMMYFUNCTION("""COMPUTED_VALUE"""),78.82)</f>
        <v>78.82</v>
      </c>
      <c r="F288" s="2">
        <f>IFERROR(__xludf.DUMMYFUNCTION("""COMPUTED_VALUE"""),8.2938837E7)</f>
        <v>82938837</v>
      </c>
    </row>
    <row r="289">
      <c r="A289" s="3">
        <f>IFERROR(__xludf.DUMMYFUNCTION("""COMPUTED_VALUE"""),45348.66666666667)</f>
        <v>45348.66667</v>
      </c>
      <c r="B289" s="2">
        <f>IFERROR(__xludf.DUMMYFUNCTION("""COMPUTED_VALUE"""),79.7)</f>
        <v>79.7</v>
      </c>
      <c r="C289" s="2">
        <f>IFERROR(__xludf.DUMMYFUNCTION("""COMPUTED_VALUE"""),80.65)</f>
        <v>80.65</v>
      </c>
      <c r="D289" s="2">
        <f>IFERROR(__xludf.DUMMYFUNCTION("""COMPUTED_VALUE"""),78.51)</f>
        <v>78.51</v>
      </c>
      <c r="E289" s="2">
        <f>IFERROR(__xludf.DUMMYFUNCTION("""COMPUTED_VALUE"""),79.09)</f>
        <v>79.09</v>
      </c>
      <c r="F289" s="2">
        <f>IFERROR(__xludf.DUMMYFUNCTION("""COMPUTED_VALUE"""),5.0397273E7)</f>
        <v>50397273</v>
      </c>
    </row>
    <row r="290">
      <c r="A290" s="3">
        <f>IFERROR(__xludf.DUMMYFUNCTION("""COMPUTED_VALUE"""),45349.66666666667)</f>
        <v>45349.66667</v>
      </c>
      <c r="B290" s="2">
        <f>IFERROR(__xludf.DUMMYFUNCTION("""COMPUTED_VALUE"""),79.38)</f>
        <v>79.38</v>
      </c>
      <c r="C290" s="2">
        <f>IFERROR(__xludf.DUMMYFUNCTION("""COMPUTED_VALUE"""),79.48)</f>
        <v>79.48</v>
      </c>
      <c r="D290" s="2">
        <f>IFERROR(__xludf.DUMMYFUNCTION("""COMPUTED_VALUE"""),77.16)</f>
        <v>77.16</v>
      </c>
      <c r="E290" s="2">
        <f>IFERROR(__xludf.DUMMYFUNCTION("""COMPUTED_VALUE"""),78.7)</f>
        <v>78.7</v>
      </c>
      <c r="F290" s="2">
        <f>IFERROR(__xludf.DUMMYFUNCTION("""COMPUTED_VALUE"""),3.9170524E7)</f>
        <v>39170524</v>
      </c>
    </row>
    <row r="291">
      <c r="A291" s="3">
        <f>IFERROR(__xludf.DUMMYFUNCTION("""COMPUTED_VALUE"""),45350.66666666667)</f>
        <v>45350.66667</v>
      </c>
      <c r="B291" s="2">
        <f>IFERROR(__xludf.DUMMYFUNCTION("""COMPUTED_VALUE"""),77.62)</f>
        <v>77.62</v>
      </c>
      <c r="C291" s="2">
        <f>IFERROR(__xludf.DUMMYFUNCTION("""COMPUTED_VALUE"""),78.93)</f>
        <v>78.93</v>
      </c>
      <c r="D291" s="2">
        <f>IFERROR(__xludf.DUMMYFUNCTION("""COMPUTED_VALUE"""),77.13)</f>
        <v>77.13</v>
      </c>
      <c r="E291" s="2">
        <f>IFERROR(__xludf.DUMMYFUNCTION("""COMPUTED_VALUE"""),77.66)</f>
        <v>77.66</v>
      </c>
      <c r="F291" s="2">
        <f>IFERROR(__xludf.DUMMYFUNCTION("""COMPUTED_VALUE"""),3.931104E7)</f>
        <v>39311040</v>
      </c>
    </row>
    <row r="292">
      <c r="A292" s="3">
        <f>IFERROR(__xludf.DUMMYFUNCTION("""COMPUTED_VALUE"""),45351.66666666667)</f>
        <v>45351.66667</v>
      </c>
      <c r="B292" s="2">
        <f>IFERROR(__xludf.DUMMYFUNCTION("""COMPUTED_VALUE"""),79.09)</f>
        <v>79.09</v>
      </c>
      <c r="C292" s="2">
        <f>IFERROR(__xludf.DUMMYFUNCTION("""COMPUTED_VALUE"""),79.99)</f>
        <v>79.99</v>
      </c>
      <c r="D292" s="2">
        <f>IFERROR(__xludf.DUMMYFUNCTION("""COMPUTED_VALUE"""),78.35)</f>
        <v>78.35</v>
      </c>
      <c r="E292" s="2">
        <f>IFERROR(__xludf.DUMMYFUNCTION("""COMPUTED_VALUE"""),79.11)</f>
        <v>79.11</v>
      </c>
      <c r="F292" s="2">
        <f>IFERROR(__xludf.DUMMYFUNCTION("""COMPUTED_VALUE"""),5.0728898E7)</f>
        <v>50728898</v>
      </c>
    </row>
    <row r="293">
      <c r="A293" s="3">
        <f>IFERROR(__xludf.DUMMYFUNCTION("""COMPUTED_VALUE"""),45352.66666666667)</f>
        <v>45352.66667</v>
      </c>
      <c r="B293" s="2">
        <f>IFERROR(__xludf.DUMMYFUNCTION("""COMPUTED_VALUE"""),80.0)</f>
        <v>80</v>
      </c>
      <c r="C293" s="2">
        <f>IFERROR(__xludf.DUMMYFUNCTION("""COMPUTED_VALUE"""),82.3)</f>
        <v>82.3</v>
      </c>
      <c r="D293" s="2">
        <f>IFERROR(__xludf.DUMMYFUNCTION("""COMPUTED_VALUE"""),79.44)</f>
        <v>79.44</v>
      </c>
      <c r="E293" s="2">
        <f>IFERROR(__xludf.DUMMYFUNCTION("""COMPUTED_VALUE"""),82.28)</f>
        <v>82.28</v>
      </c>
      <c r="F293" s="2">
        <f>IFERROR(__xludf.DUMMYFUNCTION("""COMPUTED_VALUE"""),4.791351E7)</f>
        <v>47913510</v>
      </c>
    </row>
    <row r="294">
      <c r="A294" s="3">
        <f>IFERROR(__xludf.DUMMYFUNCTION("""COMPUTED_VALUE"""),45355.66666666667)</f>
        <v>45355.66667</v>
      </c>
      <c r="B294" s="2">
        <f>IFERROR(__xludf.DUMMYFUNCTION("""COMPUTED_VALUE"""),84.13)</f>
        <v>84.13</v>
      </c>
      <c r="C294" s="2">
        <f>IFERROR(__xludf.DUMMYFUNCTION("""COMPUTED_VALUE"""),87.7)</f>
        <v>87.7</v>
      </c>
      <c r="D294" s="2">
        <f>IFERROR(__xludf.DUMMYFUNCTION("""COMPUTED_VALUE"""),83.72)</f>
        <v>83.72</v>
      </c>
      <c r="E294" s="2">
        <f>IFERROR(__xludf.DUMMYFUNCTION("""COMPUTED_VALUE"""),85.24)</f>
        <v>85.24</v>
      </c>
      <c r="F294" s="2">
        <f>IFERROR(__xludf.DUMMYFUNCTION("""COMPUTED_VALUE"""),6.1561645E7)</f>
        <v>61561645</v>
      </c>
    </row>
    <row r="295">
      <c r="A295" s="3">
        <f>IFERROR(__xludf.DUMMYFUNCTION("""COMPUTED_VALUE"""),45356.66666666667)</f>
        <v>45356.66667</v>
      </c>
      <c r="B295" s="2">
        <f>IFERROR(__xludf.DUMMYFUNCTION("""COMPUTED_VALUE"""),85.27)</f>
        <v>85.27</v>
      </c>
      <c r="C295" s="2">
        <f>IFERROR(__xludf.DUMMYFUNCTION("""COMPUTED_VALUE"""),86.1)</f>
        <v>86.1</v>
      </c>
      <c r="D295" s="2">
        <f>IFERROR(__xludf.DUMMYFUNCTION("""COMPUTED_VALUE"""),83.42)</f>
        <v>83.42</v>
      </c>
      <c r="E295" s="2">
        <f>IFERROR(__xludf.DUMMYFUNCTION("""COMPUTED_VALUE"""),85.96)</f>
        <v>85.96</v>
      </c>
      <c r="F295" s="2">
        <f>IFERROR(__xludf.DUMMYFUNCTION("""COMPUTED_VALUE"""),5.206393E7)</f>
        <v>52063930</v>
      </c>
    </row>
    <row r="296">
      <c r="A296" s="3">
        <f>IFERROR(__xludf.DUMMYFUNCTION("""COMPUTED_VALUE"""),45357.66666666667)</f>
        <v>45357.66667</v>
      </c>
      <c r="B296" s="2">
        <f>IFERROR(__xludf.DUMMYFUNCTION("""COMPUTED_VALUE"""),88.02)</f>
        <v>88.02</v>
      </c>
      <c r="C296" s="2">
        <f>IFERROR(__xludf.DUMMYFUNCTION("""COMPUTED_VALUE"""),89.72)</f>
        <v>89.72</v>
      </c>
      <c r="D296" s="2">
        <f>IFERROR(__xludf.DUMMYFUNCTION("""COMPUTED_VALUE"""),87.03)</f>
        <v>87.03</v>
      </c>
      <c r="E296" s="2">
        <f>IFERROR(__xludf.DUMMYFUNCTION("""COMPUTED_VALUE"""),88.7)</f>
        <v>88.7</v>
      </c>
      <c r="F296" s="2">
        <f>IFERROR(__xludf.DUMMYFUNCTION("""COMPUTED_VALUE"""),5.825203E7)</f>
        <v>58252030</v>
      </c>
    </row>
    <row r="297">
      <c r="A297" s="3">
        <f>IFERROR(__xludf.DUMMYFUNCTION("""COMPUTED_VALUE"""),45358.66666666667)</f>
        <v>45358.66667</v>
      </c>
      <c r="B297" s="2">
        <f>IFERROR(__xludf.DUMMYFUNCTION("""COMPUTED_VALUE"""),90.16)</f>
        <v>90.16</v>
      </c>
      <c r="C297" s="2">
        <f>IFERROR(__xludf.DUMMYFUNCTION("""COMPUTED_VALUE"""),92.77)</f>
        <v>92.77</v>
      </c>
      <c r="D297" s="2">
        <f>IFERROR(__xludf.DUMMYFUNCTION("""COMPUTED_VALUE"""),89.6)</f>
        <v>89.6</v>
      </c>
      <c r="E297" s="2">
        <f>IFERROR(__xludf.DUMMYFUNCTION("""COMPUTED_VALUE"""),92.67)</f>
        <v>92.67</v>
      </c>
      <c r="F297" s="2">
        <f>IFERROR(__xludf.DUMMYFUNCTION("""COMPUTED_VALUE"""),6.0811916E7)</f>
        <v>60811916</v>
      </c>
    </row>
    <row r="298">
      <c r="A298" s="3">
        <f>IFERROR(__xludf.DUMMYFUNCTION("""COMPUTED_VALUE"""),45359.66666666667)</f>
        <v>45359.66667</v>
      </c>
      <c r="B298" s="2">
        <f>IFERROR(__xludf.DUMMYFUNCTION("""COMPUTED_VALUE"""),95.14)</f>
        <v>95.14</v>
      </c>
      <c r="C298" s="2">
        <f>IFERROR(__xludf.DUMMYFUNCTION("""COMPUTED_VALUE"""),97.4)</f>
        <v>97.4</v>
      </c>
      <c r="D298" s="2">
        <f>IFERROR(__xludf.DUMMYFUNCTION("""COMPUTED_VALUE"""),86.51)</f>
        <v>86.51</v>
      </c>
      <c r="E298" s="2">
        <f>IFERROR(__xludf.DUMMYFUNCTION("""COMPUTED_VALUE"""),87.53)</f>
        <v>87.53</v>
      </c>
      <c r="F298" s="2">
        <f>IFERROR(__xludf.DUMMYFUNCTION("""COMPUTED_VALUE"""),1.14226906E8)</f>
        <v>114226906</v>
      </c>
    </row>
    <row r="299">
      <c r="A299" s="3">
        <f>IFERROR(__xludf.DUMMYFUNCTION("""COMPUTED_VALUE"""),45362.66666666667)</f>
        <v>45362.66667</v>
      </c>
      <c r="B299" s="2">
        <f>IFERROR(__xludf.DUMMYFUNCTION("""COMPUTED_VALUE"""),86.43)</f>
        <v>86.43</v>
      </c>
      <c r="C299" s="2">
        <f>IFERROR(__xludf.DUMMYFUNCTION("""COMPUTED_VALUE"""),88.8)</f>
        <v>88.8</v>
      </c>
      <c r="D299" s="2">
        <f>IFERROR(__xludf.DUMMYFUNCTION("""COMPUTED_VALUE"""),84.17)</f>
        <v>84.17</v>
      </c>
      <c r="E299" s="2">
        <f>IFERROR(__xludf.DUMMYFUNCTION("""COMPUTED_VALUE"""),85.77)</f>
        <v>85.77</v>
      </c>
      <c r="F299" s="2">
        <f>IFERROR(__xludf.DUMMYFUNCTION("""COMPUTED_VALUE"""),6.7836412E7)</f>
        <v>67836412</v>
      </c>
    </row>
    <row r="300">
      <c r="A300" s="3">
        <f>IFERROR(__xludf.DUMMYFUNCTION("""COMPUTED_VALUE"""),45363.66666666667)</f>
        <v>45363.66667</v>
      </c>
      <c r="B300" s="2">
        <f>IFERROR(__xludf.DUMMYFUNCTION("""COMPUTED_VALUE"""),88.05)</f>
        <v>88.05</v>
      </c>
      <c r="C300" s="2">
        <f>IFERROR(__xludf.DUMMYFUNCTION("""COMPUTED_VALUE"""),91.96)</f>
        <v>91.96</v>
      </c>
      <c r="D300" s="2">
        <f>IFERROR(__xludf.DUMMYFUNCTION("""COMPUTED_VALUE"""),86.15)</f>
        <v>86.15</v>
      </c>
      <c r="E300" s="2">
        <f>IFERROR(__xludf.DUMMYFUNCTION("""COMPUTED_VALUE"""),91.91)</f>
        <v>91.91</v>
      </c>
      <c r="F300" s="2">
        <f>IFERROR(__xludf.DUMMYFUNCTION("""COMPUTED_VALUE"""),6.6807515E7)</f>
        <v>66807515</v>
      </c>
    </row>
    <row r="301">
      <c r="A301" s="3">
        <f>IFERROR(__xludf.DUMMYFUNCTION("""COMPUTED_VALUE"""),45364.66666666667)</f>
        <v>45364.66667</v>
      </c>
      <c r="B301" s="2">
        <f>IFERROR(__xludf.DUMMYFUNCTION("""COMPUTED_VALUE"""),91.06)</f>
        <v>91.06</v>
      </c>
      <c r="C301" s="2">
        <f>IFERROR(__xludf.DUMMYFUNCTION("""COMPUTED_VALUE"""),91.5)</f>
        <v>91.5</v>
      </c>
      <c r="D301" s="2">
        <f>IFERROR(__xludf.DUMMYFUNCTION("""COMPUTED_VALUE"""),88.44)</f>
        <v>88.44</v>
      </c>
      <c r="E301" s="2">
        <f>IFERROR(__xludf.DUMMYFUNCTION("""COMPUTED_VALUE"""),90.89)</f>
        <v>90.89</v>
      </c>
      <c r="F301" s="2">
        <f>IFERROR(__xludf.DUMMYFUNCTION("""COMPUTED_VALUE"""),6.3571289E7)</f>
        <v>63571289</v>
      </c>
    </row>
    <row r="302">
      <c r="A302" s="3">
        <f>IFERROR(__xludf.DUMMYFUNCTION("""COMPUTED_VALUE"""),45365.66666666667)</f>
        <v>45365.66667</v>
      </c>
      <c r="B302" s="2">
        <f>IFERROR(__xludf.DUMMYFUNCTION("""COMPUTED_VALUE"""),89.58)</f>
        <v>89.58</v>
      </c>
      <c r="C302" s="2">
        <f>IFERROR(__xludf.DUMMYFUNCTION("""COMPUTED_VALUE"""),90.65)</f>
        <v>90.65</v>
      </c>
      <c r="D302" s="2">
        <f>IFERROR(__xludf.DUMMYFUNCTION("""COMPUTED_VALUE"""),86.6)</f>
        <v>86.6</v>
      </c>
      <c r="E302" s="2">
        <f>IFERROR(__xludf.DUMMYFUNCTION("""COMPUTED_VALUE"""),87.94)</f>
        <v>87.94</v>
      </c>
      <c r="F302" s="2">
        <f>IFERROR(__xludf.DUMMYFUNCTION("""COMPUTED_VALUE"""),6.0231816E7)</f>
        <v>60231816</v>
      </c>
    </row>
    <row r="303">
      <c r="A303" s="3">
        <f>IFERROR(__xludf.DUMMYFUNCTION("""COMPUTED_VALUE"""),45366.66666666667)</f>
        <v>45366.66667</v>
      </c>
      <c r="B303" s="2">
        <f>IFERROR(__xludf.DUMMYFUNCTION("""COMPUTED_VALUE"""),86.93)</f>
        <v>86.93</v>
      </c>
      <c r="C303" s="2">
        <f>IFERROR(__xludf.DUMMYFUNCTION("""COMPUTED_VALUE"""),89.55)</f>
        <v>89.55</v>
      </c>
      <c r="D303" s="2">
        <f>IFERROR(__xludf.DUMMYFUNCTION("""COMPUTED_VALUE"""),86.26)</f>
        <v>86.26</v>
      </c>
      <c r="E303" s="2">
        <f>IFERROR(__xludf.DUMMYFUNCTION("""COMPUTED_VALUE"""),87.84)</f>
        <v>87.84</v>
      </c>
      <c r="F303" s="2">
        <f>IFERROR(__xludf.DUMMYFUNCTION("""COMPUTED_VALUE"""),6.4208616E7)</f>
        <v>64208616</v>
      </c>
    </row>
    <row r="304">
      <c r="A304" s="3">
        <f>IFERROR(__xludf.DUMMYFUNCTION("""COMPUTED_VALUE"""),45369.66666666667)</f>
        <v>45369.66667</v>
      </c>
      <c r="B304" s="2">
        <f>IFERROR(__xludf.DUMMYFUNCTION("""COMPUTED_VALUE"""),90.39)</f>
        <v>90.39</v>
      </c>
      <c r="C304" s="2">
        <f>IFERROR(__xludf.DUMMYFUNCTION("""COMPUTED_VALUE"""),92.41)</f>
        <v>92.41</v>
      </c>
      <c r="D304" s="2">
        <f>IFERROR(__xludf.DUMMYFUNCTION("""COMPUTED_VALUE"""),87.09)</f>
        <v>87.09</v>
      </c>
      <c r="E304" s="2">
        <f>IFERROR(__xludf.DUMMYFUNCTION("""COMPUTED_VALUE"""),88.46)</f>
        <v>88.46</v>
      </c>
      <c r="F304" s="2">
        <f>IFERROR(__xludf.DUMMYFUNCTION("""COMPUTED_VALUE"""),6.6897593E7)</f>
        <v>66897593</v>
      </c>
    </row>
    <row r="305">
      <c r="A305" s="3">
        <f>IFERROR(__xludf.DUMMYFUNCTION("""COMPUTED_VALUE"""),45370.66666666667)</f>
        <v>45370.66667</v>
      </c>
      <c r="B305" s="2">
        <f>IFERROR(__xludf.DUMMYFUNCTION("""COMPUTED_VALUE"""),86.7)</f>
        <v>86.7</v>
      </c>
      <c r="C305" s="2">
        <f>IFERROR(__xludf.DUMMYFUNCTION("""COMPUTED_VALUE"""),90.54)</f>
        <v>90.54</v>
      </c>
      <c r="D305" s="2">
        <f>IFERROR(__xludf.DUMMYFUNCTION("""COMPUTED_VALUE"""),85.01)</f>
        <v>85.01</v>
      </c>
      <c r="E305" s="2">
        <f>IFERROR(__xludf.DUMMYFUNCTION("""COMPUTED_VALUE"""),89.4)</f>
        <v>89.4</v>
      </c>
      <c r="F305" s="2">
        <f>IFERROR(__xludf.DUMMYFUNCTION("""COMPUTED_VALUE"""),6.7217127E7)</f>
        <v>67217127</v>
      </c>
    </row>
    <row r="306">
      <c r="A306" s="3">
        <f>IFERROR(__xludf.DUMMYFUNCTION("""COMPUTED_VALUE"""),45371.66666666667)</f>
        <v>45371.66667</v>
      </c>
      <c r="B306" s="2">
        <f>IFERROR(__xludf.DUMMYFUNCTION("""COMPUTED_VALUE"""),89.8)</f>
        <v>89.8</v>
      </c>
      <c r="C306" s="2">
        <f>IFERROR(__xludf.DUMMYFUNCTION("""COMPUTED_VALUE"""),90.41)</f>
        <v>90.41</v>
      </c>
      <c r="D306" s="2">
        <f>IFERROR(__xludf.DUMMYFUNCTION("""COMPUTED_VALUE"""),88.22)</f>
        <v>88.22</v>
      </c>
      <c r="E306" s="2">
        <f>IFERROR(__xludf.DUMMYFUNCTION("""COMPUTED_VALUE"""),90.37)</f>
        <v>90.37</v>
      </c>
      <c r="F306" s="2">
        <f>IFERROR(__xludf.DUMMYFUNCTION("""COMPUTED_VALUE"""),4.7906279E7)</f>
        <v>47906279</v>
      </c>
    </row>
    <row r="307">
      <c r="A307" s="3">
        <f>IFERROR(__xludf.DUMMYFUNCTION("""COMPUTED_VALUE"""),45372.66666666667)</f>
        <v>45372.66667</v>
      </c>
      <c r="B307" s="2">
        <f>IFERROR(__xludf.DUMMYFUNCTION("""COMPUTED_VALUE"""),92.3)</f>
        <v>92.3</v>
      </c>
      <c r="C307" s="2">
        <f>IFERROR(__xludf.DUMMYFUNCTION("""COMPUTED_VALUE"""),92.65)</f>
        <v>92.65</v>
      </c>
      <c r="D307" s="2">
        <f>IFERROR(__xludf.DUMMYFUNCTION("""COMPUTED_VALUE"""),90.41)</f>
        <v>90.41</v>
      </c>
      <c r="E307" s="2">
        <f>IFERROR(__xludf.DUMMYFUNCTION("""COMPUTED_VALUE"""),91.44)</f>
        <v>91.44</v>
      </c>
      <c r="F307" s="2">
        <f>IFERROR(__xludf.DUMMYFUNCTION("""COMPUTED_VALUE"""),4.8037231E7)</f>
        <v>48037231</v>
      </c>
    </row>
    <row r="308">
      <c r="A308" s="3">
        <f>IFERROR(__xludf.DUMMYFUNCTION("""COMPUTED_VALUE"""),45373.66666666667)</f>
        <v>45373.66667</v>
      </c>
      <c r="B308" s="2">
        <f>IFERROR(__xludf.DUMMYFUNCTION("""COMPUTED_VALUE"""),91.14)</f>
        <v>91.14</v>
      </c>
      <c r="C308" s="2">
        <f>IFERROR(__xludf.DUMMYFUNCTION("""COMPUTED_VALUE"""),94.78)</f>
        <v>94.78</v>
      </c>
      <c r="D308" s="2">
        <f>IFERROR(__xludf.DUMMYFUNCTION("""COMPUTED_VALUE"""),90.83)</f>
        <v>90.83</v>
      </c>
      <c r="E308" s="2">
        <f>IFERROR(__xludf.DUMMYFUNCTION("""COMPUTED_VALUE"""),94.29)</f>
        <v>94.29</v>
      </c>
      <c r="F308" s="2">
        <f>IFERROR(__xludf.DUMMYFUNCTION("""COMPUTED_VALUE"""),5.8671936E7)</f>
        <v>58671936</v>
      </c>
    </row>
    <row r="309">
      <c r="A309" s="3">
        <f>IFERROR(__xludf.DUMMYFUNCTION("""COMPUTED_VALUE"""),45376.66666666667)</f>
        <v>45376.66667</v>
      </c>
      <c r="B309" s="2">
        <f>IFERROR(__xludf.DUMMYFUNCTION("""COMPUTED_VALUE"""),93.94)</f>
        <v>93.94</v>
      </c>
      <c r="C309" s="2">
        <f>IFERROR(__xludf.DUMMYFUNCTION("""COMPUTED_VALUE"""),96.77)</f>
        <v>96.77</v>
      </c>
      <c r="D309" s="2">
        <f>IFERROR(__xludf.DUMMYFUNCTION("""COMPUTED_VALUE"""),93.51)</f>
        <v>93.51</v>
      </c>
      <c r="E309" s="2">
        <f>IFERROR(__xludf.DUMMYFUNCTION("""COMPUTED_VALUE"""),95.0)</f>
        <v>95</v>
      </c>
      <c r="F309" s="2">
        <f>IFERROR(__xludf.DUMMYFUNCTION("""COMPUTED_VALUE"""),5.5213608E7)</f>
        <v>55213608</v>
      </c>
    </row>
    <row r="310">
      <c r="A310" s="3">
        <f>IFERROR(__xludf.DUMMYFUNCTION("""COMPUTED_VALUE"""),45377.66666666667)</f>
        <v>45377.66667</v>
      </c>
      <c r="B310" s="2">
        <f>IFERROR(__xludf.DUMMYFUNCTION("""COMPUTED_VALUE"""),95.85)</f>
        <v>95.85</v>
      </c>
      <c r="C310" s="2">
        <f>IFERROR(__xludf.DUMMYFUNCTION("""COMPUTED_VALUE"""),96.38)</f>
        <v>96.38</v>
      </c>
      <c r="D310" s="2">
        <f>IFERROR(__xludf.DUMMYFUNCTION("""COMPUTED_VALUE"""),92.5)</f>
        <v>92.5</v>
      </c>
      <c r="E310" s="2">
        <f>IFERROR(__xludf.DUMMYFUNCTION("""COMPUTED_VALUE"""),92.56)</f>
        <v>92.56</v>
      </c>
      <c r="F310" s="2">
        <f>IFERROR(__xludf.DUMMYFUNCTION("""COMPUTED_VALUE"""),5.1364758E7)</f>
        <v>51364758</v>
      </c>
    </row>
    <row r="311">
      <c r="A311" s="3">
        <f>IFERROR(__xludf.DUMMYFUNCTION("""COMPUTED_VALUE"""),45378.66666666667)</f>
        <v>45378.66667</v>
      </c>
      <c r="B311" s="2">
        <f>IFERROR(__xludf.DUMMYFUNCTION("""COMPUTED_VALUE"""),93.11)</f>
        <v>93.11</v>
      </c>
      <c r="C311" s="2">
        <f>IFERROR(__xludf.DUMMYFUNCTION("""COMPUTED_VALUE"""),93.24)</f>
        <v>93.24</v>
      </c>
      <c r="D311" s="2">
        <f>IFERROR(__xludf.DUMMYFUNCTION("""COMPUTED_VALUE"""),89.12)</f>
        <v>89.12</v>
      </c>
      <c r="E311" s="2">
        <f>IFERROR(__xludf.DUMMYFUNCTION("""COMPUTED_VALUE"""),90.25)</f>
        <v>90.25</v>
      </c>
      <c r="F311" s="2">
        <f>IFERROR(__xludf.DUMMYFUNCTION("""COMPUTED_VALUE"""),5.8606723E7)</f>
        <v>58606723</v>
      </c>
    </row>
    <row r="312">
      <c r="A312" s="3">
        <f>IFERROR(__xludf.DUMMYFUNCTION("""COMPUTED_VALUE"""),45379.66666666667)</f>
        <v>45379.66667</v>
      </c>
      <c r="B312" s="2">
        <f>IFERROR(__xludf.DUMMYFUNCTION("""COMPUTED_VALUE"""),90.0)</f>
        <v>90</v>
      </c>
      <c r="C312" s="2">
        <f>IFERROR(__xludf.DUMMYFUNCTION("""COMPUTED_VALUE"""),91.3)</f>
        <v>91.3</v>
      </c>
      <c r="D312" s="2">
        <f>IFERROR(__xludf.DUMMYFUNCTION("""COMPUTED_VALUE"""),89.19)</f>
        <v>89.19</v>
      </c>
      <c r="E312" s="2">
        <f>IFERROR(__xludf.DUMMYFUNCTION("""COMPUTED_VALUE"""),90.36)</f>
        <v>90.36</v>
      </c>
      <c r="F312" s="2">
        <f>IFERROR(__xludf.DUMMYFUNCTION("""COMPUTED_VALUE"""),4.3521227E7)</f>
        <v>43521227</v>
      </c>
    </row>
    <row r="313">
      <c r="A313" s="3">
        <f>IFERROR(__xludf.DUMMYFUNCTION("""COMPUTED_VALUE"""),45383.66666666667)</f>
        <v>45383.66667</v>
      </c>
      <c r="B313" s="2">
        <f>IFERROR(__xludf.DUMMYFUNCTION("""COMPUTED_VALUE"""),90.3)</f>
        <v>90.3</v>
      </c>
      <c r="C313" s="2">
        <f>IFERROR(__xludf.DUMMYFUNCTION("""COMPUTED_VALUE"""),92.23)</f>
        <v>92.23</v>
      </c>
      <c r="D313" s="2">
        <f>IFERROR(__xludf.DUMMYFUNCTION("""COMPUTED_VALUE"""),89.2)</f>
        <v>89.2</v>
      </c>
      <c r="E313" s="2">
        <f>IFERROR(__xludf.DUMMYFUNCTION("""COMPUTED_VALUE"""),90.36)</f>
        <v>90.36</v>
      </c>
      <c r="F313" s="2">
        <f>IFERROR(__xludf.DUMMYFUNCTION("""COMPUTED_VALUE"""),4.5244149E7)</f>
        <v>45244149</v>
      </c>
    </row>
    <row r="314">
      <c r="A314" s="3">
        <f>IFERROR(__xludf.DUMMYFUNCTION("""COMPUTED_VALUE"""),45384.66666666667)</f>
        <v>45384.66667</v>
      </c>
      <c r="B314" s="2">
        <f>IFERROR(__xludf.DUMMYFUNCTION("""COMPUTED_VALUE"""),88.45)</f>
        <v>88.45</v>
      </c>
      <c r="C314" s="2">
        <f>IFERROR(__xludf.DUMMYFUNCTION("""COMPUTED_VALUE"""),90.09)</f>
        <v>90.09</v>
      </c>
      <c r="D314" s="2">
        <f>IFERROR(__xludf.DUMMYFUNCTION("""COMPUTED_VALUE"""),87.62)</f>
        <v>87.62</v>
      </c>
      <c r="E314" s="2">
        <f>IFERROR(__xludf.DUMMYFUNCTION("""COMPUTED_VALUE"""),89.45)</f>
        <v>89.45</v>
      </c>
      <c r="F314" s="2">
        <f>IFERROR(__xludf.DUMMYFUNCTION("""COMPUTED_VALUE"""),4.3306355E7)</f>
        <v>43306355</v>
      </c>
    </row>
    <row r="315">
      <c r="A315" s="3">
        <f>IFERROR(__xludf.DUMMYFUNCTION("""COMPUTED_VALUE"""),45385.66666666667)</f>
        <v>45385.66667</v>
      </c>
      <c r="B315" s="2">
        <f>IFERROR(__xludf.DUMMYFUNCTION("""COMPUTED_VALUE"""),88.48)</f>
        <v>88.48</v>
      </c>
      <c r="C315" s="2">
        <f>IFERROR(__xludf.DUMMYFUNCTION("""COMPUTED_VALUE"""),90.37)</f>
        <v>90.37</v>
      </c>
      <c r="D315" s="2">
        <f>IFERROR(__xludf.DUMMYFUNCTION("""COMPUTED_VALUE"""),88.4)</f>
        <v>88.4</v>
      </c>
      <c r="E315" s="2">
        <f>IFERROR(__xludf.DUMMYFUNCTION("""COMPUTED_VALUE"""),88.96)</f>
        <v>88.96</v>
      </c>
      <c r="F315" s="2">
        <f>IFERROR(__xludf.DUMMYFUNCTION("""COMPUTED_VALUE"""),3.7006655E7)</f>
        <v>37006655</v>
      </c>
    </row>
    <row r="316">
      <c r="A316" s="3">
        <f>IFERROR(__xludf.DUMMYFUNCTION("""COMPUTED_VALUE"""),45386.66666666667)</f>
        <v>45386.66667</v>
      </c>
      <c r="B316" s="2">
        <f>IFERROR(__xludf.DUMMYFUNCTION("""COMPUTED_VALUE"""),90.41)</f>
        <v>90.41</v>
      </c>
      <c r="C316" s="2">
        <f>IFERROR(__xludf.DUMMYFUNCTION("""COMPUTED_VALUE"""),90.63)</f>
        <v>90.63</v>
      </c>
      <c r="D316" s="2">
        <f>IFERROR(__xludf.DUMMYFUNCTION("""COMPUTED_VALUE"""),85.88)</f>
        <v>85.88</v>
      </c>
      <c r="E316" s="2">
        <f>IFERROR(__xludf.DUMMYFUNCTION("""COMPUTED_VALUE"""),85.91)</f>
        <v>85.91</v>
      </c>
      <c r="F316" s="2">
        <f>IFERROR(__xludf.DUMMYFUNCTION("""COMPUTED_VALUE"""),4.3496492E7)</f>
        <v>43496492</v>
      </c>
    </row>
    <row r="317">
      <c r="A317" s="3">
        <f>IFERROR(__xludf.DUMMYFUNCTION("""COMPUTED_VALUE"""),45387.66666666667)</f>
        <v>45387.66667</v>
      </c>
      <c r="B317" s="2">
        <f>IFERROR(__xludf.DUMMYFUNCTION("""COMPUTED_VALUE"""),86.87)</f>
        <v>86.87</v>
      </c>
      <c r="C317" s="2">
        <f>IFERROR(__xludf.DUMMYFUNCTION("""COMPUTED_VALUE"""),88.48)</f>
        <v>88.48</v>
      </c>
      <c r="D317" s="2">
        <f>IFERROR(__xludf.DUMMYFUNCTION("""COMPUTED_VALUE"""),85.93)</f>
        <v>85.93</v>
      </c>
      <c r="E317" s="2">
        <f>IFERROR(__xludf.DUMMYFUNCTION("""COMPUTED_VALUE"""),88.01)</f>
        <v>88.01</v>
      </c>
      <c r="F317" s="2">
        <f>IFERROR(__xludf.DUMMYFUNCTION("""COMPUTED_VALUE"""),3.9967846E7)</f>
        <v>39967846</v>
      </c>
    </row>
    <row r="318">
      <c r="A318" s="3">
        <f>IFERROR(__xludf.DUMMYFUNCTION("""COMPUTED_VALUE"""),45390.66666666667)</f>
        <v>45390.66667</v>
      </c>
      <c r="B318" s="2">
        <f>IFERROR(__xludf.DUMMYFUNCTION("""COMPUTED_VALUE"""),88.7)</f>
        <v>88.7</v>
      </c>
      <c r="C318" s="2">
        <f>IFERROR(__xludf.DUMMYFUNCTION("""COMPUTED_VALUE"""),88.83)</f>
        <v>88.83</v>
      </c>
      <c r="D318" s="2">
        <f>IFERROR(__xludf.DUMMYFUNCTION("""COMPUTED_VALUE"""),86.73)</f>
        <v>86.73</v>
      </c>
      <c r="E318" s="2">
        <f>IFERROR(__xludf.DUMMYFUNCTION("""COMPUTED_VALUE"""),87.13)</f>
        <v>87.13</v>
      </c>
      <c r="F318" s="2">
        <f>IFERROR(__xludf.DUMMYFUNCTION("""COMPUTED_VALUE"""),2.8322E7)</f>
        <v>28322000</v>
      </c>
    </row>
    <row r="319">
      <c r="A319" s="3">
        <f>IFERROR(__xludf.DUMMYFUNCTION("""COMPUTED_VALUE"""),45391.66666666667)</f>
        <v>45391.66667</v>
      </c>
      <c r="B319" s="2">
        <f>IFERROR(__xludf.DUMMYFUNCTION("""COMPUTED_VALUE"""),87.44)</f>
        <v>87.44</v>
      </c>
      <c r="C319" s="2">
        <f>IFERROR(__xludf.DUMMYFUNCTION("""COMPUTED_VALUE"""),87.64)</f>
        <v>87.64</v>
      </c>
      <c r="D319" s="2">
        <f>IFERROR(__xludf.DUMMYFUNCTION("""COMPUTED_VALUE"""),83.02)</f>
        <v>83.02</v>
      </c>
      <c r="E319" s="2">
        <f>IFERROR(__xludf.DUMMYFUNCTION("""COMPUTED_VALUE"""),85.35)</f>
        <v>85.35</v>
      </c>
      <c r="F319" s="2">
        <f>IFERROR(__xludf.DUMMYFUNCTION("""COMPUTED_VALUE"""),5.0354735E7)</f>
        <v>50354735</v>
      </c>
    </row>
    <row r="320">
      <c r="A320" s="3">
        <f>IFERROR(__xludf.DUMMYFUNCTION("""COMPUTED_VALUE"""),45392.66666666667)</f>
        <v>45392.66667</v>
      </c>
      <c r="B320" s="2">
        <f>IFERROR(__xludf.DUMMYFUNCTION("""COMPUTED_VALUE"""),83.93)</f>
        <v>83.93</v>
      </c>
      <c r="C320" s="2">
        <f>IFERROR(__xludf.DUMMYFUNCTION("""COMPUTED_VALUE"""),87.4)</f>
        <v>87.4</v>
      </c>
      <c r="D320" s="2">
        <f>IFERROR(__xludf.DUMMYFUNCTION("""COMPUTED_VALUE"""),83.71)</f>
        <v>83.71</v>
      </c>
      <c r="E320" s="2">
        <f>IFERROR(__xludf.DUMMYFUNCTION("""COMPUTED_VALUE"""),87.04)</f>
        <v>87.04</v>
      </c>
      <c r="F320" s="2">
        <f>IFERROR(__xludf.DUMMYFUNCTION("""COMPUTED_VALUE"""),4.3192853E7)</f>
        <v>43192853</v>
      </c>
    </row>
    <row r="321">
      <c r="A321" s="3">
        <f>IFERROR(__xludf.DUMMYFUNCTION("""COMPUTED_VALUE"""),45393.66666666667)</f>
        <v>45393.66667</v>
      </c>
      <c r="B321" s="2">
        <f>IFERROR(__xludf.DUMMYFUNCTION("""COMPUTED_VALUE"""),87.42)</f>
        <v>87.42</v>
      </c>
      <c r="C321" s="2">
        <f>IFERROR(__xludf.DUMMYFUNCTION("""COMPUTED_VALUE"""),90.74)</f>
        <v>90.74</v>
      </c>
      <c r="D321" s="2">
        <f>IFERROR(__xludf.DUMMYFUNCTION("""COMPUTED_VALUE"""),86.93)</f>
        <v>86.93</v>
      </c>
      <c r="E321" s="2">
        <f>IFERROR(__xludf.DUMMYFUNCTION("""COMPUTED_VALUE"""),90.62)</f>
        <v>90.62</v>
      </c>
      <c r="F321" s="2">
        <f>IFERROR(__xludf.DUMMYFUNCTION("""COMPUTED_VALUE"""),4.3163727E7)</f>
        <v>43163727</v>
      </c>
    </row>
    <row r="322">
      <c r="A322" s="3">
        <f>IFERROR(__xludf.DUMMYFUNCTION("""COMPUTED_VALUE"""),45394.66666666667)</f>
        <v>45394.66667</v>
      </c>
      <c r="B322" s="2">
        <f>IFERROR(__xludf.DUMMYFUNCTION("""COMPUTED_VALUE"""),89.7)</f>
        <v>89.7</v>
      </c>
      <c r="C322" s="2">
        <f>IFERROR(__xludf.DUMMYFUNCTION("""COMPUTED_VALUE"""),90.17)</f>
        <v>90.17</v>
      </c>
      <c r="D322" s="2">
        <f>IFERROR(__xludf.DUMMYFUNCTION("""COMPUTED_VALUE"""),87.53)</f>
        <v>87.53</v>
      </c>
      <c r="E322" s="2">
        <f>IFERROR(__xludf.DUMMYFUNCTION("""COMPUTED_VALUE"""),88.19)</f>
        <v>88.19</v>
      </c>
      <c r="F322" s="2">
        <f>IFERROR(__xludf.DUMMYFUNCTION("""COMPUTED_VALUE"""),4.2680479E7)</f>
        <v>42680479</v>
      </c>
    </row>
    <row r="323">
      <c r="A323" s="3">
        <f>IFERROR(__xludf.DUMMYFUNCTION("""COMPUTED_VALUE"""),45397.66666666667)</f>
        <v>45397.66667</v>
      </c>
      <c r="B323" s="2">
        <f>IFERROR(__xludf.DUMMYFUNCTION("""COMPUTED_VALUE"""),89.1)</f>
        <v>89.1</v>
      </c>
      <c r="C323" s="2">
        <f>IFERROR(__xludf.DUMMYFUNCTION("""COMPUTED_VALUE"""),90.61)</f>
        <v>90.61</v>
      </c>
      <c r="D323" s="2">
        <f>IFERROR(__xludf.DUMMYFUNCTION("""COMPUTED_VALUE"""),85.93)</f>
        <v>85.93</v>
      </c>
      <c r="E323" s="2">
        <f>IFERROR(__xludf.DUMMYFUNCTION("""COMPUTED_VALUE"""),86.0)</f>
        <v>86</v>
      </c>
      <c r="F323" s="2">
        <f>IFERROR(__xludf.DUMMYFUNCTION("""COMPUTED_VALUE"""),4.4307695E7)</f>
        <v>44307695</v>
      </c>
    </row>
    <row r="324">
      <c r="A324" s="3">
        <f>IFERROR(__xludf.DUMMYFUNCTION("""COMPUTED_VALUE"""),45398.66666666667)</f>
        <v>45398.66667</v>
      </c>
      <c r="B324" s="2">
        <f>IFERROR(__xludf.DUMMYFUNCTION("""COMPUTED_VALUE"""),86.43)</f>
        <v>86.43</v>
      </c>
      <c r="C324" s="2">
        <f>IFERROR(__xludf.DUMMYFUNCTION("""COMPUTED_VALUE"""),88.12)</f>
        <v>88.12</v>
      </c>
      <c r="D324" s="2">
        <f>IFERROR(__xludf.DUMMYFUNCTION("""COMPUTED_VALUE"""),86.06)</f>
        <v>86.06</v>
      </c>
      <c r="E324" s="2">
        <f>IFERROR(__xludf.DUMMYFUNCTION("""COMPUTED_VALUE"""),87.42)</f>
        <v>87.42</v>
      </c>
      <c r="F324" s="2">
        <f>IFERROR(__xludf.DUMMYFUNCTION("""COMPUTED_VALUE"""),3.7045302E7)</f>
        <v>37045302</v>
      </c>
    </row>
    <row r="325">
      <c r="A325" s="3">
        <f>IFERROR(__xludf.DUMMYFUNCTION("""COMPUTED_VALUE"""),45399.66666666667)</f>
        <v>45399.66667</v>
      </c>
      <c r="B325" s="2">
        <f>IFERROR(__xludf.DUMMYFUNCTION("""COMPUTED_VALUE"""),88.34)</f>
        <v>88.34</v>
      </c>
      <c r="C325" s="2">
        <f>IFERROR(__xludf.DUMMYFUNCTION("""COMPUTED_VALUE"""),88.78)</f>
        <v>88.78</v>
      </c>
      <c r="D325" s="2">
        <f>IFERROR(__xludf.DUMMYFUNCTION("""COMPUTED_VALUE"""),83.95)</f>
        <v>83.95</v>
      </c>
      <c r="E325" s="2">
        <f>IFERROR(__xludf.DUMMYFUNCTION("""COMPUTED_VALUE"""),84.04)</f>
        <v>84.04</v>
      </c>
      <c r="F325" s="2">
        <f>IFERROR(__xludf.DUMMYFUNCTION("""COMPUTED_VALUE"""),4.9539951E7)</f>
        <v>49539951</v>
      </c>
    </row>
    <row r="326">
      <c r="A326" s="3">
        <f>IFERROR(__xludf.DUMMYFUNCTION("""COMPUTED_VALUE"""),45400.66666666667)</f>
        <v>45400.66667</v>
      </c>
      <c r="B326" s="2">
        <f>IFERROR(__xludf.DUMMYFUNCTION("""COMPUTED_VALUE"""),84.97)</f>
        <v>84.97</v>
      </c>
      <c r="C326" s="2">
        <f>IFERROR(__xludf.DUMMYFUNCTION("""COMPUTED_VALUE"""),86.19)</f>
        <v>86.19</v>
      </c>
      <c r="D326" s="2">
        <f>IFERROR(__xludf.DUMMYFUNCTION("""COMPUTED_VALUE"""),82.4)</f>
        <v>82.4</v>
      </c>
      <c r="E326" s="2">
        <f>IFERROR(__xludf.DUMMYFUNCTION("""COMPUTED_VALUE"""),84.67)</f>
        <v>84.67</v>
      </c>
      <c r="F326" s="2">
        <f>IFERROR(__xludf.DUMMYFUNCTION("""COMPUTED_VALUE"""),4.4726034E7)</f>
        <v>44726034</v>
      </c>
    </row>
    <row r="327">
      <c r="A327" s="3">
        <f>IFERROR(__xludf.DUMMYFUNCTION("""COMPUTED_VALUE"""),45401.66666666667)</f>
        <v>45401.66667</v>
      </c>
      <c r="B327" s="2">
        <f>IFERROR(__xludf.DUMMYFUNCTION("""COMPUTED_VALUE"""),83.15)</f>
        <v>83.15</v>
      </c>
      <c r="C327" s="2">
        <f>IFERROR(__xludf.DUMMYFUNCTION("""COMPUTED_VALUE"""),84.32)</f>
        <v>84.32</v>
      </c>
      <c r="D327" s="2">
        <f>IFERROR(__xludf.DUMMYFUNCTION("""COMPUTED_VALUE"""),75.61)</f>
        <v>75.61</v>
      </c>
      <c r="E327" s="2">
        <f>IFERROR(__xludf.DUMMYFUNCTION("""COMPUTED_VALUE"""),76.2)</f>
        <v>76.2</v>
      </c>
      <c r="F327" s="2">
        <f>IFERROR(__xludf.DUMMYFUNCTION("""COMPUTED_VALUE"""),8.75198E7)</f>
        <v>87519800</v>
      </c>
    </row>
    <row r="328">
      <c r="A328" s="3">
        <f>IFERROR(__xludf.DUMMYFUNCTION("""COMPUTED_VALUE"""),45404.66666666667)</f>
        <v>45404.66667</v>
      </c>
      <c r="B328" s="2">
        <f>IFERROR(__xludf.DUMMYFUNCTION("""COMPUTED_VALUE"""),78.1)</f>
        <v>78.1</v>
      </c>
      <c r="C328" s="2">
        <f>IFERROR(__xludf.DUMMYFUNCTION("""COMPUTED_VALUE"""),80.07)</f>
        <v>80.07</v>
      </c>
      <c r="D328" s="2">
        <f>IFERROR(__xludf.DUMMYFUNCTION("""COMPUTED_VALUE"""),76.4)</f>
        <v>76.4</v>
      </c>
      <c r="E328" s="2">
        <f>IFERROR(__xludf.DUMMYFUNCTION("""COMPUTED_VALUE"""),79.52)</f>
        <v>79.52</v>
      </c>
      <c r="F328" s="2">
        <f>IFERROR(__xludf.DUMMYFUNCTION("""COMPUTED_VALUE"""),5.9634051E7)</f>
        <v>59634051</v>
      </c>
    </row>
    <row r="329">
      <c r="A329" s="3">
        <f>IFERROR(__xludf.DUMMYFUNCTION("""COMPUTED_VALUE"""),45405.66666666667)</f>
        <v>45405.66667</v>
      </c>
      <c r="B329" s="2">
        <f>IFERROR(__xludf.DUMMYFUNCTION("""COMPUTED_VALUE"""),80.77)</f>
        <v>80.77</v>
      </c>
      <c r="C329" s="2">
        <f>IFERROR(__xludf.DUMMYFUNCTION("""COMPUTED_VALUE"""),82.77)</f>
        <v>82.77</v>
      </c>
      <c r="D329" s="2">
        <f>IFERROR(__xludf.DUMMYFUNCTION("""COMPUTED_VALUE"""),80.26)</f>
        <v>80.26</v>
      </c>
      <c r="E329" s="2">
        <f>IFERROR(__xludf.DUMMYFUNCTION("""COMPUTED_VALUE"""),82.42)</f>
        <v>82.42</v>
      </c>
      <c r="F329" s="2">
        <f>IFERROR(__xludf.DUMMYFUNCTION("""COMPUTED_VALUE"""),4.3855937E7)</f>
        <v>43855937</v>
      </c>
    </row>
    <row r="330">
      <c r="A330" s="3">
        <f>IFERROR(__xludf.DUMMYFUNCTION("""COMPUTED_VALUE"""),45406.66666666667)</f>
        <v>45406.66667</v>
      </c>
      <c r="B330" s="2">
        <f>IFERROR(__xludf.DUMMYFUNCTION("""COMPUTED_VALUE"""),83.95)</f>
        <v>83.95</v>
      </c>
      <c r="C330" s="2">
        <f>IFERROR(__xludf.DUMMYFUNCTION("""COMPUTED_VALUE"""),84.08)</f>
        <v>84.08</v>
      </c>
      <c r="D330" s="2">
        <f>IFERROR(__xludf.DUMMYFUNCTION("""COMPUTED_VALUE"""),79.18)</f>
        <v>79.18</v>
      </c>
      <c r="E330" s="2">
        <f>IFERROR(__xludf.DUMMYFUNCTION("""COMPUTED_VALUE"""),79.68)</f>
        <v>79.68</v>
      </c>
      <c r="F330" s="2">
        <f>IFERROR(__xludf.DUMMYFUNCTION("""COMPUTED_VALUE"""),5.1220753E7)</f>
        <v>51220753</v>
      </c>
    </row>
    <row r="331">
      <c r="A331" s="3">
        <f>IFERROR(__xludf.DUMMYFUNCTION("""COMPUTED_VALUE"""),45407.66666666667)</f>
        <v>45407.66667</v>
      </c>
      <c r="B331" s="2">
        <f>IFERROR(__xludf.DUMMYFUNCTION("""COMPUTED_VALUE"""),78.87)</f>
        <v>78.87</v>
      </c>
      <c r="C331" s="2">
        <f>IFERROR(__xludf.DUMMYFUNCTION("""COMPUTED_VALUE"""),83.32)</f>
        <v>83.32</v>
      </c>
      <c r="D331" s="2">
        <f>IFERROR(__xludf.DUMMYFUNCTION("""COMPUTED_VALUE"""),78.22)</f>
        <v>78.22</v>
      </c>
      <c r="E331" s="2">
        <f>IFERROR(__xludf.DUMMYFUNCTION("""COMPUTED_VALUE"""),82.63)</f>
        <v>82.63</v>
      </c>
      <c r="F331" s="2">
        <f>IFERROR(__xludf.DUMMYFUNCTION("""COMPUTED_VALUE"""),4.2464073E7)</f>
        <v>42464073</v>
      </c>
    </row>
    <row r="332">
      <c r="A332" s="3">
        <f>IFERROR(__xludf.DUMMYFUNCTION("""COMPUTED_VALUE"""),45408.66666666667)</f>
        <v>45408.66667</v>
      </c>
      <c r="B332" s="2">
        <f>IFERROR(__xludf.DUMMYFUNCTION("""COMPUTED_VALUE"""),83.82)</f>
        <v>83.82</v>
      </c>
      <c r="C332" s="2">
        <f>IFERROR(__xludf.DUMMYFUNCTION("""COMPUTED_VALUE"""),88.33)</f>
        <v>88.33</v>
      </c>
      <c r="D332" s="2">
        <f>IFERROR(__xludf.DUMMYFUNCTION("""COMPUTED_VALUE"""),83.39)</f>
        <v>83.39</v>
      </c>
      <c r="E332" s="2">
        <f>IFERROR(__xludf.DUMMYFUNCTION("""COMPUTED_VALUE"""),87.74)</f>
        <v>87.74</v>
      </c>
      <c r="F332" s="2">
        <f>IFERROR(__xludf.DUMMYFUNCTION("""COMPUTED_VALUE"""),5.5101078E7)</f>
        <v>55101078</v>
      </c>
    </row>
    <row r="333">
      <c r="A333" s="3">
        <f>IFERROR(__xludf.DUMMYFUNCTION("""COMPUTED_VALUE"""),45411.66666666667)</f>
        <v>45411.66667</v>
      </c>
      <c r="B333" s="2">
        <f>IFERROR(__xludf.DUMMYFUNCTION("""COMPUTED_VALUE"""),87.6)</f>
        <v>87.6</v>
      </c>
      <c r="C333" s="2">
        <f>IFERROR(__xludf.DUMMYFUNCTION("""COMPUTED_VALUE"""),87.99)</f>
        <v>87.99</v>
      </c>
      <c r="D333" s="2">
        <f>IFERROR(__xludf.DUMMYFUNCTION("""COMPUTED_VALUE"""),85.27)</f>
        <v>85.27</v>
      </c>
      <c r="E333" s="2">
        <f>IFERROR(__xludf.DUMMYFUNCTION("""COMPUTED_VALUE"""),87.76)</f>
        <v>87.76</v>
      </c>
      <c r="F333" s="2">
        <f>IFERROR(__xludf.DUMMYFUNCTION("""COMPUTED_VALUE"""),3.8897076E7)</f>
        <v>38897076</v>
      </c>
    </row>
    <row r="334">
      <c r="A334" s="3">
        <f>IFERROR(__xludf.DUMMYFUNCTION("""COMPUTED_VALUE"""),45412.66666666667)</f>
        <v>45412.66667</v>
      </c>
      <c r="B334" s="2">
        <f>IFERROR(__xludf.DUMMYFUNCTION("""COMPUTED_VALUE"""),87.24)</f>
        <v>87.24</v>
      </c>
      <c r="C334" s="2">
        <f>IFERROR(__xludf.DUMMYFUNCTION("""COMPUTED_VALUE"""),88.82)</f>
        <v>88.82</v>
      </c>
      <c r="D334" s="2">
        <f>IFERROR(__xludf.DUMMYFUNCTION("""COMPUTED_VALUE"""),86.3)</f>
        <v>86.3</v>
      </c>
      <c r="E334" s="2">
        <f>IFERROR(__xludf.DUMMYFUNCTION("""COMPUTED_VALUE"""),86.4)</f>
        <v>86.4</v>
      </c>
      <c r="F334" s="2">
        <f>IFERROR(__xludf.DUMMYFUNCTION("""COMPUTED_VALUE"""),3.637087E7)</f>
        <v>36370870</v>
      </c>
    </row>
    <row r="335">
      <c r="A335" s="3">
        <f>IFERROR(__xludf.DUMMYFUNCTION("""COMPUTED_VALUE"""),45413.66666666667)</f>
        <v>45413.66667</v>
      </c>
      <c r="B335" s="2">
        <f>IFERROR(__xludf.DUMMYFUNCTION("""COMPUTED_VALUE"""),85.08)</f>
        <v>85.08</v>
      </c>
      <c r="C335" s="2">
        <f>IFERROR(__xludf.DUMMYFUNCTION("""COMPUTED_VALUE"""),86.0)</f>
        <v>86</v>
      </c>
      <c r="D335" s="2">
        <f>IFERROR(__xludf.DUMMYFUNCTION("""COMPUTED_VALUE"""),81.25)</f>
        <v>81.25</v>
      </c>
      <c r="E335" s="2">
        <f>IFERROR(__xludf.DUMMYFUNCTION("""COMPUTED_VALUE"""),83.04)</f>
        <v>83.04</v>
      </c>
      <c r="F335" s="2">
        <f>IFERROR(__xludf.DUMMYFUNCTION("""COMPUTED_VALUE"""),5.5986317E7)</f>
        <v>55986317</v>
      </c>
    </row>
    <row r="336">
      <c r="A336" s="3">
        <f>IFERROR(__xludf.DUMMYFUNCTION("""COMPUTED_VALUE"""),45414.66666666667)</f>
        <v>45414.66667</v>
      </c>
      <c r="B336" s="2">
        <f>IFERROR(__xludf.DUMMYFUNCTION("""COMPUTED_VALUE"""),84.45)</f>
        <v>84.45</v>
      </c>
      <c r="C336" s="2">
        <f>IFERROR(__xludf.DUMMYFUNCTION("""COMPUTED_VALUE"""),86.24)</f>
        <v>86.24</v>
      </c>
      <c r="D336" s="2">
        <f>IFERROR(__xludf.DUMMYFUNCTION("""COMPUTED_VALUE"""),83.2)</f>
        <v>83.2</v>
      </c>
      <c r="E336" s="2">
        <f>IFERROR(__xludf.DUMMYFUNCTION("""COMPUTED_VALUE"""),85.82)</f>
        <v>85.82</v>
      </c>
      <c r="F336" s="2">
        <f>IFERROR(__xludf.DUMMYFUNCTION("""COMPUTED_VALUE"""),3.7789754E7)</f>
        <v>37789754</v>
      </c>
    </row>
    <row r="337">
      <c r="A337" s="3">
        <f>IFERROR(__xludf.DUMMYFUNCTION("""COMPUTED_VALUE"""),45415.66666666667)</f>
        <v>45415.66667</v>
      </c>
      <c r="B337" s="2">
        <f>IFERROR(__xludf.DUMMYFUNCTION("""COMPUTED_VALUE"""),87.79)</f>
        <v>87.79</v>
      </c>
      <c r="C337" s="2">
        <f>IFERROR(__xludf.DUMMYFUNCTION("""COMPUTED_VALUE"""),89.28)</f>
        <v>89.28</v>
      </c>
      <c r="D337" s="2">
        <f>IFERROR(__xludf.DUMMYFUNCTION("""COMPUTED_VALUE"""),87.04)</f>
        <v>87.04</v>
      </c>
      <c r="E337" s="2">
        <f>IFERROR(__xludf.DUMMYFUNCTION("""COMPUTED_VALUE"""),88.79)</f>
        <v>88.79</v>
      </c>
      <c r="F337" s="2">
        <f>IFERROR(__xludf.DUMMYFUNCTION("""COMPUTED_VALUE"""),3.9834072E7)</f>
        <v>39834072</v>
      </c>
    </row>
    <row r="338">
      <c r="A338" s="3">
        <f>IFERROR(__xludf.DUMMYFUNCTION("""COMPUTED_VALUE"""),45418.66666666667)</f>
        <v>45418.66667</v>
      </c>
      <c r="B338" s="2">
        <f>IFERROR(__xludf.DUMMYFUNCTION("""COMPUTED_VALUE"""),89.39)</f>
        <v>89.39</v>
      </c>
      <c r="C338" s="2">
        <f>IFERROR(__xludf.DUMMYFUNCTION("""COMPUTED_VALUE"""),92.22)</f>
        <v>92.22</v>
      </c>
      <c r="D338" s="2">
        <f>IFERROR(__xludf.DUMMYFUNCTION("""COMPUTED_VALUE"""),89.06)</f>
        <v>89.06</v>
      </c>
      <c r="E338" s="2">
        <f>IFERROR(__xludf.DUMMYFUNCTION("""COMPUTED_VALUE"""),92.14)</f>
        <v>92.14</v>
      </c>
      <c r="F338" s="2">
        <f>IFERROR(__xludf.DUMMYFUNCTION("""COMPUTED_VALUE"""),3.7620255E7)</f>
        <v>37620255</v>
      </c>
    </row>
    <row r="339">
      <c r="A339" s="3">
        <f>IFERROR(__xludf.DUMMYFUNCTION("""COMPUTED_VALUE"""),45419.66666666667)</f>
        <v>45419.66667</v>
      </c>
      <c r="B339" s="2">
        <f>IFERROR(__xludf.DUMMYFUNCTION("""COMPUTED_VALUE"""),91.1)</f>
        <v>91.1</v>
      </c>
      <c r="C339" s="2">
        <f>IFERROR(__xludf.DUMMYFUNCTION("""COMPUTED_VALUE"""),91.78)</f>
        <v>91.78</v>
      </c>
      <c r="D339" s="2">
        <f>IFERROR(__xludf.DUMMYFUNCTION("""COMPUTED_VALUE"""),89.01)</f>
        <v>89.01</v>
      </c>
      <c r="E339" s="2">
        <f>IFERROR(__xludf.DUMMYFUNCTION("""COMPUTED_VALUE"""),90.55)</f>
        <v>90.55</v>
      </c>
      <c r="F339" s="2">
        <f>IFERROR(__xludf.DUMMYFUNCTION("""COMPUTED_VALUE"""),4.3734161E7)</f>
        <v>43734161</v>
      </c>
    </row>
    <row r="340">
      <c r="A340" s="3">
        <f>IFERROR(__xludf.DUMMYFUNCTION("""COMPUTED_VALUE"""),45420.66666666667)</f>
        <v>45420.66667</v>
      </c>
      <c r="B340" s="2">
        <f>IFERROR(__xludf.DUMMYFUNCTION("""COMPUTED_VALUE"""),89.48)</f>
        <v>89.48</v>
      </c>
      <c r="C340" s="2">
        <f>IFERROR(__xludf.DUMMYFUNCTION("""COMPUTED_VALUE"""),91.19)</f>
        <v>91.19</v>
      </c>
      <c r="D340" s="2">
        <f>IFERROR(__xludf.DUMMYFUNCTION("""COMPUTED_VALUE"""),89.42)</f>
        <v>89.42</v>
      </c>
      <c r="E340" s="2">
        <f>IFERROR(__xludf.DUMMYFUNCTION("""COMPUTED_VALUE"""),90.41)</f>
        <v>90.41</v>
      </c>
      <c r="F340" s="2">
        <f>IFERROR(__xludf.DUMMYFUNCTION("""COMPUTED_VALUE"""),3.2572102E7)</f>
        <v>32572102</v>
      </c>
    </row>
    <row r="341">
      <c r="A341" s="3">
        <f>IFERROR(__xludf.DUMMYFUNCTION("""COMPUTED_VALUE"""),45421.66666666667)</f>
        <v>45421.66667</v>
      </c>
      <c r="B341" s="2">
        <f>IFERROR(__xludf.DUMMYFUNCTION("""COMPUTED_VALUE"""),90.53)</f>
        <v>90.53</v>
      </c>
      <c r="C341" s="2">
        <f>IFERROR(__xludf.DUMMYFUNCTION("""COMPUTED_VALUE"""),91.07)</f>
        <v>91.07</v>
      </c>
      <c r="D341" s="2">
        <f>IFERROR(__xludf.DUMMYFUNCTION("""COMPUTED_VALUE"""),88.23)</f>
        <v>88.23</v>
      </c>
      <c r="E341" s="2">
        <f>IFERROR(__xludf.DUMMYFUNCTION("""COMPUTED_VALUE"""),88.75)</f>
        <v>88.75</v>
      </c>
      <c r="F341" s="2">
        <f>IFERROR(__xludf.DUMMYFUNCTION("""COMPUTED_VALUE"""),3.7801268E7)</f>
        <v>37801268</v>
      </c>
    </row>
    <row r="342">
      <c r="A342" s="3">
        <f>IFERROR(__xludf.DUMMYFUNCTION("""COMPUTED_VALUE"""),45422.66666666667)</f>
        <v>45422.66667</v>
      </c>
      <c r="B342" s="2">
        <f>IFERROR(__xludf.DUMMYFUNCTION("""COMPUTED_VALUE"""),90.3)</f>
        <v>90.3</v>
      </c>
      <c r="C342" s="2">
        <f>IFERROR(__xludf.DUMMYFUNCTION("""COMPUTED_VALUE"""),91.4)</f>
        <v>91.4</v>
      </c>
      <c r="D342" s="2">
        <f>IFERROR(__xludf.DUMMYFUNCTION("""COMPUTED_VALUE"""),89.23)</f>
        <v>89.23</v>
      </c>
      <c r="E342" s="2">
        <f>IFERROR(__xludf.DUMMYFUNCTION("""COMPUTED_VALUE"""),89.88)</f>
        <v>89.88</v>
      </c>
      <c r="F342" s="2">
        <f>IFERROR(__xludf.DUMMYFUNCTION("""COMPUTED_VALUE"""),3.3532541E7)</f>
        <v>33532541</v>
      </c>
    </row>
    <row r="343">
      <c r="A343" s="3">
        <f>IFERROR(__xludf.DUMMYFUNCTION("""COMPUTED_VALUE"""),45425.66666666667)</f>
        <v>45425.66667</v>
      </c>
      <c r="B343" s="2">
        <f>IFERROR(__xludf.DUMMYFUNCTION("""COMPUTED_VALUE"""),90.48)</f>
        <v>90.48</v>
      </c>
      <c r="C343" s="2">
        <f>IFERROR(__xludf.DUMMYFUNCTION("""COMPUTED_VALUE"""),91.0)</f>
        <v>91</v>
      </c>
      <c r="D343" s="2">
        <f>IFERROR(__xludf.DUMMYFUNCTION("""COMPUTED_VALUE"""),88.53)</f>
        <v>88.53</v>
      </c>
      <c r="E343" s="2">
        <f>IFERROR(__xludf.DUMMYFUNCTION("""COMPUTED_VALUE"""),90.4)</f>
        <v>90.4</v>
      </c>
      <c r="F343" s="2">
        <f>IFERROR(__xludf.DUMMYFUNCTION("""COMPUTED_VALUE"""),2.8968017E7)</f>
        <v>28968017</v>
      </c>
    </row>
    <row r="344">
      <c r="A344" s="3">
        <f>IFERROR(__xludf.DUMMYFUNCTION("""COMPUTED_VALUE"""),45426.66666666667)</f>
        <v>45426.66667</v>
      </c>
      <c r="B344" s="2">
        <f>IFERROR(__xludf.DUMMYFUNCTION("""COMPUTED_VALUE"""),89.6)</f>
        <v>89.6</v>
      </c>
      <c r="C344" s="2">
        <f>IFERROR(__xludf.DUMMYFUNCTION("""COMPUTED_VALUE"""),91.65)</f>
        <v>91.65</v>
      </c>
      <c r="D344" s="2">
        <f>IFERROR(__xludf.DUMMYFUNCTION("""COMPUTED_VALUE"""),88.93)</f>
        <v>88.93</v>
      </c>
      <c r="E344" s="2">
        <f>IFERROR(__xludf.DUMMYFUNCTION("""COMPUTED_VALUE"""),91.36)</f>
        <v>91.36</v>
      </c>
      <c r="F344" s="2">
        <f>IFERROR(__xludf.DUMMYFUNCTION("""COMPUTED_VALUE"""),2.9650708E7)</f>
        <v>29650708</v>
      </c>
    </row>
    <row r="345">
      <c r="A345" s="3">
        <f>IFERROR(__xludf.DUMMYFUNCTION("""COMPUTED_VALUE"""),45427.66666666667)</f>
        <v>45427.66667</v>
      </c>
      <c r="B345" s="2">
        <f>IFERROR(__xludf.DUMMYFUNCTION("""COMPUTED_VALUE"""),92.47)</f>
        <v>92.47</v>
      </c>
      <c r="C345" s="2">
        <f>IFERROR(__xludf.DUMMYFUNCTION("""COMPUTED_VALUE"""),94.86)</f>
        <v>94.86</v>
      </c>
      <c r="D345" s="2">
        <f>IFERROR(__xludf.DUMMYFUNCTION("""COMPUTED_VALUE"""),91.6)</f>
        <v>91.6</v>
      </c>
      <c r="E345" s="2">
        <f>IFERROR(__xludf.DUMMYFUNCTION("""COMPUTED_VALUE"""),94.63)</f>
        <v>94.63</v>
      </c>
      <c r="F345" s="2">
        <f>IFERROR(__xludf.DUMMYFUNCTION("""COMPUTED_VALUE"""),4.1773545E7)</f>
        <v>41773545</v>
      </c>
    </row>
    <row r="346">
      <c r="A346" s="3">
        <f>IFERROR(__xludf.DUMMYFUNCTION("""COMPUTED_VALUE"""),45428.66666666667)</f>
        <v>45428.66667</v>
      </c>
      <c r="B346" s="2">
        <f>IFERROR(__xludf.DUMMYFUNCTION("""COMPUTED_VALUE"""),94.91)</f>
        <v>94.91</v>
      </c>
      <c r="C346" s="2">
        <f>IFERROR(__xludf.DUMMYFUNCTION("""COMPUTED_VALUE"""),95.82)</f>
        <v>95.82</v>
      </c>
      <c r="D346" s="2">
        <f>IFERROR(__xludf.DUMMYFUNCTION("""COMPUTED_VALUE"""),94.1)</f>
        <v>94.1</v>
      </c>
      <c r="E346" s="2">
        <f>IFERROR(__xludf.DUMMYFUNCTION("""COMPUTED_VALUE"""),94.36)</f>
        <v>94.36</v>
      </c>
      <c r="F346" s="2">
        <f>IFERROR(__xludf.DUMMYFUNCTION("""COMPUTED_VALUE"""),3.2395182E7)</f>
        <v>32395182</v>
      </c>
    </row>
    <row r="347">
      <c r="A347" s="3">
        <f>IFERROR(__xludf.DUMMYFUNCTION("""COMPUTED_VALUE"""),45429.66666666667)</f>
        <v>45429.66667</v>
      </c>
      <c r="B347" s="2">
        <f>IFERROR(__xludf.DUMMYFUNCTION("""COMPUTED_VALUE"""),94.37)</f>
        <v>94.37</v>
      </c>
      <c r="C347" s="2">
        <f>IFERROR(__xludf.DUMMYFUNCTION("""COMPUTED_VALUE"""),94.74)</f>
        <v>94.74</v>
      </c>
      <c r="D347" s="2">
        <f>IFERROR(__xludf.DUMMYFUNCTION("""COMPUTED_VALUE"""),91.81)</f>
        <v>91.81</v>
      </c>
      <c r="E347" s="2">
        <f>IFERROR(__xludf.DUMMYFUNCTION("""COMPUTED_VALUE"""),92.48)</f>
        <v>92.48</v>
      </c>
      <c r="F347" s="2">
        <f>IFERROR(__xludf.DUMMYFUNCTION("""COMPUTED_VALUE"""),3.5969103E7)</f>
        <v>35969103</v>
      </c>
    </row>
    <row r="348">
      <c r="A348" s="3">
        <f>IFERROR(__xludf.DUMMYFUNCTION("""COMPUTED_VALUE"""),45432.66666666667)</f>
        <v>45432.66667</v>
      </c>
      <c r="B348" s="2">
        <f>IFERROR(__xludf.DUMMYFUNCTION("""COMPUTED_VALUE"""),93.75)</f>
        <v>93.75</v>
      </c>
      <c r="C348" s="2">
        <f>IFERROR(__xludf.DUMMYFUNCTION("""COMPUTED_VALUE"""),95.2)</f>
        <v>95.2</v>
      </c>
      <c r="D348" s="2">
        <f>IFERROR(__xludf.DUMMYFUNCTION("""COMPUTED_VALUE"""),93.44)</f>
        <v>93.44</v>
      </c>
      <c r="E348" s="2">
        <f>IFERROR(__xludf.DUMMYFUNCTION("""COMPUTED_VALUE"""),94.78)</f>
        <v>94.78</v>
      </c>
      <c r="F348" s="2">
        <f>IFERROR(__xludf.DUMMYFUNCTION("""COMPUTED_VALUE"""),3.1876446E7)</f>
        <v>31876446</v>
      </c>
    </row>
    <row r="349">
      <c r="A349" s="3">
        <f>IFERROR(__xludf.DUMMYFUNCTION("""COMPUTED_VALUE"""),45433.66666666667)</f>
        <v>45433.66667</v>
      </c>
      <c r="B349" s="2">
        <f>IFERROR(__xludf.DUMMYFUNCTION("""COMPUTED_VALUE"""),93.6)</f>
        <v>93.6</v>
      </c>
      <c r="C349" s="2">
        <f>IFERROR(__xludf.DUMMYFUNCTION("""COMPUTED_VALUE"""),95.4)</f>
        <v>95.4</v>
      </c>
      <c r="D349" s="2">
        <f>IFERROR(__xludf.DUMMYFUNCTION("""COMPUTED_VALUE"""),93.18)</f>
        <v>93.18</v>
      </c>
      <c r="E349" s="2">
        <f>IFERROR(__xludf.DUMMYFUNCTION("""COMPUTED_VALUE"""),95.39)</f>
        <v>95.39</v>
      </c>
      <c r="F349" s="2">
        <f>IFERROR(__xludf.DUMMYFUNCTION("""COMPUTED_VALUE"""),3.2894646E7)</f>
        <v>32894646</v>
      </c>
    </row>
    <row r="350">
      <c r="A350" s="3">
        <f>IFERROR(__xludf.DUMMYFUNCTION("""COMPUTED_VALUE"""),45434.66666666667)</f>
        <v>45434.66667</v>
      </c>
      <c r="B350" s="2">
        <f>IFERROR(__xludf.DUMMYFUNCTION("""COMPUTED_VALUE"""),95.46)</f>
        <v>95.46</v>
      </c>
      <c r="C350" s="2">
        <f>IFERROR(__xludf.DUMMYFUNCTION("""COMPUTED_VALUE"""),96.02)</f>
        <v>96.02</v>
      </c>
      <c r="D350" s="2">
        <f>IFERROR(__xludf.DUMMYFUNCTION("""COMPUTED_VALUE"""),93.25)</f>
        <v>93.25</v>
      </c>
      <c r="E350" s="2">
        <f>IFERROR(__xludf.DUMMYFUNCTION("""COMPUTED_VALUE"""),94.95)</f>
        <v>94.95</v>
      </c>
      <c r="F350" s="2">
        <f>IFERROR(__xludf.DUMMYFUNCTION("""COMPUTED_VALUE"""),5.4864799E7)</f>
        <v>54864799</v>
      </c>
    </row>
    <row r="351">
      <c r="A351" s="3">
        <f>IFERROR(__xludf.DUMMYFUNCTION("""COMPUTED_VALUE"""),45435.66666666667)</f>
        <v>45435.66667</v>
      </c>
      <c r="B351" s="2">
        <f>IFERROR(__xludf.DUMMYFUNCTION("""COMPUTED_VALUE"""),102.03)</f>
        <v>102.03</v>
      </c>
      <c r="C351" s="2">
        <f>IFERROR(__xludf.DUMMYFUNCTION("""COMPUTED_VALUE"""),106.32)</f>
        <v>106.32</v>
      </c>
      <c r="D351" s="2">
        <f>IFERROR(__xludf.DUMMYFUNCTION("""COMPUTED_VALUE"""),101.52)</f>
        <v>101.52</v>
      </c>
      <c r="E351" s="2">
        <f>IFERROR(__xludf.DUMMYFUNCTION("""COMPUTED_VALUE"""),103.8)</f>
        <v>103.8</v>
      </c>
      <c r="F351" s="2">
        <f>IFERROR(__xludf.DUMMYFUNCTION("""COMPUTED_VALUE"""),8.3506528E7)</f>
        <v>83506528</v>
      </c>
    </row>
    <row r="352">
      <c r="A352" s="3">
        <f>IFERROR(__xludf.DUMMYFUNCTION("""COMPUTED_VALUE"""),45436.66666666667)</f>
        <v>45436.66667</v>
      </c>
      <c r="B352" s="2">
        <f>IFERROR(__xludf.DUMMYFUNCTION("""COMPUTED_VALUE"""),104.45)</f>
        <v>104.45</v>
      </c>
      <c r="C352" s="2">
        <f>IFERROR(__xludf.DUMMYFUNCTION("""COMPUTED_VALUE"""),106.48)</f>
        <v>106.48</v>
      </c>
      <c r="D352" s="2">
        <f>IFERROR(__xludf.DUMMYFUNCTION("""COMPUTED_VALUE"""),103.0)</f>
        <v>103</v>
      </c>
      <c r="E352" s="2">
        <f>IFERROR(__xludf.DUMMYFUNCTION("""COMPUTED_VALUE"""),106.47)</f>
        <v>106.47</v>
      </c>
      <c r="F352" s="2">
        <f>IFERROR(__xludf.DUMMYFUNCTION("""COMPUTED_VALUE"""),4.2949367E7)</f>
        <v>42949367</v>
      </c>
    </row>
    <row r="353">
      <c r="A353" s="3">
        <f>IFERROR(__xludf.DUMMYFUNCTION("""COMPUTED_VALUE"""),45440.66666666667)</f>
        <v>45440.66667</v>
      </c>
      <c r="B353" s="2">
        <f>IFERROR(__xludf.DUMMYFUNCTION("""COMPUTED_VALUE"""),110.24)</f>
        <v>110.24</v>
      </c>
      <c r="C353" s="2">
        <f>IFERROR(__xludf.DUMMYFUNCTION("""COMPUTED_VALUE"""),114.94)</f>
        <v>114.94</v>
      </c>
      <c r="D353" s="2">
        <f>IFERROR(__xludf.DUMMYFUNCTION("""COMPUTED_VALUE"""),109.88)</f>
        <v>109.88</v>
      </c>
      <c r="E353" s="2">
        <f>IFERROR(__xludf.DUMMYFUNCTION("""COMPUTED_VALUE"""),113.9)</f>
        <v>113.9</v>
      </c>
      <c r="F353" s="2">
        <f>IFERROR(__xludf.DUMMYFUNCTION("""COMPUTED_VALUE"""),6.5272789E7)</f>
        <v>65272789</v>
      </c>
    </row>
    <row r="354">
      <c r="A354" s="3">
        <f>IFERROR(__xludf.DUMMYFUNCTION("""COMPUTED_VALUE"""),45441.66666666667)</f>
        <v>45441.66667</v>
      </c>
      <c r="B354" s="2">
        <f>IFERROR(__xludf.DUMMYFUNCTION("""COMPUTED_VALUE"""),113.05)</f>
        <v>113.05</v>
      </c>
      <c r="C354" s="2">
        <f>IFERROR(__xludf.DUMMYFUNCTION("""COMPUTED_VALUE"""),115.49)</f>
        <v>115.49</v>
      </c>
      <c r="D354" s="2">
        <f>IFERROR(__xludf.DUMMYFUNCTION("""COMPUTED_VALUE"""),110.9)</f>
        <v>110.9</v>
      </c>
      <c r="E354" s="2">
        <f>IFERROR(__xludf.DUMMYFUNCTION("""COMPUTED_VALUE"""),114.83)</f>
        <v>114.83</v>
      </c>
      <c r="F354" s="2">
        <f>IFERROR(__xludf.DUMMYFUNCTION("""COMPUTED_VALUE"""),5.5744193E7)</f>
        <v>55744193</v>
      </c>
    </row>
    <row r="355">
      <c r="A355" s="3">
        <f>IFERROR(__xludf.DUMMYFUNCTION("""COMPUTED_VALUE"""),45442.66666666667)</f>
        <v>45442.66667</v>
      </c>
      <c r="B355" s="2">
        <f>IFERROR(__xludf.DUMMYFUNCTION("""COMPUTED_VALUE"""),114.65)</f>
        <v>114.65</v>
      </c>
      <c r="C355" s="2">
        <f>IFERROR(__xludf.DUMMYFUNCTION("""COMPUTED_VALUE"""),115.82)</f>
        <v>115.82</v>
      </c>
      <c r="D355" s="2">
        <f>IFERROR(__xludf.DUMMYFUNCTION("""COMPUTED_VALUE"""),109.66)</f>
        <v>109.66</v>
      </c>
      <c r="E355" s="2">
        <f>IFERROR(__xludf.DUMMYFUNCTION("""COMPUTED_VALUE"""),110.5)</f>
        <v>110.5</v>
      </c>
      <c r="F355" s="2">
        <f>IFERROR(__xludf.DUMMYFUNCTION("""COMPUTED_VALUE"""),4.8735033E7)</f>
        <v>48735033</v>
      </c>
    </row>
    <row r="356">
      <c r="A356" s="3">
        <f>IFERROR(__xludf.DUMMYFUNCTION("""COMPUTED_VALUE"""),45443.66666666667)</f>
        <v>45443.66667</v>
      </c>
      <c r="B356" s="2">
        <f>IFERROR(__xludf.DUMMYFUNCTION("""COMPUTED_VALUE"""),112.52)</f>
        <v>112.52</v>
      </c>
      <c r="C356" s="2">
        <f>IFERROR(__xludf.DUMMYFUNCTION("""COMPUTED_VALUE"""),112.72)</f>
        <v>112.72</v>
      </c>
      <c r="D356" s="2">
        <f>IFERROR(__xludf.DUMMYFUNCTION("""COMPUTED_VALUE"""),106.94)</f>
        <v>106.94</v>
      </c>
      <c r="E356" s="2">
        <f>IFERROR(__xludf.DUMMYFUNCTION("""COMPUTED_VALUE"""),109.63)</f>
        <v>109.63</v>
      </c>
      <c r="F356" s="2">
        <f>IFERROR(__xludf.DUMMYFUNCTION("""COMPUTED_VALUE"""),6.132625E7)</f>
        <v>61326250</v>
      </c>
    </row>
    <row r="357">
      <c r="A357" s="3">
        <f>IFERROR(__xludf.DUMMYFUNCTION("""COMPUTED_VALUE"""),45446.66666666667)</f>
        <v>45446.66667</v>
      </c>
      <c r="B357" s="2">
        <f>IFERROR(__xludf.DUMMYFUNCTION("""COMPUTED_VALUE"""),113.62)</f>
        <v>113.62</v>
      </c>
      <c r="C357" s="2">
        <f>IFERROR(__xludf.DUMMYFUNCTION("""COMPUTED_VALUE"""),115.0)</f>
        <v>115</v>
      </c>
      <c r="D357" s="2">
        <f>IFERROR(__xludf.DUMMYFUNCTION("""COMPUTED_VALUE"""),112.0)</f>
        <v>112</v>
      </c>
      <c r="E357" s="2">
        <f>IFERROR(__xludf.DUMMYFUNCTION("""COMPUTED_VALUE"""),115.0)</f>
        <v>115</v>
      </c>
      <c r="F357" s="2">
        <f>IFERROR(__xludf.DUMMYFUNCTION("""COMPUTED_VALUE"""),4.3839176E7)</f>
        <v>43839176</v>
      </c>
    </row>
    <row r="358">
      <c r="A358" s="3">
        <f>IFERROR(__xludf.DUMMYFUNCTION("""COMPUTED_VALUE"""),45447.66666666667)</f>
        <v>45447.66667</v>
      </c>
      <c r="B358" s="2">
        <f>IFERROR(__xludf.DUMMYFUNCTION("""COMPUTED_VALUE"""),115.72)</f>
        <v>115.72</v>
      </c>
      <c r="C358" s="2">
        <f>IFERROR(__xludf.DUMMYFUNCTION("""COMPUTED_VALUE"""),116.6)</f>
        <v>116.6</v>
      </c>
      <c r="D358" s="2">
        <f>IFERROR(__xludf.DUMMYFUNCTION("""COMPUTED_VALUE"""),114.05)</f>
        <v>114.05</v>
      </c>
      <c r="E358" s="2">
        <f>IFERROR(__xludf.DUMMYFUNCTION("""COMPUTED_VALUE"""),116.44)</f>
        <v>116.44</v>
      </c>
      <c r="F358" s="2">
        <f>IFERROR(__xludf.DUMMYFUNCTION("""COMPUTED_VALUE"""),4.0332401E7)</f>
        <v>40332401</v>
      </c>
    </row>
    <row r="359">
      <c r="A359" s="3">
        <f>IFERROR(__xludf.DUMMYFUNCTION("""COMPUTED_VALUE"""),45448.66666666667)</f>
        <v>45448.66667</v>
      </c>
      <c r="B359" s="2">
        <f>IFERROR(__xludf.DUMMYFUNCTION("""COMPUTED_VALUE"""),118.37)</f>
        <v>118.37</v>
      </c>
      <c r="C359" s="2">
        <f>IFERROR(__xludf.DUMMYFUNCTION("""COMPUTED_VALUE"""),122.45)</f>
        <v>122.45</v>
      </c>
      <c r="D359" s="2">
        <f>IFERROR(__xludf.DUMMYFUNCTION("""COMPUTED_VALUE"""),117.47)</f>
        <v>117.47</v>
      </c>
      <c r="E359" s="2">
        <f>IFERROR(__xludf.DUMMYFUNCTION("""COMPUTED_VALUE"""),122.44)</f>
        <v>122.44</v>
      </c>
      <c r="F359" s="2">
        <f>IFERROR(__xludf.DUMMYFUNCTION("""COMPUTED_VALUE"""),5.2840178E7)</f>
        <v>52840178</v>
      </c>
    </row>
    <row r="360">
      <c r="A360" s="3">
        <f>IFERROR(__xludf.DUMMYFUNCTION("""COMPUTED_VALUE"""),45449.66666666667)</f>
        <v>45449.66667</v>
      </c>
      <c r="B360" s="2">
        <f>IFERROR(__xludf.DUMMYFUNCTION("""COMPUTED_VALUE"""),124.05)</f>
        <v>124.05</v>
      </c>
      <c r="C360" s="2">
        <f>IFERROR(__xludf.DUMMYFUNCTION("""COMPUTED_VALUE"""),125.59)</f>
        <v>125.59</v>
      </c>
      <c r="D360" s="2">
        <f>IFERROR(__xludf.DUMMYFUNCTION("""COMPUTED_VALUE"""),118.32)</f>
        <v>118.32</v>
      </c>
      <c r="E360" s="2">
        <f>IFERROR(__xludf.DUMMYFUNCTION("""COMPUTED_VALUE"""),121.0)</f>
        <v>121</v>
      </c>
      <c r="F360" s="2">
        <f>IFERROR(__xludf.DUMMYFUNCTION("""COMPUTED_VALUE"""),6.6469619E7)</f>
        <v>66469619</v>
      </c>
    </row>
    <row r="361">
      <c r="A361" s="3">
        <f>IFERROR(__xludf.DUMMYFUNCTION("""COMPUTED_VALUE"""),45450.66666666667)</f>
        <v>45450.66667</v>
      </c>
      <c r="B361" s="2">
        <f>IFERROR(__xludf.DUMMYFUNCTION("""COMPUTED_VALUE"""),119.77)</f>
        <v>119.77</v>
      </c>
      <c r="C361" s="2">
        <f>IFERROR(__xludf.DUMMYFUNCTION("""COMPUTED_VALUE"""),121.69)</f>
        <v>121.69</v>
      </c>
      <c r="D361" s="2">
        <f>IFERROR(__xludf.DUMMYFUNCTION("""COMPUTED_VALUE"""),118.02)</f>
        <v>118.02</v>
      </c>
      <c r="E361" s="2">
        <f>IFERROR(__xludf.DUMMYFUNCTION("""COMPUTED_VALUE"""),120.89)</f>
        <v>120.89</v>
      </c>
      <c r="F361" s="2">
        <f>IFERROR(__xludf.DUMMYFUNCTION("""COMPUTED_VALUE"""),4.123858E7)</f>
        <v>41238580</v>
      </c>
    </row>
    <row r="362">
      <c r="A362" s="3">
        <f>IFERROR(__xludf.DUMMYFUNCTION("""COMPUTED_VALUE"""),45453.66666666667)</f>
        <v>45453.66667</v>
      </c>
      <c r="B362" s="2">
        <f>IFERROR(__xludf.DUMMYFUNCTION("""COMPUTED_VALUE"""),120.37)</f>
        <v>120.37</v>
      </c>
      <c r="C362" s="2">
        <f>IFERROR(__xludf.DUMMYFUNCTION("""COMPUTED_VALUE"""),195.95)</f>
        <v>195.95</v>
      </c>
      <c r="D362" s="2">
        <f>IFERROR(__xludf.DUMMYFUNCTION("""COMPUTED_VALUE"""),117.01)</f>
        <v>117.01</v>
      </c>
      <c r="E362" s="2">
        <f>IFERROR(__xludf.DUMMYFUNCTION("""COMPUTED_VALUE"""),121.79)</f>
        <v>121.79</v>
      </c>
      <c r="F362" s="2">
        <f>IFERROR(__xludf.DUMMYFUNCTION("""COMPUTED_VALUE"""),3.1416265E8)</f>
        <v>314162650</v>
      </c>
    </row>
    <row r="363">
      <c r="A363" s="3">
        <f>IFERROR(__xludf.DUMMYFUNCTION("""COMPUTED_VALUE"""),45454.66666666667)</f>
        <v>45454.66667</v>
      </c>
      <c r="B363" s="2">
        <f>IFERROR(__xludf.DUMMYFUNCTION("""COMPUTED_VALUE"""),121.77)</f>
        <v>121.77</v>
      </c>
      <c r="C363" s="2">
        <f>IFERROR(__xludf.DUMMYFUNCTION("""COMPUTED_VALUE"""),122.87)</f>
        <v>122.87</v>
      </c>
      <c r="D363" s="2">
        <f>IFERROR(__xludf.DUMMYFUNCTION("""COMPUTED_VALUE"""),118.74)</f>
        <v>118.74</v>
      </c>
      <c r="E363" s="2">
        <f>IFERROR(__xludf.DUMMYFUNCTION("""COMPUTED_VALUE"""),120.91)</f>
        <v>120.91</v>
      </c>
      <c r="F363" s="2">
        <f>IFERROR(__xludf.DUMMYFUNCTION("""COMPUTED_VALUE"""),2.22551158E8)</f>
        <v>222551158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tr">
        <f>IFERROR(__xludf.DUMMYFUNCTION("(GOOGLEFINANCE(""SNOW"", ""all"", DATE(2023, 1, 1), today()))"),"Date")</f>
        <v>Date</v>
      </c>
      <c r="B1" s="2" t="str">
        <f>IFERROR(__xludf.DUMMYFUNCTION("""COMPUTED_VALUE"""),"Open")</f>
        <v>Open</v>
      </c>
      <c r="C1" s="2" t="str">
        <f>IFERROR(__xludf.DUMMYFUNCTION("""COMPUTED_VALUE"""),"High")</f>
        <v>High</v>
      </c>
      <c r="D1" s="2" t="str">
        <f>IFERROR(__xludf.DUMMYFUNCTION("""COMPUTED_VALUE"""),"Low")</f>
        <v>Low</v>
      </c>
      <c r="E1" s="2" t="str">
        <f>IFERROR(__xludf.DUMMYFUNCTION("""COMPUTED_VALUE"""),"Close")</f>
        <v>Close</v>
      </c>
      <c r="F1" s="2" t="str">
        <f>IFERROR(__xludf.DUMMYFUNCTION("""COMPUTED_VALUE"""),"Volume")</f>
        <v>Volume</v>
      </c>
    </row>
    <row r="2">
      <c r="A2" s="3">
        <f>IFERROR(__xludf.DUMMYFUNCTION("""COMPUTED_VALUE"""),44929.66666666667)</f>
        <v>44929.66667</v>
      </c>
      <c r="B2" s="2">
        <f>IFERROR(__xludf.DUMMYFUNCTION("""COMPUTED_VALUE"""),146.48)</f>
        <v>146.48</v>
      </c>
      <c r="C2" s="2">
        <f>IFERROR(__xludf.DUMMYFUNCTION("""COMPUTED_VALUE"""),149.2)</f>
        <v>149.2</v>
      </c>
      <c r="D2" s="2">
        <f>IFERROR(__xludf.DUMMYFUNCTION("""COMPUTED_VALUE"""),135.34)</f>
        <v>135.34</v>
      </c>
      <c r="E2" s="2">
        <f>IFERROR(__xludf.DUMMYFUNCTION("""COMPUTED_VALUE"""),135.5)</f>
        <v>135.5</v>
      </c>
      <c r="F2" s="2">
        <f>IFERROR(__xludf.DUMMYFUNCTION("""COMPUTED_VALUE"""),4441952.0)</f>
        <v>4441952</v>
      </c>
    </row>
    <row r="3">
      <c r="A3" s="3">
        <f>IFERROR(__xludf.DUMMYFUNCTION("""COMPUTED_VALUE"""),44930.66666666667)</f>
        <v>44930.66667</v>
      </c>
      <c r="B3" s="2">
        <f>IFERROR(__xludf.DUMMYFUNCTION("""COMPUTED_VALUE"""),137.28)</f>
        <v>137.28</v>
      </c>
      <c r="C3" s="2">
        <f>IFERROR(__xludf.DUMMYFUNCTION("""COMPUTED_VALUE"""),137.6)</f>
        <v>137.6</v>
      </c>
      <c r="D3" s="2">
        <f>IFERROR(__xludf.DUMMYFUNCTION("""COMPUTED_VALUE"""),128.58)</f>
        <v>128.58</v>
      </c>
      <c r="E3" s="2">
        <f>IFERROR(__xludf.DUMMYFUNCTION("""COMPUTED_VALUE"""),130.44)</f>
        <v>130.44</v>
      </c>
      <c r="F3" s="2">
        <f>IFERROR(__xludf.DUMMYFUNCTION("""COMPUTED_VALUE"""),6672904.0)</f>
        <v>6672904</v>
      </c>
    </row>
    <row r="4">
      <c r="A4" s="3">
        <f>IFERROR(__xludf.DUMMYFUNCTION("""COMPUTED_VALUE"""),44931.66666666667)</f>
        <v>44931.66667</v>
      </c>
      <c r="B4" s="2">
        <f>IFERROR(__xludf.DUMMYFUNCTION("""COMPUTED_VALUE"""),129.3)</f>
        <v>129.3</v>
      </c>
      <c r="C4" s="2">
        <f>IFERROR(__xludf.DUMMYFUNCTION("""COMPUTED_VALUE"""),129.49)</f>
        <v>129.49</v>
      </c>
      <c r="D4" s="2">
        <f>IFERROR(__xludf.DUMMYFUNCTION("""COMPUTED_VALUE"""),121.04)</f>
        <v>121.04</v>
      </c>
      <c r="E4" s="2">
        <f>IFERROR(__xludf.DUMMYFUNCTION("""COMPUTED_VALUE"""),121.56)</f>
        <v>121.56</v>
      </c>
      <c r="F4" s="2">
        <f>IFERROR(__xludf.DUMMYFUNCTION("""COMPUTED_VALUE"""),8231751.0)</f>
        <v>8231751</v>
      </c>
    </row>
    <row r="5">
      <c r="A5" s="3">
        <f>IFERROR(__xludf.DUMMYFUNCTION("""COMPUTED_VALUE"""),44932.66666666667)</f>
        <v>44932.66667</v>
      </c>
      <c r="B5" s="2">
        <f>IFERROR(__xludf.DUMMYFUNCTION("""COMPUTED_VALUE"""),122.09)</f>
        <v>122.09</v>
      </c>
      <c r="C5" s="2">
        <f>IFERROR(__xludf.DUMMYFUNCTION("""COMPUTED_VALUE"""),126.07)</f>
        <v>126.07</v>
      </c>
      <c r="D5" s="2">
        <f>IFERROR(__xludf.DUMMYFUNCTION("""COMPUTED_VALUE"""),119.27)</f>
        <v>119.27</v>
      </c>
      <c r="E5" s="2">
        <f>IFERROR(__xludf.DUMMYFUNCTION("""COMPUTED_VALUE"""),124.06)</f>
        <v>124.06</v>
      </c>
      <c r="F5" s="2">
        <f>IFERROR(__xludf.DUMMYFUNCTION("""COMPUTED_VALUE"""),5827362.0)</f>
        <v>5827362</v>
      </c>
    </row>
    <row r="6">
      <c r="A6" s="3">
        <f>IFERROR(__xludf.DUMMYFUNCTION("""COMPUTED_VALUE"""),44935.66666666667)</f>
        <v>44935.66667</v>
      </c>
      <c r="B6" s="2">
        <f>IFERROR(__xludf.DUMMYFUNCTION("""COMPUTED_VALUE"""),127.23)</f>
        <v>127.23</v>
      </c>
      <c r="C6" s="2">
        <f>IFERROR(__xludf.DUMMYFUNCTION("""COMPUTED_VALUE"""),137.64)</f>
        <v>137.64</v>
      </c>
      <c r="D6" s="2">
        <f>IFERROR(__xludf.DUMMYFUNCTION("""COMPUTED_VALUE"""),126.67)</f>
        <v>126.67</v>
      </c>
      <c r="E6" s="2">
        <f>IFERROR(__xludf.DUMMYFUNCTION("""COMPUTED_VALUE"""),134.43)</f>
        <v>134.43</v>
      </c>
      <c r="F6" s="2">
        <f>IFERROR(__xludf.DUMMYFUNCTION("""COMPUTED_VALUE"""),8192948.0)</f>
        <v>8192948</v>
      </c>
    </row>
    <row r="7">
      <c r="A7" s="3">
        <f>IFERROR(__xludf.DUMMYFUNCTION("""COMPUTED_VALUE"""),44936.66666666667)</f>
        <v>44936.66667</v>
      </c>
      <c r="B7" s="2">
        <f>IFERROR(__xludf.DUMMYFUNCTION("""COMPUTED_VALUE"""),134.86)</f>
        <v>134.86</v>
      </c>
      <c r="C7" s="2">
        <f>IFERROR(__xludf.DUMMYFUNCTION("""COMPUTED_VALUE"""),138.45)</f>
        <v>138.45</v>
      </c>
      <c r="D7" s="2">
        <f>IFERROR(__xludf.DUMMYFUNCTION("""COMPUTED_VALUE"""),133.74)</f>
        <v>133.74</v>
      </c>
      <c r="E7" s="2">
        <f>IFERROR(__xludf.DUMMYFUNCTION("""COMPUTED_VALUE"""),137.94)</f>
        <v>137.94</v>
      </c>
      <c r="F7" s="2">
        <f>IFERROR(__xludf.DUMMYFUNCTION("""COMPUTED_VALUE"""),4518407.0)</f>
        <v>4518407</v>
      </c>
    </row>
    <row r="8">
      <c r="A8" s="3">
        <f>IFERROR(__xludf.DUMMYFUNCTION("""COMPUTED_VALUE"""),44937.66666666667)</f>
        <v>44937.66667</v>
      </c>
      <c r="B8" s="2">
        <f>IFERROR(__xludf.DUMMYFUNCTION("""COMPUTED_VALUE"""),138.2)</f>
        <v>138.2</v>
      </c>
      <c r="C8" s="2">
        <f>IFERROR(__xludf.DUMMYFUNCTION("""COMPUTED_VALUE"""),141.07)</f>
        <v>141.07</v>
      </c>
      <c r="D8" s="2">
        <f>IFERROR(__xludf.DUMMYFUNCTION("""COMPUTED_VALUE"""),136.55)</f>
        <v>136.55</v>
      </c>
      <c r="E8" s="2">
        <f>IFERROR(__xludf.DUMMYFUNCTION("""COMPUTED_VALUE"""),139.71)</f>
        <v>139.71</v>
      </c>
      <c r="F8" s="2">
        <f>IFERROR(__xludf.DUMMYFUNCTION("""COMPUTED_VALUE"""),4290297.0)</f>
        <v>4290297</v>
      </c>
    </row>
    <row r="9">
      <c r="A9" s="3">
        <f>IFERROR(__xludf.DUMMYFUNCTION("""COMPUTED_VALUE"""),44938.66666666667)</f>
        <v>44938.66667</v>
      </c>
      <c r="B9" s="2">
        <f>IFERROR(__xludf.DUMMYFUNCTION("""COMPUTED_VALUE"""),140.39)</f>
        <v>140.39</v>
      </c>
      <c r="C9" s="2">
        <f>IFERROR(__xludf.DUMMYFUNCTION("""COMPUTED_VALUE"""),142.16)</f>
        <v>142.16</v>
      </c>
      <c r="D9" s="2">
        <f>IFERROR(__xludf.DUMMYFUNCTION("""COMPUTED_VALUE"""),135.1)</f>
        <v>135.1</v>
      </c>
      <c r="E9" s="2">
        <f>IFERROR(__xludf.DUMMYFUNCTION("""COMPUTED_VALUE"""),142.14)</f>
        <v>142.14</v>
      </c>
      <c r="F9" s="2">
        <f>IFERROR(__xludf.DUMMYFUNCTION("""COMPUTED_VALUE"""),3810038.0)</f>
        <v>3810038</v>
      </c>
    </row>
    <row r="10">
      <c r="A10" s="3">
        <f>IFERROR(__xludf.DUMMYFUNCTION("""COMPUTED_VALUE"""),44939.66666666667)</f>
        <v>44939.66667</v>
      </c>
      <c r="B10" s="2">
        <f>IFERROR(__xludf.DUMMYFUNCTION("""COMPUTED_VALUE"""),139.3)</f>
        <v>139.3</v>
      </c>
      <c r="C10" s="2">
        <f>IFERROR(__xludf.DUMMYFUNCTION("""COMPUTED_VALUE"""),141.77)</f>
        <v>141.77</v>
      </c>
      <c r="D10" s="2">
        <f>IFERROR(__xludf.DUMMYFUNCTION("""COMPUTED_VALUE"""),137.31)</f>
        <v>137.31</v>
      </c>
      <c r="E10" s="2">
        <f>IFERROR(__xludf.DUMMYFUNCTION("""COMPUTED_VALUE"""),140.87)</f>
        <v>140.87</v>
      </c>
      <c r="F10" s="2">
        <f>IFERROR(__xludf.DUMMYFUNCTION("""COMPUTED_VALUE"""),4919267.0)</f>
        <v>4919267</v>
      </c>
    </row>
    <row r="11">
      <c r="A11" s="3">
        <f>IFERROR(__xludf.DUMMYFUNCTION("""COMPUTED_VALUE"""),44943.66666666667)</f>
        <v>44943.66667</v>
      </c>
      <c r="B11" s="2">
        <f>IFERROR(__xludf.DUMMYFUNCTION("""COMPUTED_VALUE"""),141.15)</f>
        <v>141.15</v>
      </c>
      <c r="C11" s="2">
        <f>IFERROR(__xludf.DUMMYFUNCTION("""COMPUTED_VALUE"""),147.32)</f>
        <v>147.32</v>
      </c>
      <c r="D11" s="2">
        <f>IFERROR(__xludf.DUMMYFUNCTION("""COMPUTED_VALUE"""),139.46)</f>
        <v>139.46</v>
      </c>
      <c r="E11" s="2">
        <f>IFERROR(__xludf.DUMMYFUNCTION("""COMPUTED_VALUE"""),145.72)</f>
        <v>145.72</v>
      </c>
      <c r="F11" s="2">
        <f>IFERROR(__xludf.DUMMYFUNCTION("""COMPUTED_VALUE"""),4607410.0)</f>
        <v>4607410</v>
      </c>
    </row>
    <row r="12">
      <c r="A12" s="3">
        <f>IFERROR(__xludf.DUMMYFUNCTION("""COMPUTED_VALUE"""),44944.66666666667)</f>
        <v>44944.66667</v>
      </c>
      <c r="B12" s="2">
        <f>IFERROR(__xludf.DUMMYFUNCTION("""COMPUTED_VALUE"""),147.45)</f>
        <v>147.45</v>
      </c>
      <c r="C12" s="2">
        <f>IFERROR(__xludf.DUMMYFUNCTION("""COMPUTED_VALUE"""),148.57)</f>
        <v>148.57</v>
      </c>
      <c r="D12" s="2">
        <f>IFERROR(__xludf.DUMMYFUNCTION("""COMPUTED_VALUE"""),140.04)</f>
        <v>140.04</v>
      </c>
      <c r="E12" s="2">
        <f>IFERROR(__xludf.DUMMYFUNCTION("""COMPUTED_VALUE"""),140.11)</f>
        <v>140.11</v>
      </c>
      <c r="F12" s="2">
        <f>IFERROR(__xludf.DUMMYFUNCTION("""COMPUTED_VALUE"""),4336969.0)</f>
        <v>4336969</v>
      </c>
    </row>
    <row r="13">
      <c r="A13" s="3">
        <f>IFERROR(__xludf.DUMMYFUNCTION("""COMPUTED_VALUE"""),44945.66666666667)</f>
        <v>44945.66667</v>
      </c>
      <c r="B13" s="2">
        <f>IFERROR(__xludf.DUMMYFUNCTION("""COMPUTED_VALUE"""),137.5)</f>
        <v>137.5</v>
      </c>
      <c r="C13" s="2">
        <f>IFERROR(__xludf.DUMMYFUNCTION("""COMPUTED_VALUE"""),140.55)</f>
        <v>140.55</v>
      </c>
      <c r="D13" s="2">
        <f>IFERROR(__xludf.DUMMYFUNCTION("""COMPUTED_VALUE"""),135.08)</f>
        <v>135.08</v>
      </c>
      <c r="E13" s="2">
        <f>IFERROR(__xludf.DUMMYFUNCTION("""COMPUTED_VALUE"""),135.24)</f>
        <v>135.24</v>
      </c>
      <c r="F13" s="2">
        <f>IFERROR(__xludf.DUMMYFUNCTION("""COMPUTED_VALUE"""),4916404.0)</f>
        <v>4916404</v>
      </c>
    </row>
    <row r="14">
      <c r="A14" s="3">
        <f>IFERROR(__xludf.DUMMYFUNCTION("""COMPUTED_VALUE"""),44946.66666666667)</f>
        <v>44946.66667</v>
      </c>
      <c r="B14" s="2">
        <f>IFERROR(__xludf.DUMMYFUNCTION("""COMPUTED_VALUE"""),136.45)</f>
        <v>136.45</v>
      </c>
      <c r="C14" s="2">
        <f>IFERROR(__xludf.DUMMYFUNCTION("""COMPUTED_VALUE"""),145.08)</f>
        <v>145.08</v>
      </c>
      <c r="D14" s="2">
        <f>IFERROR(__xludf.DUMMYFUNCTION("""COMPUTED_VALUE"""),135.32)</f>
        <v>135.32</v>
      </c>
      <c r="E14" s="2">
        <f>IFERROR(__xludf.DUMMYFUNCTION("""COMPUTED_VALUE"""),144.82)</f>
        <v>144.82</v>
      </c>
      <c r="F14" s="2">
        <f>IFERROR(__xludf.DUMMYFUNCTION("""COMPUTED_VALUE"""),4714237.0)</f>
        <v>4714237</v>
      </c>
    </row>
    <row r="15">
      <c r="A15" s="3">
        <f>IFERROR(__xludf.DUMMYFUNCTION("""COMPUTED_VALUE"""),44949.66666666667)</f>
        <v>44949.66667</v>
      </c>
      <c r="B15" s="2">
        <f>IFERROR(__xludf.DUMMYFUNCTION("""COMPUTED_VALUE"""),146.5)</f>
        <v>146.5</v>
      </c>
      <c r="C15" s="2">
        <f>IFERROR(__xludf.DUMMYFUNCTION("""COMPUTED_VALUE"""),150.92)</f>
        <v>150.92</v>
      </c>
      <c r="D15" s="2">
        <f>IFERROR(__xludf.DUMMYFUNCTION("""COMPUTED_VALUE"""),144.74)</f>
        <v>144.74</v>
      </c>
      <c r="E15" s="2">
        <f>IFERROR(__xludf.DUMMYFUNCTION("""COMPUTED_VALUE"""),150.3)</f>
        <v>150.3</v>
      </c>
      <c r="F15" s="2">
        <f>IFERROR(__xludf.DUMMYFUNCTION("""COMPUTED_VALUE"""),4562743.0)</f>
        <v>4562743</v>
      </c>
    </row>
    <row r="16">
      <c r="A16" s="3">
        <f>IFERROR(__xludf.DUMMYFUNCTION("""COMPUTED_VALUE"""),44950.66666666667)</f>
        <v>44950.66667</v>
      </c>
      <c r="B16" s="2">
        <f>IFERROR(__xludf.DUMMYFUNCTION("""COMPUTED_VALUE"""),148.13)</f>
        <v>148.13</v>
      </c>
      <c r="C16" s="2">
        <f>IFERROR(__xludf.DUMMYFUNCTION("""COMPUTED_VALUE"""),152.76)</f>
        <v>152.76</v>
      </c>
      <c r="D16" s="2">
        <f>IFERROR(__xludf.DUMMYFUNCTION("""COMPUTED_VALUE"""),145.26)</f>
        <v>145.26</v>
      </c>
      <c r="E16" s="2">
        <f>IFERROR(__xludf.DUMMYFUNCTION("""COMPUTED_VALUE"""),145.79)</f>
        <v>145.79</v>
      </c>
      <c r="F16" s="2">
        <f>IFERROR(__xludf.DUMMYFUNCTION("""COMPUTED_VALUE"""),4086142.0)</f>
        <v>4086142</v>
      </c>
    </row>
    <row r="17">
      <c r="A17" s="3">
        <f>IFERROR(__xludf.DUMMYFUNCTION("""COMPUTED_VALUE"""),44951.66666666667)</f>
        <v>44951.66667</v>
      </c>
      <c r="B17" s="2">
        <f>IFERROR(__xludf.DUMMYFUNCTION("""COMPUTED_VALUE"""),138.27)</f>
        <v>138.27</v>
      </c>
      <c r="C17" s="2">
        <f>IFERROR(__xludf.DUMMYFUNCTION("""COMPUTED_VALUE"""),144.93)</f>
        <v>144.93</v>
      </c>
      <c r="D17" s="2">
        <f>IFERROR(__xludf.DUMMYFUNCTION("""COMPUTED_VALUE"""),134.34)</f>
        <v>134.34</v>
      </c>
      <c r="E17" s="2">
        <f>IFERROR(__xludf.DUMMYFUNCTION("""COMPUTED_VALUE"""),144.44)</f>
        <v>144.44</v>
      </c>
      <c r="F17" s="2">
        <f>IFERROR(__xludf.DUMMYFUNCTION("""COMPUTED_VALUE"""),7460129.0)</f>
        <v>7460129</v>
      </c>
    </row>
    <row r="18">
      <c r="A18" s="3">
        <f>IFERROR(__xludf.DUMMYFUNCTION("""COMPUTED_VALUE"""),44952.66666666667)</f>
        <v>44952.66667</v>
      </c>
      <c r="B18" s="2">
        <f>IFERROR(__xludf.DUMMYFUNCTION("""COMPUTED_VALUE"""),148.67)</f>
        <v>148.67</v>
      </c>
      <c r="C18" s="2">
        <f>IFERROR(__xludf.DUMMYFUNCTION("""COMPUTED_VALUE"""),152.49)</f>
        <v>152.49</v>
      </c>
      <c r="D18" s="2">
        <f>IFERROR(__xludf.DUMMYFUNCTION("""COMPUTED_VALUE"""),144.76)</f>
        <v>144.76</v>
      </c>
      <c r="E18" s="2">
        <f>IFERROR(__xludf.DUMMYFUNCTION("""COMPUTED_VALUE"""),152.45)</f>
        <v>152.45</v>
      </c>
      <c r="F18" s="2">
        <f>IFERROR(__xludf.DUMMYFUNCTION("""COMPUTED_VALUE"""),4450235.0)</f>
        <v>4450235</v>
      </c>
    </row>
    <row r="19">
      <c r="A19" s="3">
        <f>IFERROR(__xludf.DUMMYFUNCTION("""COMPUTED_VALUE"""),44953.66666666667)</f>
        <v>44953.66667</v>
      </c>
      <c r="B19" s="2">
        <f>IFERROR(__xludf.DUMMYFUNCTION("""COMPUTED_VALUE"""),150.59)</f>
        <v>150.59</v>
      </c>
      <c r="C19" s="2">
        <f>IFERROR(__xludf.DUMMYFUNCTION("""COMPUTED_VALUE"""),161.32)</f>
        <v>161.32</v>
      </c>
      <c r="D19" s="2">
        <f>IFERROR(__xludf.DUMMYFUNCTION("""COMPUTED_VALUE"""),150.38)</f>
        <v>150.38</v>
      </c>
      <c r="E19" s="2">
        <f>IFERROR(__xludf.DUMMYFUNCTION("""COMPUTED_VALUE"""),159.36)</f>
        <v>159.36</v>
      </c>
      <c r="F19" s="2">
        <f>IFERROR(__xludf.DUMMYFUNCTION("""COMPUTED_VALUE"""),1.1486765E7)</f>
        <v>11486765</v>
      </c>
    </row>
    <row r="20">
      <c r="A20" s="3">
        <f>IFERROR(__xludf.DUMMYFUNCTION("""COMPUTED_VALUE"""),44956.66666666667)</f>
        <v>44956.66667</v>
      </c>
      <c r="B20" s="2">
        <f>IFERROR(__xludf.DUMMYFUNCTION("""COMPUTED_VALUE"""),156.78)</f>
        <v>156.78</v>
      </c>
      <c r="C20" s="2">
        <f>IFERROR(__xludf.DUMMYFUNCTION("""COMPUTED_VALUE"""),159.73)</f>
        <v>159.73</v>
      </c>
      <c r="D20" s="2">
        <f>IFERROR(__xludf.DUMMYFUNCTION("""COMPUTED_VALUE"""),152.81)</f>
        <v>152.81</v>
      </c>
      <c r="E20" s="2">
        <f>IFERROR(__xludf.DUMMYFUNCTION("""COMPUTED_VALUE"""),152.92)</f>
        <v>152.92</v>
      </c>
      <c r="F20" s="2">
        <f>IFERROR(__xludf.DUMMYFUNCTION("""COMPUTED_VALUE"""),4239451.0)</f>
        <v>4239451</v>
      </c>
    </row>
    <row r="21">
      <c r="A21" s="3">
        <f>IFERROR(__xludf.DUMMYFUNCTION("""COMPUTED_VALUE"""),44957.66666666667)</f>
        <v>44957.66667</v>
      </c>
      <c r="B21" s="2">
        <f>IFERROR(__xludf.DUMMYFUNCTION("""COMPUTED_VALUE"""),153.77)</f>
        <v>153.77</v>
      </c>
      <c r="C21" s="2">
        <f>IFERROR(__xludf.DUMMYFUNCTION("""COMPUTED_VALUE"""),157.25)</f>
        <v>157.25</v>
      </c>
      <c r="D21" s="2">
        <f>IFERROR(__xludf.DUMMYFUNCTION("""COMPUTED_VALUE"""),151.21)</f>
        <v>151.21</v>
      </c>
      <c r="E21" s="2">
        <f>IFERROR(__xludf.DUMMYFUNCTION("""COMPUTED_VALUE"""),156.44)</f>
        <v>156.44</v>
      </c>
      <c r="F21" s="2">
        <f>IFERROR(__xludf.DUMMYFUNCTION("""COMPUTED_VALUE"""),5216153.0)</f>
        <v>5216153</v>
      </c>
    </row>
    <row r="22">
      <c r="A22" s="3">
        <f>IFERROR(__xludf.DUMMYFUNCTION("""COMPUTED_VALUE"""),44958.66666666667)</f>
        <v>44958.66667</v>
      </c>
      <c r="B22" s="2">
        <f>IFERROR(__xludf.DUMMYFUNCTION("""COMPUTED_VALUE"""),158.59)</f>
        <v>158.59</v>
      </c>
      <c r="C22" s="2">
        <f>IFERROR(__xludf.DUMMYFUNCTION("""COMPUTED_VALUE"""),166.83)</f>
        <v>166.83</v>
      </c>
      <c r="D22" s="2">
        <f>IFERROR(__xludf.DUMMYFUNCTION("""COMPUTED_VALUE"""),155.44)</f>
        <v>155.44</v>
      </c>
      <c r="E22" s="2">
        <f>IFERROR(__xludf.DUMMYFUNCTION("""COMPUTED_VALUE"""),165.22)</f>
        <v>165.22</v>
      </c>
      <c r="F22" s="2">
        <f>IFERROR(__xludf.DUMMYFUNCTION("""COMPUTED_VALUE"""),5056080.0)</f>
        <v>5056080</v>
      </c>
    </row>
    <row r="23">
      <c r="A23" s="3">
        <f>IFERROR(__xludf.DUMMYFUNCTION("""COMPUTED_VALUE"""),44959.66666666667)</f>
        <v>44959.66667</v>
      </c>
      <c r="B23" s="2">
        <f>IFERROR(__xludf.DUMMYFUNCTION("""COMPUTED_VALUE"""),173.84)</f>
        <v>173.84</v>
      </c>
      <c r="C23" s="2">
        <f>IFERROR(__xludf.DUMMYFUNCTION("""COMPUTED_VALUE"""),178.7)</f>
        <v>178.7</v>
      </c>
      <c r="D23" s="2">
        <f>IFERROR(__xludf.DUMMYFUNCTION("""COMPUTED_VALUE"""),170.26)</f>
        <v>170.26</v>
      </c>
      <c r="E23" s="2">
        <f>IFERROR(__xludf.DUMMYFUNCTION("""COMPUTED_VALUE"""),178.05)</f>
        <v>178.05</v>
      </c>
      <c r="F23" s="2">
        <f>IFERROR(__xludf.DUMMYFUNCTION("""COMPUTED_VALUE"""),8578224.0)</f>
        <v>8578224</v>
      </c>
    </row>
    <row r="24">
      <c r="A24" s="3">
        <f>IFERROR(__xludf.DUMMYFUNCTION("""COMPUTED_VALUE"""),44960.66666666667)</f>
        <v>44960.66667</v>
      </c>
      <c r="B24" s="2">
        <f>IFERROR(__xludf.DUMMYFUNCTION("""COMPUTED_VALUE"""),168.0)</f>
        <v>168</v>
      </c>
      <c r="C24" s="2">
        <f>IFERROR(__xludf.DUMMYFUNCTION("""COMPUTED_VALUE"""),175.49)</f>
        <v>175.49</v>
      </c>
      <c r="D24" s="2">
        <f>IFERROR(__xludf.DUMMYFUNCTION("""COMPUTED_VALUE"""),163.0)</f>
        <v>163</v>
      </c>
      <c r="E24" s="2">
        <f>IFERROR(__xludf.DUMMYFUNCTION("""COMPUTED_VALUE"""),163.29)</f>
        <v>163.29</v>
      </c>
      <c r="F24" s="2">
        <f>IFERROR(__xludf.DUMMYFUNCTION("""COMPUTED_VALUE"""),7312943.0)</f>
        <v>7312943</v>
      </c>
    </row>
    <row r="25">
      <c r="A25" s="3">
        <f>IFERROR(__xludf.DUMMYFUNCTION("""COMPUTED_VALUE"""),44963.66666666667)</f>
        <v>44963.66667</v>
      </c>
      <c r="B25" s="2">
        <f>IFERROR(__xludf.DUMMYFUNCTION("""COMPUTED_VALUE"""),159.74)</f>
        <v>159.74</v>
      </c>
      <c r="C25" s="2">
        <f>IFERROR(__xludf.DUMMYFUNCTION("""COMPUTED_VALUE"""),163.52)</f>
        <v>163.52</v>
      </c>
      <c r="D25" s="2">
        <f>IFERROR(__xludf.DUMMYFUNCTION("""COMPUTED_VALUE"""),156.79)</f>
        <v>156.79</v>
      </c>
      <c r="E25" s="2">
        <f>IFERROR(__xludf.DUMMYFUNCTION("""COMPUTED_VALUE"""),158.07)</f>
        <v>158.07</v>
      </c>
      <c r="F25" s="2">
        <f>IFERROR(__xludf.DUMMYFUNCTION("""COMPUTED_VALUE"""),5708704.0)</f>
        <v>5708704</v>
      </c>
    </row>
    <row r="26">
      <c r="A26" s="3">
        <f>IFERROR(__xludf.DUMMYFUNCTION("""COMPUTED_VALUE"""),44964.66666666667)</f>
        <v>44964.66667</v>
      </c>
      <c r="B26" s="2">
        <f>IFERROR(__xludf.DUMMYFUNCTION("""COMPUTED_VALUE"""),157.93)</f>
        <v>157.93</v>
      </c>
      <c r="C26" s="2">
        <f>IFERROR(__xludf.DUMMYFUNCTION("""COMPUTED_VALUE"""),161.5)</f>
        <v>161.5</v>
      </c>
      <c r="D26" s="2">
        <f>IFERROR(__xludf.DUMMYFUNCTION("""COMPUTED_VALUE"""),154.42)</f>
        <v>154.42</v>
      </c>
      <c r="E26" s="2">
        <f>IFERROR(__xludf.DUMMYFUNCTION("""COMPUTED_VALUE"""),160.77)</f>
        <v>160.77</v>
      </c>
      <c r="F26" s="2">
        <f>IFERROR(__xludf.DUMMYFUNCTION("""COMPUTED_VALUE"""),5343248.0)</f>
        <v>5343248</v>
      </c>
    </row>
    <row r="27">
      <c r="A27" s="3">
        <f>IFERROR(__xludf.DUMMYFUNCTION("""COMPUTED_VALUE"""),44965.66666666667)</f>
        <v>44965.66667</v>
      </c>
      <c r="B27" s="2">
        <f>IFERROR(__xludf.DUMMYFUNCTION("""COMPUTED_VALUE"""),161.26)</f>
        <v>161.26</v>
      </c>
      <c r="C27" s="2">
        <f>IFERROR(__xludf.DUMMYFUNCTION("""COMPUTED_VALUE"""),165.0)</f>
        <v>165</v>
      </c>
      <c r="D27" s="2">
        <f>IFERROR(__xludf.DUMMYFUNCTION("""COMPUTED_VALUE"""),158.04)</f>
        <v>158.04</v>
      </c>
      <c r="E27" s="2">
        <f>IFERROR(__xludf.DUMMYFUNCTION("""COMPUTED_VALUE"""),159.06)</f>
        <v>159.06</v>
      </c>
      <c r="F27" s="2">
        <f>IFERROR(__xludf.DUMMYFUNCTION("""COMPUTED_VALUE"""),3845306.0)</f>
        <v>3845306</v>
      </c>
    </row>
    <row r="28">
      <c r="A28" s="3">
        <f>IFERROR(__xludf.DUMMYFUNCTION("""COMPUTED_VALUE"""),44966.66666666667)</f>
        <v>44966.66667</v>
      </c>
      <c r="B28" s="2">
        <f>IFERROR(__xludf.DUMMYFUNCTION("""COMPUTED_VALUE"""),161.94)</f>
        <v>161.94</v>
      </c>
      <c r="C28" s="2">
        <f>IFERROR(__xludf.DUMMYFUNCTION("""COMPUTED_VALUE"""),166.72)</f>
        <v>166.72</v>
      </c>
      <c r="D28" s="2">
        <f>IFERROR(__xludf.DUMMYFUNCTION("""COMPUTED_VALUE"""),161.27)</f>
        <v>161.27</v>
      </c>
      <c r="E28" s="2">
        <f>IFERROR(__xludf.DUMMYFUNCTION("""COMPUTED_VALUE"""),162.68)</f>
        <v>162.68</v>
      </c>
      <c r="F28" s="2">
        <f>IFERROR(__xludf.DUMMYFUNCTION("""COMPUTED_VALUE"""),4534121.0)</f>
        <v>4534121</v>
      </c>
    </row>
    <row r="29">
      <c r="A29" s="3">
        <f>IFERROR(__xludf.DUMMYFUNCTION("""COMPUTED_VALUE"""),44967.66666666667)</f>
        <v>44967.66667</v>
      </c>
      <c r="B29" s="2">
        <f>IFERROR(__xludf.DUMMYFUNCTION("""COMPUTED_VALUE"""),159.66)</f>
        <v>159.66</v>
      </c>
      <c r="C29" s="2">
        <f>IFERROR(__xludf.DUMMYFUNCTION("""COMPUTED_VALUE"""),162.01)</f>
        <v>162.01</v>
      </c>
      <c r="D29" s="2">
        <f>IFERROR(__xludf.DUMMYFUNCTION("""COMPUTED_VALUE"""),154.73)</f>
        <v>154.73</v>
      </c>
      <c r="E29" s="2">
        <f>IFERROR(__xludf.DUMMYFUNCTION("""COMPUTED_VALUE"""),157.33)</f>
        <v>157.33</v>
      </c>
      <c r="F29" s="2">
        <f>IFERROR(__xludf.DUMMYFUNCTION("""COMPUTED_VALUE"""),4156649.0)</f>
        <v>4156649</v>
      </c>
    </row>
    <row r="30">
      <c r="A30" s="3">
        <f>IFERROR(__xludf.DUMMYFUNCTION("""COMPUTED_VALUE"""),44970.66666666667)</f>
        <v>44970.66667</v>
      </c>
      <c r="B30" s="2">
        <f>IFERROR(__xludf.DUMMYFUNCTION("""COMPUTED_VALUE"""),158.5)</f>
        <v>158.5</v>
      </c>
      <c r="C30" s="2">
        <f>IFERROR(__xludf.DUMMYFUNCTION("""COMPUTED_VALUE"""),165.06)</f>
        <v>165.06</v>
      </c>
      <c r="D30" s="2">
        <f>IFERROR(__xludf.DUMMYFUNCTION("""COMPUTED_VALUE"""),157.05)</f>
        <v>157.05</v>
      </c>
      <c r="E30" s="2">
        <f>IFERROR(__xludf.DUMMYFUNCTION("""COMPUTED_VALUE"""),161.96)</f>
        <v>161.96</v>
      </c>
      <c r="F30" s="2">
        <f>IFERROR(__xludf.DUMMYFUNCTION("""COMPUTED_VALUE"""),3615724.0)</f>
        <v>3615724</v>
      </c>
    </row>
    <row r="31">
      <c r="A31" s="3">
        <f>IFERROR(__xludf.DUMMYFUNCTION("""COMPUTED_VALUE"""),44971.66666666667)</f>
        <v>44971.66667</v>
      </c>
      <c r="B31" s="2">
        <f>IFERROR(__xludf.DUMMYFUNCTION("""COMPUTED_VALUE"""),159.97)</f>
        <v>159.97</v>
      </c>
      <c r="C31" s="2">
        <f>IFERROR(__xludf.DUMMYFUNCTION("""COMPUTED_VALUE"""),171.94)</f>
        <v>171.94</v>
      </c>
      <c r="D31" s="2">
        <f>IFERROR(__xludf.DUMMYFUNCTION("""COMPUTED_VALUE"""),158.24)</f>
        <v>158.24</v>
      </c>
      <c r="E31" s="2">
        <f>IFERROR(__xludf.DUMMYFUNCTION("""COMPUTED_VALUE"""),171.02)</f>
        <v>171.02</v>
      </c>
      <c r="F31" s="2">
        <f>IFERROR(__xludf.DUMMYFUNCTION("""COMPUTED_VALUE"""),4994848.0)</f>
        <v>4994848</v>
      </c>
    </row>
    <row r="32">
      <c r="A32" s="3">
        <f>IFERROR(__xludf.DUMMYFUNCTION("""COMPUTED_VALUE"""),44972.66666666667)</f>
        <v>44972.66667</v>
      </c>
      <c r="B32" s="2">
        <f>IFERROR(__xludf.DUMMYFUNCTION("""COMPUTED_VALUE"""),171.4)</f>
        <v>171.4</v>
      </c>
      <c r="C32" s="2">
        <f>IFERROR(__xludf.DUMMYFUNCTION("""COMPUTED_VALUE"""),175.95)</f>
        <v>175.95</v>
      </c>
      <c r="D32" s="2">
        <f>IFERROR(__xludf.DUMMYFUNCTION("""COMPUTED_VALUE"""),170.07)</f>
        <v>170.07</v>
      </c>
      <c r="E32" s="2">
        <f>IFERROR(__xludf.DUMMYFUNCTION("""COMPUTED_VALUE"""),175.28)</f>
        <v>175.28</v>
      </c>
      <c r="F32" s="2">
        <f>IFERROR(__xludf.DUMMYFUNCTION("""COMPUTED_VALUE"""),4445096.0)</f>
        <v>4445096</v>
      </c>
    </row>
    <row r="33">
      <c r="A33" s="3">
        <f>IFERROR(__xludf.DUMMYFUNCTION("""COMPUTED_VALUE"""),44973.66666666667)</f>
        <v>44973.66667</v>
      </c>
      <c r="B33" s="2">
        <f>IFERROR(__xludf.DUMMYFUNCTION("""COMPUTED_VALUE"""),171.0)</f>
        <v>171</v>
      </c>
      <c r="C33" s="2">
        <f>IFERROR(__xludf.DUMMYFUNCTION("""COMPUTED_VALUE"""),172.72)</f>
        <v>172.72</v>
      </c>
      <c r="D33" s="2">
        <f>IFERROR(__xludf.DUMMYFUNCTION("""COMPUTED_VALUE"""),163.92)</f>
        <v>163.92</v>
      </c>
      <c r="E33" s="2">
        <f>IFERROR(__xludf.DUMMYFUNCTION("""COMPUTED_VALUE"""),164.4)</f>
        <v>164.4</v>
      </c>
      <c r="F33" s="2">
        <f>IFERROR(__xludf.DUMMYFUNCTION("""COMPUTED_VALUE"""),4784586.0)</f>
        <v>4784586</v>
      </c>
    </row>
    <row r="34">
      <c r="A34" s="3">
        <f>IFERROR(__xludf.DUMMYFUNCTION("""COMPUTED_VALUE"""),44974.66666666667)</f>
        <v>44974.66667</v>
      </c>
      <c r="B34" s="2">
        <f>IFERROR(__xludf.DUMMYFUNCTION("""COMPUTED_VALUE"""),160.5)</f>
        <v>160.5</v>
      </c>
      <c r="C34" s="2">
        <f>IFERROR(__xludf.DUMMYFUNCTION("""COMPUTED_VALUE"""),160.77)</f>
        <v>160.77</v>
      </c>
      <c r="D34" s="2">
        <f>IFERROR(__xludf.DUMMYFUNCTION("""COMPUTED_VALUE"""),151.55)</f>
        <v>151.55</v>
      </c>
      <c r="E34" s="2">
        <f>IFERROR(__xludf.DUMMYFUNCTION("""COMPUTED_VALUE"""),154.08)</f>
        <v>154.08</v>
      </c>
      <c r="F34" s="2">
        <f>IFERROR(__xludf.DUMMYFUNCTION("""COMPUTED_VALUE"""),7951490.0)</f>
        <v>7951490</v>
      </c>
    </row>
    <row r="35">
      <c r="A35" s="3">
        <f>IFERROR(__xludf.DUMMYFUNCTION("""COMPUTED_VALUE"""),44978.66666666667)</f>
        <v>44978.66667</v>
      </c>
      <c r="B35" s="2">
        <f>IFERROR(__xludf.DUMMYFUNCTION("""COMPUTED_VALUE"""),150.6)</f>
        <v>150.6</v>
      </c>
      <c r="C35" s="2">
        <f>IFERROR(__xludf.DUMMYFUNCTION("""COMPUTED_VALUE"""),155.0)</f>
        <v>155</v>
      </c>
      <c r="D35" s="2">
        <f>IFERROR(__xludf.DUMMYFUNCTION("""COMPUTED_VALUE"""),150.08)</f>
        <v>150.08</v>
      </c>
      <c r="E35" s="2">
        <f>IFERROR(__xludf.DUMMYFUNCTION("""COMPUTED_VALUE"""),151.26)</f>
        <v>151.26</v>
      </c>
      <c r="F35" s="2">
        <f>IFERROR(__xludf.DUMMYFUNCTION("""COMPUTED_VALUE"""),3410995.0)</f>
        <v>3410995</v>
      </c>
    </row>
    <row r="36">
      <c r="A36" s="3">
        <f>IFERROR(__xludf.DUMMYFUNCTION("""COMPUTED_VALUE"""),44979.66666666667)</f>
        <v>44979.66667</v>
      </c>
      <c r="B36" s="2">
        <f>IFERROR(__xludf.DUMMYFUNCTION("""COMPUTED_VALUE"""),149.5)</f>
        <v>149.5</v>
      </c>
      <c r="C36" s="2">
        <f>IFERROR(__xludf.DUMMYFUNCTION("""COMPUTED_VALUE"""),155.38)</f>
        <v>155.38</v>
      </c>
      <c r="D36" s="2">
        <f>IFERROR(__xludf.DUMMYFUNCTION("""COMPUTED_VALUE"""),149.5)</f>
        <v>149.5</v>
      </c>
      <c r="E36" s="2">
        <f>IFERROR(__xludf.DUMMYFUNCTION("""COMPUTED_VALUE"""),150.66)</f>
        <v>150.66</v>
      </c>
      <c r="F36" s="2">
        <f>IFERROR(__xludf.DUMMYFUNCTION("""COMPUTED_VALUE"""),4101858.0)</f>
        <v>4101858</v>
      </c>
    </row>
    <row r="37">
      <c r="A37" s="3">
        <f>IFERROR(__xludf.DUMMYFUNCTION("""COMPUTED_VALUE"""),44980.66666666667)</f>
        <v>44980.66667</v>
      </c>
      <c r="B37" s="2">
        <f>IFERROR(__xludf.DUMMYFUNCTION("""COMPUTED_VALUE"""),153.5)</f>
        <v>153.5</v>
      </c>
      <c r="C37" s="2">
        <f>IFERROR(__xludf.DUMMYFUNCTION("""COMPUTED_VALUE"""),154.09)</f>
        <v>154.09</v>
      </c>
      <c r="D37" s="2">
        <f>IFERROR(__xludf.DUMMYFUNCTION("""COMPUTED_VALUE"""),147.75)</f>
        <v>147.75</v>
      </c>
      <c r="E37" s="2">
        <f>IFERROR(__xludf.DUMMYFUNCTION("""COMPUTED_VALUE"""),153.12)</f>
        <v>153.12</v>
      </c>
      <c r="F37" s="2">
        <f>IFERROR(__xludf.DUMMYFUNCTION("""COMPUTED_VALUE"""),4105824.0)</f>
        <v>4105824</v>
      </c>
    </row>
    <row r="38">
      <c r="A38" s="3">
        <f>IFERROR(__xludf.DUMMYFUNCTION("""COMPUTED_VALUE"""),44981.66666666667)</f>
        <v>44981.66667</v>
      </c>
      <c r="B38" s="2">
        <f>IFERROR(__xludf.DUMMYFUNCTION("""COMPUTED_VALUE"""),149.85)</f>
        <v>149.85</v>
      </c>
      <c r="C38" s="2">
        <f>IFERROR(__xludf.DUMMYFUNCTION("""COMPUTED_VALUE"""),150.75)</f>
        <v>150.75</v>
      </c>
      <c r="D38" s="2">
        <f>IFERROR(__xludf.DUMMYFUNCTION("""COMPUTED_VALUE"""),145.28)</f>
        <v>145.28</v>
      </c>
      <c r="E38" s="2">
        <f>IFERROR(__xludf.DUMMYFUNCTION("""COMPUTED_VALUE"""),148.44)</f>
        <v>148.44</v>
      </c>
      <c r="F38" s="2">
        <f>IFERROR(__xludf.DUMMYFUNCTION("""COMPUTED_VALUE"""),3791718.0)</f>
        <v>3791718</v>
      </c>
    </row>
    <row r="39">
      <c r="A39" s="3">
        <f>IFERROR(__xludf.DUMMYFUNCTION("""COMPUTED_VALUE"""),44984.66666666667)</f>
        <v>44984.66667</v>
      </c>
      <c r="B39" s="2">
        <f>IFERROR(__xludf.DUMMYFUNCTION("""COMPUTED_VALUE"""),150.2)</f>
        <v>150.2</v>
      </c>
      <c r="C39" s="2">
        <f>IFERROR(__xludf.DUMMYFUNCTION("""COMPUTED_VALUE"""),154.7)</f>
        <v>154.7</v>
      </c>
      <c r="D39" s="2">
        <f>IFERROR(__xludf.DUMMYFUNCTION("""COMPUTED_VALUE"""),148.58)</f>
        <v>148.58</v>
      </c>
      <c r="E39" s="2">
        <f>IFERROR(__xludf.DUMMYFUNCTION("""COMPUTED_VALUE"""),154.65)</f>
        <v>154.65</v>
      </c>
      <c r="F39" s="2">
        <f>IFERROR(__xludf.DUMMYFUNCTION("""COMPUTED_VALUE"""),4499976.0)</f>
        <v>4499976</v>
      </c>
    </row>
    <row r="40">
      <c r="A40" s="3">
        <f>IFERROR(__xludf.DUMMYFUNCTION("""COMPUTED_VALUE"""),44985.66666666667)</f>
        <v>44985.66667</v>
      </c>
      <c r="B40" s="2">
        <f>IFERROR(__xludf.DUMMYFUNCTION("""COMPUTED_VALUE"""),154.68)</f>
        <v>154.68</v>
      </c>
      <c r="C40" s="2">
        <f>IFERROR(__xludf.DUMMYFUNCTION("""COMPUTED_VALUE"""),155.72)</f>
        <v>155.72</v>
      </c>
      <c r="D40" s="2">
        <f>IFERROR(__xludf.DUMMYFUNCTION("""COMPUTED_VALUE"""),152.93)</f>
        <v>152.93</v>
      </c>
      <c r="E40" s="2">
        <f>IFERROR(__xludf.DUMMYFUNCTION("""COMPUTED_VALUE"""),154.38)</f>
        <v>154.38</v>
      </c>
      <c r="F40" s="2">
        <f>IFERROR(__xludf.DUMMYFUNCTION("""COMPUTED_VALUE"""),4395010.0)</f>
        <v>4395010</v>
      </c>
    </row>
    <row r="41">
      <c r="A41" s="3">
        <f>IFERROR(__xludf.DUMMYFUNCTION("""COMPUTED_VALUE"""),44986.66666666667)</f>
        <v>44986.66667</v>
      </c>
      <c r="B41" s="2">
        <f>IFERROR(__xludf.DUMMYFUNCTION("""COMPUTED_VALUE"""),154.22)</f>
        <v>154.22</v>
      </c>
      <c r="C41" s="2">
        <f>IFERROR(__xludf.DUMMYFUNCTION("""COMPUTED_VALUE"""),156.65)</f>
        <v>156.65</v>
      </c>
      <c r="D41" s="2">
        <f>IFERROR(__xludf.DUMMYFUNCTION("""COMPUTED_VALUE"""),153.0)</f>
        <v>153</v>
      </c>
      <c r="E41" s="2">
        <f>IFERROR(__xludf.DUMMYFUNCTION("""COMPUTED_VALUE"""),154.5)</f>
        <v>154.5</v>
      </c>
      <c r="F41" s="2">
        <f>IFERROR(__xludf.DUMMYFUNCTION("""COMPUTED_VALUE"""),8186394.0)</f>
        <v>8186394</v>
      </c>
    </row>
    <row r="42">
      <c r="A42" s="3">
        <f>IFERROR(__xludf.DUMMYFUNCTION("""COMPUTED_VALUE"""),44987.66666666667)</f>
        <v>44987.66667</v>
      </c>
      <c r="B42" s="2">
        <f>IFERROR(__xludf.DUMMYFUNCTION("""COMPUTED_VALUE"""),139.04)</f>
        <v>139.04</v>
      </c>
      <c r="C42" s="2">
        <f>IFERROR(__xludf.DUMMYFUNCTION("""COMPUTED_VALUE"""),140.15)</f>
        <v>140.15</v>
      </c>
      <c r="D42" s="2">
        <f>IFERROR(__xludf.DUMMYFUNCTION("""COMPUTED_VALUE"""),131.12)</f>
        <v>131.12</v>
      </c>
      <c r="E42" s="2">
        <f>IFERROR(__xludf.DUMMYFUNCTION("""COMPUTED_VALUE"""),135.28)</f>
        <v>135.28</v>
      </c>
      <c r="F42" s="2">
        <f>IFERROR(__xludf.DUMMYFUNCTION("""COMPUTED_VALUE"""),2.5866458E7)</f>
        <v>25866458</v>
      </c>
    </row>
    <row r="43">
      <c r="A43" s="3">
        <f>IFERROR(__xludf.DUMMYFUNCTION("""COMPUTED_VALUE"""),44988.66666666667)</f>
        <v>44988.66667</v>
      </c>
      <c r="B43" s="2">
        <f>IFERROR(__xludf.DUMMYFUNCTION("""COMPUTED_VALUE"""),135.51)</f>
        <v>135.51</v>
      </c>
      <c r="C43" s="2">
        <f>IFERROR(__xludf.DUMMYFUNCTION("""COMPUTED_VALUE"""),143.33)</f>
        <v>143.33</v>
      </c>
      <c r="D43" s="2">
        <f>IFERROR(__xludf.DUMMYFUNCTION("""COMPUTED_VALUE"""),135.5)</f>
        <v>135.5</v>
      </c>
      <c r="E43" s="2">
        <f>IFERROR(__xludf.DUMMYFUNCTION("""COMPUTED_VALUE"""),142.11)</f>
        <v>142.11</v>
      </c>
      <c r="F43" s="2">
        <f>IFERROR(__xludf.DUMMYFUNCTION("""COMPUTED_VALUE"""),9894354.0)</f>
        <v>9894354</v>
      </c>
    </row>
    <row r="44">
      <c r="A44" s="3">
        <f>IFERROR(__xludf.DUMMYFUNCTION("""COMPUTED_VALUE"""),44991.66666666667)</f>
        <v>44991.66667</v>
      </c>
      <c r="B44" s="2">
        <f>IFERROR(__xludf.DUMMYFUNCTION("""COMPUTED_VALUE"""),142.65)</f>
        <v>142.65</v>
      </c>
      <c r="C44" s="2">
        <f>IFERROR(__xludf.DUMMYFUNCTION("""COMPUTED_VALUE"""),146.74)</f>
        <v>146.74</v>
      </c>
      <c r="D44" s="2">
        <f>IFERROR(__xludf.DUMMYFUNCTION("""COMPUTED_VALUE"""),140.85)</f>
        <v>140.85</v>
      </c>
      <c r="E44" s="2">
        <f>IFERROR(__xludf.DUMMYFUNCTION("""COMPUTED_VALUE"""),142.07)</f>
        <v>142.07</v>
      </c>
      <c r="F44" s="2">
        <f>IFERROR(__xludf.DUMMYFUNCTION("""COMPUTED_VALUE"""),5419188.0)</f>
        <v>5419188</v>
      </c>
    </row>
    <row r="45">
      <c r="A45" s="3">
        <f>IFERROR(__xludf.DUMMYFUNCTION("""COMPUTED_VALUE"""),44992.66666666667)</f>
        <v>44992.66667</v>
      </c>
      <c r="B45" s="2">
        <f>IFERROR(__xludf.DUMMYFUNCTION("""COMPUTED_VALUE"""),141.0)</f>
        <v>141</v>
      </c>
      <c r="C45" s="2">
        <f>IFERROR(__xludf.DUMMYFUNCTION("""COMPUTED_VALUE"""),146.19)</f>
        <v>146.19</v>
      </c>
      <c r="D45" s="2">
        <f>IFERROR(__xludf.DUMMYFUNCTION("""COMPUTED_VALUE"""),140.1)</f>
        <v>140.1</v>
      </c>
      <c r="E45" s="2">
        <f>IFERROR(__xludf.DUMMYFUNCTION("""COMPUTED_VALUE"""),142.45)</f>
        <v>142.45</v>
      </c>
      <c r="F45" s="2">
        <f>IFERROR(__xludf.DUMMYFUNCTION("""COMPUTED_VALUE"""),4371918.0)</f>
        <v>4371918</v>
      </c>
    </row>
    <row r="46">
      <c r="A46" s="3">
        <f>IFERROR(__xludf.DUMMYFUNCTION("""COMPUTED_VALUE"""),44993.66666666667)</f>
        <v>44993.66667</v>
      </c>
      <c r="B46" s="2">
        <f>IFERROR(__xludf.DUMMYFUNCTION("""COMPUTED_VALUE"""),140.23)</f>
        <v>140.23</v>
      </c>
      <c r="C46" s="2">
        <f>IFERROR(__xludf.DUMMYFUNCTION("""COMPUTED_VALUE"""),144.38)</f>
        <v>144.38</v>
      </c>
      <c r="D46" s="2">
        <f>IFERROR(__xludf.DUMMYFUNCTION("""COMPUTED_VALUE"""),139.29)</f>
        <v>139.29</v>
      </c>
      <c r="E46" s="2">
        <f>IFERROR(__xludf.DUMMYFUNCTION("""COMPUTED_VALUE"""),142.65)</f>
        <v>142.65</v>
      </c>
      <c r="F46" s="2">
        <f>IFERROR(__xludf.DUMMYFUNCTION("""COMPUTED_VALUE"""),3831703.0)</f>
        <v>3831703</v>
      </c>
    </row>
    <row r="47">
      <c r="A47" s="3">
        <f>IFERROR(__xludf.DUMMYFUNCTION("""COMPUTED_VALUE"""),44994.66666666667)</f>
        <v>44994.66667</v>
      </c>
      <c r="B47" s="2">
        <f>IFERROR(__xludf.DUMMYFUNCTION("""COMPUTED_VALUE"""),141.38)</f>
        <v>141.38</v>
      </c>
      <c r="C47" s="2">
        <f>IFERROR(__xludf.DUMMYFUNCTION("""COMPUTED_VALUE"""),144.1)</f>
        <v>144.1</v>
      </c>
      <c r="D47" s="2">
        <f>IFERROR(__xludf.DUMMYFUNCTION("""COMPUTED_VALUE"""),136.05)</f>
        <v>136.05</v>
      </c>
      <c r="E47" s="2">
        <f>IFERROR(__xludf.DUMMYFUNCTION("""COMPUTED_VALUE"""),136.3)</f>
        <v>136.3</v>
      </c>
      <c r="F47" s="2">
        <f>IFERROR(__xludf.DUMMYFUNCTION("""COMPUTED_VALUE"""),5078181.0)</f>
        <v>5078181</v>
      </c>
    </row>
    <row r="48">
      <c r="A48" s="3">
        <f>IFERROR(__xludf.DUMMYFUNCTION("""COMPUTED_VALUE"""),44995.66666666667)</f>
        <v>44995.66667</v>
      </c>
      <c r="B48" s="2">
        <f>IFERROR(__xludf.DUMMYFUNCTION("""COMPUTED_VALUE"""),135.02)</f>
        <v>135.02</v>
      </c>
      <c r="C48" s="2">
        <f>IFERROR(__xludf.DUMMYFUNCTION("""COMPUTED_VALUE"""),135.79)</f>
        <v>135.79</v>
      </c>
      <c r="D48" s="2">
        <f>IFERROR(__xludf.DUMMYFUNCTION("""COMPUTED_VALUE"""),128.56)</f>
        <v>128.56</v>
      </c>
      <c r="E48" s="2">
        <f>IFERROR(__xludf.DUMMYFUNCTION("""COMPUTED_VALUE"""),131.46)</f>
        <v>131.46</v>
      </c>
      <c r="F48" s="2">
        <f>IFERROR(__xludf.DUMMYFUNCTION("""COMPUTED_VALUE"""),8882289.0)</f>
        <v>8882289</v>
      </c>
    </row>
    <row r="49">
      <c r="A49" s="3">
        <f>IFERROR(__xludf.DUMMYFUNCTION("""COMPUTED_VALUE"""),44998.66666666667)</f>
        <v>44998.66667</v>
      </c>
      <c r="B49" s="2">
        <f>IFERROR(__xludf.DUMMYFUNCTION("""COMPUTED_VALUE"""),129.98)</f>
        <v>129.98</v>
      </c>
      <c r="C49" s="2">
        <f>IFERROR(__xludf.DUMMYFUNCTION("""COMPUTED_VALUE"""),140.46)</f>
        <v>140.46</v>
      </c>
      <c r="D49" s="2">
        <f>IFERROR(__xludf.DUMMYFUNCTION("""COMPUTED_VALUE"""),128.76)</f>
        <v>128.76</v>
      </c>
      <c r="E49" s="2">
        <f>IFERROR(__xludf.DUMMYFUNCTION("""COMPUTED_VALUE"""),137.73)</f>
        <v>137.73</v>
      </c>
      <c r="F49" s="2">
        <f>IFERROR(__xludf.DUMMYFUNCTION("""COMPUTED_VALUE"""),7589634.0)</f>
        <v>7589634</v>
      </c>
    </row>
    <row r="50">
      <c r="A50" s="3">
        <f>IFERROR(__xludf.DUMMYFUNCTION("""COMPUTED_VALUE"""),44999.66666666667)</f>
        <v>44999.66667</v>
      </c>
      <c r="B50" s="2">
        <f>IFERROR(__xludf.DUMMYFUNCTION("""COMPUTED_VALUE"""),138.64)</f>
        <v>138.64</v>
      </c>
      <c r="C50" s="2">
        <f>IFERROR(__xludf.DUMMYFUNCTION("""COMPUTED_VALUE"""),140.08)</f>
        <v>140.08</v>
      </c>
      <c r="D50" s="2">
        <f>IFERROR(__xludf.DUMMYFUNCTION("""COMPUTED_VALUE"""),134.88)</f>
        <v>134.88</v>
      </c>
      <c r="E50" s="2">
        <f>IFERROR(__xludf.DUMMYFUNCTION("""COMPUTED_VALUE"""),139.82)</f>
        <v>139.82</v>
      </c>
      <c r="F50" s="2">
        <f>IFERROR(__xludf.DUMMYFUNCTION("""COMPUTED_VALUE"""),6550384.0)</f>
        <v>6550384</v>
      </c>
    </row>
    <row r="51">
      <c r="A51" s="3">
        <f>IFERROR(__xludf.DUMMYFUNCTION("""COMPUTED_VALUE"""),45000.66666666667)</f>
        <v>45000.66667</v>
      </c>
      <c r="B51" s="2">
        <f>IFERROR(__xludf.DUMMYFUNCTION("""COMPUTED_VALUE"""),136.28)</f>
        <v>136.28</v>
      </c>
      <c r="C51" s="2">
        <f>IFERROR(__xludf.DUMMYFUNCTION("""COMPUTED_VALUE"""),140.17)</f>
        <v>140.17</v>
      </c>
      <c r="D51" s="2">
        <f>IFERROR(__xludf.DUMMYFUNCTION("""COMPUTED_VALUE"""),135.3)</f>
        <v>135.3</v>
      </c>
      <c r="E51" s="2">
        <f>IFERROR(__xludf.DUMMYFUNCTION("""COMPUTED_VALUE"""),139.58)</f>
        <v>139.58</v>
      </c>
      <c r="F51" s="2">
        <f>IFERROR(__xludf.DUMMYFUNCTION("""COMPUTED_VALUE"""),4008229.0)</f>
        <v>4008229</v>
      </c>
    </row>
    <row r="52">
      <c r="A52" s="3">
        <f>IFERROR(__xludf.DUMMYFUNCTION("""COMPUTED_VALUE"""),45001.66666666667)</f>
        <v>45001.66667</v>
      </c>
      <c r="B52" s="2">
        <f>IFERROR(__xludf.DUMMYFUNCTION("""COMPUTED_VALUE"""),140.0)</f>
        <v>140</v>
      </c>
      <c r="C52" s="2">
        <f>IFERROR(__xludf.DUMMYFUNCTION("""COMPUTED_VALUE"""),142.44)</f>
        <v>142.44</v>
      </c>
      <c r="D52" s="2">
        <f>IFERROR(__xludf.DUMMYFUNCTION("""COMPUTED_VALUE"""),137.4)</f>
        <v>137.4</v>
      </c>
      <c r="E52" s="2">
        <f>IFERROR(__xludf.DUMMYFUNCTION("""COMPUTED_VALUE"""),138.92)</f>
        <v>138.92</v>
      </c>
      <c r="F52" s="2">
        <f>IFERROR(__xludf.DUMMYFUNCTION("""COMPUTED_VALUE"""),4689052.0)</f>
        <v>4689052</v>
      </c>
    </row>
    <row r="53">
      <c r="A53" s="3">
        <f>IFERROR(__xludf.DUMMYFUNCTION("""COMPUTED_VALUE"""),45002.66666666667)</f>
        <v>45002.66667</v>
      </c>
      <c r="B53" s="2">
        <f>IFERROR(__xludf.DUMMYFUNCTION("""COMPUTED_VALUE"""),138.64)</f>
        <v>138.64</v>
      </c>
      <c r="C53" s="2">
        <f>IFERROR(__xludf.DUMMYFUNCTION("""COMPUTED_VALUE"""),139.44)</f>
        <v>139.44</v>
      </c>
      <c r="D53" s="2">
        <f>IFERROR(__xludf.DUMMYFUNCTION("""COMPUTED_VALUE"""),133.56)</f>
        <v>133.56</v>
      </c>
      <c r="E53" s="2">
        <f>IFERROR(__xludf.DUMMYFUNCTION("""COMPUTED_VALUE"""),135.62)</f>
        <v>135.62</v>
      </c>
      <c r="F53" s="2">
        <f>IFERROR(__xludf.DUMMYFUNCTION("""COMPUTED_VALUE"""),5409629.0)</f>
        <v>5409629</v>
      </c>
    </row>
    <row r="54">
      <c r="A54" s="3">
        <f>IFERROR(__xludf.DUMMYFUNCTION("""COMPUTED_VALUE"""),45005.66666666667)</f>
        <v>45005.66667</v>
      </c>
      <c r="B54" s="2">
        <f>IFERROR(__xludf.DUMMYFUNCTION("""COMPUTED_VALUE"""),133.81)</f>
        <v>133.81</v>
      </c>
      <c r="C54" s="2">
        <f>IFERROR(__xludf.DUMMYFUNCTION("""COMPUTED_VALUE"""),135.58)</f>
        <v>135.58</v>
      </c>
      <c r="D54" s="2">
        <f>IFERROR(__xludf.DUMMYFUNCTION("""COMPUTED_VALUE"""),131.62)</f>
        <v>131.62</v>
      </c>
      <c r="E54" s="2">
        <f>IFERROR(__xludf.DUMMYFUNCTION("""COMPUTED_VALUE"""),135.47)</f>
        <v>135.47</v>
      </c>
      <c r="F54" s="2">
        <f>IFERROR(__xludf.DUMMYFUNCTION("""COMPUTED_VALUE"""),3577383.0)</f>
        <v>3577383</v>
      </c>
    </row>
    <row r="55">
      <c r="A55" s="3">
        <f>IFERROR(__xludf.DUMMYFUNCTION("""COMPUTED_VALUE"""),45006.66666666667)</f>
        <v>45006.66667</v>
      </c>
      <c r="B55" s="2">
        <f>IFERROR(__xludf.DUMMYFUNCTION("""COMPUTED_VALUE"""),136.97)</f>
        <v>136.97</v>
      </c>
      <c r="C55" s="2">
        <f>IFERROR(__xludf.DUMMYFUNCTION("""COMPUTED_VALUE"""),142.29)</f>
        <v>142.29</v>
      </c>
      <c r="D55" s="2">
        <f>IFERROR(__xludf.DUMMYFUNCTION("""COMPUTED_VALUE"""),135.31)</f>
        <v>135.31</v>
      </c>
      <c r="E55" s="2">
        <f>IFERROR(__xludf.DUMMYFUNCTION("""COMPUTED_VALUE"""),141.47)</f>
        <v>141.47</v>
      </c>
      <c r="F55" s="2">
        <f>IFERROR(__xludf.DUMMYFUNCTION("""COMPUTED_VALUE"""),4402331.0)</f>
        <v>4402331</v>
      </c>
    </row>
    <row r="56">
      <c r="A56" s="3">
        <f>IFERROR(__xludf.DUMMYFUNCTION("""COMPUTED_VALUE"""),45007.66666666667)</f>
        <v>45007.66667</v>
      </c>
      <c r="B56" s="2">
        <f>IFERROR(__xludf.DUMMYFUNCTION("""COMPUTED_VALUE"""),141.2)</f>
        <v>141.2</v>
      </c>
      <c r="C56" s="2">
        <f>IFERROR(__xludf.DUMMYFUNCTION("""COMPUTED_VALUE"""),142.8)</f>
        <v>142.8</v>
      </c>
      <c r="D56" s="2">
        <f>IFERROR(__xludf.DUMMYFUNCTION("""COMPUTED_VALUE"""),135.48)</f>
        <v>135.48</v>
      </c>
      <c r="E56" s="2">
        <f>IFERROR(__xludf.DUMMYFUNCTION("""COMPUTED_VALUE"""),135.63)</f>
        <v>135.63</v>
      </c>
      <c r="F56" s="2">
        <f>IFERROR(__xludf.DUMMYFUNCTION("""COMPUTED_VALUE"""),4525711.0)</f>
        <v>4525711</v>
      </c>
    </row>
    <row r="57">
      <c r="A57" s="3">
        <f>IFERROR(__xludf.DUMMYFUNCTION("""COMPUTED_VALUE"""),45008.66666666667)</f>
        <v>45008.66667</v>
      </c>
      <c r="B57" s="2">
        <f>IFERROR(__xludf.DUMMYFUNCTION("""COMPUTED_VALUE"""),137.99)</f>
        <v>137.99</v>
      </c>
      <c r="C57" s="2">
        <f>IFERROR(__xludf.DUMMYFUNCTION("""COMPUTED_VALUE"""),141.1)</f>
        <v>141.1</v>
      </c>
      <c r="D57" s="2">
        <f>IFERROR(__xludf.DUMMYFUNCTION("""COMPUTED_VALUE"""),135.03)</f>
        <v>135.03</v>
      </c>
      <c r="E57" s="2">
        <f>IFERROR(__xludf.DUMMYFUNCTION("""COMPUTED_VALUE"""),140.57)</f>
        <v>140.57</v>
      </c>
      <c r="F57" s="2">
        <f>IFERROR(__xludf.DUMMYFUNCTION("""COMPUTED_VALUE"""),6318822.0)</f>
        <v>6318822</v>
      </c>
    </row>
    <row r="58">
      <c r="A58" s="3">
        <f>IFERROR(__xludf.DUMMYFUNCTION("""COMPUTED_VALUE"""),45009.66666666667)</f>
        <v>45009.66667</v>
      </c>
      <c r="B58" s="2">
        <f>IFERROR(__xludf.DUMMYFUNCTION("""COMPUTED_VALUE"""),139.3)</f>
        <v>139.3</v>
      </c>
      <c r="C58" s="2">
        <f>IFERROR(__xludf.DUMMYFUNCTION("""COMPUTED_VALUE"""),141.98)</f>
        <v>141.98</v>
      </c>
      <c r="D58" s="2">
        <f>IFERROR(__xludf.DUMMYFUNCTION("""COMPUTED_VALUE"""),135.55)</f>
        <v>135.55</v>
      </c>
      <c r="E58" s="2">
        <f>IFERROR(__xludf.DUMMYFUNCTION("""COMPUTED_VALUE"""),136.53)</f>
        <v>136.53</v>
      </c>
      <c r="F58" s="2">
        <f>IFERROR(__xludf.DUMMYFUNCTION("""COMPUTED_VALUE"""),3657496.0)</f>
        <v>3657496</v>
      </c>
    </row>
    <row r="59">
      <c r="A59" s="3">
        <f>IFERROR(__xludf.DUMMYFUNCTION("""COMPUTED_VALUE"""),45012.66666666667)</f>
        <v>45012.66667</v>
      </c>
      <c r="B59" s="2">
        <f>IFERROR(__xludf.DUMMYFUNCTION("""COMPUTED_VALUE"""),136.49)</f>
        <v>136.49</v>
      </c>
      <c r="C59" s="2">
        <f>IFERROR(__xludf.DUMMYFUNCTION("""COMPUTED_VALUE"""),137.87)</f>
        <v>137.87</v>
      </c>
      <c r="D59" s="2">
        <f>IFERROR(__xludf.DUMMYFUNCTION("""COMPUTED_VALUE"""),134.4)</f>
        <v>134.4</v>
      </c>
      <c r="E59" s="2">
        <f>IFERROR(__xludf.DUMMYFUNCTION("""COMPUTED_VALUE"""),134.97)</f>
        <v>134.97</v>
      </c>
      <c r="F59" s="2">
        <f>IFERROR(__xludf.DUMMYFUNCTION("""COMPUTED_VALUE"""),3940424.0)</f>
        <v>3940424</v>
      </c>
    </row>
    <row r="60">
      <c r="A60" s="3">
        <f>IFERROR(__xludf.DUMMYFUNCTION("""COMPUTED_VALUE"""),45013.66666666667)</f>
        <v>45013.66667</v>
      </c>
      <c r="B60" s="2">
        <f>IFERROR(__xludf.DUMMYFUNCTION("""COMPUTED_VALUE"""),136.0)</f>
        <v>136</v>
      </c>
      <c r="C60" s="2">
        <f>IFERROR(__xludf.DUMMYFUNCTION("""COMPUTED_VALUE"""),136.72)</f>
        <v>136.72</v>
      </c>
      <c r="D60" s="2">
        <f>IFERROR(__xludf.DUMMYFUNCTION("""COMPUTED_VALUE"""),134.17)</f>
        <v>134.17</v>
      </c>
      <c r="E60" s="2">
        <f>IFERROR(__xludf.DUMMYFUNCTION("""COMPUTED_VALUE"""),134.81)</f>
        <v>134.81</v>
      </c>
      <c r="F60" s="2">
        <f>IFERROR(__xludf.DUMMYFUNCTION("""COMPUTED_VALUE"""),2692733.0)</f>
        <v>2692733</v>
      </c>
    </row>
    <row r="61">
      <c r="A61" s="3">
        <f>IFERROR(__xludf.DUMMYFUNCTION("""COMPUTED_VALUE"""),45014.66666666667)</f>
        <v>45014.66667</v>
      </c>
      <c r="B61" s="2">
        <f>IFERROR(__xludf.DUMMYFUNCTION("""COMPUTED_VALUE"""),136.26)</f>
        <v>136.26</v>
      </c>
      <c r="C61" s="2">
        <f>IFERROR(__xludf.DUMMYFUNCTION("""COMPUTED_VALUE"""),138.6)</f>
        <v>138.6</v>
      </c>
      <c r="D61" s="2">
        <f>IFERROR(__xludf.DUMMYFUNCTION("""COMPUTED_VALUE"""),135.6)</f>
        <v>135.6</v>
      </c>
      <c r="E61" s="2">
        <f>IFERROR(__xludf.DUMMYFUNCTION("""COMPUTED_VALUE"""),137.46)</f>
        <v>137.46</v>
      </c>
      <c r="F61" s="2">
        <f>IFERROR(__xludf.DUMMYFUNCTION("""COMPUTED_VALUE"""),4051078.0)</f>
        <v>4051078</v>
      </c>
    </row>
    <row r="62">
      <c r="A62" s="3">
        <f>IFERROR(__xludf.DUMMYFUNCTION("""COMPUTED_VALUE"""),45015.66666666667)</f>
        <v>45015.66667</v>
      </c>
      <c r="B62" s="2">
        <f>IFERROR(__xludf.DUMMYFUNCTION("""COMPUTED_VALUE"""),139.99)</f>
        <v>139.99</v>
      </c>
      <c r="C62" s="2">
        <f>IFERROR(__xludf.DUMMYFUNCTION("""COMPUTED_VALUE"""),145.33)</f>
        <v>145.33</v>
      </c>
      <c r="D62" s="2">
        <f>IFERROR(__xludf.DUMMYFUNCTION("""COMPUTED_VALUE"""),138.76)</f>
        <v>138.76</v>
      </c>
      <c r="E62" s="2">
        <f>IFERROR(__xludf.DUMMYFUNCTION("""COMPUTED_VALUE"""),142.11)</f>
        <v>142.11</v>
      </c>
      <c r="F62" s="2">
        <f>IFERROR(__xludf.DUMMYFUNCTION("""COMPUTED_VALUE"""),5171853.0)</f>
        <v>5171853</v>
      </c>
    </row>
    <row r="63">
      <c r="A63" s="3">
        <f>IFERROR(__xludf.DUMMYFUNCTION("""COMPUTED_VALUE"""),45016.66666666667)</f>
        <v>45016.66667</v>
      </c>
      <c r="B63" s="2">
        <f>IFERROR(__xludf.DUMMYFUNCTION("""COMPUTED_VALUE"""),142.81)</f>
        <v>142.81</v>
      </c>
      <c r="C63" s="2">
        <f>IFERROR(__xludf.DUMMYFUNCTION("""COMPUTED_VALUE"""),154.44)</f>
        <v>154.44</v>
      </c>
      <c r="D63" s="2">
        <f>IFERROR(__xludf.DUMMYFUNCTION("""COMPUTED_VALUE"""),141.83)</f>
        <v>141.83</v>
      </c>
      <c r="E63" s="2">
        <f>IFERROR(__xludf.DUMMYFUNCTION("""COMPUTED_VALUE"""),154.29)</f>
        <v>154.29</v>
      </c>
      <c r="F63" s="2">
        <f>IFERROR(__xludf.DUMMYFUNCTION("""COMPUTED_VALUE"""),8611582.0)</f>
        <v>8611582</v>
      </c>
    </row>
    <row r="64">
      <c r="A64" s="3">
        <f>IFERROR(__xludf.DUMMYFUNCTION("""COMPUTED_VALUE"""),45019.66666666667)</f>
        <v>45019.66667</v>
      </c>
      <c r="B64" s="2">
        <f>IFERROR(__xludf.DUMMYFUNCTION("""COMPUTED_VALUE"""),152.78)</f>
        <v>152.78</v>
      </c>
      <c r="C64" s="2">
        <f>IFERROR(__xludf.DUMMYFUNCTION("""COMPUTED_VALUE"""),154.25)</f>
        <v>154.25</v>
      </c>
      <c r="D64" s="2">
        <f>IFERROR(__xludf.DUMMYFUNCTION("""COMPUTED_VALUE"""),148.72)</f>
        <v>148.72</v>
      </c>
      <c r="E64" s="2">
        <f>IFERROR(__xludf.DUMMYFUNCTION("""COMPUTED_VALUE"""),150.0)</f>
        <v>150</v>
      </c>
      <c r="F64" s="2">
        <f>IFERROR(__xludf.DUMMYFUNCTION("""COMPUTED_VALUE"""),4290127.0)</f>
        <v>4290127</v>
      </c>
    </row>
    <row r="65">
      <c r="A65" s="3">
        <f>IFERROR(__xludf.DUMMYFUNCTION("""COMPUTED_VALUE"""),45020.66666666667)</f>
        <v>45020.66667</v>
      </c>
      <c r="B65" s="2">
        <f>IFERROR(__xludf.DUMMYFUNCTION("""COMPUTED_VALUE"""),151.0)</f>
        <v>151</v>
      </c>
      <c r="C65" s="2">
        <f>IFERROR(__xludf.DUMMYFUNCTION("""COMPUTED_VALUE"""),158.0)</f>
        <v>158</v>
      </c>
      <c r="D65" s="2">
        <f>IFERROR(__xludf.DUMMYFUNCTION("""COMPUTED_VALUE"""),150.75)</f>
        <v>150.75</v>
      </c>
      <c r="E65" s="2">
        <f>IFERROR(__xludf.DUMMYFUNCTION("""COMPUTED_VALUE"""),155.43)</f>
        <v>155.43</v>
      </c>
      <c r="F65" s="2">
        <f>IFERROR(__xludf.DUMMYFUNCTION("""COMPUTED_VALUE"""),9213654.0)</f>
        <v>9213654</v>
      </c>
    </row>
    <row r="66">
      <c r="A66" s="3">
        <f>IFERROR(__xludf.DUMMYFUNCTION("""COMPUTED_VALUE"""),45021.66666666667)</f>
        <v>45021.66667</v>
      </c>
      <c r="B66" s="2">
        <f>IFERROR(__xludf.DUMMYFUNCTION("""COMPUTED_VALUE"""),154.83)</f>
        <v>154.83</v>
      </c>
      <c r="C66" s="2">
        <f>IFERROR(__xludf.DUMMYFUNCTION("""COMPUTED_VALUE"""),156.04)</f>
        <v>156.04</v>
      </c>
      <c r="D66" s="2">
        <f>IFERROR(__xludf.DUMMYFUNCTION("""COMPUTED_VALUE"""),144.14)</f>
        <v>144.14</v>
      </c>
      <c r="E66" s="2">
        <f>IFERROR(__xludf.DUMMYFUNCTION("""COMPUTED_VALUE"""),146.48)</f>
        <v>146.48</v>
      </c>
      <c r="F66" s="2">
        <f>IFERROR(__xludf.DUMMYFUNCTION("""COMPUTED_VALUE"""),5422068.0)</f>
        <v>5422068</v>
      </c>
    </row>
    <row r="67">
      <c r="A67" s="3">
        <f>IFERROR(__xludf.DUMMYFUNCTION("""COMPUTED_VALUE"""),45022.66666666667)</f>
        <v>45022.66667</v>
      </c>
      <c r="B67" s="2">
        <f>IFERROR(__xludf.DUMMYFUNCTION("""COMPUTED_VALUE"""),144.59)</f>
        <v>144.59</v>
      </c>
      <c r="C67" s="2">
        <f>IFERROR(__xludf.DUMMYFUNCTION("""COMPUTED_VALUE"""),146.06)</f>
        <v>146.06</v>
      </c>
      <c r="D67" s="2">
        <f>IFERROR(__xludf.DUMMYFUNCTION("""COMPUTED_VALUE"""),140.88)</f>
        <v>140.88</v>
      </c>
      <c r="E67" s="2">
        <f>IFERROR(__xludf.DUMMYFUNCTION("""COMPUTED_VALUE"""),145.68)</f>
        <v>145.68</v>
      </c>
      <c r="F67" s="2">
        <f>IFERROR(__xludf.DUMMYFUNCTION("""COMPUTED_VALUE"""),3326902.0)</f>
        <v>3326902</v>
      </c>
    </row>
    <row r="68">
      <c r="A68" s="3">
        <f>IFERROR(__xludf.DUMMYFUNCTION("""COMPUTED_VALUE"""),45026.66666666667)</f>
        <v>45026.66667</v>
      </c>
      <c r="B68" s="2">
        <f>IFERROR(__xludf.DUMMYFUNCTION("""COMPUTED_VALUE"""),143.34)</f>
        <v>143.34</v>
      </c>
      <c r="C68" s="2">
        <f>IFERROR(__xludf.DUMMYFUNCTION("""COMPUTED_VALUE"""),147.99)</f>
        <v>147.99</v>
      </c>
      <c r="D68" s="2">
        <f>IFERROR(__xludf.DUMMYFUNCTION("""COMPUTED_VALUE"""),141.6)</f>
        <v>141.6</v>
      </c>
      <c r="E68" s="2">
        <f>IFERROR(__xludf.DUMMYFUNCTION("""COMPUTED_VALUE"""),147.77)</f>
        <v>147.77</v>
      </c>
      <c r="F68" s="2">
        <f>IFERROR(__xludf.DUMMYFUNCTION("""COMPUTED_VALUE"""),3484912.0)</f>
        <v>3484912</v>
      </c>
    </row>
    <row r="69">
      <c r="A69" s="3">
        <f>IFERROR(__xludf.DUMMYFUNCTION("""COMPUTED_VALUE"""),45027.66666666667)</f>
        <v>45027.66667</v>
      </c>
      <c r="B69" s="2">
        <f>IFERROR(__xludf.DUMMYFUNCTION("""COMPUTED_VALUE"""),139.68)</f>
        <v>139.68</v>
      </c>
      <c r="C69" s="2">
        <f>IFERROR(__xludf.DUMMYFUNCTION("""COMPUTED_VALUE"""),142.4)</f>
        <v>142.4</v>
      </c>
      <c r="D69" s="2">
        <f>IFERROR(__xludf.DUMMYFUNCTION("""COMPUTED_VALUE"""),136.59)</f>
        <v>136.59</v>
      </c>
      <c r="E69" s="2">
        <f>IFERROR(__xludf.DUMMYFUNCTION("""COMPUTED_VALUE"""),139.19)</f>
        <v>139.19</v>
      </c>
      <c r="F69" s="2">
        <f>IFERROR(__xludf.DUMMYFUNCTION("""COMPUTED_VALUE"""),1.0945816E7)</f>
        <v>10945816</v>
      </c>
    </row>
    <row r="70">
      <c r="A70" s="3">
        <f>IFERROR(__xludf.DUMMYFUNCTION("""COMPUTED_VALUE"""),45028.66666666667)</f>
        <v>45028.66667</v>
      </c>
      <c r="B70" s="2">
        <f>IFERROR(__xludf.DUMMYFUNCTION("""COMPUTED_VALUE"""),141.9)</f>
        <v>141.9</v>
      </c>
      <c r="C70" s="2">
        <f>IFERROR(__xludf.DUMMYFUNCTION("""COMPUTED_VALUE"""),144.5)</f>
        <v>144.5</v>
      </c>
      <c r="D70" s="2">
        <f>IFERROR(__xludf.DUMMYFUNCTION("""COMPUTED_VALUE"""),139.32)</f>
        <v>139.32</v>
      </c>
      <c r="E70" s="2">
        <f>IFERROR(__xludf.DUMMYFUNCTION("""COMPUTED_VALUE"""),139.66)</f>
        <v>139.66</v>
      </c>
      <c r="F70" s="2">
        <f>IFERROR(__xludf.DUMMYFUNCTION("""COMPUTED_VALUE"""),6993540.0)</f>
        <v>6993540</v>
      </c>
    </row>
    <row r="71">
      <c r="A71" s="3">
        <f>IFERROR(__xludf.DUMMYFUNCTION("""COMPUTED_VALUE"""),45029.66666666667)</f>
        <v>45029.66667</v>
      </c>
      <c r="B71" s="2">
        <f>IFERROR(__xludf.DUMMYFUNCTION("""COMPUTED_VALUE"""),141.09)</f>
        <v>141.09</v>
      </c>
      <c r="C71" s="2">
        <f>IFERROR(__xludf.DUMMYFUNCTION("""COMPUTED_VALUE"""),144.55)</f>
        <v>144.55</v>
      </c>
      <c r="D71" s="2">
        <f>IFERROR(__xludf.DUMMYFUNCTION("""COMPUTED_VALUE"""),140.55)</f>
        <v>140.55</v>
      </c>
      <c r="E71" s="2">
        <f>IFERROR(__xludf.DUMMYFUNCTION("""COMPUTED_VALUE"""),141.38)</f>
        <v>141.38</v>
      </c>
      <c r="F71" s="2">
        <f>IFERROR(__xludf.DUMMYFUNCTION("""COMPUTED_VALUE"""),4832512.0)</f>
        <v>4832512</v>
      </c>
    </row>
    <row r="72">
      <c r="A72" s="3">
        <f>IFERROR(__xludf.DUMMYFUNCTION("""COMPUTED_VALUE"""),45030.66666666667)</f>
        <v>45030.66667</v>
      </c>
      <c r="B72" s="2">
        <f>IFERROR(__xludf.DUMMYFUNCTION("""COMPUTED_VALUE"""),140.0)</f>
        <v>140</v>
      </c>
      <c r="C72" s="2">
        <f>IFERROR(__xludf.DUMMYFUNCTION("""COMPUTED_VALUE"""),142.2)</f>
        <v>142.2</v>
      </c>
      <c r="D72" s="2">
        <f>IFERROR(__xludf.DUMMYFUNCTION("""COMPUTED_VALUE"""),138.31)</f>
        <v>138.31</v>
      </c>
      <c r="E72" s="2">
        <f>IFERROR(__xludf.DUMMYFUNCTION("""COMPUTED_VALUE"""),142.13)</f>
        <v>142.13</v>
      </c>
      <c r="F72" s="2">
        <f>IFERROR(__xludf.DUMMYFUNCTION("""COMPUTED_VALUE"""),5472627.0)</f>
        <v>5472627</v>
      </c>
    </row>
    <row r="73">
      <c r="A73" s="3">
        <f>IFERROR(__xludf.DUMMYFUNCTION("""COMPUTED_VALUE"""),45033.66666666667)</f>
        <v>45033.66667</v>
      </c>
      <c r="B73" s="2">
        <f>IFERROR(__xludf.DUMMYFUNCTION("""COMPUTED_VALUE"""),142.13)</f>
        <v>142.13</v>
      </c>
      <c r="C73" s="2">
        <f>IFERROR(__xludf.DUMMYFUNCTION("""COMPUTED_VALUE"""),145.85)</f>
        <v>145.85</v>
      </c>
      <c r="D73" s="2">
        <f>IFERROR(__xludf.DUMMYFUNCTION("""COMPUTED_VALUE"""),141.83)</f>
        <v>141.83</v>
      </c>
      <c r="E73" s="2">
        <f>IFERROR(__xludf.DUMMYFUNCTION("""COMPUTED_VALUE"""),145.26)</f>
        <v>145.26</v>
      </c>
      <c r="F73" s="2">
        <f>IFERROR(__xludf.DUMMYFUNCTION("""COMPUTED_VALUE"""),3970463.0)</f>
        <v>3970463</v>
      </c>
    </row>
    <row r="74">
      <c r="A74" s="3">
        <f>IFERROR(__xludf.DUMMYFUNCTION("""COMPUTED_VALUE"""),45034.66666666667)</f>
        <v>45034.66667</v>
      </c>
      <c r="B74" s="2">
        <f>IFERROR(__xludf.DUMMYFUNCTION("""COMPUTED_VALUE"""),147.53)</f>
        <v>147.53</v>
      </c>
      <c r="C74" s="2">
        <f>IFERROR(__xludf.DUMMYFUNCTION("""COMPUTED_VALUE"""),147.57)</f>
        <v>147.57</v>
      </c>
      <c r="D74" s="2">
        <f>IFERROR(__xludf.DUMMYFUNCTION("""COMPUTED_VALUE"""),142.17)</f>
        <v>142.17</v>
      </c>
      <c r="E74" s="2">
        <f>IFERROR(__xludf.DUMMYFUNCTION("""COMPUTED_VALUE"""),145.89)</f>
        <v>145.89</v>
      </c>
      <c r="F74" s="2">
        <f>IFERROR(__xludf.DUMMYFUNCTION("""COMPUTED_VALUE"""),4021831.0)</f>
        <v>4021831</v>
      </c>
    </row>
    <row r="75">
      <c r="A75" s="3">
        <f>IFERROR(__xludf.DUMMYFUNCTION("""COMPUTED_VALUE"""),45035.66666666667)</f>
        <v>45035.66667</v>
      </c>
      <c r="B75" s="2">
        <f>IFERROR(__xludf.DUMMYFUNCTION("""COMPUTED_VALUE"""),144.45)</f>
        <v>144.45</v>
      </c>
      <c r="C75" s="2">
        <f>IFERROR(__xludf.DUMMYFUNCTION("""COMPUTED_VALUE"""),146.46)</f>
        <v>146.46</v>
      </c>
      <c r="D75" s="2">
        <f>IFERROR(__xludf.DUMMYFUNCTION("""COMPUTED_VALUE"""),143.65)</f>
        <v>143.65</v>
      </c>
      <c r="E75" s="2">
        <f>IFERROR(__xludf.DUMMYFUNCTION("""COMPUTED_VALUE"""),144.55)</f>
        <v>144.55</v>
      </c>
      <c r="F75" s="2">
        <f>IFERROR(__xludf.DUMMYFUNCTION("""COMPUTED_VALUE"""),2887438.0)</f>
        <v>2887438</v>
      </c>
    </row>
    <row r="76">
      <c r="A76" s="3">
        <f>IFERROR(__xludf.DUMMYFUNCTION("""COMPUTED_VALUE"""),45036.66666666667)</f>
        <v>45036.66667</v>
      </c>
      <c r="B76" s="2">
        <f>IFERROR(__xludf.DUMMYFUNCTION("""COMPUTED_VALUE"""),142.3)</f>
        <v>142.3</v>
      </c>
      <c r="C76" s="2">
        <f>IFERROR(__xludf.DUMMYFUNCTION("""COMPUTED_VALUE"""),144.13)</f>
        <v>144.13</v>
      </c>
      <c r="D76" s="2">
        <f>IFERROR(__xludf.DUMMYFUNCTION("""COMPUTED_VALUE"""),141.74)</f>
        <v>141.74</v>
      </c>
      <c r="E76" s="2">
        <f>IFERROR(__xludf.DUMMYFUNCTION("""COMPUTED_VALUE"""),142.72)</f>
        <v>142.72</v>
      </c>
      <c r="F76" s="2">
        <f>IFERROR(__xludf.DUMMYFUNCTION("""COMPUTED_VALUE"""),2993922.0)</f>
        <v>2993922</v>
      </c>
    </row>
    <row r="77">
      <c r="A77" s="3">
        <f>IFERROR(__xludf.DUMMYFUNCTION("""COMPUTED_VALUE"""),45037.66666666667)</f>
        <v>45037.66667</v>
      </c>
      <c r="B77" s="2">
        <f>IFERROR(__xludf.DUMMYFUNCTION("""COMPUTED_VALUE"""),144.07)</f>
        <v>144.07</v>
      </c>
      <c r="C77" s="2">
        <f>IFERROR(__xludf.DUMMYFUNCTION("""COMPUTED_VALUE"""),146.8)</f>
        <v>146.8</v>
      </c>
      <c r="D77" s="2">
        <f>IFERROR(__xludf.DUMMYFUNCTION("""COMPUTED_VALUE"""),143.52)</f>
        <v>143.52</v>
      </c>
      <c r="E77" s="2">
        <f>IFERROR(__xludf.DUMMYFUNCTION("""COMPUTED_VALUE"""),145.19)</f>
        <v>145.19</v>
      </c>
      <c r="F77" s="2">
        <f>IFERROR(__xludf.DUMMYFUNCTION("""COMPUTED_VALUE"""),3672166.0)</f>
        <v>3672166</v>
      </c>
    </row>
    <row r="78">
      <c r="A78" s="3">
        <f>IFERROR(__xludf.DUMMYFUNCTION("""COMPUTED_VALUE"""),45040.66666666667)</f>
        <v>45040.66667</v>
      </c>
      <c r="B78" s="2">
        <f>IFERROR(__xludf.DUMMYFUNCTION("""COMPUTED_VALUE"""),144.85)</f>
        <v>144.85</v>
      </c>
      <c r="C78" s="2">
        <f>IFERROR(__xludf.DUMMYFUNCTION("""COMPUTED_VALUE"""),145.81)</f>
        <v>145.81</v>
      </c>
      <c r="D78" s="2">
        <f>IFERROR(__xludf.DUMMYFUNCTION("""COMPUTED_VALUE"""),140.77)</f>
        <v>140.77</v>
      </c>
      <c r="E78" s="2">
        <f>IFERROR(__xludf.DUMMYFUNCTION("""COMPUTED_VALUE"""),142.51)</f>
        <v>142.51</v>
      </c>
      <c r="F78" s="2">
        <f>IFERROR(__xludf.DUMMYFUNCTION("""COMPUTED_VALUE"""),3472436.0)</f>
        <v>3472436</v>
      </c>
    </row>
    <row r="79">
      <c r="A79" s="3">
        <f>IFERROR(__xludf.DUMMYFUNCTION("""COMPUTED_VALUE"""),45041.66666666667)</f>
        <v>45041.66667</v>
      </c>
      <c r="B79" s="2">
        <f>IFERROR(__xludf.DUMMYFUNCTION("""COMPUTED_VALUE"""),140.56)</f>
        <v>140.56</v>
      </c>
      <c r="C79" s="2">
        <f>IFERROR(__xludf.DUMMYFUNCTION("""COMPUTED_VALUE"""),140.66)</f>
        <v>140.66</v>
      </c>
      <c r="D79" s="2">
        <f>IFERROR(__xludf.DUMMYFUNCTION("""COMPUTED_VALUE"""),135.26)</f>
        <v>135.26</v>
      </c>
      <c r="E79" s="2">
        <f>IFERROR(__xludf.DUMMYFUNCTION("""COMPUTED_VALUE"""),135.48)</f>
        <v>135.48</v>
      </c>
      <c r="F79" s="2">
        <f>IFERROR(__xludf.DUMMYFUNCTION("""COMPUTED_VALUE"""),7176410.0)</f>
        <v>7176410</v>
      </c>
    </row>
    <row r="80">
      <c r="A80" s="3">
        <f>IFERROR(__xludf.DUMMYFUNCTION("""COMPUTED_VALUE"""),45042.66666666667)</f>
        <v>45042.66667</v>
      </c>
      <c r="B80" s="2">
        <f>IFERROR(__xludf.DUMMYFUNCTION("""COMPUTED_VALUE"""),142.78)</f>
        <v>142.78</v>
      </c>
      <c r="C80" s="2">
        <f>IFERROR(__xludf.DUMMYFUNCTION("""COMPUTED_VALUE"""),149.28)</f>
        <v>149.28</v>
      </c>
      <c r="D80" s="2">
        <f>IFERROR(__xludf.DUMMYFUNCTION("""COMPUTED_VALUE"""),142.6)</f>
        <v>142.6</v>
      </c>
      <c r="E80" s="2">
        <f>IFERROR(__xludf.DUMMYFUNCTION("""COMPUTED_VALUE"""),147.06)</f>
        <v>147.06</v>
      </c>
      <c r="F80" s="2">
        <f>IFERROR(__xludf.DUMMYFUNCTION("""COMPUTED_VALUE"""),9439700.0)</f>
        <v>9439700</v>
      </c>
    </row>
    <row r="81">
      <c r="A81" s="3">
        <f>IFERROR(__xludf.DUMMYFUNCTION("""COMPUTED_VALUE"""),45043.66666666667)</f>
        <v>45043.66667</v>
      </c>
      <c r="B81" s="2">
        <f>IFERROR(__xludf.DUMMYFUNCTION("""COMPUTED_VALUE"""),148.32)</f>
        <v>148.32</v>
      </c>
      <c r="C81" s="2">
        <f>IFERROR(__xludf.DUMMYFUNCTION("""COMPUTED_VALUE"""),149.88)</f>
        <v>149.88</v>
      </c>
      <c r="D81" s="2">
        <f>IFERROR(__xludf.DUMMYFUNCTION("""COMPUTED_VALUE"""),145.13)</f>
        <v>145.13</v>
      </c>
      <c r="E81" s="2">
        <f>IFERROR(__xludf.DUMMYFUNCTION("""COMPUTED_VALUE"""),148.77)</f>
        <v>148.77</v>
      </c>
      <c r="F81" s="2">
        <f>IFERROR(__xludf.DUMMYFUNCTION("""COMPUTED_VALUE"""),5736423.0)</f>
        <v>5736423</v>
      </c>
    </row>
    <row r="82">
      <c r="A82" s="3">
        <f>IFERROR(__xludf.DUMMYFUNCTION("""COMPUTED_VALUE"""),45044.66666666667)</f>
        <v>45044.66667</v>
      </c>
      <c r="B82" s="2">
        <f>IFERROR(__xludf.DUMMYFUNCTION("""COMPUTED_VALUE"""),145.67)</f>
        <v>145.67</v>
      </c>
      <c r="C82" s="2">
        <f>IFERROR(__xludf.DUMMYFUNCTION("""COMPUTED_VALUE"""),148.76)</f>
        <v>148.76</v>
      </c>
      <c r="D82" s="2">
        <f>IFERROR(__xludf.DUMMYFUNCTION("""COMPUTED_VALUE"""),140.87)</f>
        <v>140.87</v>
      </c>
      <c r="E82" s="2">
        <f>IFERROR(__xludf.DUMMYFUNCTION("""COMPUTED_VALUE"""),148.08)</f>
        <v>148.08</v>
      </c>
      <c r="F82" s="2">
        <f>IFERROR(__xludf.DUMMYFUNCTION("""COMPUTED_VALUE"""),5223139.0)</f>
        <v>5223139</v>
      </c>
    </row>
    <row r="83">
      <c r="A83" s="3">
        <f>IFERROR(__xludf.DUMMYFUNCTION("""COMPUTED_VALUE"""),45047.66666666667)</f>
        <v>45047.66667</v>
      </c>
      <c r="B83" s="2">
        <f>IFERROR(__xludf.DUMMYFUNCTION("""COMPUTED_VALUE"""),148.15)</f>
        <v>148.15</v>
      </c>
      <c r="C83" s="2">
        <f>IFERROR(__xludf.DUMMYFUNCTION("""COMPUTED_VALUE"""),148.46)</f>
        <v>148.46</v>
      </c>
      <c r="D83" s="2">
        <f>IFERROR(__xludf.DUMMYFUNCTION("""COMPUTED_VALUE"""),145.01)</f>
        <v>145.01</v>
      </c>
      <c r="E83" s="2">
        <f>IFERROR(__xludf.DUMMYFUNCTION("""COMPUTED_VALUE"""),146.97)</f>
        <v>146.97</v>
      </c>
      <c r="F83" s="2">
        <f>IFERROR(__xludf.DUMMYFUNCTION("""COMPUTED_VALUE"""),3011139.0)</f>
        <v>3011139</v>
      </c>
    </row>
    <row r="84">
      <c r="A84" s="3">
        <f>IFERROR(__xludf.DUMMYFUNCTION("""COMPUTED_VALUE"""),45048.66666666667)</f>
        <v>45048.66667</v>
      </c>
      <c r="B84" s="2">
        <f>IFERROR(__xludf.DUMMYFUNCTION("""COMPUTED_VALUE"""),146.44)</f>
        <v>146.44</v>
      </c>
      <c r="C84" s="2">
        <f>IFERROR(__xludf.DUMMYFUNCTION("""COMPUTED_VALUE"""),147.05)</f>
        <v>147.05</v>
      </c>
      <c r="D84" s="2">
        <f>IFERROR(__xludf.DUMMYFUNCTION("""COMPUTED_VALUE"""),143.54)</f>
        <v>143.54</v>
      </c>
      <c r="E84" s="2">
        <f>IFERROR(__xludf.DUMMYFUNCTION("""COMPUTED_VALUE"""),144.84)</f>
        <v>144.84</v>
      </c>
      <c r="F84" s="2">
        <f>IFERROR(__xludf.DUMMYFUNCTION("""COMPUTED_VALUE"""),2845502.0)</f>
        <v>2845502</v>
      </c>
    </row>
    <row r="85">
      <c r="A85" s="3">
        <f>IFERROR(__xludf.DUMMYFUNCTION("""COMPUTED_VALUE"""),45049.66666666667)</f>
        <v>45049.66667</v>
      </c>
      <c r="B85" s="2">
        <f>IFERROR(__xludf.DUMMYFUNCTION("""COMPUTED_VALUE"""),144.07)</f>
        <v>144.07</v>
      </c>
      <c r="C85" s="2">
        <f>IFERROR(__xludf.DUMMYFUNCTION("""COMPUTED_VALUE"""),147.59)</f>
        <v>147.59</v>
      </c>
      <c r="D85" s="2">
        <f>IFERROR(__xludf.DUMMYFUNCTION("""COMPUTED_VALUE"""),142.44)</f>
        <v>142.44</v>
      </c>
      <c r="E85" s="2">
        <f>IFERROR(__xludf.DUMMYFUNCTION("""COMPUTED_VALUE"""),144.64)</f>
        <v>144.64</v>
      </c>
      <c r="F85" s="2">
        <f>IFERROR(__xludf.DUMMYFUNCTION("""COMPUTED_VALUE"""),3309104.0)</f>
        <v>3309104</v>
      </c>
    </row>
    <row r="86">
      <c r="A86" s="3">
        <f>IFERROR(__xludf.DUMMYFUNCTION("""COMPUTED_VALUE"""),45050.66666666667)</f>
        <v>45050.66667</v>
      </c>
      <c r="B86" s="2">
        <f>IFERROR(__xludf.DUMMYFUNCTION("""COMPUTED_VALUE"""),148.98)</f>
        <v>148.98</v>
      </c>
      <c r="C86" s="2">
        <f>IFERROR(__xludf.DUMMYFUNCTION("""COMPUTED_VALUE"""),156.59)</f>
        <v>156.59</v>
      </c>
      <c r="D86" s="2">
        <f>IFERROR(__xludf.DUMMYFUNCTION("""COMPUTED_VALUE"""),148.86)</f>
        <v>148.86</v>
      </c>
      <c r="E86" s="2">
        <f>IFERROR(__xludf.DUMMYFUNCTION("""COMPUTED_VALUE"""),155.27)</f>
        <v>155.27</v>
      </c>
      <c r="F86" s="2">
        <f>IFERROR(__xludf.DUMMYFUNCTION("""COMPUTED_VALUE"""),7030450.0)</f>
        <v>7030450</v>
      </c>
    </row>
    <row r="87">
      <c r="A87" s="3">
        <f>IFERROR(__xludf.DUMMYFUNCTION("""COMPUTED_VALUE"""),45051.66666666667)</f>
        <v>45051.66667</v>
      </c>
      <c r="B87" s="2">
        <f>IFERROR(__xludf.DUMMYFUNCTION("""COMPUTED_VALUE"""),155.75)</f>
        <v>155.75</v>
      </c>
      <c r="C87" s="2">
        <f>IFERROR(__xludf.DUMMYFUNCTION("""COMPUTED_VALUE"""),159.05)</f>
        <v>159.05</v>
      </c>
      <c r="D87" s="2">
        <f>IFERROR(__xludf.DUMMYFUNCTION("""COMPUTED_VALUE"""),153.0)</f>
        <v>153</v>
      </c>
      <c r="E87" s="2">
        <f>IFERROR(__xludf.DUMMYFUNCTION("""COMPUTED_VALUE"""),154.17)</f>
        <v>154.17</v>
      </c>
      <c r="F87" s="2">
        <f>IFERROR(__xludf.DUMMYFUNCTION("""COMPUTED_VALUE"""),4538512.0)</f>
        <v>4538512</v>
      </c>
    </row>
    <row r="88">
      <c r="A88" s="3">
        <f>IFERROR(__xludf.DUMMYFUNCTION("""COMPUTED_VALUE"""),45054.66666666667)</f>
        <v>45054.66667</v>
      </c>
      <c r="B88" s="2">
        <f>IFERROR(__xludf.DUMMYFUNCTION("""COMPUTED_VALUE"""),160.11)</f>
        <v>160.11</v>
      </c>
      <c r="C88" s="2">
        <f>IFERROR(__xludf.DUMMYFUNCTION("""COMPUTED_VALUE"""),163.18)</f>
        <v>163.18</v>
      </c>
      <c r="D88" s="2">
        <f>IFERROR(__xludf.DUMMYFUNCTION("""COMPUTED_VALUE"""),156.29)</f>
        <v>156.29</v>
      </c>
      <c r="E88" s="2">
        <f>IFERROR(__xludf.DUMMYFUNCTION("""COMPUTED_VALUE"""),160.42)</f>
        <v>160.42</v>
      </c>
      <c r="F88" s="2">
        <f>IFERROR(__xludf.DUMMYFUNCTION("""COMPUTED_VALUE"""),5587240.0)</f>
        <v>5587240</v>
      </c>
    </row>
    <row r="89">
      <c r="A89" s="3">
        <f>IFERROR(__xludf.DUMMYFUNCTION("""COMPUTED_VALUE"""),45055.66666666667)</f>
        <v>45055.66667</v>
      </c>
      <c r="B89" s="2">
        <f>IFERROR(__xludf.DUMMYFUNCTION("""COMPUTED_VALUE"""),158.97)</f>
        <v>158.97</v>
      </c>
      <c r="C89" s="2">
        <f>IFERROR(__xludf.DUMMYFUNCTION("""COMPUTED_VALUE"""),164.56)</f>
        <v>164.56</v>
      </c>
      <c r="D89" s="2">
        <f>IFERROR(__xludf.DUMMYFUNCTION("""COMPUTED_VALUE"""),158.61)</f>
        <v>158.61</v>
      </c>
      <c r="E89" s="2">
        <f>IFERROR(__xludf.DUMMYFUNCTION("""COMPUTED_VALUE"""),163.87)</f>
        <v>163.87</v>
      </c>
      <c r="F89" s="2">
        <f>IFERROR(__xludf.DUMMYFUNCTION("""COMPUTED_VALUE"""),3770447.0)</f>
        <v>3770447</v>
      </c>
    </row>
    <row r="90">
      <c r="A90" s="3">
        <f>IFERROR(__xludf.DUMMYFUNCTION("""COMPUTED_VALUE"""),45056.66666666667)</f>
        <v>45056.66667</v>
      </c>
      <c r="B90" s="2">
        <f>IFERROR(__xludf.DUMMYFUNCTION("""COMPUTED_VALUE"""),165.81)</f>
        <v>165.81</v>
      </c>
      <c r="C90" s="2">
        <f>IFERROR(__xludf.DUMMYFUNCTION("""COMPUTED_VALUE"""),173.27)</f>
        <v>173.27</v>
      </c>
      <c r="D90" s="2">
        <f>IFERROR(__xludf.DUMMYFUNCTION("""COMPUTED_VALUE"""),165.2)</f>
        <v>165.2</v>
      </c>
      <c r="E90" s="2">
        <f>IFERROR(__xludf.DUMMYFUNCTION("""COMPUTED_VALUE"""),172.04)</f>
        <v>172.04</v>
      </c>
      <c r="F90" s="2">
        <f>IFERROR(__xludf.DUMMYFUNCTION("""COMPUTED_VALUE"""),6799409.0)</f>
        <v>6799409</v>
      </c>
    </row>
    <row r="91">
      <c r="A91" s="3">
        <f>IFERROR(__xludf.DUMMYFUNCTION("""COMPUTED_VALUE"""),45057.66666666667)</f>
        <v>45057.66667</v>
      </c>
      <c r="B91" s="2">
        <f>IFERROR(__xludf.DUMMYFUNCTION("""COMPUTED_VALUE"""),170.21)</f>
        <v>170.21</v>
      </c>
      <c r="C91" s="2">
        <f>IFERROR(__xludf.DUMMYFUNCTION("""COMPUTED_VALUE"""),171.78)</f>
        <v>171.78</v>
      </c>
      <c r="D91" s="2">
        <f>IFERROR(__xludf.DUMMYFUNCTION("""COMPUTED_VALUE"""),168.85)</f>
        <v>168.85</v>
      </c>
      <c r="E91" s="2">
        <f>IFERROR(__xludf.DUMMYFUNCTION("""COMPUTED_VALUE"""),170.07)</f>
        <v>170.07</v>
      </c>
      <c r="F91" s="2">
        <f>IFERROR(__xludf.DUMMYFUNCTION("""COMPUTED_VALUE"""),3466383.0)</f>
        <v>3466383</v>
      </c>
    </row>
    <row r="92">
      <c r="A92" s="3">
        <f>IFERROR(__xludf.DUMMYFUNCTION("""COMPUTED_VALUE"""),45058.66666666667)</f>
        <v>45058.66667</v>
      </c>
      <c r="B92" s="2">
        <f>IFERROR(__xludf.DUMMYFUNCTION("""COMPUTED_VALUE"""),169.2)</f>
        <v>169.2</v>
      </c>
      <c r="C92" s="2">
        <f>IFERROR(__xludf.DUMMYFUNCTION("""COMPUTED_VALUE"""),171.32)</f>
        <v>171.32</v>
      </c>
      <c r="D92" s="2">
        <f>IFERROR(__xludf.DUMMYFUNCTION("""COMPUTED_VALUE"""),166.42)</f>
        <v>166.42</v>
      </c>
      <c r="E92" s="2">
        <f>IFERROR(__xludf.DUMMYFUNCTION("""COMPUTED_VALUE"""),167.4)</f>
        <v>167.4</v>
      </c>
      <c r="F92" s="2">
        <f>IFERROR(__xludf.DUMMYFUNCTION("""COMPUTED_VALUE"""),4041019.0)</f>
        <v>4041019</v>
      </c>
    </row>
    <row r="93">
      <c r="A93" s="3">
        <f>IFERROR(__xludf.DUMMYFUNCTION("""COMPUTED_VALUE"""),45061.66666666667)</f>
        <v>45061.66667</v>
      </c>
      <c r="B93" s="2">
        <f>IFERROR(__xludf.DUMMYFUNCTION("""COMPUTED_VALUE"""),167.66)</f>
        <v>167.66</v>
      </c>
      <c r="C93" s="2">
        <f>IFERROR(__xludf.DUMMYFUNCTION("""COMPUTED_VALUE"""),172.88)</f>
        <v>172.88</v>
      </c>
      <c r="D93" s="2">
        <f>IFERROR(__xludf.DUMMYFUNCTION("""COMPUTED_VALUE"""),166.9)</f>
        <v>166.9</v>
      </c>
      <c r="E93" s="2">
        <f>IFERROR(__xludf.DUMMYFUNCTION("""COMPUTED_VALUE"""),172.05)</f>
        <v>172.05</v>
      </c>
      <c r="F93" s="2">
        <f>IFERROR(__xludf.DUMMYFUNCTION("""COMPUTED_VALUE"""),3436500.0)</f>
        <v>3436500</v>
      </c>
    </row>
    <row r="94">
      <c r="A94" s="3">
        <f>IFERROR(__xludf.DUMMYFUNCTION("""COMPUTED_VALUE"""),45062.66666666667)</f>
        <v>45062.66667</v>
      </c>
      <c r="B94" s="2">
        <f>IFERROR(__xludf.DUMMYFUNCTION("""COMPUTED_VALUE"""),170.14)</f>
        <v>170.14</v>
      </c>
      <c r="C94" s="2">
        <f>IFERROR(__xludf.DUMMYFUNCTION("""COMPUTED_VALUE"""),173.05)</f>
        <v>173.05</v>
      </c>
      <c r="D94" s="2">
        <f>IFERROR(__xludf.DUMMYFUNCTION("""COMPUTED_VALUE"""),168.79)</f>
        <v>168.79</v>
      </c>
      <c r="E94" s="2">
        <f>IFERROR(__xludf.DUMMYFUNCTION("""COMPUTED_VALUE"""),171.71)</f>
        <v>171.71</v>
      </c>
      <c r="F94" s="2">
        <f>IFERROR(__xludf.DUMMYFUNCTION("""COMPUTED_VALUE"""),3482860.0)</f>
        <v>3482860</v>
      </c>
    </row>
    <row r="95">
      <c r="A95" s="3">
        <f>IFERROR(__xludf.DUMMYFUNCTION("""COMPUTED_VALUE"""),45063.66666666667)</f>
        <v>45063.66667</v>
      </c>
      <c r="B95" s="2">
        <f>IFERROR(__xludf.DUMMYFUNCTION("""COMPUTED_VALUE"""),172.09)</f>
        <v>172.09</v>
      </c>
      <c r="C95" s="2">
        <f>IFERROR(__xludf.DUMMYFUNCTION("""COMPUTED_VALUE"""),174.55)</f>
        <v>174.55</v>
      </c>
      <c r="D95" s="2">
        <f>IFERROR(__xludf.DUMMYFUNCTION("""COMPUTED_VALUE"""),170.3)</f>
        <v>170.3</v>
      </c>
      <c r="E95" s="2">
        <f>IFERROR(__xludf.DUMMYFUNCTION("""COMPUTED_VALUE"""),174.02)</f>
        <v>174.02</v>
      </c>
      <c r="F95" s="2">
        <f>IFERROR(__xludf.DUMMYFUNCTION("""COMPUTED_VALUE"""),4335566.0)</f>
        <v>4335566</v>
      </c>
    </row>
    <row r="96">
      <c r="A96" s="3">
        <f>IFERROR(__xludf.DUMMYFUNCTION("""COMPUTED_VALUE"""),45064.66666666667)</f>
        <v>45064.66667</v>
      </c>
      <c r="B96" s="2">
        <f>IFERROR(__xludf.DUMMYFUNCTION("""COMPUTED_VALUE"""),175.97)</f>
        <v>175.97</v>
      </c>
      <c r="C96" s="2">
        <f>IFERROR(__xludf.DUMMYFUNCTION("""COMPUTED_VALUE"""),185.0)</f>
        <v>185</v>
      </c>
      <c r="D96" s="2">
        <f>IFERROR(__xludf.DUMMYFUNCTION("""COMPUTED_VALUE"""),175.51)</f>
        <v>175.51</v>
      </c>
      <c r="E96" s="2">
        <f>IFERROR(__xludf.DUMMYFUNCTION("""COMPUTED_VALUE"""),184.31)</f>
        <v>184.31</v>
      </c>
      <c r="F96" s="2">
        <f>IFERROR(__xludf.DUMMYFUNCTION("""COMPUTED_VALUE"""),7229138.0)</f>
        <v>7229138</v>
      </c>
    </row>
    <row r="97">
      <c r="A97" s="3">
        <f>IFERROR(__xludf.DUMMYFUNCTION("""COMPUTED_VALUE"""),45065.66666666667)</f>
        <v>45065.66667</v>
      </c>
      <c r="B97" s="2">
        <f>IFERROR(__xludf.DUMMYFUNCTION("""COMPUTED_VALUE"""),181.18)</f>
        <v>181.18</v>
      </c>
      <c r="C97" s="2">
        <f>IFERROR(__xludf.DUMMYFUNCTION("""COMPUTED_VALUE"""),182.46)</f>
        <v>182.46</v>
      </c>
      <c r="D97" s="2">
        <f>IFERROR(__xludf.DUMMYFUNCTION("""COMPUTED_VALUE"""),175.71)</f>
        <v>175.71</v>
      </c>
      <c r="E97" s="2">
        <f>IFERROR(__xludf.DUMMYFUNCTION("""COMPUTED_VALUE"""),176.82)</f>
        <v>176.82</v>
      </c>
      <c r="F97" s="2">
        <f>IFERROR(__xludf.DUMMYFUNCTION("""COMPUTED_VALUE"""),6704978.0)</f>
        <v>6704978</v>
      </c>
    </row>
    <row r="98">
      <c r="A98" s="3">
        <f>IFERROR(__xludf.DUMMYFUNCTION("""COMPUTED_VALUE"""),45068.66666666667)</f>
        <v>45068.66667</v>
      </c>
      <c r="B98" s="2">
        <f>IFERROR(__xludf.DUMMYFUNCTION("""COMPUTED_VALUE"""),176.51)</f>
        <v>176.51</v>
      </c>
      <c r="C98" s="2">
        <f>IFERROR(__xludf.DUMMYFUNCTION("""COMPUTED_VALUE"""),182.2)</f>
        <v>182.2</v>
      </c>
      <c r="D98" s="2">
        <f>IFERROR(__xludf.DUMMYFUNCTION("""COMPUTED_VALUE"""),175.39)</f>
        <v>175.39</v>
      </c>
      <c r="E98" s="2">
        <f>IFERROR(__xludf.DUMMYFUNCTION("""COMPUTED_VALUE"""),178.47)</f>
        <v>178.47</v>
      </c>
      <c r="F98" s="2">
        <f>IFERROR(__xludf.DUMMYFUNCTION("""COMPUTED_VALUE"""),4424320.0)</f>
        <v>4424320</v>
      </c>
    </row>
    <row r="99">
      <c r="A99" s="3">
        <f>IFERROR(__xludf.DUMMYFUNCTION("""COMPUTED_VALUE"""),45069.66666666667)</f>
        <v>45069.66667</v>
      </c>
      <c r="B99" s="2">
        <f>IFERROR(__xludf.DUMMYFUNCTION("""COMPUTED_VALUE"""),177.04)</f>
        <v>177.04</v>
      </c>
      <c r="C99" s="2">
        <f>IFERROR(__xludf.DUMMYFUNCTION("""COMPUTED_VALUE"""),182.5)</f>
        <v>182.5</v>
      </c>
      <c r="D99" s="2">
        <f>IFERROR(__xludf.DUMMYFUNCTION("""COMPUTED_VALUE"""),175.08)</f>
        <v>175.08</v>
      </c>
      <c r="E99" s="2">
        <f>IFERROR(__xludf.DUMMYFUNCTION("""COMPUTED_VALUE"""),175.16)</f>
        <v>175.16</v>
      </c>
      <c r="F99" s="2">
        <f>IFERROR(__xludf.DUMMYFUNCTION("""COMPUTED_VALUE"""),4558489.0)</f>
        <v>4558489</v>
      </c>
    </row>
    <row r="100">
      <c r="A100" s="3">
        <f>IFERROR(__xludf.DUMMYFUNCTION("""COMPUTED_VALUE"""),45070.66666666667)</f>
        <v>45070.66667</v>
      </c>
      <c r="B100" s="2">
        <f>IFERROR(__xludf.DUMMYFUNCTION("""COMPUTED_VALUE"""),173.64)</f>
        <v>173.64</v>
      </c>
      <c r="C100" s="2">
        <f>IFERROR(__xludf.DUMMYFUNCTION("""COMPUTED_VALUE"""),178.4)</f>
        <v>178.4</v>
      </c>
      <c r="D100" s="2">
        <f>IFERROR(__xludf.DUMMYFUNCTION("""COMPUTED_VALUE"""),172.12)</f>
        <v>172.12</v>
      </c>
      <c r="E100" s="2">
        <f>IFERROR(__xludf.DUMMYFUNCTION("""COMPUTED_VALUE"""),177.14)</f>
        <v>177.14</v>
      </c>
      <c r="F100" s="2">
        <f>IFERROR(__xludf.DUMMYFUNCTION("""COMPUTED_VALUE"""),1.0020835E7)</f>
        <v>10020835</v>
      </c>
    </row>
    <row r="101">
      <c r="A101" s="3">
        <f>IFERROR(__xludf.DUMMYFUNCTION("""COMPUTED_VALUE"""),45071.66666666667)</f>
        <v>45071.66667</v>
      </c>
      <c r="B101" s="2">
        <f>IFERROR(__xludf.DUMMYFUNCTION("""COMPUTED_VALUE"""),150.47)</f>
        <v>150.47</v>
      </c>
      <c r="C101" s="2">
        <f>IFERROR(__xludf.DUMMYFUNCTION("""COMPUTED_VALUE"""),158.73)</f>
        <v>158.73</v>
      </c>
      <c r="D101" s="2">
        <f>IFERROR(__xludf.DUMMYFUNCTION("""COMPUTED_VALUE"""),143.11)</f>
        <v>143.11</v>
      </c>
      <c r="E101" s="2">
        <f>IFERROR(__xludf.DUMMYFUNCTION("""COMPUTED_VALUE"""),147.91)</f>
        <v>147.91</v>
      </c>
      <c r="F101" s="2">
        <f>IFERROR(__xludf.DUMMYFUNCTION("""COMPUTED_VALUE"""),2.3969998E7)</f>
        <v>23969998</v>
      </c>
    </row>
    <row r="102">
      <c r="A102" s="3">
        <f>IFERROR(__xludf.DUMMYFUNCTION("""COMPUTED_VALUE"""),45072.66666666667)</f>
        <v>45072.66667</v>
      </c>
      <c r="B102" s="2">
        <f>IFERROR(__xludf.DUMMYFUNCTION("""COMPUTED_VALUE"""),146.86)</f>
        <v>146.86</v>
      </c>
      <c r="C102" s="2">
        <f>IFERROR(__xludf.DUMMYFUNCTION("""COMPUTED_VALUE"""),152.9)</f>
        <v>152.9</v>
      </c>
      <c r="D102" s="2">
        <f>IFERROR(__xludf.DUMMYFUNCTION("""COMPUTED_VALUE"""),144.82)</f>
        <v>144.82</v>
      </c>
      <c r="E102" s="2">
        <f>IFERROR(__xludf.DUMMYFUNCTION("""COMPUTED_VALUE"""),150.01)</f>
        <v>150.01</v>
      </c>
      <c r="F102" s="2">
        <f>IFERROR(__xludf.DUMMYFUNCTION("""COMPUTED_VALUE"""),1.1512197E7)</f>
        <v>11512197</v>
      </c>
    </row>
    <row r="103">
      <c r="A103" s="3">
        <f>IFERROR(__xludf.DUMMYFUNCTION("""COMPUTED_VALUE"""),45076.66666666667)</f>
        <v>45076.66667</v>
      </c>
      <c r="B103" s="2">
        <f>IFERROR(__xludf.DUMMYFUNCTION("""COMPUTED_VALUE"""),151.18)</f>
        <v>151.18</v>
      </c>
      <c r="C103" s="2">
        <f>IFERROR(__xludf.DUMMYFUNCTION("""COMPUTED_VALUE"""),159.99)</f>
        <v>159.99</v>
      </c>
      <c r="D103" s="2">
        <f>IFERROR(__xludf.DUMMYFUNCTION("""COMPUTED_VALUE"""),150.5)</f>
        <v>150.5</v>
      </c>
      <c r="E103" s="2">
        <f>IFERROR(__xludf.DUMMYFUNCTION("""COMPUTED_VALUE"""),158.65)</f>
        <v>158.65</v>
      </c>
      <c r="F103" s="2">
        <f>IFERROR(__xludf.DUMMYFUNCTION("""COMPUTED_VALUE"""),9655841.0)</f>
        <v>9655841</v>
      </c>
    </row>
    <row r="104">
      <c r="A104" s="3">
        <f>IFERROR(__xludf.DUMMYFUNCTION("""COMPUTED_VALUE"""),45077.66666666667)</f>
        <v>45077.66667</v>
      </c>
      <c r="B104" s="2">
        <f>IFERROR(__xludf.DUMMYFUNCTION("""COMPUTED_VALUE"""),158.0)</f>
        <v>158</v>
      </c>
      <c r="C104" s="2">
        <f>IFERROR(__xludf.DUMMYFUNCTION("""COMPUTED_VALUE"""),168.98)</f>
        <v>168.98</v>
      </c>
      <c r="D104" s="2">
        <f>IFERROR(__xludf.DUMMYFUNCTION("""COMPUTED_VALUE"""),157.43)</f>
        <v>157.43</v>
      </c>
      <c r="E104" s="2">
        <f>IFERROR(__xludf.DUMMYFUNCTION("""COMPUTED_VALUE"""),165.36)</f>
        <v>165.36</v>
      </c>
      <c r="F104" s="2">
        <f>IFERROR(__xludf.DUMMYFUNCTION("""COMPUTED_VALUE"""),1.4605655E7)</f>
        <v>14605655</v>
      </c>
    </row>
    <row r="105">
      <c r="A105" s="3">
        <f>IFERROR(__xludf.DUMMYFUNCTION("""COMPUTED_VALUE"""),45078.66666666667)</f>
        <v>45078.66667</v>
      </c>
      <c r="B105" s="2">
        <f>IFERROR(__xludf.DUMMYFUNCTION("""COMPUTED_VALUE"""),160.37)</f>
        <v>160.37</v>
      </c>
      <c r="C105" s="2">
        <f>IFERROR(__xludf.DUMMYFUNCTION("""COMPUTED_VALUE"""),169.46)</f>
        <v>169.46</v>
      </c>
      <c r="D105" s="2">
        <f>IFERROR(__xludf.DUMMYFUNCTION("""COMPUTED_VALUE"""),160.0)</f>
        <v>160</v>
      </c>
      <c r="E105" s="2">
        <f>IFERROR(__xludf.DUMMYFUNCTION("""COMPUTED_VALUE"""),167.28)</f>
        <v>167.28</v>
      </c>
      <c r="F105" s="2">
        <f>IFERROR(__xludf.DUMMYFUNCTION("""COMPUTED_VALUE"""),5597720.0)</f>
        <v>5597720</v>
      </c>
    </row>
    <row r="106">
      <c r="A106" s="3">
        <f>IFERROR(__xludf.DUMMYFUNCTION("""COMPUTED_VALUE"""),45079.66666666667)</f>
        <v>45079.66667</v>
      </c>
      <c r="B106" s="2">
        <f>IFERROR(__xludf.DUMMYFUNCTION("""COMPUTED_VALUE"""),172.3)</f>
        <v>172.3</v>
      </c>
      <c r="C106" s="2">
        <f>IFERROR(__xludf.DUMMYFUNCTION("""COMPUTED_VALUE"""),182.95)</f>
        <v>182.95</v>
      </c>
      <c r="D106" s="2">
        <f>IFERROR(__xludf.DUMMYFUNCTION("""COMPUTED_VALUE"""),172.08)</f>
        <v>172.08</v>
      </c>
      <c r="E106" s="2">
        <f>IFERROR(__xludf.DUMMYFUNCTION("""COMPUTED_VALUE"""),175.21)</f>
        <v>175.21</v>
      </c>
      <c r="F106" s="2">
        <f>IFERROR(__xludf.DUMMYFUNCTION("""COMPUTED_VALUE"""),9757340.0)</f>
        <v>9757340</v>
      </c>
    </row>
    <row r="107">
      <c r="A107" s="3">
        <f>IFERROR(__xludf.DUMMYFUNCTION("""COMPUTED_VALUE"""),45082.66666666667)</f>
        <v>45082.66667</v>
      </c>
      <c r="B107" s="2">
        <f>IFERROR(__xludf.DUMMYFUNCTION("""COMPUTED_VALUE"""),175.81)</f>
        <v>175.81</v>
      </c>
      <c r="C107" s="2">
        <f>IFERROR(__xludf.DUMMYFUNCTION("""COMPUTED_VALUE"""),183.55)</f>
        <v>183.55</v>
      </c>
      <c r="D107" s="2">
        <f>IFERROR(__xludf.DUMMYFUNCTION("""COMPUTED_VALUE"""),175.5)</f>
        <v>175.5</v>
      </c>
      <c r="E107" s="2">
        <f>IFERROR(__xludf.DUMMYFUNCTION("""COMPUTED_VALUE"""),181.75)</f>
        <v>181.75</v>
      </c>
      <c r="F107" s="2">
        <f>IFERROR(__xludf.DUMMYFUNCTION("""COMPUTED_VALUE"""),5608728.0)</f>
        <v>5608728</v>
      </c>
    </row>
    <row r="108">
      <c r="A108" s="3">
        <f>IFERROR(__xludf.DUMMYFUNCTION("""COMPUTED_VALUE"""),45083.66666666667)</f>
        <v>45083.66667</v>
      </c>
      <c r="B108" s="2">
        <f>IFERROR(__xludf.DUMMYFUNCTION("""COMPUTED_VALUE"""),181.25)</f>
        <v>181.25</v>
      </c>
      <c r="C108" s="2">
        <f>IFERROR(__xludf.DUMMYFUNCTION("""COMPUTED_VALUE"""),185.04)</f>
        <v>185.04</v>
      </c>
      <c r="D108" s="2">
        <f>IFERROR(__xludf.DUMMYFUNCTION("""COMPUTED_VALUE"""),181.17)</f>
        <v>181.17</v>
      </c>
      <c r="E108" s="2">
        <f>IFERROR(__xludf.DUMMYFUNCTION("""COMPUTED_VALUE"""),182.22)</f>
        <v>182.22</v>
      </c>
      <c r="F108" s="2">
        <f>IFERROR(__xludf.DUMMYFUNCTION("""COMPUTED_VALUE"""),5827714.0)</f>
        <v>5827714</v>
      </c>
    </row>
    <row r="109">
      <c r="A109" s="3">
        <f>IFERROR(__xludf.DUMMYFUNCTION("""COMPUTED_VALUE"""),45084.66666666667)</f>
        <v>45084.66667</v>
      </c>
      <c r="B109" s="2">
        <f>IFERROR(__xludf.DUMMYFUNCTION("""COMPUTED_VALUE"""),182.01)</f>
        <v>182.01</v>
      </c>
      <c r="C109" s="2">
        <f>IFERROR(__xludf.DUMMYFUNCTION("""COMPUTED_VALUE"""),183.0)</f>
        <v>183</v>
      </c>
      <c r="D109" s="2">
        <f>IFERROR(__xludf.DUMMYFUNCTION("""COMPUTED_VALUE"""),167.37)</f>
        <v>167.37</v>
      </c>
      <c r="E109" s="2">
        <f>IFERROR(__xludf.DUMMYFUNCTION("""COMPUTED_VALUE"""),169.07)</f>
        <v>169.07</v>
      </c>
      <c r="F109" s="2">
        <f>IFERROR(__xludf.DUMMYFUNCTION("""COMPUTED_VALUE"""),8407551.0)</f>
        <v>8407551</v>
      </c>
    </row>
    <row r="110">
      <c r="A110" s="3">
        <f>IFERROR(__xludf.DUMMYFUNCTION("""COMPUTED_VALUE"""),45085.66666666667)</f>
        <v>45085.66667</v>
      </c>
      <c r="B110" s="2">
        <f>IFERROR(__xludf.DUMMYFUNCTION("""COMPUTED_VALUE"""),167.66)</f>
        <v>167.66</v>
      </c>
      <c r="C110" s="2">
        <f>IFERROR(__xludf.DUMMYFUNCTION("""COMPUTED_VALUE"""),174.66)</f>
        <v>174.66</v>
      </c>
      <c r="D110" s="2">
        <f>IFERROR(__xludf.DUMMYFUNCTION("""COMPUTED_VALUE"""),166.4)</f>
        <v>166.4</v>
      </c>
      <c r="E110" s="2">
        <f>IFERROR(__xludf.DUMMYFUNCTION("""COMPUTED_VALUE"""),174.31)</f>
        <v>174.31</v>
      </c>
      <c r="F110" s="2">
        <f>IFERROR(__xludf.DUMMYFUNCTION("""COMPUTED_VALUE"""),5847401.0)</f>
        <v>5847401</v>
      </c>
    </row>
    <row r="111">
      <c r="A111" s="3">
        <f>IFERROR(__xludf.DUMMYFUNCTION("""COMPUTED_VALUE"""),45086.66666666667)</f>
        <v>45086.66667</v>
      </c>
      <c r="B111" s="2">
        <f>IFERROR(__xludf.DUMMYFUNCTION("""COMPUTED_VALUE"""),174.31)</f>
        <v>174.31</v>
      </c>
      <c r="C111" s="2">
        <f>IFERROR(__xludf.DUMMYFUNCTION("""COMPUTED_VALUE"""),176.53)</f>
        <v>176.53</v>
      </c>
      <c r="D111" s="2">
        <f>IFERROR(__xludf.DUMMYFUNCTION("""COMPUTED_VALUE"""),169.29)</f>
        <v>169.29</v>
      </c>
      <c r="E111" s="2">
        <f>IFERROR(__xludf.DUMMYFUNCTION("""COMPUTED_VALUE"""),170.65)</f>
        <v>170.65</v>
      </c>
      <c r="F111" s="2">
        <f>IFERROR(__xludf.DUMMYFUNCTION("""COMPUTED_VALUE"""),5314504.0)</f>
        <v>5314504</v>
      </c>
    </row>
    <row r="112">
      <c r="A112" s="3">
        <f>IFERROR(__xludf.DUMMYFUNCTION("""COMPUTED_VALUE"""),45089.66666666667)</f>
        <v>45089.66667</v>
      </c>
      <c r="B112" s="2">
        <f>IFERROR(__xludf.DUMMYFUNCTION("""COMPUTED_VALUE"""),170.27)</f>
        <v>170.27</v>
      </c>
      <c r="C112" s="2">
        <f>IFERROR(__xludf.DUMMYFUNCTION("""COMPUTED_VALUE"""),172.38)</f>
        <v>172.38</v>
      </c>
      <c r="D112" s="2">
        <f>IFERROR(__xludf.DUMMYFUNCTION("""COMPUTED_VALUE"""),167.84)</f>
        <v>167.84</v>
      </c>
      <c r="E112" s="2">
        <f>IFERROR(__xludf.DUMMYFUNCTION("""COMPUTED_VALUE"""),171.89)</f>
        <v>171.89</v>
      </c>
      <c r="F112" s="2">
        <f>IFERROR(__xludf.DUMMYFUNCTION("""COMPUTED_VALUE"""),5098018.0)</f>
        <v>5098018</v>
      </c>
    </row>
    <row r="113">
      <c r="A113" s="3">
        <f>IFERROR(__xludf.DUMMYFUNCTION("""COMPUTED_VALUE"""),45090.66666666667)</f>
        <v>45090.66667</v>
      </c>
      <c r="B113" s="2">
        <f>IFERROR(__xludf.DUMMYFUNCTION("""COMPUTED_VALUE"""),173.03)</f>
        <v>173.03</v>
      </c>
      <c r="C113" s="2">
        <f>IFERROR(__xludf.DUMMYFUNCTION("""COMPUTED_VALUE"""),174.86)</f>
        <v>174.86</v>
      </c>
      <c r="D113" s="2">
        <f>IFERROR(__xludf.DUMMYFUNCTION("""COMPUTED_VALUE"""),168.76)</f>
        <v>168.76</v>
      </c>
      <c r="E113" s="2">
        <f>IFERROR(__xludf.DUMMYFUNCTION("""COMPUTED_VALUE"""),173.44)</f>
        <v>173.44</v>
      </c>
      <c r="F113" s="2">
        <f>IFERROR(__xludf.DUMMYFUNCTION("""COMPUTED_VALUE"""),4182986.0)</f>
        <v>4182986</v>
      </c>
    </row>
    <row r="114">
      <c r="A114" s="3">
        <f>IFERROR(__xludf.DUMMYFUNCTION("""COMPUTED_VALUE"""),45091.66666666667)</f>
        <v>45091.66667</v>
      </c>
      <c r="B114" s="2">
        <f>IFERROR(__xludf.DUMMYFUNCTION("""COMPUTED_VALUE"""),172.73)</f>
        <v>172.73</v>
      </c>
      <c r="C114" s="2">
        <f>IFERROR(__xludf.DUMMYFUNCTION("""COMPUTED_VALUE"""),181.33)</f>
        <v>181.33</v>
      </c>
      <c r="D114" s="2">
        <f>IFERROR(__xludf.DUMMYFUNCTION("""COMPUTED_VALUE"""),171.11)</f>
        <v>171.11</v>
      </c>
      <c r="E114" s="2">
        <f>IFERROR(__xludf.DUMMYFUNCTION("""COMPUTED_VALUE"""),181.07)</f>
        <v>181.07</v>
      </c>
      <c r="F114" s="2">
        <f>IFERROR(__xludf.DUMMYFUNCTION("""COMPUTED_VALUE"""),6664442.0)</f>
        <v>6664442</v>
      </c>
    </row>
    <row r="115">
      <c r="A115" s="3">
        <f>IFERROR(__xludf.DUMMYFUNCTION("""COMPUTED_VALUE"""),45092.66666666667)</f>
        <v>45092.66667</v>
      </c>
      <c r="B115" s="2">
        <f>IFERROR(__xludf.DUMMYFUNCTION("""COMPUTED_VALUE"""),179.18)</f>
        <v>179.18</v>
      </c>
      <c r="C115" s="2">
        <f>IFERROR(__xludf.DUMMYFUNCTION("""COMPUTED_VALUE"""),191.65)</f>
        <v>191.65</v>
      </c>
      <c r="D115" s="2">
        <f>IFERROR(__xludf.DUMMYFUNCTION("""COMPUTED_VALUE"""),178.35)</f>
        <v>178.35</v>
      </c>
      <c r="E115" s="2">
        <f>IFERROR(__xludf.DUMMYFUNCTION("""COMPUTED_VALUE"""),190.98)</f>
        <v>190.98</v>
      </c>
      <c r="F115" s="2">
        <f>IFERROR(__xludf.DUMMYFUNCTION("""COMPUTED_VALUE"""),9779343.0)</f>
        <v>9779343</v>
      </c>
    </row>
    <row r="116">
      <c r="A116" s="3">
        <f>IFERROR(__xludf.DUMMYFUNCTION("""COMPUTED_VALUE"""),45093.66666666667)</f>
        <v>45093.66667</v>
      </c>
      <c r="B116" s="2">
        <f>IFERROR(__xludf.DUMMYFUNCTION("""COMPUTED_VALUE"""),191.57)</f>
        <v>191.57</v>
      </c>
      <c r="C116" s="2">
        <f>IFERROR(__xludf.DUMMYFUNCTION("""COMPUTED_VALUE"""),193.94)</f>
        <v>193.94</v>
      </c>
      <c r="D116" s="2">
        <f>IFERROR(__xludf.DUMMYFUNCTION("""COMPUTED_VALUE"""),182.92)</f>
        <v>182.92</v>
      </c>
      <c r="E116" s="2">
        <f>IFERROR(__xludf.DUMMYFUNCTION("""COMPUTED_VALUE"""),184.18)</f>
        <v>184.18</v>
      </c>
      <c r="F116" s="2">
        <f>IFERROR(__xludf.DUMMYFUNCTION("""COMPUTED_VALUE"""),6589530.0)</f>
        <v>6589530</v>
      </c>
    </row>
    <row r="117">
      <c r="A117" s="3">
        <f>IFERROR(__xludf.DUMMYFUNCTION("""COMPUTED_VALUE"""),45097.66666666667)</f>
        <v>45097.66667</v>
      </c>
      <c r="B117" s="2">
        <f>IFERROR(__xludf.DUMMYFUNCTION("""COMPUTED_VALUE"""),183.3)</f>
        <v>183.3</v>
      </c>
      <c r="C117" s="2">
        <f>IFERROR(__xludf.DUMMYFUNCTION("""COMPUTED_VALUE"""),185.67)</f>
        <v>185.67</v>
      </c>
      <c r="D117" s="2">
        <f>IFERROR(__xludf.DUMMYFUNCTION("""COMPUTED_VALUE"""),176.71)</f>
        <v>176.71</v>
      </c>
      <c r="E117" s="2">
        <f>IFERROR(__xludf.DUMMYFUNCTION("""COMPUTED_VALUE"""),179.08)</f>
        <v>179.08</v>
      </c>
      <c r="F117" s="2">
        <f>IFERROR(__xludf.DUMMYFUNCTION("""COMPUTED_VALUE"""),5305499.0)</f>
        <v>5305499</v>
      </c>
    </row>
    <row r="118">
      <c r="A118" s="3">
        <f>IFERROR(__xludf.DUMMYFUNCTION("""COMPUTED_VALUE"""),45098.66666666667)</f>
        <v>45098.66667</v>
      </c>
      <c r="B118" s="2">
        <f>IFERROR(__xludf.DUMMYFUNCTION("""COMPUTED_VALUE"""),180.7)</f>
        <v>180.7</v>
      </c>
      <c r="C118" s="2">
        <f>IFERROR(__xludf.DUMMYFUNCTION("""COMPUTED_VALUE"""),183.6)</f>
        <v>183.6</v>
      </c>
      <c r="D118" s="2">
        <f>IFERROR(__xludf.DUMMYFUNCTION("""COMPUTED_VALUE"""),173.26)</f>
        <v>173.26</v>
      </c>
      <c r="E118" s="2">
        <f>IFERROR(__xludf.DUMMYFUNCTION("""COMPUTED_VALUE"""),173.39)</f>
        <v>173.39</v>
      </c>
      <c r="F118" s="2">
        <f>IFERROR(__xludf.DUMMYFUNCTION("""COMPUTED_VALUE"""),5463254.0)</f>
        <v>5463254</v>
      </c>
    </row>
    <row r="119">
      <c r="A119" s="3">
        <f>IFERROR(__xludf.DUMMYFUNCTION("""COMPUTED_VALUE"""),45099.66666666667)</f>
        <v>45099.66667</v>
      </c>
      <c r="B119" s="2">
        <f>IFERROR(__xludf.DUMMYFUNCTION("""COMPUTED_VALUE"""),171.18)</f>
        <v>171.18</v>
      </c>
      <c r="C119" s="2">
        <f>IFERROR(__xludf.DUMMYFUNCTION("""COMPUTED_VALUE"""),179.74)</f>
        <v>179.74</v>
      </c>
      <c r="D119" s="2">
        <f>IFERROR(__xludf.DUMMYFUNCTION("""COMPUTED_VALUE"""),170.82)</f>
        <v>170.82</v>
      </c>
      <c r="E119" s="2">
        <f>IFERROR(__xludf.DUMMYFUNCTION("""COMPUTED_VALUE"""),178.6)</f>
        <v>178.6</v>
      </c>
      <c r="F119" s="2">
        <f>IFERROR(__xludf.DUMMYFUNCTION("""COMPUTED_VALUE"""),5189855.0)</f>
        <v>5189855</v>
      </c>
    </row>
    <row r="120">
      <c r="A120" s="3">
        <f>IFERROR(__xludf.DUMMYFUNCTION("""COMPUTED_VALUE"""),45100.66666666667)</f>
        <v>45100.66667</v>
      </c>
      <c r="B120" s="2">
        <f>IFERROR(__xludf.DUMMYFUNCTION("""COMPUTED_VALUE"""),175.75)</f>
        <v>175.75</v>
      </c>
      <c r="C120" s="2">
        <f>IFERROR(__xludf.DUMMYFUNCTION("""COMPUTED_VALUE"""),181.82)</f>
        <v>181.82</v>
      </c>
      <c r="D120" s="2">
        <f>IFERROR(__xludf.DUMMYFUNCTION("""COMPUTED_VALUE"""),174.61)</f>
        <v>174.61</v>
      </c>
      <c r="E120" s="2">
        <f>IFERROR(__xludf.DUMMYFUNCTION("""COMPUTED_VALUE"""),178.25)</f>
        <v>178.25</v>
      </c>
      <c r="F120" s="2">
        <f>IFERROR(__xludf.DUMMYFUNCTION("""COMPUTED_VALUE"""),6259299.0)</f>
        <v>6259299</v>
      </c>
    </row>
    <row r="121">
      <c r="A121" s="3">
        <f>IFERROR(__xludf.DUMMYFUNCTION("""COMPUTED_VALUE"""),45103.66666666667)</f>
        <v>45103.66667</v>
      </c>
      <c r="B121" s="2">
        <f>IFERROR(__xludf.DUMMYFUNCTION("""COMPUTED_VALUE"""),180.59)</f>
        <v>180.59</v>
      </c>
      <c r="C121" s="2">
        <f>IFERROR(__xludf.DUMMYFUNCTION("""COMPUTED_VALUE"""),183.39)</f>
        <v>183.39</v>
      </c>
      <c r="D121" s="2">
        <f>IFERROR(__xludf.DUMMYFUNCTION("""COMPUTED_VALUE"""),169.51)</f>
        <v>169.51</v>
      </c>
      <c r="E121" s="2">
        <f>IFERROR(__xludf.DUMMYFUNCTION("""COMPUTED_VALUE"""),169.84)</f>
        <v>169.84</v>
      </c>
      <c r="F121" s="2">
        <f>IFERROR(__xludf.DUMMYFUNCTION("""COMPUTED_VALUE"""),6906768.0)</f>
        <v>6906768</v>
      </c>
    </row>
    <row r="122">
      <c r="A122" s="3">
        <f>IFERROR(__xludf.DUMMYFUNCTION("""COMPUTED_VALUE"""),45104.66666666667)</f>
        <v>45104.66667</v>
      </c>
      <c r="B122" s="2">
        <f>IFERROR(__xludf.DUMMYFUNCTION("""COMPUTED_VALUE"""),176.99)</f>
        <v>176.99</v>
      </c>
      <c r="C122" s="2">
        <f>IFERROR(__xludf.DUMMYFUNCTION("""COMPUTED_VALUE"""),179.15)</f>
        <v>179.15</v>
      </c>
      <c r="D122" s="2">
        <f>IFERROR(__xludf.DUMMYFUNCTION("""COMPUTED_VALUE"""),170.56)</f>
        <v>170.56</v>
      </c>
      <c r="E122" s="2">
        <f>IFERROR(__xludf.DUMMYFUNCTION("""COMPUTED_VALUE"""),177.02)</f>
        <v>177.02</v>
      </c>
      <c r="F122" s="2">
        <f>IFERROR(__xludf.DUMMYFUNCTION("""COMPUTED_VALUE"""),9516416.0)</f>
        <v>9516416</v>
      </c>
    </row>
    <row r="123">
      <c r="A123" s="3">
        <f>IFERROR(__xludf.DUMMYFUNCTION("""COMPUTED_VALUE"""),45105.66666666667)</f>
        <v>45105.66667</v>
      </c>
      <c r="B123" s="2">
        <f>IFERROR(__xludf.DUMMYFUNCTION("""COMPUTED_VALUE"""),179.18)</f>
        <v>179.18</v>
      </c>
      <c r="C123" s="2">
        <f>IFERROR(__xludf.DUMMYFUNCTION("""COMPUTED_VALUE"""),191.94)</f>
        <v>191.94</v>
      </c>
      <c r="D123" s="2">
        <f>IFERROR(__xludf.DUMMYFUNCTION("""COMPUTED_VALUE"""),178.85)</f>
        <v>178.85</v>
      </c>
      <c r="E123" s="2">
        <f>IFERROR(__xludf.DUMMYFUNCTION("""COMPUTED_VALUE"""),183.85)</f>
        <v>183.85</v>
      </c>
      <c r="F123" s="2">
        <f>IFERROR(__xludf.DUMMYFUNCTION("""COMPUTED_VALUE"""),1.3895559E7)</f>
        <v>13895559</v>
      </c>
    </row>
    <row r="124">
      <c r="A124" s="3">
        <f>IFERROR(__xludf.DUMMYFUNCTION("""COMPUTED_VALUE"""),45106.66666666667)</f>
        <v>45106.66667</v>
      </c>
      <c r="B124" s="2">
        <f>IFERROR(__xludf.DUMMYFUNCTION("""COMPUTED_VALUE"""),183.55)</f>
        <v>183.55</v>
      </c>
      <c r="C124" s="2">
        <f>IFERROR(__xludf.DUMMYFUNCTION("""COMPUTED_VALUE"""),186.17)</f>
        <v>186.17</v>
      </c>
      <c r="D124" s="2">
        <f>IFERROR(__xludf.DUMMYFUNCTION("""COMPUTED_VALUE"""),175.12)</f>
        <v>175.12</v>
      </c>
      <c r="E124" s="2">
        <f>IFERROR(__xludf.DUMMYFUNCTION("""COMPUTED_VALUE"""),175.77)</f>
        <v>175.77</v>
      </c>
      <c r="F124" s="2">
        <f>IFERROR(__xludf.DUMMYFUNCTION("""COMPUTED_VALUE"""),9010567.0)</f>
        <v>9010567</v>
      </c>
    </row>
    <row r="125">
      <c r="A125" s="3">
        <f>IFERROR(__xludf.DUMMYFUNCTION("""COMPUTED_VALUE"""),45107.66666666667)</f>
        <v>45107.66667</v>
      </c>
      <c r="B125" s="2">
        <f>IFERROR(__xludf.DUMMYFUNCTION("""COMPUTED_VALUE"""),179.33)</f>
        <v>179.33</v>
      </c>
      <c r="C125" s="2">
        <f>IFERROR(__xludf.DUMMYFUNCTION("""COMPUTED_VALUE"""),181.5)</f>
        <v>181.5</v>
      </c>
      <c r="D125" s="2">
        <f>IFERROR(__xludf.DUMMYFUNCTION("""COMPUTED_VALUE"""),175.75)</f>
        <v>175.75</v>
      </c>
      <c r="E125" s="2">
        <f>IFERROR(__xludf.DUMMYFUNCTION("""COMPUTED_VALUE"""),175.98)</f>
        <v>175.98</v>
      </c>
      <c r="F125" s="2">
        <f>IFERROR(__xludf.DUMMYFUNCTION("""COMPUTED_VALUE"""),7345166.0)</f>
        <v>7345166</v>
      </c>
    </row>
    <row r="126">
      <c r="A126" s="3">
        <f>IFERROR(__xludf.DUMMYFUNCTION("""COMPUTED_VALUE"""),45110.54166666667)</f>
        <v>45110.54167</v>
      </c>
      <c r="B126" s="2">
        <f>IFERROR(__xludf.DUMMYFUNCTION("""COMPUTED_VALUE"""),176.0)</f>
        <v>176</v>
      </c>
      <c r="C126" s="2">
        <f>IFERROR(__xludf.DUMMYFUNCTION("""COMPUTED_VALUE"""),178.1)</f>
        <v>178.1</v>
      </c>
      <c r="D126" s="2">
        <f>IFERROR(__xludf.DUMMYFUNCTION("""COMPUTED_VALUE"""),174.65)</f>
        <v>174.65</v>
      </c>
      <c r="E126" s="2">
        <f>IFERROR(__xludf.DUMMYFUNCTION("""COMPUTED_VALUE"""),176.99)</f>
        <v>176.99</v>
      </c>
      <c r="F126" s="2">
        <f>IFERROR(__xludf.DUMMYFUNCTION("""COMPUTED_VALUE"""),2665332.0)</f>
        <v>2665332</v>
      </c>
    </row>
    <row r="127">
      <c r="A127" s="3">
        <f>IFERROR(__xludf.DUMMYFUNCTION("""COMPUTED_VALUE"""),45112.66666666667)</f>
        <v>45112.66667</v>
      </c>
      <c r="B127" s="2">
        <f>IFERROR(__xludf.DUMMYFUNCTION("""COMPUTED_VALUE"""),175.0)</f>
        <v>175</v>
      </c>
      <c r="C127" s="2">
        <f>IFERROR(__xludf.DUMMYFUNCTION("""COMPUTED_VALUE"""),175.9)</f>
        <v>175.9</v>
      </c>
      <c r="D127" s="2">
        <f>IFERROR(__xludf.DUMMYFUNCTION("""COMPUTED_VALUE"""),170.63)</f>
        <v>170.63</v>
      </c>
      <c r="E127" s="2">
        <f>IFERROR(__xludf.DUMMYFUNCTION("""COMPUTED_VALUE"""),172.55)</f>
        <v>172.55</v>
      </c>
      <c r="F127" s="2">
        <f>IFERROR(__xludf.DUMMYFUNCTION("""COMPUTED_VALUE"""),6166775.0)</f>
        <v>6166775</v>
      </c>
    </row>
    <row r="128">
      <c r="A128" s="3">
        <f>IFERROR(__xludf.DUMMYFUNCTION("""COMPUTED_VALUE"""),45113.66666666667)</f>
        <v>45113.66667</v>
      </c>
      <c r="B128" s="2">
        <f>IFERROR(__xludf.DUMMYFUNCTION("""COMPUTED_VALUE"""),169.82)</f>
        <v>169.82</v>
      </c>
      <c r="C128" s="2">
        <f>IFERROR(__xludf.DUMMYFUNCTION("""COMPUTED_VALUE"""),173.1)</f>
        <v>173.1</v>
      </c>
      <c r="D128" s="2">
        <f>IFERROR(__xludf.DUMMYFUNCTION("""COMPUTED_VALUE"""),167.49)</f>
        <v>167.49</v>
      </c>
      <c r="E128" s="2">
        <f>IFERROR(__xludf.DUMMYFUNCTION("""COMPUTED_VALUE"""),172.19)</f>
        <v>172.19</v>
      </c>
      <c r="F128" s="2">
        <f>IFERROR(__xludf.DUMMYFUNCTION("""COMPUTED_VALUE"""),4752968.0)</f>
        <v>4752968</v>
      </c>
    </row>
    <row r="129">
      <c r="A129" s="3">
        <f>IFERROR(__xludf.DUMMYFUNCTION("""COMPUTED_VALUE"""),45114.66666666667)</f>
        <v>45114.66667</v>
      </c>
      <c r="B129" s="2">
        <f>IFERROR(__xludf.DUMMYFUNCTION("""COMPUTED_VALUE"""),173.37)</f>
        <v>173.37</v>
      </c>
      <c r="C129" s="2">
        <f>IFERROR(__xludf.DUMMYFUNCTION("""COMPUTED_VALUE"""),176.41)</f>
        <v>176.41</v>
      </c>
      <c r="D129" s="2">
        <f>IFERROR(__xludf.DUMMYFUNCTION("""COMPUTED_VALUE"""),170.49)</f>
        <v>170.49</v>
      </c>
      <c r="E129" s="2">
        <f>IFERROR(__xludf.DUMMYFUNCTION("""COMPUTED_VALUE"""),170.61)</f>
        <v>170.61</v>
      </c>
      <c r="F129" s="2">
        <f>IFERROR(__xludf.DUMMYFUNCTION("""COMPUTED_VALUE"""),3212306.0)</f>
        <v>3212306</v>
      </c>
    </row>
    <row r="130">
      <c r="A130" s="3">
        <f>IFERROR(__xludf.DUMMYFUNCTION("""COMPUTED_VALUE"""),45117.66666666667)</f>
        <v>45117.66667</v>
      </c>
      <c r="B130" s="2">
        <f>IFERROR(__xludf.DUMMYFUNCTION("""COMPUTED_VALUE"""),166.53)</f>
        <v>166.53</v>
      </c>
      <c r="C130" s="2">
        <f>IFERROR(__xludf.DUMMYFUNCTION("""COMPUTED_VALUE"""),170.48)</f>
        <v>170.48</v>
      </c>
      <c r="D130" s="2">
        <f>IFERROR(__xludf.DUMMYFUNCTION("""COMPUTED_VALUE"""),162.6)</f>
        <v>162.6</v>
      </c>
      <c r="E130" s="2">
        <f>IFERROR(__xludf.DUMMYFUNCTION("""COMPUTED_VALUE"""),169.65)</f>
        <v>169.65</v>
      </c>
      <c r="F130" s="2">
        <f>IFERROR(__xludf.DUMMYFUNCTION("""COMPUTED_VALUE"""),6857264.0)</f>
        <v>6857264</v>
      </c>
    </row>
    <row r="131">
      <c r="A131" s="3">
        <f>IFERROR(__xludf.DUMMYFUNCTION("""COMPUTED_VALUE"""),45118.66666666667)</f>
        <v>45118.66667</v>
      </c>
      <c r="B131" s="2">
        <f>IFERROR(__xludf.DUMMYFUNCTION("""COMPUTED_VALUE"""),171.2)</f>
        <v>171.2</v>
      </c>
      <c r="C131" s="2">
        <f>IFERROR(__xludf.DUMMYFUNCTION("""COMPUTED_VALUE"""),174.34)</f>
        <v>174.34</v>
      </c>
      <c r="D131" s="2">
        <f>IFERROR(__xludf.DUMMYFUNCTION("""COMPUTED_VALUE"""),169.32)</f>
        <v>169.32</v>
      </c>
      <c r="E131" s="2">
        <f>IFERROR(__xludf.DUMMYFUNCTION("""COMPUTED_VALUE"""),172.05)</f>
        <v>172.05</v>
      </c>
      <c r="F131" s="2">
        <f>IFERROR(__xludf.DUMMYFUNCTION("""COMPUTED_VALUE"""),4267383.0)</f>
        <v>4267383</v>
      </c>
    </row>
    <row r="132">
      <c r="A132" s="3">
        <f>IFERROR(__xludf.DUMMYFUNCTION("""COMPUTED_VALUE"""),45119.66666666667)</f>
        <v>45119.66667</v>
      </c>
      <c r="B132" s="2">
        <f>IFERROR(__xludf.DUMMYFUNCTION("""COMPUTED_VALUE"""),175.09)</f>
        <v>175.09</v>
      </c>
      <c r="C132" s="2">
        <f>IFERROR(__xludf.DUMMYFUNCTION("""COMPUTED_VALUE"""),175.76)</f>
        <v>175.76</v>
      </c>
      <c r="D132" s="2">
        <f>IFERROR(__xludf.DUMMYFUNCTION("""COMPUTED_VALUE"""),170.22)</f>
        <v>170.22</v>
      </c>
      <c r="E132" s="2">
        <f>IFERROR(__xludf.DUMMYFUNCTION("""COMPUTED_VALUE"""),171.93)</f>
        <v>171.93</v>
      </c>
      <c r="F132" s="2">
        <f>IFERROR(__xludf.DUMMYFUNCTION("""COMPUTED_VALUE"""),4546896.0)</f>
        <v>4546896</v>
      </c>
    </row>
    <row r="133">
      <c r="A133" s="3">
        <f>IFERROR(__xludf.DUMMYFUNCTION("""COMPUTED_VALUE"""),45120.66666666667)</f>
        <v>45120.66667</v>
      </c>
      <c r="B133" s="2">
        <f>IFERROR(__xludf.DUMMYFUNCTION("""COMPUTED_VALUE"""),175.83)</f>
        <v>175.83</v>
      </c>
      <c r="C133" s="2">
        <f>IFERROR(__xludf.DUMMYFUNCTION("""COMPUTED_VALUE"""),184.45)</f>
        <v>184.45</v>
      </c>
      <c r="D133" s="2">
        <f>IFERROR(__xludf.DUMMYFUNCTION("""COMPUTED_VALUE"""),175.27)</f>
        <v>175.27</v>
      </c>
      <c r="E133" s="2">
        <f>IFERROR(__xludf.DUMMYFUNCTION("""COMPUTED_VALUE"""),184.22)</f>
        <v>184.22</v>
      </c>
      <c r="F133" s="2">
        <f>IFERROR(__xludf.DUMMYFUNCTION("""COMPUTED_VALUE"""),8873521.0)</f>
        <v>8873521</v>
      </c>
    </row>
    <row r="134">
      <c r="A134" s="3">
        <f>IFERROR(__xludf.DUMMYFUNCTION("""COMPUTED_VALUE"""),45121.66666666667)</f>
        <v>45121.66667</v>
      </c>
      <c r="B134" s="2">
        <f>IFERROR(__xludf.DUMMYFUNCTION("""COMPUTED_VALUE"""),184.94)</f>
        <v>184.94</v>
      </c>
      <c r="C134" s="2">
        <f>IFERROR(__xludf.DUMMYFUNCTION("""COMPUTED_VALUE"""),187.79)</f>
        <v>187.79</v>
      </c>
      <c r="D134" s="2">
        <f>IFERROR(__xludf.DUMMYFUNCTION("""COMPUTED_VALUE"""),180.07)</f>
        <v>180.07</v>
      </c>
      <c r="E134" s="2">
        <f>IFERROR(__xludf.DUMMYFUNCTION("""COMPUTED_VALUE"""),180.79)</f>
        <v>180.79</v>
      </c>
      <c r="F134" s="2">
        <f>IFERROR(__xludf.DUMMYFUNCTION("""COMPUTED_VALUE"""),5361029.0)</f>
        <v>5361029</v>
      </c>
    </row>
    <row r="135">
      <c r="A135" s="3">
        <f>IFERROR(__xludf.DUMMYFUNCTION("""COMPUTED_VALUE"""),45124.66666666667)</f>
        <v>45124.66667</v>
      </c>
      <c r="B135" s="2">
        <f>IFERROR(__xludf.DUMMYFUNCTION("""COMPUTED_VALUE"""),182.5)</f>
        <v>182.5</v>
      </c>
      <c r="C135" s="2">
        <f>IFERROR(__xludf.DUMMYFUNCTION("""COMPUTED_VALUE"""),185.58)</f>
        <v>185.58</v>
      </c>
      <c r="D135" s="2">
        <f>IFERROR(__xludf.DUMMYFUNCTION("""COMPUTED_VALUE"""),181.11)</f>
        <v>181.11</v>
      </c>
      <c r="E135" s="2">
        <f>IFERROR(__xludf.DUMMYFUNCTION("""COMPUTED_VALUE"""),184.21)</f>
        <v>184.21</v>
      </c>
      <c r="F135" s="2">
        <f>IFERROR(__xludf.DUMMYFUNCTION("""COMPUTED_VALUE"""),3675461.0)</f>
        <v>3675461</v>
      </c>
    </row>
    <row r="136">
      <c r="A136" s="3">
        <f>IFERROR(__xludf.DUMMYFUNCTION("""COMPUTED_VALUE"""),45125.66666666667)</f>
        <v>45125.66667</v>
      </c>
      <c r="B136" s="2">
        <f>IFERROR(__xludf.DUMMYFUNCTION("""COMPUTED_VALUE"""),185.48)</f>
        <v>185.48</v>
      </c>
      <c r="C136" s="2">
        <f>IFERROR(__xludf.DUMMYFUNCTION("""COMPUTED_VALUE"""),189.24)</f>
        <v>189.24</v>
      </c>
      <c r="D136" s="2">
        <f>IFERROR(__xludf.DUMMYFUNCTION("""COMPUTED_VALUE"""),182.1)</f>
        <v>182.1</v>
      </c>
      <c r="E136" s="2">
        <f>IFERROR(__xludf.DUMMYFUNCTION("""COMPUTED_VALUE"""),188.2)</f>
        <v>188.2</v>
      </c>
      <c r="F136" s="2">
        <f>IFERROR(__xludf.DUMMYFUNCTION("""COMPUTED_VALUE"""),4361144.0)</f>
        <v>4361144</v>
      </c>
    </row>
    <row r="137">
      <c r="A137" s="3">
        <f>IFERROR(__xludf.DUMMYFUNCTION("""COMPUTED_VALUE"""),45126.66666666667)</f>
        <v>45126.66667</v>
      </c>
      <c r="B137" s="2">
        <f>IFERROR(__xludf.DUMMYFUNCTION("""COMPUTED_VALUE"""),191.86)</f>
        <v>191.86</v>
      </c>
      <c r="C137" s="2">
        <f>IFERROR(__xludf.DUMMYFUNCTION("""COMPUTED_VALUE"""),193.23)</f>
        <v>193.23</v>
      </c>
      <c r="D137" s="2">
        <f>IFERROR(__xludf.DUMMYFUNCTION("""COMPUTED_VALUE"""),185.15)</f>
        <v>185.15</v>
      </c>
      <c r="E137" s="2">
        <f>IFERROR(__xludf.DUMMYFUNCTION("""COMPUTED_VALUE"""),185.45)</f>
        <v>185.45</v>
      </c>
      <c r="F137" s="2">
        <f>IFERROR(__xludf.DUMMYFUNCTION("""COMPUTED_VALUE"""),3933188.0)</f>
        <v>3933188</v>
      </c>
    </row>
    <row r="138">
      <c r="A138" s="3">
        <f>IFERROR(__xludf.DUMMYFUNCTION("""COMPUTED_VALUE"""),45127.66666666667)</f>
        <v>45127.66667</v>
      </c>
      <c r="B138" s="2">
        <f>IFERROR(__xludf.DUMMYFUNCTION("""COMPUTED_VALUE"""),182.47)</f>
        <v>182.47</v>
      </c>
      <c r="C138" s="2">
        <f>IFERROR(__xludf.DUMMYFUNCTION("""COMPUTED_VALUE"""),183.95)</f>
        <v>183.95</v>
      </c>
      <c r="D138" s="2">
        <f>IFERROR(__xludf.DUMMYFUNCTION("""COMPUTED_VALUE"""),175.55)</f>
        <v>175.55</v>
      </c>
      <c r="E138" s="2">
        <f>IFERROR(__xludf.DUMMYFUNCTION("""COMPUTED_VALUE"""),176.33)</f>
        <v>176.33</v>
      </c>
      <c r="F138" s="2">
        <f>IFERROR(__xludf.DUMMYFUNCTION("""COMPUTED_VALUE"""),6092855.0)</f>
        <v>6092855</v>
      </c>
    </row>
    <row r="139">
      <c r="A139" s="3">
        <f>IFERROR(__xludf.DUMMYFUNCTION("""COMPUTED_VALUE"""),45128.66666666667)</f>
        <v>45128.66667</v>
      </c>
      <c r="B139" s="2">
        <f>IFERROR(__xludf.DUMMYFUNCTION("""COMPUTED_VALUE"""),178.68)</f>
        <v>178.68</v>
      </c>
      <c r="C139" s="2">
        <f>IFERROR(__xludf.DUMMYFUNCTION("""COMPUTED_VALUE"""),180.81)</f>
        <v>180.81</v>
      </c>
      <c r="D139" s="2">
        <f>IFERROR(__xludf.DUMMYFUNCTION("""COMPUTED_VALUE"""),175.85)</f>
        <v>175.85</v>
      </c>
      <c r="E139" s="2">
        <f>IFERROR(__xludf.DUMMYFUNCTION("""COMPUTED_VALUE"""),175.9)</f>
        <v>175.9</v>
      </c>
      <c r="F139" s="2">
        <f>IFERROR(__xludf.DUMMYFUNCTION("""COMPUTED_VALUE"""),4020471.0)</f>
        <v>4020471</v>
      </c>
    </row>
    <row r="140">
      <c r="A140" s="3">
        <f>IFERROR(__xludf.DUMMYFUNCTION("""COMPUTED_VALUE"""),45131.66666666667)</f>
        <v>45131.66667</v>
      </c>
      <c r="B140" s="2">
        <f>IFERROR(__xludf.DUMMYFUNCTION("""COMPUTED_VALUE"""),176.11)</f>
        <v>176.11</v>
      </c>
      <c r="C140" s="2">
        <f>IFERROR(__xludf.DUMMYFUNCTION("""COMPUTED_VALUE"""),177.35)</f>
        <v>177.35</v>
      </c>
      <c r="D140" s="2">
        <f>IFERROR(__xludf.DUMMYFUNCTION("""COMPUTED_VALUE"""),172.86)</f>
        <v>172.86</v>
      </c>
      <c r="E140" s="2">
        <f>IFERROR(__xludf.DUMMYFUNCTION("""COMPUTED_VALUE"""),174.8)</f>
        <v>174.8</v>
      </c>
      <c r="F140" s="2">
        <f>IFERROR(__xludf.DUMMYFUNCTION("""COMPUTED_VALUE"""),3464828.0)</f>
        <v>3464828</v>
      </c>
    </row>
    <row r="141">
      <c r="A141" s="3">
        <f>IFERROR(__xludf.DUMMYFUNCTION("""COMPUTED_VALUE"""),45132.66666666667)</f>
        <v>45132.66667</v>
      </c>
      <c r="B141" s="2">
        <f>IFERROR(__xludf.DUMMYFUNCTION("""COMPUTED_VALUE"""),177.0)</f>
        <v>177</v>
      </c>
      <c r="C141" s="2">
        <f>IFERROR(__xludf.DUMMYFUNCTION("""COMPUTED_VALUE"""),181.8)</f>
        <v>181.8</v>
      </c>
      <c r="D141" s="2">
        <f>IFERROR(__xludf.DUMMYFUNCTION("""COMPUTED_VALUE"""),176.31)</f>
        <v>176.31</v>
      </c>
      <c r="E141" s="2">
        <f>IFERROR(__xludf.DUMMYFUNCTION("""COMPUTED_VALUE"""),179.29)</f>
        <v>179.29</v>
      </c>
      <c r="F141" s="2">
        <f>IFERROR(__xludf.DUMMYFUNCTION("""COMPUTED_VALUE"""),3775621.0)</f>
        <v>3775621</v>
      </c>
    </row>
    <row r="142">
      <c r="A142" s="3">
        <f>IFERROR(__xludf.DUMMYFUNCTION("""COMPUTED_VALUE"""),45133.66666666667)</f>
        <v>45133.66667</v>
      </c>
      <c r="B142" s="2">
        <f>IFERROR(__xludf.DUMMYFUNCTION("""COMPUTED_VALUE"""),174.2)</f>
        <v>174.2</v>
      </c>
      <c r="C142" s="2">
        <f>IFERROR(__xludf.DUMMYFUNCTION("""COMPUTED_VALUE"""),174.3)</f>
        <v>174.3</v>
      </c>
      <c r="D142" s="2">
        <f>IFERROR(__xludf.DUMMYFUNCTION("""COMPUTED_VALUE"""),168.25)</f>
        <v>168.25</v>
      </c>
      <c r="E142" s="2">
        <f>IFERROR(__xludf.DUMMYFUNCTION("""COMPUTED_VALUE"""),170.0)</f>
        <v>170</v>
      </c>
      <c r="F142" s="2">
        <f>IFERROR(__xludf.DUMMYFUNCTION("""COMPUTED_VALUE"""),6916274.0)</f>
        <v>6916274</v>
      </c>
    </row>
    <row r="143">
      <c r="A143" s="3">
        <f>IFERROR(__xludf.DUMMYFUNCTION("""COMPUTED_VALUE"""),45134.66666666667)</f>
        <v>45134.66667</v>
      </c>
      <c r="B143" s="2">
        <f>IFERROR(__xludf.DUMMYFUNCTION("""COMPUTED_VALUE"""),174.32)</f>
        <v>174.32</v>
      </c>
      <c r="C143" s="2">
        <f>IFERROR(__xludf.DUMMYFUNCTION("""COMPUTED_VALUE"""),175.4)</f>
        <v>175.4</v>
      </c>
      <c r="D143" s="2">
        <f>IFERROR(__xludf.DUMMYFUNCTION("""COMPUTED_VALUE"""),167.02)</f>
        <v>167.02</v>
      </c>
      <c r="E143" s="2">
        <f>IFERROR(__xludf.DUMMYFUNCTION("""COMPUTED_VALUE"""),168.27)</f>
        <v>168.27</v>
      </c>
      <c r="F143" s="2">
        <f>IFERROR(__xludf.DUMMYFUNCTION("""COMPUTED_VALUE"""),4820652.0)</f>
        <v>4820652</v>
      </c>
    </row>
    <row r="144">
      <c r="A144" s="3">
        <f>IFERROR(__xludf.DUMMYFUNCTION("""COMPUTED_VALUE"""),45135.66666666667)</f>
        <v>45135.66667</v>
      </c>
      <c r="B144" s="2">
        <f>IFERROR(__xludf.DUMMYFUNCTION("""COMPUTED_VALUE"""),170.96)</f>
        <v>170.96</v>
      </c>
      <c r="C144" s="2">
        <f>IFERROR(__xludf.DUMMYFUNCTION("""COMPUTED_VALUE"""),175.35)</f>
        <v>175.35</v>
      </c>
      <c r="D144" s="2">
        <f>IFERROR(__xludf.DUMMYFUNCTION("""COMPUTED_VALUE"""),169.72)</f>
        <v>169.72</v>
      </c>
      <c r="E144" s="2">
        <f>IFERROR(__xludf.DUMMYFUNCTION("""COMPUTED_VALUE"""),174.83)</f>
        <v>174.83</v>
      </c>
      <c r="F144" s="2">
        <f>IFERROR(__xludf.DUMMYFUNCTION("""COMPUTED_VALUE"""),4764960.0)</f>
        <v>4764960</v>
      </c>
    </row>
    <row r="145">
      <c r="A145" s="3">
        <f>IFERROR(__xludf.DUMMYFUNCTION("""COMPUTED_VALUE"""),45138.66666666667)</f>
        <v>45138.66667</v>
      </c>
      <c r="B145" s="2">
        <f>IFERROR(__xludf.DUMMYFUNCTION("""COMPUTED_VALUE"""),176.98)</f>
        <v>176.98</v>
      </c>
      <c r="C145" s="2">
        <f>IFERROR(__xludf.DUMMYFUNCTION("""COMPUTED_VALUE"""),181.36)</f>
        <v>181.36</v>
      </c>
      <c r="D145" s="2">
        <f>IFERROR(__xludf.DUMMYFUNCTION("""COMPUTED_VALUE"""),176.98)</f>
        <v>176.98</v>
      </c>
      <c r="E145" s="2">
        <f>IFERROR(__xludf.DUMMYFUNCTION("""COMPUTED_VALUE"""),177.71)</f>
        <v>177.71</v>
      </c>
      <c r="F145" s="2">
        <f>IFERROR(__xludf.DUMMYFUNCTION("""COMPUTED_VALUE"""),3489661.0)</f>
        <v>3489661</v>
      </c>
    </row>
    <row r="146">
      <c r="A146" s="3">
        <f>IFERROR(__xludf.DUMMYFUNCTION("""COMPUTED_VALUE"""),45139.66666666667)</f>
        <v>45139.66667</v>
      </c>
      <c r="B146" s="2">
        <f>IFERROR(__xludf.DUMMYFUNCTION("""COMPUTED_VALUE"""),175.23)</f>
        <v>175.23</v>
      </c>
      <c r="C146" s="2">
        <f>IFERROR(__xludf.DUMMYFUNCTION("""COMPUTED_VALUE"""),177.71)</f>
        <v>177.71</v>
      </c>
      <c r="D146" s="2">
        <f>IFERROR(__xludf.DUMMYFUNCTION("""COMPUTED_VALUE"""),174.82)</f>
        <v>174.82</v>
      </c>
      <c r="E146" s="2">
        <f>IFERROR(__xludf.DUMMYFUNCTION("""COMPUTED_VALUE"""),176.58)</f>
        <v>176.58</v>
      </c>
      <c r="F146" s="2">
        <f>IFERROR(__xludf.DUMMYFUNCTION("""COMPUTED_VALUE"""),2464778.0)</f>
        <v>2464778</v>
      </c>
    </row>
    <row r="147">
      <c r="A147" s="3">
        <f>IFERROR(__xludf.DUMMYFUNCTION("""COMPUTED_VALUE"""),45140.66666666667)</f>
        <v>45140.66667</v>
      </c>
      <c r="B147" s="2">
        <f>IFERROR(__xludf.DUMMYFUNCTION("""COMPUTED_VALUE"""),172.5)</f>
        <v>172.5</v>
      </c>
      <c r="C147" s="2">
        <f>IFERROR(__xludf.DUMMYFUNCTION("""COMPUTED_VALUE"""),172.8)</f>
        <v>172.8</v>
      </c>
      <c r="D147" s="2">
        <f>IFERROR(__xludf.DUMMYFUNCTION("""COMPUTED_VALUE"""),164.51)</f>
        <v>164.51</v>
      </c>
      <c r="E147" s="2">
        <f>IFERROR(__xludf.DUMMYFUNCTION("""COMPUTED_VALUE"""),164.6)</f>
        <v>164.6</v>
      </c>
      <c r="F147" s="2">
        <f>IFERROR(__xludf.DUMMYFUNCTION("""COMPUTED_VALUE"""),5348439.0)</f>
        <v>5348439</v>
      </c>
    </row>
    <row r="148">
      <c r="A148" s="3">
        <f>IFERROR(__xludf.DUMMYFUNCTION("""COMPUTED_VALUE"""),45141.66666666667)</f>
        <v>45141.66667</v>
      </c>
      <c r="B148" s="2">
        <f>IFERROR(__xludf.DUMMYFUNCTION("""COMPUTED_VALUE"""),163.46)</f>
        <v>163.46</v>
      </c>
      <c r="C148" s="2">
        <f>IFERROR(__xludf.DUMMYFUNCTION("""COMPUTED_VALUE"""),164.72)</f>
        <v>164.72</v>
      </c>
      <c r="D148" s="2">
        <f>IFERROR(__xludf.DUMMYFUNCTION("""COMPUTED_VALUE"""),159.53)</f>
        <v>159.53</v>
      </c>
      <c r="E148" s="2">
        <f>IFERROR(__xludf.DUMMYFUNCTION("""COMPUTED_VALUE"""),161.05)</f>
        <v>161.05</v>
      </c>
      <c r="F148" s="2">
        <f>IFERROR(__xludf.DUMMYFUNCTION("""COMPUTED_VALUE"""),7812111.0)</f>
        <v>7812111</v>
      </c>
    </row>
    <row r="149">
      <c r="A149" s="3">
        <f>IFERROR(__xludf.DUMMYFUNCTION("""COMPUTED_VALUE"""),45142.66666666667)</f>
        <v>45142.66667</v>
      </c>
      <c r="B149" s="2">
        <f>IFERROR(__xludf.DUMMYFUNCTION("""COMPUTED_VALUE"""),171.36)</f>
        <v>171.36</v>
      </c>
      <c r="C149" s="2">
        <f>IFERROR(__xludf.DUMMYFUNCTION("""COMPUTED_VALUE"""),172.44)</f>
        <v>172.44</v>
      </c>
      <c r="D149" s="2">
        <f>IFERROR(__xludf.DUMMYFUNCTION("""COMPUTED_VALUE"""),165.09)</f>
        <v>165.09</v>
      </c>
      <c r="E149" s="2">
        <f>IFERROR(__xludf.DUMMYFUNCTION("""COMPUTED_VALUE"""),166.67)</f>
        <v>166.67</v>
      </c>
      <c r="F149" s="2">
        <f>IFERROR(__xludf.DUMMYFUNCTION("""COMPUTED_VALUE"""),7332568.0)</f>
        <v>7332568</v>
      </c>
    </row>
    <row r="150">
      <c r="A150" s="3">
        <f>IFERROR(__xludf.DUMMYFUNCTION("""COMPUTED_VALUE"""),45145.66666666667)</f>
        <v>45145.66667</v>
      </c>
      <c r="B150" s="2">
        <f>IFERROR(__xludf.DUMMYFUNCTION("""COMPUTED_VALUE"""),168.01)</f>
        <v>168.01</v>
      </c>
      <c r="C150" s="2">
        <f>IFERROR(__xludf.DUMMYFUNCTION("""COMPUTED_VALUE"""),168.61)</f>
        <v>168.61</v>
      </c>
      <c r="D150" s="2">
        <f>IFERROR(__xludf.DUMMYFUNCTION("""COMPUTED_VALUE"""),163.62)</f>
        <v>163.62</v>
      </c>
      <c r="E150" s="2">
        <f>IFERROR(__xludf.DUMMYFUNCTION("""COMPUTED_VALUE"""),166.67)</f>
        <v>166.67</v>
      </c>
      <c r="F150" s="2">
        <f>IFERROR(__xludf.DUMMYFUNCTION("""COMPUTED_VALUE"""),3540487.0)</f>
        <v>3540487</v>
      </c>
    </row>
    <row r="151">
      <c r="A151" s="3">
        <f>IFERROR(__xludf.DUMMYFUNCTION("""COMPUTED_VALUE"""),45146.66666666667)</f>
        <v>45146.66667</v>
      </c>
      <c r="B151" s="2">
        <f>IFERROR(__xludf.DUMMYFUNCTION("""COMPUTED_VALUE"""),157.23)</f>
        <v>157.23</v>
      </c>
      <c r="C151" s="2">
        <f>IFERROR(__xludf.DUMMYFUNCTION("""COMPUTED_VALUE"""),160.72)</f>
        <v>160.72</v>
      </c>
      <c r="D151" s="2">
        <f>IFERROR(__xludf.DUMMYFUNCTION("""COMPUTED_VALUE"""),154.17)</f>
        <v>154.17</v>
      </c>
      <c r="E151" s="2">
        <f>IFERROR(__xludf.DUMMYFUNCTION("""COMPUTED_VALUE"""),156.33)</f>
        <v>156.33</v>
      </c>
      <c r="F151" s="2">
        <f>IFERROR(__xludf.DUMMYFUNCTION("""COMPUTED_VALUE"""),1.1725254E7)</f>
        <v>11725254</v>
      </c>
    </row>
    <row r="152">
      <c r="A152" s="3">
        <f>IFERROR(__xludf.DUMMYFUNCTION("""COMPUTED_VALUE"""),45147.66666666667)</f>
        <v>45147.66667</v>
      </c>
      <c r="B152" s="2">
        <f>IFERROR(__xludf.DUMMYFUNCTION("""COMPUTED_VALUE"""),157.85)</f>
        <v>157.85</v>
      </c>
      <c r="C152" s="2">
        <f>IFERROR(__xludf.DUMMYFUNCTION("""COMPUTED_VALUE"""),158.95)</f>
        <v>158.95</v>
      </c>
      <c r="D152" s="2">
        <f>IFERROR(__xludf.DUMMYFUNCTION("""COMPUTED_VALUE"""),153.32)</f>
        <v>153.32</v>
      </c>
      <c r="E152" s="2">
        <f>IFERROR(__xludf.DUMMYFUNCTION("""COMPUTED_VALUE"""),154.07)</f>
        <v>154.07</v>
      </c>
      <c r="F152" s="2">
        <f>IFERROR(__xludf.DUMMYFUNCTION("""COMPUTED_VALUE"""),4363803.0)</f>
        <v>4363803</v>
      </c>
    </row>
    <row r="153">
      <c r="A153" s="3">
        <f>IFERROR(__xludf.DUMMYFUNCTION("""COMPUTED_VALUE"""),45148.66666666667)</f>
        <v>45148.66667</v>
      </c>
      <c r="B153" s="2">
        <f>IFERROR(__xludf.DUMMYFUNCTION("""COMPUTED_VALUE"""),155.41)</f>
        <v>155.41</v>
      </c>
      <c r="C153" s="2">
        <f>IFERROR(__xludf.DUMMYFUNCTION("""COMPUTED_VALUE"""),158.83)</f>
        <v>158.83</v>
      </c>
      <c r="D153" s="2">
        <f>IFERROR(__xludf.DUMMYFUNCTION("""COMPUTED_VALUE"""),153.96)</f>
        <v>153.96</v>
      </c>
      <c r="E153" s="2">
        <f>IFERROR(__xludf.DUMMYFUNCTION("""COMPUTED_VALUE"""),155.02)</f>
        <v>155.02</v>
      </c>
      <c r="F153" s="2">
        <f>IFERROR(__xludf.DUMMYFUNCTION("""COMPUTED_VALUE"""),3248942.0)</f>
        <v>3248942</v>
      </c>
    </row>
    <row r="154">
      <c r="A154" s="3">
        <f>IFERROR(__xludf.DUMMYFUNCTION("""COMPUTED_VALUE"""),45149.66666666667)</f>
        <v>45149.66667</v>
      </c>
      <c r="B154" s="2">
        <f>IFERROR(__xludf.DUMMYFUNCTION("""COMPUTED_VALUE"""),153.3)</f>
        <v>153.3</v>
      </c>
      <c r="C154" s="2">
        <f>IFERROR(__xludf.DUMMYFUNCTION("""COMPUTED_VALUE"""),155.43)</f>
        <v>155.43</v>
      </c>
      <c r="D154" s="2">
        <f>IFERROR(__xludf.DUMMYFUNCTION("""COMPUTED_VALUE"""),151.37)</f>
        <v>151.37</v>
      </c>
      <c r="E154" s="2">
        <f>IFERROR(__xludf.DUMMYFUNCTION("""COMPUTED_VALUE"""),153.37)</f>
        <v>153.37</v>
      </c>
      <c r="F154" s="2">
        <f>IFERROR(__xludf.DUMMYFUNCTION("""COMPUTED_VALUE"""),3974439.0)</f>
        <v>3974439</v>
      </c>
    </row>
    <row r="155">
      <c r="A155" s="3">
        <f>IFERROR(__xludf.DUMMYFUNCTION("""COMPUTED_VALUE"""),45152.66666666667)</f>
        <v>45152.66667</v>
      </c>
      <c r="B155" s="2">
        <f>IFERROR(__xludf.DUMMYFUNCTION("""COMPUTED_VALUE"""),151.54)</f>
        <v>151.54</v>
      </c>
      <c r="C155" s="2">
        <f>IFERROR(__xludf.DUMMYFUNCTION("""COMPUTED_VALUE"""),153.15)</f>
        <v>153.15</v>
      </c>
      <c r="D155" s="2">
        <f>IFERROR(__xludf.DUMMYFUNCTION("""COMPUTED_VALUE"""),150.07)</f>
        <v>150.07</v>
      </c>
      <c r="E155" s="2">
        <f>IFERROR(__xludf.DUMMYFUNCTION("""COMPUTED_VALUE"""),152.86)</f>
        <v>152.86</v>
      </c>
      <c r="F155" s="2">
        <f>IFERROR(__xludf.DUMMYFUNCTION("""COMPUTED_VALUE"""),3136721.0)</f>
        <v>3136721</v>
      </c>
    </row>
    <row r="156">
      <c r="A156" s="3">
        <f>IFERROR(__xludf.DUMMYFUNCTION("""COMPUTED_VALUE"""),45153.66666666667)</f>
        <v>45153.66667</v>
      </c>
      <c r="B156" s="2">
        <f>IFERROR(__xludf.DUMMYFUNCTION("""COMPUTED_VALUE"""),151.57)</f>
        <v>151.57</v>
      </c>
      <c r="C156" s="2">
        <f>IFERROR(__xludf.DUMMYFUNCTION("""COMPUTED_VALUE"""),153.4)</f>
        <v>153.4</v>
      </c>
      <c r="D156" s="2">
        <f>IFERROR(__xludf.DUMMYFUNCTION("""COMPUTED_VALUE"""),150.08)</f>
        <v>150.08</v>
      </c>
      <c r="E156" s="2">
        <f>IFERROR(__xludf.DUMMYFUNCTION("""COMPUTED_VALUE"""),151.1)</f>
        <v>151.1</v>
      </c>
      <c r="F156" s="2">
        <f>IFERROR(__xludf.DUMMYFUNCTION("""COMPUTED_VALUE"""),2644577.0)</f>
        <v>2644577</v>
      </c>
    </row>
    <row r="157">
      <c r="A157" s="3">
        <f>IFERROR(__xludf.DUMMYFUNCTION("""COMPUTED_VALUE"""),45154.66666666667)</f>
        <v>45154.66667</v>
      </c>
      <c r="B157" s="2">
        <f>IFERROR(__xludf.DUMMYFUNCTION("""COMPUTED_VALUE"""),151.2)</f>
        <v>151.2</v>
      </c>
      <c r="C157" s="2">
        <f>IFERROR(__xludf.DUMMYFUNCTION("""COMPUTED_VALUE"""),152.75)</f>
        <v>152.75</v>
      </c>
      <c r="D157" s="2">
        <f>IFERROR(__xludf.DUMMYFUNCTION("""COMPUTED_VALUE"""),148.84)</f>
        <v>148.84</v>
      </c>
      <c r="E157" s="2">
        <f>IFERROR(__xludf.DUMMYFUNCTION("""COMPUTED_VALUE"""),149.69)</f>
        <v>149.69</v>
      </c>
      <c r="F157" s="2">
        <f>IFERROR(__xludf.DUMMYFUNCTION("""COMPUTED_VALUE"""),3561562.0)</f>
        <v>3561562</v>
      </c>
    </row>
    <row r="158">
      <c r="A158" s="3">
        <f>IFERROR(__xludf.DUMMYFUNCTION("""COMPUTED_VALUE"""),45155.66666666667)</f>
        <v>45155.66667</v>
      </c>
      <c r="B158" s="2">
        <f>IFERROR(__xludf.DUMMYFUNCTION("""COMPUTED_VALUE"""),149.87)</f>
        <v>149.87</v>
      </c>
      <c r="C158" s="2">
        <f>IFERROR(__xludf.DUMMYFUNCTION("""COMPUTED_VALUE"""),150.89)</f>
        <v>150.89</v>
      </c>
      <c r="D158" s="2">
        <f>IFERROR(__xludf.DUMMYFUNCTION("""COMPUTED_VALUE"""),146.09)</f>
        <v>146.09</v>
      </c>
      <c r="E158" s="2">
        <f>IFERROR(__xludf.DUMMYFUNCTION("""COMPUTED_VALUE"""),146.94)</f>
        <v>146.94</v>
      </c>
      <c r="F158" s="2">
        <f>IFERROR(__xludf.DUMMYFUNCTION("""COMPUTED_VALUE"""),4348368.0)</f>
        <v>4348368</v>
      </c>
    </row>
    <row r="159">
      <c r="A159" s="3">
        <f>IFERROR(__xludf.DUMMYFUNCTION("""COMPUTED_VALUE"""),45156.66666666667)</f>
        <v>45156.66667</v>
      </c>
      <c r="B159" s="2">
        <f>IFERROR(__xludf.DUMMYFUNCTION("""COMPUTED_VALUE"""),144.49)</f>
        <v>144.49</v>
      </c>
      <c r="C159" s="2">
        <f>IFERROR(__xludf.DUMMYFUNCTION("""COMPUTED_VALUE"""),147.86)</f>
        <v>147.86</v>
      </c>
      <c r="D159" s="2">
        <f>IFERROR(__xludf.DUMMYFUNCTION("""COMPUTED_VALUE"""),142.4)</f>
        <v>142.4</v>
      </c>
      <c r="E159" s="2">
        <f>IFERROR(__xludf.DUMMYFUNCTION("""COMPUTED_VALUE"""),147.63)</f>
        <v>147.63</v>
      </c>
      <c r="F159" s="2">
        <f>IFERROR(__xludf.DUMMYFUNCTION("""COMPUTED_VALUE"""),5852293.0)</f>
        <v>5852293</v>
      </c>
    </row>
    <row r="160">
      <c r="A160" s="3">
        <f>IFERROR(__xludf.DUMMYFUNCTION("""COMPUTED_VALUE"""),45159.66666666667)</f>
        <v>45159.66667</v>
      </c>
      <c r="B160" s="2">
        <f>IFERROR(__xludf.DUMMYFUNCTION("""COMPUTED_VALUE"""),149.06)</f>
        <v>149.06</v>
      </c>
      <c r="C160" s="2">
        <f>IFERROR(__xludf.DUMMYFUNCTION("""COMPUTED_VALUE"""),153.11)</f>
        <v>153.11</v>
      </c>
      <c r="D160" s="2">
        <f>IFERROR(__xludf.DUMMYFUNCTION("""COMPUTED_VALUE"""),149.06)</f>
        <v>149.06</v>
      </c>
      <c r="E160" s="2">
        <f>IFERROR(__xludf.DUMMYFUNCTION("""COMPUTED_VALUE"""),151.88)</f>
        <v>151.88</v>
      </c>
      <c r="F160" s="2">
        <f>IFERROR(__xludf.DUMMYFUNCTION("""COMPUTED_VALUE"""),5671008.0)</f>
        <v>5671008</v>
      </c>
    </row>
    <row r="161">
      <c r="A161" s="3">
        <f>IFERROR(__xludf.DUMMYFUNCTION("""COMPUTED_VALUE"""),45160.66666666667)</f>
        <v>45160.66667</v>
      </c>
      <c r="B161" s="2">
        <f>IFERROR(__xludf.DUMMYFUNCTION("""COMPUTED_VALUE"""),153.88)</f>
        <v>153.88</v>
      </c>
      <c r="C161" s="2">
        <f>IFERROR(__xludf.DUMMYFUNCTION("""COMPUTED_VALUE"""),154.19)</f>
        <v>154.19</v>
      </c>
      <c r="D161" s="2">
        <f>IFERROR(__xludf.DUMMYFUNCTION("""COMPUTED_VALUE"""),151.55)</f>
        <v>151.55</v>
      </c>
      <c r="E161" s="2">
        <f>IFERROR(__xludf.DUMMYFUNCTION("""COMPUTED_VALUE"""),152.58)</f>
        <v>152.58</v>
      </c>
      <c r="F161" s="2">
        <f>IFERROR(__xludf.DUMMYFUNCTION("""COMPUTED_VALUE"""),4994093.0)</f>
        <v>4994093</v>
      </c>
    </row>
    <row r="162">
      <c r="A162" s="3">
        <f>IFERROR(__xludf.DUMMYFUNCTION("""COMPUTED_VALUE"""),45161.66666666667)</f>
        <v>45161.66667</v>
      </c>
      <c r="B162" s="2">
        <f>IFERROR(__xludf.DUMMYFUNCTION("""COMPUTED_VALUE"""),151.87)</f>
        <v>151.87</v>
      </c>
      <c r="C162" s="2">
        <f>IFERROR(__xludf.DUMMYFUNCTION("""COMPUTED_VALUE"""),157.46)</f>
        <v>157.46</v>
      </c>
      <c r="D162" s="2">
        <f>IFERROR(__xludf.DUMMYFUNCTION("""COMPUTED_VALUE"""),151.8)</f>
        <v>151.8</v>
      </c>
      <c r="E162" s="2">
        <f>IFERROR(__xludf.DUMMYFUNCTION("""COMPUTED_VALUE"""),155.7)</f>
        <v>155.7</v>
      </c>
      <c r="F162" s="2">
        <f>IFERROR(__xludf.DUMMYFUNCTION("""COMPUTED_VALUE"""),1.0302589E7)</f>
        <v>10302589</v>
      </c>
    </row>
    <row r="163">
      <c r="A163" s="3">
        <f>IFERROR(__xludf.DUMMYFUNCTION("""COMPUTED_VALUE"""),45162.66666666667)</f>
        <v>45162.66667</v>
      </c>
      <c r="B163" s="2">
        <f>IFERROR(__xludf.DUMMYFUNCTION("""COMPUTED_VALUE"""),161.55)</f>
        <v>161.55</v>
      </c>
      <c r="C163" s="2">
        <f>IFERROR(__xludf.DUMMYFUNCTION("""COMPUTED_VALUE"""),161.93)</f>
        <v>161.93</v>
      </c>
      <c r="D163" s="2">
        <f>IFERROR(__xludf.DUMMYFUNCTION("""COMPUTED_VALUE"""),145.4)</f>
        <v>145.4</v>
      </c>
      <c r="E163" s="2">
        <f>IFERROR(__xludf.DUMMYFUNCTION("""COMPUTED_VALUE"""),147.67)</f>
        <v>147.67</v>
      </c>
      <c r="F163" s="2">
        <f>IFERROR(__xludf.DUMMYFUNCTION("""COMPUTED_VALUE"""),1.4065805E7)</f>
        <v>14065805</v>
      </c>
    </row>
    <row r="164">
      <c r="A164" s="3">
        <f>IFERROR(__xludf.DUMMYFUNCTION("""COMPUTED_VALUE"""),45163.66666666667)</f>
        <v>45163.66667</v>
      </c>
      <c r="B164" s="2">
        <f>IFERROR(__xludf.DUMMYFUNCTION("""COMPUTED_VALUE"""),147.1)</f>
        <v>147.1</v>
      </c>
      <c r="C164" s="2">
        <f>IFERROR(__xludf.DUMMYFUNCTION("""COMPUTED_VALUE"""),153.6)</f>
        <v>153.6</v>
      </c>
      <c r="D164" s="2">
        <f>IFERROR(__xludf.DUMMYFUNCTION("""COMPUTED_VALUE"""),146.87)</f>
        <v>146.87</v>
      </c>
      <c r="E164" s="2">
        <f>IFERROR(__xludf.DUMMYFUNCTION("""COMPUTED_VALUE"""),152.55)</f>
        <v>152.55</v>
      </c>
      <c r="F164" s="2">
        <f>IFERROR(__xludf.DUMMYFUNCTION("""COMPUTED_VALUE"""),6322800.0)</f>
        <v>6322800</v>
      </c>
    </row>
    <row r="165">
      <c r="A165" s="3">
        <f>IFERROR(__xludf.DUMMYFUNCTION("""COMPUTED_VALUE"""),45166.66666666667)</f>
        <v>45166.66667</v>
      </c>
      <c r="B165" s="2">
        <f>IFERROR(__xludf.DUMMYFUNCTION("""COMPUTED_VALUE"""),152.82)</f>
        <v>152.82</v>
      </c>
      <c r="C165" s="2">
        <f>IFERROR(__xludf.DUMMYFUNCTION("""COMPUTED_VALUE"""),154.97)</f>
        <v>154.97</v>
      </c>
      <c r="D165" s="2">
        <f>IFERROR(__xludf.DUMMYFUNCTION("""COMPUTED_VALUE"""),148.37)</f>
        <v>148.37</v>
      </c>
      <c r="E165" s="2">
        <f>IFERROR(__xludf.DUMMYFUNCTION("""COMPUTED_VALUE"""),148.75)</f>
        <v>148.75</v>
      </c>
      <c r="F165" s="2">
        <f>IFERROR(__xludf.DUMMYFUNCTION("""COMPUTED_VALUE"""),5474615.0)</f>
        <v>5474615</v>
      </c>
    </row>
    <row r="166">
      <c r="A166" s="3">
        <f>IFERROR(__xludf.DUMMYFUNCTION("""COMPUTED_VALUE"""),45167.66666666667)</f>
        <v>45167.66667</v>
      </c>
      <c r="B166" s="2">
        <f>IFERROR(__xludf.DUMMYFUNCTION("""COMPUTED_VALUE"""),148.08)</f>
        <v>148.08</v>
      </c>
      <c r="C166" s="2">
        <f>IFERROR(__xludf.DUMMYFUNCTION("""COMPUTED_VALUE"""),153.77)</f>
        <v>153.77</v>
      </c>
      <c r="D166" s="2">
        <f>IFERROR(__xludf.DUMMYFUNCTION("""COMPUTED_VALUE"""),147.96)</f>
        <v>147.96</v>
      </c>
      <c r="E166" s="2">
        <f>IFERROR(__xludf.DUMMYFUNCTION("""COMPUTED_VALUE"""),153.3)</f>
        <v>153.3</v>
      </c>
      <c r="F166" s="2">
        <f>IFERROR(__xludf.DUMMYFUNCTION("""COMPUTED_VALUE"""),4601099.0)</f>
        <v>4601099</v>
      </c>
    </row>
    <row r="167">
      <c r="A167" s="3">
        <f>IFERROR(__xludf.DUMMYFUNCTION("""COMPUTED_VALUE"""),45168.66666666667)</f>
        <v>45168.66667</v>
      </c>
      <c r="B167" s="2">
        <f>IFERROR(__xludf.DUMMYFUNCTION("""COMPUTED_VALUE"""),152.99)</f>
        <v>152.99</v>
      </c>
      <c r="C167" s="2">
        <f>IFERROR(__xludf.DUMMYFUNCTION("""COMPUTED_VALUE"""),156.74)</f>
        <v>156.74</v>
      </c>
      <c r="D167" s="2">
        <f>IFERROR(__xludf.DUMMYFUNCTION("""COMPUTED_VALUE"""),151.87)</f>
        <v>151.87</v>
      </c>
      <c r="E167" s="2">
        <f>IFERROR(__xludf.DUMMYFUNCTION("""COMPUTED_VALUE"""),155.34)</f>
        <v>155.34</v>
      </c>
      <c r="F167" s="2">
        <f>IFERROR(__xludf.DUMMYFUNCTION("""COMPUTED_VALUE"""),3573080.0)</f>
        <v>3573080</v>
      </c>
    </row>
    <row r="168">
      <c r="A168" s="3">
        <f>IFERROR(__xludf.DUMMYFUNCTION("""COMPUTED_VALUE"""),45169.66666666667)</f>
        <v>45169.66667</v>
      </c>
      <c r="B168" s="2">
        <f>IFERROR(__xludf.DUMMYFUNCTION("""COMPUTED_VALUE"""),156.0)</f>
        <v>156</v>
      </c>
      <c r="C168" s="2">
        <f>IFERROR(__xludf.DUMMYFUNCTION("""COMPUTED_VALUE"""),158.5)</f>
        <v>158.5</v>
      </c>
      <c r="D168" s="2">
        <f>IFERROR(__xludf.DUMMYFUNCTION("""COMPUTED_VALUE"""),155.56)</f>
        <v>155.56</v>
      </c>
      <c r="E168" s="2">
        <f>IFERROR(__xludf.DUMMYFUNCTION("""COMPUTED_VALUE"""),156.85)</f>
        <v>156.85</v>
      </c>
      <c r="F168" s="2">
        <f>IFERROR(__xludf.DUMMYFUNCTION("""COMPUTED_VALUE"""),4404132.0)</f>
        <v>4404132</v>
      </c>
    </row>
    <row r="169">
      <c r="A169" s="3">
        <f>IFERROR(__xludf.DUMMYFUNCTION("""COMPUTED_VALUE"""),45170.66666666667)</f>
        <v>45170.66667</v>
      </c>
      <c r="B169" s="2">
        <f>IFERROR(__xludf.DUMMYFUNCTION("""COMPUTED_VALUE"""),158.1)</f>
        <v>158.1</v>
      </c>
      <c r="C169" s="2">
        <f>IFERROR(__xludf.DUMMYFUNCTION("""COMPUTED_VALUE"""),160.02)</f>
        <v>160.02</v>
      </c>
      <c r="D169" s="2">
        <f>IFERROR(__xludf.DUMMYFUNCTION("""COMPUTED_VALUE"""),156.75)</f>
        <v>156.75</v>
      </c>
      <c r="E169" s="2">
        <f>IFERROR(__xludf.DUMMYFUNCTION("""COMPUTED_VALUE"""),157.08)</f>
        <v>157.08</v>
      </c>
      <c r="F169" s="2">
        <f>IFERROR(__xludf.DUMMYFUNCTION("""COMPUTED_VALUE"""),3685404.0)</f>
        <v>3685404</v>
      </c>
    </row>
    <row r="170">
      <c r="A170" s="3">
        <f>IFERROR(__xludf.DUMMYFUNCTION("""COMPUTED_VALUE"""),45174.66666666667)</f>
        <v>45174.66667</v>
      </c>
      <c r="B170" s="2">
        <f>IFERROR(__xludf.DUMMYFUNCTION("""COMPUTED_VALUE"""),156.3)</f>
        <v>156.3</v>
      </c>
      <c r="C170" s="2">
        <f>IFERROR(__xludf.DUMMYFUNCTION("""COMPUTED_VALUE"""),159.77)</f>
        <v>159.77</v>
      </c>
      <c r="D170" s="2">
        <f>IFERROR(__xludf.DUMMYFUNCTION("""COMPUTED_VALUE"""),155.99)</f>
        <v>155.99</v>
      </c>
      <c r="E170" s="2">
        <f>IFERROR(__xludf.DUMMYFUNCTION("""COMPUTED_VALUE"""),159.38)</f>
        <v>159.38</v>
      </c>
      <c r="F170" s="2">
        <f>IFERROR(__xludf.DUMMYFUNCTION("""COMPUTED_VALUE"""),3219056.0)</f>
        <v>3219056</v>
      </c>
    </row>
    <row r="171">
      <c r="A171" s="3">
        <f>IFERROR(__xludf.DUMMYFUNCTION("""COMPUTED_VALUE"""),45175.66666666667)</f>
        <v>45175.66667</v>
      </c>
      <c r="B171" s="2">
        <f>IFERROR(__xludf.DUMMYFUNCTION("""COMPUTED_VALUE"""),157.49)</f>
        <v>157.49</v>
      </c>
      <c r="C171" s="2">
        <f>IFERROR(__xludf.DUMMYFUNCTION("""COMPUTED_VALUE"""),159.01)</f>
        <v>159.01</v>
      </c>
      <c r="D171" s="2">
        <f>IFERROR(__xludf.DUMMYFUNCTION("""COMPUTED_VALUE"""),155.97)</f>
        <v>155.97</v>
      </c>
      <c r="E171" s="2">
        <f>IFERROR(__xludf.DUMMYFUNCTION("""COMPUTED_VALUE"""),157.49)</f>
        <v>157.49</v>
      </c>
      <c r="F171" s="2">
        <f>IFERROR(__xludf.DUMMYFUNCTION("""COMPUTED_VALUE"""),2161261.0)</f>
        <v>2161261</v>
      </c>
    </row>
    <row r="172">
      <c r="A172" s="3">
        <f>IFERROR(__xludf.DUMMYFUNCTION("""COMPUTED_VALUE"""),45176.66666666667)</f>
        <v>45176.66667</v>
      </c>
      <c r="B172" s="2">
        <f>IFERROR(__xludf.DUMMYFUNCTION("""COMPUTED_VALUE"""),153.82)</f>
        <v>153.82</v>
      </c>
      <c r="C172" s="2">
        <f>IFERROR(__xludf.DUMMYFUNCTION("""COMPUTED_VALUE"""),159.95)</f>
        <v>159.95</v>
      </c>
      <c r="D172" s="2">
        <f>IFERROR(__xludf.DUMMYFUNCTION("""COMPUTED_VALUE"""),153.33)</f>
        <v>153.33</v>
      </c>
      <c r="E172" s="2">
        <f>IFERROR(__xludf.DUMMYFUNCTION("""COMPUTED_VALUE"""),159.84)</f>
        <v>159.84</v>
      </c>
      <c r="F172" s="2">
        <f>IFERROR(__xludf.DUMMYFUNCTION("""COMPUTED_VALUE"""),2884181.0)</f>
        <v>2884181</v>
      </c>
    </row>
    <row r="173">
      <c r="A173" s="3">
        <f>IFERROR(__xludf.DUMMYFUNCTION("""COMPUTED_VALUE"""),45177.66666666667)</f>
        <v>45177.66667</v>
      </c>
      <c r="B173" s="2">
        <f>IFERROR(__xludf.DUMMYFUNCTION("""COMPUTED_VALUE"""),165.21)</f>
        <v>165.21</v>
      </c>
      <c r="C173" s="2">
        <f>IFERROR(__xludf.DUMMYFUNCTION("""COMPUTED_VALUE"""),167.75)</f>
        <v>167.75</v>
      </c>
      <c r="D173" s="2">
        <f>IFERROR(__xludf.DUMMYFUNCTION("""COMPUTED_VALUE"""),163.92)</f>
        <v>163.92</v>
      </c>
      <c r="E173" s="2">
        <f>IFERROR(__xludf.DUMMYFUNCTION("""COMPUTED_VALUE"""),165.95)</f>
        <v>165.95</v>
      </c>
      <c r="F173" s="2">
        <f>IFERROR(__xludf.DUMMYFUNCTION("""COMPUTED_VALUE"""),7728682.0)</f>
        <v>7728682</v>
      </c>
    </row>
    <row r="174">
      <c r="A174" s="3">
        <f>IFERROR(__xludf.DUMMYFUNCTION("""COMPUTED_VALUE"""),45180.66666666667)</f>
        <v>45180.66667</v>
      </c>
      <c r="B174" s="2">
        <f>IFERROR(__xludf.DUMMYFUNCTION("""COMPUTED_VALUE"""),166.27)</f>
        <v>166.27</v>
      </c>
      <c r="C174" s="2">
        <f>IFERROR(__xludf.DUMMYFUNCTION("""COMPUTED_VALUE"""),172.35)</f>
        <v>172.35</v>
      </c>
      <c r="D174" s="2">
        <f>IFERROR(__xludf.DUMMYFUNCTION("""COMPUTED_VALUE"""),166.26)</f>
        <v>166.26</v>
      </c>
      <c r="E174" s="2">
        <f>IFERROR(__xludf.DUMMYFUNCTION("""COMPUTED_VALUE"""),170.17)</f>
        <v>170.17</v>
      </c>
      <c r="F174" s="2">
        <f>IFERROR(__xludf.DUMMYFUNCTION("""COMPUTED_VALUE"""),5628752.0)</f>
        <v>5628752</v>
      </c>
    </row>
    <row r="175">
      <c r="A175" s="3">
        <f>IFERROR(__xludf.DUMMYFUNCTION("""COMPUTED_VALUE"""),45181.66666666667)</f>
        <v>45181.66667</v>
      </c>
      <c r="B175" s="2">
        <f>IFERROR(__xludf.DUMMYFUNCTION("""COMPUTED_VALUE"""),168.92)</f>
        <v>168.92</v>
      </c>
      <c r="C175" s="2">
        <f>IFERROR(__xludf.DUMMYFUNCTION("""COMPUTED_VALUE"""),171.52)</f>
        <v>171.52</v>
      </c>
      <c r="D175" s="2">
        <f>IFERROR(__xludf.DUMMYFUNCTION("""COMPUTED_VALUE"""),166.47)</f>
        <v>166.47</v>
      </c>
      <c r="E175" s="2">
        <f>IFERROR(__xludf.DUMMYFUNCTION("""COMPUTED_VALUE"""),166.83)</f>
        <v>166.83</v>
      </c>
      <c r="F175" s="2">
        <f>IFERROR(__xludf.DUMMYFUNCTION("""COMPUTED_VALUE"""),3957143.0)</f>
        <v>3957143</v>
      </c>
    </row>
    <row r="176">
      <c r="A176" s="3">
        <f>IFERROR(__xludf.DUMMYFUNCTION("""COMPUTED_VALUE"""),45182.66666666667)</f>
        <v>45182.66667</v>
      </c>
      <c r="B176" s="2">
        <f>IFERROR(__xludf.DUMMYFUNCTION("""COMPUTED_VALUE"""),166.23)</f>
        <v>166.23</v>
      </c>
      <c r="C176" s="2">
        <f>IFERROR(__xludf.DUMMYFUNCTION("""COMPUTED_VALUE"""),167.88)</f>
        <v>167.88</v>
      </c>
      <c r="D176" s="2">
        <f>IFERROR(__xludf.DUMMYFUNCTION("""COMPUTED_VALUE"""),163.79)</f>
        <v>163.79</v>
      </c>
      <c r="E176" s="2">
        <f>IFERROR(__xludf.DUMMYFUNCTION("""COMPUTED_VALUE"""),165.34)</f>
        <v>165.34</v>
      </c>
      <c r="F176" s="2">
        <f>IFERROR(__xludf.DUMMYFUNCTION("""COMPUTED_VALUE"""),2714538.0)</f>
        <v>2714538</v>
      </c>
    </row>
    <row r="177">
      <c r="A177" s="3">
        <f>IFERROR(__xludf.DUMMYFUNCTION("""COMPUTED_VALUE"""),45183.66666666667)</f>
        <v>45183.66667</v>
      </c>
      <c r="B177" s="2">
        <f>IFERROR(__xludf.DUMMYFUNCTION("""COMPUTED_VALUE"""),166.89)</f>
        <v>166.89</v>
      </c>
      <c r="C177" s="2">
        <f>IFERROR(__xludf.DUMMYFUNCTION("""COMPUTED_VALUE"""),167.4)</f>
        <v>167.4</v>
      </c>
      <c r="D177" s="2">
        <f>IFERROR(__xludf.DUMMYFUNCTION("""COMPUTED_VALUE"""),161.13)</f>
        <v>161.13</v>
      </c>
      <c r="E177" s="2">
        <f>IFERROR(__xludf.DUMMYFUNCTION("""COMPUTED_VALUE"""),162.98)</f>
        <v>162.98</v>
      </c>
      <c r="F177" s="2">
        <f>IFERROR(__xludf.DUMMYFUNCTION("""COMPUTED_VALUE"""),4021612.0)</f>
        <v>4021612</v>
      </c>
    </row>
    <row r="178">
      <c r="A178" s="3">
        <f>IFERROR(__xludf.DUMMYFUNCTION("""COMPUTED_VALUE"""),45184.66666666667)</f>
        <v>45184.66667</v>
      </c>
      <c r="B178" s="2">
        <f>IFERROR(__xludf.DUMMYFUNCTION("""COMPUTED_VALUE"""),161.64)</f>
        <v>161.64</v>
      </c>
      <c r="C178" s="2">
        <f>IFERROR(__xludf.DUMMYFUNCTION("""COMPUTED_VALUE"""),163.71)</f>
        <v>163.71</v>
      </c>
      <c r="D178" s="2">
        <f>IFERROR(__xludf.DUMMYFUNCTION("""COMPUTED_VALUE"""),160.26)</f>
        <v>160.26</v>
      </c>
      <c r="E178" s="2">
        <f>IFERROR(__xludf.DUMMYFUNCTION("""COMPUTED_VALUE"""),162.41)</f>
        <v>162.41</v>
      </c>
      <c r="F178" s="2">
        <f>IFERROR(__xludf.DUMMYFUNCTION("""COMPUTED_VALUE"""),6661747.0)</f>
        <v>6661747</v>
      </c>
    </row>
    <row r="179">
      <c r="A179" s="3">
        <f>IFERROR(__xludf.DUMMYFUNCTION("""COMPUTED_VALUE"""),45187.66666666667)</f>
        <v>45187.66667</v>
      </c>
      <c r="B179" s="2">
        <f>IFERROR(__xludf.DUMMYFUNCTION("""COMPUTED_VALUE"""),160.37)</f>
        <v>160.37</v>
      </c>
      <c r="C179" s="2">
        <f>IFERROR(__xludf.DUMMYFUNCTION("""COMPUTED_VALUE"""),162.87)</f>
        <v>162.87</v>
      </c>
      <c r="D179" s="2">
        <f>IFERROR(__xludf.DUMMYFUNCTION("""COMPUTED_VALUE"""),159.57)</f>
        <v>159.57</v>
      </c>
      <c r="E179" s="2">
        <f>IFERROR(__xludf.DUMMYFUNCTION("""COMPUTED_VALUE"""),161.45)</f>
        <v>161.45</v>
      </c>
      <c r="F179" s="2">
        <f>IFERROR(__xludf.DUMMYFUNCTION("""COMPUTED_VALUE"""),2368142.0)</f>
        <v>2368142</v>
      </c>
    </row>
    <row r="180">
      <c r="A180" s="3">
        <f>IFERROR(__xludf.DUMMYFUNCTION("""COMPUTED_VALUE"""),45188.66666666667)</f>
        <v>45188.66667</v>
      </c>
      <c r="B180" s="2">
        <f>IFERROR(__xludf.DUMMYFUNCTION("""COMPUTED_VALUE"""),161.14)</f>
        <v>161.14</v>
      </c>
      <c r="C180" s="2">
        <f>IFERROR(__xludf.DUMMYFUNCTION("""COMPUTED_VALUE"""),161.85)</f>
        <v>161.85</v>
      </c>
      <c r="D180" s="2">
        <f>IFERROR(__xludf.DUMMYFUNCTION("""COMPUTED_VALUE"""),156.96)</f>
        <v>156.96</v>
      </c>
      <c r="E180" s="2">
        <f>IFERROR(__xludf.DUMMYFUNCTION("""COMPUTED_VALUE"""),159.74)</f>
        <v>159.74</v>
      </c>
      <c r="F180" s="2">
        <f>IFERROR(__xludf.DUMMYFUNCTION("""COMPUTED_VALUE"""),3794632.0)</f>
        <v>3794632</v>
      </c>
    </row>
    <row r="181">
      <c r="A181" s="3">
        <f>IFERROR(__xludf.DUMMYFUNCTION("""COMPUTED_VALUE"""),45189.66666666667)</f>
        <v>45189.66667</v>
      </c>
      <c r="B181" s="2">
        <f>IFERROR(__xludf.DUMMYFUNCTION("""COMPUTED_VALUE"""),159.56)</f>
        <v>159.56</v>
      </c>
      <c r="C181" s="2">
        <f>IFERROR(__xludf.DUMMYFUNCTION("""COMPUTED_VALUE"""),161.28)</f>
        <v>161.28</v>
      </c>
      <c r="D181" s="2">
        <f>IFERROR(__xludf.DUMMYFUNCTION("""COMPUTED_VALUE"""),157.94)</f>
        <v>157.94</v>
      </c>
      <c r="E181" s="2">
        <f>IFERROR(__xludf.DUMMYFUNCTION("""COMPUTED_VALUE"""),158.63)</f>
        <v>158.63</v>
      </c>
      <c r="F181" s="2">
        <f>IFERROR(__xludf.DUMMYFUNCTION("""COMPUTED_VALUE"""),3341733.0)</f>
        <v>3341733</v>
      </c>
    </row>
    <row r="182">
      <c r="A182" s="3">
        <f>IFERROR(__xludf.DUMMYFUNCTION("""COMPUTED_VALUE"""),45190.66666666667)</f>
        <v>45190.66667</v>
      </c>
      <c r="B182" s="2">
        <f>IFERROR(__xludf.DUMMYFUNCTION("""COMPUTED_VALUE"""),155.19)</f>
        <v>155.19</v>
      </c>
      <c r="C182" s="2">
        <f>IFERROR(__xludf.DUMMYFUNCTION("""COMPUTED_VALUE"""),156.19)</f>
        <v>156.19</v>
      </c>
      <c r="D182" s="2">
        <f>IFERROR(__xludf.DUMMYFUNCTION("""COMPUTED_VALUE"""),148.54)</f>
        <v>148.54</v>
      </c>
      <c r="E182" s="2">
        <f>IFERROR(__xludf.DUMMYFUNCTION("""COMPUTED_VALUE"""),149.03)</f>
        <v>149.03</v>
      </c>
      <c r="F182" s="2">
        <f>IFERROR(__xludf.DUMMYFUNCTION("""COMPUTED_VALUE"""),6629347.0)</f>
        <v>6629347</v>
      </c>
    </row>
    <row r="183">
      <c r="A183" s="3">
        <f>IFERROR(__xludf.DUMMYFUNCTION("""COMPUTED_VALUE"""),45191.66666666667)</f>
        <v>45191.66667</v>
      </c>
      <c r="B183" s="2">
        <f>IFERROR(__xludf.DUMMYFUNCTION("""COMPUTED_VALUE"""),151.42)</f>
        <v>151.42</v>
      </c>
      <c r="C183" s="2">
        <f>IFERROR(__xludf.DUMMYFUNCTION("""COMPUTED_VALUE"""),152.63)</f>
        <v>152.63</v>
      </c>
      <c r="D183" s="2">
        <f>IFERROR(__xludf.DUMMYFUNCTION("""COMPUTED_VALUE"""),149.67)</f>
        <v>149.67</v>
      </c>
      <c r="E183" s="2">
        <f>IFERROR(__xludf.DUMMYFUNCTION("""COMPUTED_VALUE"""),149.7)</f>
        <v>149.7</v>
      </c>
      <c r="F183" s="2">
        <f>IFERROR(__xludf.DUMMYFUNCTION("""COMPUTED_VALUE"""),2916354.0)</f>
        <v>2916354</v>
      </c>
    </row>
    <row r="184">
      <c r="A184" s="3">
        <f>IFERROR(__xludf.DUMMYFUNCTION("""COMPUTED_VALUE"""),45194.66666666667)</f>
        <v>45194.66667</v>
      </c>
      <c r="B184" s="2">
        <f>IFERROR(__xludf.DUMMYFUNCTION("""COMPUTED_VALUE"""),148.82)</f>
        <v>148.82</v>
      </c>
      <c r="C184" s="2">
        <f>IFERROR(__xludf.DUMMYFUNCTION("""COMPUTED_VALUE"""),150.47)</f>
        <v>150.47</v>
      </c>
      <c r="D184" s="2">
        <f>IFERROR(__xludf.DUMMYFUNCTION("""COMPUTED_VALUE"""),147.67)</f>
        <v>147.67</v>
      </c>
      <c r="E184" s="2">
        <f>IFERROR(__xludf.DUMMYFUNCTION("""COMPUTED_VALUE"""),149.74)</f>
        <v>149.74</v>
      </c>
      <c r="F184" s="2">
        <f>IFERROR(__xludf.DUMMYFUNCTION("""COMPUTED_VALUE"""),3271861.0)</f>
        <v>3271861</v>
      </c>
    </row>
    <row r="185">
      <c r="A185" s="3">
        <f>IFERROR(__xludf.DUMMYFUNCTION("""COMPUTED_VALUE"""),45195.66666666667)</f>
        <v>45195.66667</v>
      </c>
      <c r="B185" s="2">
        <f>IFERROR(__xludf.DUMMYFUNCTION("""COMPUTED_VALUE"""),148.8)</f>
        <v>148.8</v>
      </c>
      <c r="C185" s="2">
        <f>IFERROR(__xludf.DUMMYFUNCTION("""COMPUTED_VALUE"""),150.65)</f>
        <v>150.65</v>
      </c>
      <c r="D185" s="2">
        <f>IFERROR(__xludf.DUMMYFUNCTION("""COMPUTED_VALUE"""),146.51)</f>
        <v>146.51</v>
      </c>
      <c r="E185" s="2">
        <f>IFERROR(__xludf.DUMMYFUNCTION("""COMPUTED_VALUE"""),147.05)</f>
        <v>147.05</v>
      </c>
      <c r="F185" s="2">
        <f>IFERROR(__xludf.DUMMYFUNCTION("""COMPUTED_VALUE"""),3225165.0)</f>
        <v>3225165</v>
      </c>
    </row>
    <row r="186">
      <c r="A186" s="3">
        <f>IFERROR(__xludf.DUMMYFUNCTION("""COMPUTED_VALUE"""),45196.66666666667)</f>
        <v>45196.66667</v>
      </c>
      <c r="B186" s="2">
        <f>IFERROR(__xludf.DUMMYFUNCTION("""COMPUTED_VALUE"""),148.07)</f>
        <v>148.07</v>
      </c>
      <c r="C186" s="2">
        <f>IFERROR(__xludf.DUMMYFUNCTION("""COMPUTED_VALUE"""),149.47)</f>
        <v>149.47</v>
      </c>
      <c r="D186" s="2">
        <f>IFERROR(__xludf.DUMMYFUNCTION("""COMPUTED_VALUE"""),146.1)</f>
        <v>146.1</v>
      </c>
      <c r="E186" s="2">
        <f>IFERROR(__xludf.DUMMYFUNCTION("""COMPUTED_VALUE"""),147.52)</f>
        <v>147.52</v>
      </c>
      <c r="F186" s="2">
        <f>IFERROR(__xludf.DUMMYFUNCTION("""COMPUTED_VALUE"""),3515837.0)</f>
        <v>3515837</v>
      </c>
    </row>
    <row r="187">
      <c r="A187" s="3">
        <f>IFERROR(__xludf.DUMMYFUNCTION("""COMPUTED_VALUE"""),45197.66666666667)</f>
        <v>45197.66667</v>
      </c>
      <c r="B187" s="2">
        <f>IFERROR(__xludf.DUMMYFUNCTION("""COMPUTED_VALUE"""),145.52)</f>
        <v>145.52</v>
      </c>
      <c r="C187" s="2">
        <f>IFERROR(__xludf.DUMMYFUNCTION("""COMPUTED_VALUE"""),151.55)</f>
        <v>151.55</v>
      </c>
      <c r="D187" s="2">
        <f>IFERROR(__xludf.DUMMYFUNCTION("""COMPUTED_VALUE"""),141.79)</f>
        <v>141.79</v>
      </c>
      <c r="E187" s="2">
        <f>IFERROR(__xludf.DUMMYFUNCTION("""COMPUTED_VALUE"""),151.12)</f>
        <v>151.12</v>
      </c>
      <c r="F187" s="2">
        <f>IFERROR(__xludf.DUMMYFUNCTION("""COMPUTED_VALUE"""),5110053.0)</f>
        <v>5110053</v>
      </c>
    </row>
    <row r="188">
      <c r="A188" s="3">
        <f>IFERROR(__xludf.DUMMYFUNCTION("""COMPUTED_VALUE"""),45198.66666666667)</f>
        <v>45198.66667</v>
      </c>
      <c r="B188" s="2">
        <f>IFERROR(__xludf.DUMMYFUNCTION("""COMPUTED_VALUE"""),153.41)</f>
        <v>153.41</v>
      </c>
      <c r="C188" s="2">
        <f>IFERROR(__xludf.DUMMYFUNCTION("""COMPUTED_VALUE"""),155.17)</f>
        <v>155.17</v>
      </c>
      <c r="D188" s="2">
        <f>IFERROR(__xludf.DUMMYFUNCTION("""COMPUTED_VALUE"""),152.46)</f>
        <v>152.46</v>
      </c>
      <c r="E188" s="2">
        <f>IFERROR(__xludf.DUMMYFUNCTION("""COMPUTED_VALUE"""),152.77)</f>
        <v>152.77</v>
      </c>
      <c r="F188" s="2">
        <f>IFERROR(__xludf.DUMMYFUNCTION("""COMPUTED_VALUE"""),4295518.0)</f>
        <v>4295518</v>
      </c>
    </row>
    <row r="189">
      <c r="A189" s="3">
        <f>IFERROR(__xludf.DUMMYFUNCTION("""COMPUTED_VALUE"""),45201.66666666667)</f>
        <v>45201.66667</v>
      </c>
      <c r="B189" s="2">
        <f>IFERROR(__xludf.DUMMYFUNCTION("""COMPUTED_VALUE"""),152.27)</f>
        <v>152.27</v>
      </c>
      <c r="C189" s="2">
        <f>IFERROR(__xludf.DUMMYFUNCTION("""COMPUTED_VALUE"""),153.29)</f>
        <v>153.29</v>
      </c>
      <c r="D189" s="2">
        <f>IFERROR(__xludf.DUMMYFUNCTION("""COMPUTED_VALUE"""),149.8)</f>
        <v>149.8</v>
      </c>
      <c r="E189" s="2">
        <f>IFERROR(__xludf.DUMMYFUNCTION("""COMPUTED_VALUE"""),151.17)</f>
        <v>151.17</v>
      </c>
      <c r="F189" s="2">
        <f>IFERROR(__xludf.DUMMYFUNCTION("""COMPUTED_VALUE"""),3414823.0)</f>
        <v>3414823</v>
      </c>
    </row>
    <row r="190">
      <c r="A190" s="3">
        <f>IFERROR(__xludf.DUMMYFUNCTION("""COMPUTED_VALUE"""),45202.66666666667)</f>
        <v>45202.66667</v>
      </c>
      <c r="B190" s="2">
        <f>IFERROR(__xludf.DUMMYFUNCTION("""COMPUTED_VALUE"""),149.08)</f>
        <v>149.08</v>
      </c>
      <c r="C190" s="2">
        <f>IFERROR(__xludf.DUMMYFUNCTION("""COMPUTED_VALUE"""),151.91)</f>
        <v>151.91</v>
      </c>
      <c r="D190" s="2">
        <f>IFERROR(__xludf.DUMMYFUNCTION("""COMPUTED_VALUE"""),147.87)</f>
        <v>147.87</v>
      </c>
      <c r="E190" s="2">
        <f>IFERROR(__xludf.DUMMYFUNCTION("""COMPUTED_VALUE"""),148.79)</f>
        <v>148.79</v>
      </c>
      <c r="F190" s="2">
        <f>IFERROR(__xludf.DUMMYFUNCTION("""COMPUTED_VALUE"""),4035759.0)</f>
        <v>4035759</v>
      </c>
    </row>
    <row r="191">
      <c r="A191" s="3">
        <f>IFERROR(__xludf.DUMMYFUNCTION("""COMPUTED_VALUE"""),45203.66666666667)</f>
        <v>45203.66667</v>
      </c>
      <c r="B191" s="2">
        <f>IFERROR(__xludf.DUMMYFUNCTION("""COMPUTED_VALUE"""),150.75)</f>
        <v>150.75</v>
      </c>
      <c r="C191" s="2">
        <f>IFERROR(__xludf.DUMMYFUNCTION("""COMPUTED_VALUE"""),152.7)</f>
        <v>152.7</v>
      </c>
      <c r="D191" s="2">
        <f>IFERROR(__xludf.DUMMYFUNCTION("""COMPUTED_VALUE"""),149.24)</f>
        <v>149.24</v>
      </c>
      <c r="E191" s="2">
        <f>IFERROR(__xludf.DUMMYFUNCTION("""COMPUTED_VALUE"""),151.96)</f>
        <v>151.96</v>
      </c>
      <c r="F191" s="2">
        <f>IFERROR(__xludf.DUMMYFUNCTION("""COMPUTED_VALUE"""),3040209.0)</f>
        <v>3040209</v>
      </c>
    </row>
    <row r="192">
      <c r="A192" s="3">
        <f>IFERROR(__xludf.DUMMYFUNCTION("""COMPUTED_VALUE"""),45204.66666666667)</f>
        <v>45204.66667</v>
      </c>
      <c r="B192" s="2">
        <f>IFERROR(__xludf.DUMMYFUNCTION("""COMPUTED_VALUE"""),154.05)</f>
        <v>154.05</v>
      </c>
      <c r="C192" s="2">
        <f>IFERROR(__xludf.DUMMYFUNCTION("""COMPUTED_VALUE"""),155.31)</f>
        <v>155.31</v>
      </c>
      <c r="D192" s="2">
        <f>IFERROR(__xludf.DUMMYFUNCTION("""COMPUTED_VALUE"""),149.67)</f>
        <v>149.67</v>
      </c>
      <c r="E192" s="2">
        <f>IFERROR(__xludf.DUMMYFUNCTION("""COMPUTED_VALUE"""),150.25)</f>
        <v>150.25</v>
      </c>
      <c r="F192" s="2">
        <f>IFERROR(__xludf.DUMMYFUNCTION("""COMPUTED_VALUE"""),3931654.0)</f>
        <v>3931654</v>
      </c>
    </row>
    <row r="193">
      <c r="A193" s="3">
        <f>IFERROR(__xludf.DUMMYFUNCTION("""COMPUTED_VALUE"""),45205.66666666667)</f>
        <v>45205.66667</v>
      </c>
      <c r="B193" s="2">
        <f>IFERROR(__xludf.DUMMYFUNCTION("""COMPUTED_VALUE"""),148.0)</f>
        <v>148</v>
      </c>
      <c r="C193" s="2">
        <f>IFERROR(__xludf.DUMMYFUNCTION("""COMPUTED_VALUE"""),160.35)</f>
        <v>160.35</v>
      </c>
      <c r="D193" s="2">
        <f>IFERROR(__xludf.DUMMYFUNCTION("""COMPUTED_VALUE"""),148.0)</f>
        <v>148</v>
      </c>
      <c r="E193" s="2">
        <f>IFERROR(__xludf.DUMMYFUNCTION("""COMPUTED_VALUE"""),159.95)</f>
        <v>159.95</v>
      </c>
      <c r="F193" s="2">
        <f>IFERROR(__xludf.DUMMYFUNCTION("""COMPUTED_VALUE"""),5659676.0)</f>
        <v>5659676</v>
      </c>
    </row>
    <row r="194">
      <c r="A194" s="3">
        <f>IFERROR(__xludf.DUMMYFUNCTION("""COMPUTED_VALUE"""),45208.66666666667)</f>
        <v>45208.66667</v>
      </c>
      <c r="B194" s="2">
        <f>IFERROR(__xludf.DUMMYFUNCTION("""COMPUTED_VALUE"""),158.5)</f>
        <v>158.5</v>
      </c>
      <c r="C194" s="2">
        <f>IFERROR(__xludf.DUMMYFUNCTION("""COMPUTED_VALUE"""),163.29)</f>
        <v>163.29</v>
      </c>
      <c r="D194" s="2">
        <f>IFERROR(__xludf.DUMMYFUNCTION("""COMPUTED_VALUE"""),158.29)</f>
        <v>158.29</v>
      </c>
      <c r="E194" s="2">
        <f>IFERROR(__xludf.DUMMYFUNCTION("""COMPUTED_VALUE"""),161.81)</f>
        <v>161.81</v>
      </c>
      <c r="F194" s="2">
        <f>IFERROR(__xludf.DUMMYFUNCTION("""COMPUTED_VALUE"""),2901524.0)</f>
        <v>2901524</v>
      </c>
    </row>
    <row r="195">
      <c r="A195" s="3">
        <f>IFERROR(__xludf.DUMMYFUNCTION("""COMPUTED_VALUE"""),45209.66666666667)</f>
        <v>45209.66667</v>
      </c>
      <c r="B195" s="2">
        <f>IFERROR(__xludf.DUMMYFUNCTION("""COMPUTED_VALUE"""),163.0)</f>
        <v>163</v>
      </c>
      <c r="C195" s="2">
        <f>IFERROR(__xludf.DUMMYFUNCTION("""COMPUTED_VALUE"""),166.43)</f>
        <v>166.43</v>
      </c>
      <c r="D195" s="2">
        <f>IFERROR(__xludf.DUMMYFUNCTION("""COMPUTED_VALUE"""),162.5)</f>
        <v>162.5</v>
      </c>
      <c r="E195" s="2">
        <f>IFERROR(__xludf.DUMMYFUNCTION("""COMPUTED_VALUE"""),163.13)</f>
        <v>163.13</v>
      </c>
      <c r="F195" s="2">
        <f>IFERROR(__xludf.DUMMYFUNCTION("""COMPUTED_VALUE"""),3207673.0)</f>
        <v>3207673</v>
      </c>
    </row>
    <row r="196">
      <c r="A196" s="3">
        <f>IFERROR(__xludf.DUMMYFUNCTION("""COMPUTED_VALUE"""),45210.66666666667)</f>
        <v>45210.66667</v>
      </c>
      <c r="B196" s="2">
        <f>IFERROR(__xludf.DUMMYFUNCTION("""COMPUTED_VALUE"""),163.92)</f>
        <v>163.92</v>
      </c>
      <c r="C196" s="2">
        <f>IFERROR(__xludf.DUMMYFUNCTION("""COMPUTED_VALUE"""),165.8)</f>
        <v>165.8</v>
      </c>
      <c r="D196" s="2">
        <f>IFERROR(__xludf.DUMMYFUNCTION("""COMPUTED_VALUE"""),162.44)</f>
        <v>162.44</v>
      </c>
      <c r="E196" s="2">
        <f>IFERROR(__xludf.DUMMYFUNCTION("""COMPUTED_VALUE"""),163.54)</f>
        <v>163.54</v>
      </c>
      <c r="F196" s="2">
        <f>IFERROR(__xludf.DUMMYFUNCTION("""COMPUTED_VALUE"""),2263249.0)</f>
        <v>2263249</v>
      </c>
    </row>
    <row r="197">
      <c r="A197" s="3">
        <f>IFERROR(__xludf.DUMMYFUNCTION("""COMPUTED_VALUE"""),45211.66666666667)</f>
        <v>45211.66667</v>
      </c>
      <c r="B197" s="2">
        <f>IFERROR(__xludf.DUMMYFUNCTION("""COMPUTED_VALUE"""),161.72)</f>
        <v>161.72</v>
      </c>
      <c r="C197" s="2">
        <f>IFERROR(__xludf.DUMMYFUNCTION("""COMPUTED_VALUE"""),163.8)</f>
        <v>163.8</v>
      </c>
      <c r="D197" s="2">
        <f>IFERROR(__xludf.DUMMYFUNCTION("""COMPUTED_VALUE"""),159.31)</f>
        <v>159.31</v>
      </c>
      <c r="E197" s="2">
        <f>IFERROR(__xludf.DUMMYFUNCTION("""COMPUTED_VALUE"""),159.96)</f>
        <v>159.96</v>
      </c>
      <c r="F197" s="2">
        <f>IFERROR(__xludf.DUMMYFUNCTION("""COMPUTED_VALUE"""),2872230.0)</f>
        <v>2872230</v>
      </c>
    </row>
    <row r="198">
      <c r="A198" s="3">
        <f>IFERROR(__xludf.DUMMYFUNCTION("""COMPUTED_VALUE"""),45212.66666666667)</f>
        <v>45212.66667</v>
      </c>
      <c r="B198" s="2">
        <f>IFERROR(__xludf.DUMMYFUNCTION("""COMPUTED_VALUE"""),160.66)</f>
        <v>160.66</v>
      </c>
      <c r="C198" s="2">
        <f>IFERROR(__xludf.DUMMYFUNCTION("""COMPUTED_VALUE"""),161.54)</f>
        <v>161.54</v>
      </c>
      <c r="D198" s="2">
        <f>IFERROR(__xludf.DUMMYFUNCTION("""COMPUTED_VALUE"""),156.97)</f>
        <v>156.97</v>
      </c>
      <c r="E198" s="2">
        <f>IFERROR(__xludf.DUMMYFUNCTION("""COMPUTED_VALUE"""),157.16)</f>
        <v>157.16</v>
      </c>
      <c r="F198" s="2">
        <f>IFERROR(__xludf.DUMMYFUNCTION("""COMPUTED_VALUE"""),2818908.0)</f>
        <v>2818908</v>
      </c>
    </row>
    <row r="199">
      <c r="A199" s="3">
        <f>IFERROR(__xludf.DUMMYFUNCTION("""COMPUTED_VALUE"""),45215.66666666667)</f>
        <v>45215.66667</v>
      </c>
      <c r="B199" s="2">
        <f>IFERROR(__xludf.DUMMYFUNCTION("""COMPUTED_VALUE"""),157.9)</f>
        <v>157.9</v>
      </c>
      <c r="C199" s="2">
        <f>IFERROR(__xludf.DUMMYFUNCTION("""COMPUTED_VALUE"""),163.13)</f>
        <v>163.13</v>
      </c>
      <c r="D199" s="2">
        <f>IFERROR(__xludf.DUMMYFUNCTION("""COMPUTED_VALUE"""),156.91)</f>
        <v>156.91</v>
      </c>
      <c r="E199" s="2">
        <f>IFERROR(__xludf.DUMMYFUNCTION("""COMPUTED_VALUE"""),162.13)</f>
        <v>162.13</v>
      </c>
      <c r="F199" s="2">
        <f>IFERROR(__xludf.DUMMYFUNCTION("""COMPUTED_VALUE"""),2777002.0)</f>
        <v>2777002</v>
      </c>
    </row>
    <row r="200">
      <c r="A200" s="3">
        <f>IFERROR(__xludf.DUMMYFUNCTION("""COMPUTED_VALUE"""),45216.66666666667)</f>
        <v>45216.66667</v>
      </c>
      <c r="B200" s="2">
        <f>IFERROR(__xludf.DUMMYFUNCTION("""COMPUTED_VALUE"""),158.98)</f>
        <v>158.98</v>
      </c>
      <c r="C200" s="2">
        <f>IFERROR(__xludf.DUMMYFUNCTION("""COMPUTED_VALUE"""),162.7)</f>
        <v>162.7</v>
      </c>
      <c r="D200" s="2">
        <f>IFERROR(__xludf.DUMMYFUNCTION("""COMPUTED_VALUE"""),158.58)</f>
        <v>158.58</v>
      </c>
      <c r="E200" s="2">
        <f>IFERROR(__xludf.DUMMYFUNCTION("""COMPUTED_VALUE"""),159.39)</f>
        <v>159.39</v>
      </c>
      <c r="F200" s="2">
        <f>IFERROR(__xludf.DUMMYFUNCTION("""COMPUTED_VALUE"""),3376002.0)</f>
        <v>3376002</v>
      </c>
    </row>
    <row r="201">
      <c r="A201" s="3">
        <f>IFERROR(__xludf.DUMMYFUNCTION("""COMPUTED_VALUE"""),45217.66666666667)</f>
        <v>45217.66667</v>
      </c>
      <c r="B201" s="2">
        <f>IFERROR(__xludf.DUMMYFUNCTION("""COMPUTED_VALUE"""),159.4)</f>
        <v>159.4</v>
      </c>
      <c r="C201" s="2">
        <f>IFERROR(__xludf.DUMMYFUNCTION("""COMPUTED_VALUE"""),160.59)</f>
        <v>160.59</v>
      </c>
      <c r="D201" s="2">
        <f>IFERROR(__xludf.DUMMYFUNCTION("""COMPUTED_VALUE"""),152.34)</f>
        <v>152.34</v>
      </c>
      <c r="E201" s="2">
        <f>IFERROR(__xludf.DUMMYFUNCTION("""COMPUTED_VALUE"""),153.23)</f>
        <v>153.23</v>
      </c>
      <c r="F201" s="2">
        <f>IFERROR(__xludf.DUMMYFUNCTION("""COMPUTED_VALUE"""),3229186.0)</f>
        <v>3229186</v>
      </c>
    </row>
    <row r="202">
      <c r="A202" s="3">
        <f>IFERROR(__xludf.DUMMYFUNCTION("""COMPUTED_VALUE"""),45218.66666666667)</f>
        <v>45218.66667</v>
      </c>
      <c r="B202" s="2">
        <f>IFERROR(__xludf.DUMMYFUNCTION("""COMPUTED_VALUE"""),154.76)</f>
        <v>154.76</v>
      </c>
      <c r="C202" s="2">
        <f>IFERROR(__xludf.DUMMYFUNCTION("""COMPUTED_VALUE"""),158.09)</f>
        <v>158.09</v>
      </c>
      <c r="D202" s="2">
        <f>IFERROR(__xludf.DUMMYFUNCTION("""COMPUTED_VALUE"""),153.12)</f>
        <v>153.12</v>
      </c>
      <c r="E202" s="2">
        <f>IFERROR(__xludf.DUMMYFUNCTION("""COMPUTED_VALUE"""),153.43)</f>
        <v>153.43</v>
      </c>
      <c r="F202" s="2">
        <f>IFERROR(__xludf.DUMMYFUNCTION("""COMPUTED_VALUE"""),2687485.0)</f>
        <v>2687485</v>
      </c>
    </row>
    <row r="203">
      <c r="A203" s="3">
        <f>IFERROR(__xludf.DUMMYFUNCTION("""COMPUTED_VALUE"""),45219.66666666667)</f>
        <v>45219.66667</v>
      </c>
      <c r="B203" s="2">
        <f>IFERROR(__xludf.DUMMYFUNCTION("""COMPUTED_VALUE"""),153.0)</f>
        <v>153</v>
      </c>
      <c r="C203" s="2">
        <f>IFERROR(__xludf.DUMMYFUNCTION("""COMPUTED_VALUE"""),154.09)</f>
        <v>154.09</v>
      </c>
      <c r="D203" s="2">
        <f>IFERROR(__xludf.DUMMYFUNCTION("""COMPUTED_VALUE"""),147.35)</f>
        <v>147.35</v>
      </c>
      <c r="E203" s="2">
        <f>IFERROR(__xludf.DUMMYFUNCTION("""COMPUTED_VALUE"""),147.67)</f>
        <v>147.67</v>
      </c>
      <c r="F203" s="2">
        <f>IFERROR(__xludf.DUMMYFUNCTION("""COMPUTED_VALUE"""),3651742.0)</f>
        <v>3651742</v>
      </c>
    </row>
    <row r="204">
      <c r="A204" s="3">
        <f>IFERROR(__xludf.DUMMYFUNCTION("""COMPUTED_VALUE"""),45222.66666666667)</f>
        <v>45222.66667</v>
      </c>
      <c r="B204" s="2">
        <f>IFERROR(__xludf.DUMMYFUNCTION("""COMPUTED_VALUE"""),145.86)</f>
        <v>145.86</v>
      </c>
      <c r="C204" s="2">
        <f>IFERROR(__xludf.DUMMYFUNCTION("""COMPUTED_VALUE"""),150.83)</f>
        <v>150.83</v>
      </c>
      <c r="D204" s="2">
        <f>IFERROR(__xludf.DUMMYFUNCTION("""COMPUTED_VALUE"""),144.81)</f>
        <v>144.81</v>
      </c>
      <c r="E204" s="2">
        <f>IFERROR(__xludf.DUMMYFUNCTION("""COMPUTED_VALUE"""),148.59)</f>
        <v>148.59</v>
      </c>
      <c r="F204" s="2">
        <f>IFERROR(__xludf.DUMMYFUNCTION("""COMPUTED_VALUE"""),2861430.0)</f>
        <v>2861430</v>
      </c>
    </row>
    <row r="205">
      <c r="A205" s="3">
        <f>IFERROR(__xludf.DUMMYFUNCTION("""COMPUTED_VALUE"""),45223.66666666667)</f>
        <v>45223.66667</v>
      </c>
      <c r="B205" s="2">
        <f>IFERROR(__xludf.DUMMYFUNCTION("""COMPUTED_VALUE"""),149.73)</f>
        <v>149.73</v>
      </c>
      <c r="C205" s="2">
        <f>IFERROR(__xludf.DUMMYFUNCTION("""COMPUTED_VALUE"""),152.62)</f>
        <v>152.62</v>
      </c>
      <c r="D205" s="2">
        <f>IFERROR(__xludf.DUMMYFUNCTION("""COMPUTED_VALUE"""),148.94)</f>
        <v>148.94</v>
      </c>
      <c r="E205" s="2">
        <f>IFERROR(__xludf.DUMMYFUNCTION("""COMPUTED_VALUE"""),151.12)</f>
        <v>151.12</v>
      </c>
      <c r="F205" s="2">
        <f>IFERROR(__xludf.DUMMYFUNCTION("""COMPUTED_VALUE"""),2460125.0)</f>
        <v>2460125</v>
      </c>
    </row>
    <row r="206">
      <c r="A206" s="3">
        <f>IFERROR(__xludf.DUMMYFUNCTION("""COMPUTED_VALUE"""),45224.66666666667)</f>
        <v>45224.66667</v>
      </c>
      <c r="B206" s="2">
        <f>IFERROR(__xludf.DUMMYFUNCTION("""COMPUTED_VALUE"""),150.89)</f>
        <v>150.89</v>
      </c>
      <c r="C206" s="2">
        <f>IFERROR(__xludf.DUMMYFUNCTION("""COMPUTED_VALUE"""),150.96)</f>
        <v>150.96</v>
      </c>
      <c r="D206" s="2">
        <f>IFERROR(__xludf.DUMMYFUNCTION("""COMPUTED_VALUE"""),141.54)</f>
        <v>141.54</v>
      </c>
      <c r="E206" s="2">
        <f>IFERROR(__xludf.DUMMYFUNCTION("""COMPUTED_VALUE"""),142.4)</f>
        <v>142.4</v>
      </c>
      <c r="F206" s="2">
        <f>IFERROR(__xludf.DUMMYFUNCTION("""COMPUTED_VALUE"""),4543594.0)</f>
        <v>4543594</v>
      </c>
    </row>
    <row r="207">
      <c r="A207" s="3">
        <f>IFERROR(__xludf.DUMMYFUNCTION("""COMPUTED_VALUE"""),45225.66666666667)</f>
        <v>45225.66667</v>
      </c>
      <c r="B207" s="2">
        <f>IFERROR(__xludf.DUMMYFUNCTION("""COMPUTED_VALUE"""),142.06)</f>
        <v>142.06</v>
      </c>
      <c r="C207" s="2">
        <f>IFERROR(__xludf.DUMMYFUNCTION("""COMPUTED_VALUE"""),144.06)</f>
        <v>144.06</v>
      </c>
      <c r="D207" s="2">
        <f>IFERROR(__xludf.DUMMYFUNCTION("""COMPUTED_VALUE"""),138.4)</f>
        <v>138.4</v>
      </c>
      <c r="E207" s="2">
        <f>IFERROR(__xludf.DUMMYFUNCTION("""COMPUTED_VALUE"""),140.84)</f>
        <v>140.84</v>
      </c>
      <c r="F207" s="2">
        <f>IFERROR(__xludf.DUMMYFUNCTION("""COMPUTED_VALUE"""),4801111.0)</f>
        <v>4801111</v>
      </c>
    </row>
    <row r="208">
      <c r="A208" s="3">
        <f>IFERROR(__xludf.DUMMYFUNCTION("""COMPUTED_VALUE"""),45226.66666666667)</f>
        <v>45226.66667</v>
      </c>
      <c r="B208" s="2">
        <f>IFERROR(__xludf.DUMMYFUNCTION("""COMPUTED_VALUE"""),144.1)</f>
        <v>144.1</v>
      </c>
      <c r="C208" s="2">
        <f>IFERROR(__xludf.DUMMYFUNCTION("""COMPUTED_VALUE"""),145.39)</f>
        <v>145.39</v>
      </c>
      <c r="D208" s="2">
        <f>IFERROR(__xludf.DUMMYFUNCTION("""COMPUTED_VALUE"""),141.89)</f>
        <v>141.89</v>
      </c>
      <c r="E208" s="2">
        <f>IFERROR(__xludf.DUMMYFUNCTION("""COMPUTED_VALUE"""),143.38)</f>
        <v>143.38</v>
      </c>
      <c r="F208" s="2">
        <f>IFERROR(__xludf.DUMMYFUNCTION("""COMPUTED_VALUE"""),3393761.0)</f>
        <v>3393761</v>
      </c>
    </row>
    <row r="209">
      <c r="A209" s="3">
        <f>IFERROR(__xludf.DUMMYFUNCTION("""COMPUTED_VALUE"""),45229.66666666667)</f>
        <v>45229.66667</v>
      </c>
      <c r="B209" s="2">
        <f>IFERROR(__xludf.DUMMYFUNCTION("""COMPUTED_VALUE"""),144.0)</f>
        <v>144</v>
      </c>
      <c r="C209" s="2">
        <f>IFERROR(__xludf.DUMMYFUNCTION("""COMPUTED_VALUE"""),145.75)</f>
        <v>145.75</v>
      </c>
      <c r="D209" s="2">
        <f>IFERROR(__xludf.DUMMYFUNCTION("""COMPUTED_VALUE"""),142.68)</f>
        <v>142.68</v>
      </c>
      <c r="E209" s="2">
        <f>IFERROR(__xludf.DUMMYFUNCTION("""COMPUTED_VALUE"""),144.16)</f>
        <v>144.16</v>
      </c>
      <c r="F209" s="2">
        <f>IFERROR(__xludf.DUMMYFUNCTION("""COMPUTED_VALUE"""),2089728.0)</f>
        <v>2089728</v>
      </c>
    </row>
    <row r="210">
      <c r="A210" s="3">
        <f>IFERROR(__xludf.DUMMYFUNCTION("""COMPUTED_VALUE"""),45230.66666666667)</f>
        <v>45230.66667</v>
      </c>
      <c r="B210" s="2">
        <f>IFERROR(__xludf.DUMMYFUNCTION("""COMPUTED_VALUE"""),144.79)</f>
        <v>144.79</v>
      </c>
      <c r="C210" s="2">
        <f>IFERROR(__xludf.DUMMYFUNCTION("""COMPUTED_VALUE"""),145.97)</f>
        <v>145.97</v>
      </c>
      <c r="D210" s="2">
        <f>IFERROR(__xludf.DUMMYFUNCTION("""COMPUTED_VALUE"""),141.59)</f>
        <v>141.59</v>
      </c>
      <c r="E210" s="2">
        <f>IFERROR(__xludf.DUMMYFUNCTION("""COMPUTED_VALUE"""),145.13)</f>
        <v>145.13</v>
      </c>
      <c r="F210" s="2">
        <f>IFERROR(__xludf.DUMMYFUNCTION("""COMPUTED_VALUE"""),2860416.0)</f>
        <v>2860416</v>
      </c>
    </row>
    <row r="211">
      <c r="A211" s="3">
        <f>IFERROR(__xludf.DUMMYFUNCTION("""COMPUTED_VALUE"""),45231.66666666667)</f>
        <v>45231.66667</v>
      </c>
      <c r="B211" s="2">
        <f>IFERROR(__xludf.DUMMYFUNCTION("""COMPUTED_VALUE"""),145.3)</f>
        <v>145.3</v>
      </c>
      <c r="C211" s="2">
        <f>IFERROR(__xludf.DUMMYFUNCTION("""COMPUTED_VALUE"""),145.72)</f>
        <v>145.72</v>
      </c>
      <c r="D211" s="2">
        <f>IFERROR(__xludf.DUMMYFUNCTION("""COMPUTED_VALUE"""),142.32)</f>
        <v>142.32</v>
      </c>
      <c r="E211" s="2">
        <f>IFERROR(__xludf.DUMMYFUNCTION("""COMPUTED_VALUE"""),144.26)</f>
        <v>144.26</v>
      </c>
      <c r="F211" s="2">
        <f>IFERROR(__xludf.DUMMYFUNCTION("""COMPUTED_VALUE"""),3688286.0)</f>
        <v>3688286</v>
      </c>
    </row>
    <row r="212">
      <c r="A212" s="3">
        <f>IFERROR(__xludf.DUMMYFUNCTION("""COMPUTED_VALUE"""),45232.66666666667)</f>
        <v>45232.66667</v>
      </c>
      <c r="B212" s="2">
        <f>IFERROR(__xludf.DUMMYFUNCTION("""COMPUTED_VALUE"""),145.22)</f>
        <v>145.22</v>
      </c>
      <c r="C212" s="2">
        <f>IFERROR(__xludf.DUMMYFUNCTION("""COMPUTED_VALUE"""),147.84)</f>
        <v>147.84</v>
      </c>
      <c r="D212" s="2">
        <f>IFERROR(__xludf.DUMMYFUNCTION("""COMPUTED_VALUE"""),140.14)</f>
        <v>140.14</v>
      </c>
      <c r="E212" s="2">
        <f>IFERROR(__xludf.DUMMYFUNCTION("""COMPUTED_VALUE"""),142.75)</f>
        <v>142.75</v>
      </c>
      <c r="F212" s="2">
        <f>IFERROR(__xludf.DUMMYFUNCTION("""COMPUTED_VALUE"""),6822701.0)</f>
        <v>6822701</v>
      </c>
    </row>
    <row r="213">
      <c r="A213" s="3">
        <f>IFERROR(__xludf.DUMMYFUNCTION("""COMPUTED_VALUE"""),45233.66666666667)</f>
        <v>45233.66667</v>
      </c>
      <c r="B213" s="2">
        <f>IFERROR(__xludf.DUMMYFUNCTION("""COMPUTED_VALUE"""),143.0)</f>
        <v>143</v>
      </c>
      <c r="C213" s="2">
        <f>IFERROR(__xludf.DUMMYFUNCTION("""COMPUTED_VALUE"""),150.28)</f>
        <v>150.28</v>
      </c>
      <c r="D213" s="2">
        <f>IFERROR(__xludf.DUMMYFUNCTION("""COMPUTED_VALUE"""),142.72)</f>
        <v>142.72</v>
      </c>
      <c r="E213" s="2">
        <f>IFERROR(__xludf.DUMMYFUNCTION("""COMPUTED_VALUE"""),149.99)</f>
        <v>149.99</v>
      </c>
      <c r="F213" s="2">
        <f>IFERROR(__xludf.DUMMYFUNCTION("""COMPUTED_VALUE"""),5105651.0)</f>
        <v>5105651</v>
      </c>
    </row>
    <row r="214">
      <c r="A214" s="3">
        <f>IFERROR(__xludf.DUMMYFUNCTION("""COMPUTED_VALUE"""),45236.66666666667)</f>
        <v>45236.66667</v>
      </c>
      <c r="B214" s="2">
        <f>IFERROR(__xludf.DUMMYFUNCTION("""COMPUTED_VALUE"""),150.0)</f>
        <v>150</v>
      </c>
      <c r="C214" s="2">
        <f>IFERROR(__xludf.DUMMYFUNCTION("""COMPUTED_VALUE"""),150.45)</f>
        <v>150.45</v>
      </c>
      <c r="D214" s="2">
        <f>IFERROR(__xludf.DUMMYFUNCTION("""COMPUTED_VALUE"""),141.93)</f>
        <v>141.93</v>
      </c>
      <c r="E214" s="2">
        <f>IFERROR(__xludf.DUMMYFUNCTION("""COMPUTED_VALUE"""),144.2)</f>
        <v>144.2</v>
      </c>
      <c r="F214" s="2">
        <f>IFERROR(__xludf.DUMMYFUNCTION("""COMPUTED_VALUE"""),4881540.0)</f>
        <v>4881540</v>
      </c>
    </row>
    <row r="215">
      <c r="A215" s="3">
        <f>IFERROR(__xludf.DUMMYFUNCTION("""COMPUTED_VALUE"""),45237.66666666667)</f>
        <v>45237.66667</v>
      </c>
      <c r="B215" s="2">
        <f>IFERROR(__xludf.DUMMYFUNCTION("""COMPUTED_VALUE"""),155.77)</f>
        <v>155.77</v>
      </c>
      <c r="C215" s="2">
        <f>IFERROR(__xludf.DUMMYFUNCTION("""COMPUTED_VALUE"""),162.5)</f>
        <v>162.5</v>
      </c>
      <c r="D215" s="2">
        <f>IFERROR(__xludf.DUMMYFUNCTION("""COMPUTED_VALUE"""),153.85)</f>
        <v>153.85</v>
      </c>
      <c r="E215" s="2">
        <f>IFERROR(__xludf.DUMMYFUNCTION("""COMPUTED_VALUE"""),159.57)</f>
        <v>159.57</v>
      </c>
      <c r="F215" s="2">
        <f>IFERROR(__xludf.DUMMYFUNCTION("""COMPUTED_VALUE"""),1.2553291E7)</f>
        <v>12553291</v>
      </c>
    </row>
    <row r="216">
      <c r="A216" s="3">
        <f>IFERROR(__xludf.DUMMYFUNCTION("""COMPUTED_VALUE"""),45238.66666666667)</f>
        <v>45238.66667</v>
      </c>
      <c r="B216" s="2">
        <f>IFERROR(__xludf.DUMMYFUNCTION("""COMPUTED_VALUE"""),160.2)</f>
        <v>160.2</v>
      </c>
      <c r="C216" s="2">
        <f>IFERROR(__xludf.DUMMYFUNCTION("""COMPUTED_VALUE"""),161.49)</f>
        <v>161.49</v>
      </c>
      <c r="D216" s="2">
        <f>IFERROR(__xludf.DUMMYFUNCTION("""COMPUTED_VALUE"""),156.01)</f>
        <v>156.01</v>
      </c>
      <c r="E216" s="2">
        <f>IFERROR(__xludf.DUMMYFUNCTION("""COMPUTED_VALUE"""),158.58)</f>
        <v>158.58</v>
      </c>
      <c r="F216" s="2">
        <f>IFERROR(__xludf.DUMMYFUNCTION("""COMPUTED_VALUE"""),4197978.0)</f>
        <v>4197978</v>
      </c>
    </row>
    <row r="217">
      <c r="A217" s="3">
        <f>IFERROR(__xludf.DUMMYFUNCTION("""COMPUTED_VALUE"""),45239.66666666667)</f>
        <v>45239.66667</v>
      </c>
      <c r="B217" s="2">
        <f>IFERROR(__xludf.DUMMYFUNCTION("""COMPUTED_VALUE"""),159.5)</f>
        <v>159.5</v>
      </c>
      <c r="C217" s="2">
        <f>IFERROR(__xludf.DUMMYFUNCTION("""COMPUTED_VALUE"""),162.4)</f>
        <v>162.4</v>
      </c>
      <c r="D217" s="2">
        <f>IFERROR(__xludf.DUMMYFUNCTION("""COMPUTED_VALUE"""),156.11)</f>
        <v>156.11</v>
      </c>
      <c r="E217" s="2">
        <f>IFERROR(__xludf.DUMMYFUNCTION("""COMPUTED_VALUE"""),156.35)</f>
        <v>156.35</v>
      </c>
      <c r="F217" s="2">
        <f>IFERROR(__xludf.DUMMYFUNCTION("""COMPUTED_VALUE"""),3982258.0)</f>
        <v>3982258</v>
      </c>
    </row>
    <row r="218">
      <c r="A218" s="3">
        <f>IFERROR(__xludf.DUMMYFUNCTION("""COMPUTED_VALUE"""),45240.66666666667)</f>
        <v>45240.66667</v>
      </c>
      <c r="B218" s="2">
        <f>IFERROR(__xludf.DUMMYFUNCTION("""COMPUTED_VALUE"""),155.85)</f>
        <v>155.85</v>
      </c>
      <c r="C218" s="2">
        <f>IFERROR(__xludf.DUMMYFUNCTION("""COMPUTED_VALUE"""),161.22)</f>
        <v>161.22</v>
      </c>
      <c r="D218" s="2">
        <f>IFERROR(__xludf.DUMMYFUNCTION("""COMPUTED_VALUE"""),153.53)</f>
        <v>153.53</v>
      </c>
      <c r="E218" s="2">
        <f>IFERROR(__xludf.DUMMYFUNCTION("""COMPUTED_VALUE"""),160.4)</f>
        <v>160.4</v>
      </c>
      <c r="F218" s="2">
        <f>IFERROR(__xludf.DUMMYFUNCTION("""COMPUTED_VALUE"""),3982683.0)</f>
        <v>3982683</v>
      </c>
    </row>
    <row r="219">
      <c r="A219" s="3">
        <f>IFERROR(__xludf.DUMMYFUNCTION("""COMPUTED_VALUE"""),45243.66666666667)</f>
        <v>45243.66667</v>
      </c>
      <c r="B219" s="2">
        <f>IFERROR(__xludf.DUMMYFUNCTION("""COMPUTED_VALUE"""),160.04)</f>
        <v>160.04</v>
      </c>
      <c r="C219" s="2">
        <f>IFERROR(__xludf.DUMMYFUNCTION("""COMPUTED_VALUE"""),161.15)</f>
        <v>161.15</v>
      </c>
      <c r="D219" s="2">
        <f>IFERROR(__xludf.DUMMYFUNCTION("""COMPUTED_VALUE"""),157.28)</f>
        <v>157.28</v>
      </c>
      <c r="E219" s="2">
        <f>IFERROR(__xludf.DUMMYFUNCTION("""COMPUTED_VALUE"""),158.7)</f>
        <v>158.7</v>
      </c>
      <c r="F219" s="2">
        <f>IFERROR(__xludf.DUMMYFUNCTION("""COMPUTED_VALUE"""),3286665.0)</f>
        <v>3286665</v>
      </c>
    </row>
    <row r="220">
      <c r="A220" s="3">
        <f>IFERROR(__xludf.DUMMYFUNCTION("""COMPUTED_VALUE"""),45244.66666666667)</f>
        <v>45244.66667</v>
      </c>
      <c r="B220" s="2">
        <f>IFERROR(__xludf.DUMMYFUNCTION("""COMPUTED_VALUE"""),164.5)</f>
        <v>164.5</v>
      </c>
      <c r="C220" s="2">
        <f>IFERROR(__xludf.DUMMYFUNCTION("""COMPUTED_VALUE"""),166.28)</f>
        <v>166.28</v>
      </c>
      <c r="D220" s="2">
        <f>IFERROR(__xludf.DUMMYFUNCTION("""COMPUTED_VALUE"""),163.16)</f>
        <v>163.16</v>
      </c>
      <c r="E220" s="2">
        <f>IFERROR(__xludf.DUMMYFUNCTION("""COMPUTED_VALUE"""),165.86)</f>
        <v>165.86</v>
      </c>
      <c r="F220" s="2">
        <f>IFERROR(__xludf.DUMMYFUNCTION("""COMPUTED_VALUE"""),5141766.0)</f>
        <v>5141766</v>
      </c>
    </row>
    <row r="221">
      <c r="A221" s="3">
        <f>IFERROR(__xludf.DUMMYFUNCTION("""COMPUTED_VALUE"""),45245.66666666667)</f>
        <v>45245.66667</v>
      </c>
      <c r="B221" s="2">
        <f>IFERROR(__xludf.DUMMYFUNCTION("""COMPUTED_VALUE"""),166.57)</f>
        <v>166.57</v>
      </c>
      <c r="C221" s="2">
        <f>IFERROR(__xludf.DUMMYFUNCTION("""COMPUTED_VALUE"""),169.19)</f>
        <v>169.19</v>
      </c>
      <c r="D221" s="2">
        <f>IFERROR(__xludf.DUMMYFUNCTION("""COMPUTED_VALUE"""),162.84)</f>
        <v>162.84</v>
      </c>
      <c r="E221" s="2">
        <f>IFERROR(__xludf.DUMMYFUNCTION("""COMPUTED_VALUE"""),163.03)</f>
        <v>163.03</v>
      </c>
      <c r="F221" s="2">
        <f>IFERROR(__xludf.DUMMYFUNCTION("""COMPUTED_VALUE"""),4150023.0)</f>
        <v>4150023</v>
      </c>
    </row>
    <row r="222">
      <c r="A222" s="3">
        <f>IFERROR(__xludf.DUMMYFUNCTION("""COMPUTED_VALUE"""),45246.66666666667)</f>
        <v>45246.66667</v>
      </c>
      <c r="B222" s="2">
        <f>IFERROR(__xludf.DUMMYFUNCTION("""COMPUTED_VALUE"""),162.94)</f>
        <v>162.94</v>
      </c>
      <c r="C222" s="2">
        <f>IFERROR(__xludf.DUMMYFUNCTION("""COMPUTED_VALUE"""),163.0)</f>
        <v>163</v>
      </c>
      <c r="D222" s="2">
        <f>IFERROR(__xludf.DUMMYFUNCTION("""COMPUTED_VALUE"""),159.51)</f>
        <v>159.51</v>
      </c>
      <c r="E222" s="2">
        <f>IFERROR(__xludf.DUMMYFUNCTION("""COMPUTED_VALUE"""),160.97)</f>
        <v>160.97</v>
      </c>
      <c r="F222" s="2">
        <f>IFERROR(__xludf.DUMMYFUNCTION("""COMPUTED_VALUE"""),3358519.0)</f>
        <v>3358519</v>
      </c>
    </row>
    <row r="223">
      <c r="A223" s="3">
        <f>IFERROR(__xludf.DUMMYFUNCTION("""COMPUTED_VALUE"""),45247.66666666667)</f>
        <v>45247.66667</v>
      </c>
      <c r="B223" s="2">
        <f>IFERROR(__xludf.DUMMYFUNCTION("""COMPUTED_VALUE"""),160.71)</f>
        <v>160.71</v>
      </c>
      <c r="C223" s="2">
        <f>IFERROR(__xludf.DUMMYFUNCTION("""COMPUTED_VALUE"""),162.73)</f>
        <v>162.73</v>
      </c>
      <c r="D223" s="2">
        <f>IFERROR(__xludf.DUMMYFUNCTION("""COMPUTED_VALUE"""),160.33)</f>
        <v>160.33</v>
      </c>
      <c r="E223" s="2">
        <f>IFERROR(__xludf.DUMMYFUNCTION("""COMPUTED_VALUE"""),161.85)</f>
        <v>161.85</v>
      </c>
      <c r="F223" s="2">
        <f>IFERROR(__xludf.DUMMYFUNCTION("""COMPUTED_VALUE"""),1896456.0)</f>
        <v>1896456</v>
      </c>
    </row>
    <row r="224">
      <c r="A224" s="3">
        <f>IFERROR(__xludf.DUMMYFUNCTION("""COMPUTED_VALUE"""),45250.66666666667)</f>
        <v>45250.66667</v>
      </c>
      <c r="B224" s="2">
        <f>IFERROR(__xludf.DUMMYFUNCTION("""COMPUTED_VALUE"""),162.0)</f>
        <v>162</v>
      </c>
      <c r="C224" s="2">
        <f>IFERROR(__xludf.DUMMYFUNCTION("""COMPUTED_VALUE"""),168.82)</f>
        <v>168.82</v>
      </c>
      <c r="D224" s="2">
        <f>IFERROR(__xludf.DUMMYFUNCTION("""COMPUTED_VALUE"""),162.0)</f>
        <v>162</v>
      </c>
      <c r="E224" s="2">
        <f>IFERROR(__xludf.DUMMYFUNCTION("""COMPUTED_VALUE"""),166.73)</f>
        <v>166.73</v>
      </c>
      <c r="F224" s="2">
        <f>IFERROR(__xludf.DUMMYFUNCTION("""COMPUTED_VALUE"""),3755270.0)</f>
        <v>3755270</v>
      </c>
    </row>
    <row r="225">
      <c r="A225" s="3">
        <f>IFERROR(__xludf.DUMMYFUNCTION("""COMPUTED_VALUE"""),45251.66666666667)</f>
        <v>45251.66667</v>
      </c>
      <c r="B225" s="2">
        <f>IFERROR(__xludf.DUMMYFUNCTION("""COMPUTED_VALUE"""),164.93)</f>
        <v>164.93</v>
      </c>
      <c r="C225" s="2">
        <f>IFERROR(__xludf.DUMMYFUNCTION("""COMPUTED_VALUE"""),168.11)</f>
        <v>168.11</v>
      </c>
      <c r="D225" s="2">
        <f>IFERROR(__xludf.DUMMYFUNCTION("""COMPUTED_VALUE"""),164.29)</f>
        <v>164.29</v>
      </c>
      <c r="E225" s="2">
        <f>IFERROR(__xludf.DUMMYFUNCTION("""COMPUTED_VALUE"""),166.67)</f>
        <v>166.67</v>
      </c>
      <c r="F225" s="2">
        <f>IFERROR(__xludf.DUMMYFUNCTION("""COMPUTED_VALUE"""),2834590.0)</f>
        <v>2834590</v>
      </c>
    </row>
    <row r="226">
      <c r="A226" s="3">
        <f>IFERROR(__xludf.DUMMYFUNCTION("""COMPUTED_VALUE"""),45252.66666666667)</f>
        <v>45252.66667</v>
      </c>
      <c r="B226" s="2">
        <f>IFERROR(__xludf.DUMMYFUNCTION("""COMPUTED_VALUE"""),168.9)</f>
        <v>168.9</v>
      </c>
      <c r="C226" s="2">
        <f>IFERROR(__xludf.DUMMYFUNCTION("""COMPUTED_VALUE"""),171.22)</f>
        <v>171.22</v>
      </c>
      <c r="D226" s="2">
        <f>IFERROR(__xludf.DUMMYFUNCTION("""COMPUTED_VALUE"""),167.3)</f>
        <v>167.3</v>
      </c>
      <c r="E226" s="2">
        <f>IFERROR(__xludf.DUMMYFUNCTION("""COMPUTED_VALUE"""),168.92)</f>
        <v>168.92</v>
      </c>
      <c r="F226" s="2">
        <f>IFERROR(__xludf.DUMMYFUNCTION("""COMPUTED_VALUE"""),3015395.0)</f>
        <v>3015395</v>
      </c>
    </row>
    <row r="227">
      <c r="A227" s="3">
        <f>IFERROR(__xludf.DUMMYFUNCTION("""COMPUTED_VALUE"""),45254.54166666667)</f>
        <v>45254.54167</v>
      </c>
      <c r="B227" s="2">
        <f>IFERROR(__xludf.DUMMYFUNCTION("""COMPUTED_VALUE"""),168.04)</f>
        <v>168.04</v>
      </c>
      <c r="C227" s="2">
        <f>IFERROR(__xludf.DUMMYFUNCTION("""COMPUTED_VALUE"""),171.48)</f>
        <v>171.48</v>
      </c>
      <c r="D227" s="2">
        <f>IFERROR(__xludf.DUMMYFUNCTION("""COMPUTED_VALUE"""),167.49)</f>
        <v>167.49</v>
      </c>
      <c r="E227" s="2">
        <f>IFERROR(__xludf.DUMMYFUNCTION("""COMPUTED_VALUE"""),171.16)</f>
        <v>171.16</v>
      </c>
      <c r="F227" s="2">
        <f>IFERROR(__xludf.DUMMYFUNCTION("""COMPUTED_VALUE"""),1738385.0)</f>
        <v>1738385</v>
      </c>
    </row>
    <row r="228">
      <c r="A228" s="3">
        <f>IFERROR(__xludf.DUMMYFUNCTION("""COMPUTED_VALUE"""),45257.66666666667)</f>
        <v>45257.66667</v>
      </c>
      <c r="B228" s="2">
        <f>IFERROR(__xludf.DUMMYFUNCTION("""COMPUTED_VALUE"""),171.0)</f>
        <v>171</v>
      </c>
      <c r="C228" s="2">
        <f>IFERROR(__xludf.DUMMYFUNCTION("""COMPUTED_VALUE"""),172.68)</f>
        <v>172.68</v>
      </c>
      <c r="D228" s="2">
        <f>IFERROR(__xludf.DUMMYFUNCTION("""COMPUTED_VALUE"""),170.05)</f>
        <v>170.05</v>
      </c>
      <c r="E228" s="2">
        <f>IFERROR(__xludf.DUMMYFUNCTION("""COMPUTED_VALUE"""),170.3)</f>
        <v>170.3</v>
      </c>
      <c r="F228" s="2">
        <f>IFERROR(__xludf.DUMMYFUNCTION("""COMPUTED_VALUE"""),4214149.0)</f>
        <v>4214149</v>
      </c>
    </row>
    <row r="229">
      <c r="A229" s="3">
        <f>IFERROR(__xludf.DUMMYFUNCTION("""COMPUTED_VALUE"""),45258.66666666667)</f>
        <v>45258.66667</v>
      </c>
      <c r="B229" s="2">
        <f>IFERROR(__xludf.DUMMYFUNCTION("""COMPUTED_VALUE"""),170.0)</f>
        <v>170</v>
      </c>
      <c r="C229" s="2">
        <f>IFERROR(__xludf.DUMMYFUNCTION("""COMPUTED_VALUE"""),172.18)</f>
        <v>172.18</v>
      </c>
      <c r="D229" s="2">
        <f>IFERROR(__xludf.DUMMYFUNCTION("""COMPUTED_VALUE"""),167.91)</f>
        <v>167.91</v>
      </c>
      <c r="E229" s="2">
        <f>IFERROR(__xludf.DUMMYFUNCTION("""COMPUTED_VALUE"""),171.55)</f>
        <v>171.55</v>
      </c>
      <c r="F229" s="2">
        <f>IFERROR(__xludf.DUMMYFUNCTION("""COMPUTED_VALUE"""),3829799.0)</f>
        <v>3829799</v>
      </c>
    </row>
    <row r="230">
      <c r="A230" s="3">
        <f>IFERROR(__xludf.DUMMYFUNCTION("""COMPUTED_VALUE"""),45259.66666666667)</f>
        <v>45259.66667</v>
      </c>
      <c r="B230" s="2">
        <f>IFERROR(__xludf.DUMMYFUNCTION("""COMPUTED_VALUE"""),175.02)</f>
        <v>175.02</v>
      </c>
      <c r="C230" s="2">
        <f>IFERROR(__xludf.DUMMYFUNCTION("""COMPUTED_VALUE"""),177.6)</f>
        <v>177.6</v>
      </c>
      <c r="D230" s="2">
        <f>IFERROR(__xludf.DUMMYFUNCTION("""COMPUTED_VALUE"""),174.35)</f>
        <v>174.35</v>
      </c>
      <c r="E230" s="2">
        <f>IFERROR(__xludf.DUMMYFUNCTION("""COMPUTED_VALUE"""),175.32)</f>
        <v>175.32</v>
      </c>
      <c r="F230" s="2">
        <f>IFERROR(__xludf.DUMMYFUNCTION("""COMPUTED_VALUE"""),1.0298419E7)</f>
        <v>10298419</v>
      </c>
    </row>
    <row r="231">
      <c r="A231" s="3">
        <f>IFERROR(__xludf.DUMMYFUNCTION("""COMPUTED_VALUE"""),45260.66666666667)</f>
        <v>45260.66667</v>
      </c>
      <c r="B231" s="2">
        <f>IFERROR(__xludf.DUMMYFUNCTION("""COMPUTED_VALUE"""),188.0)</f>
        <v>188</v>
      </c>
      <c r="C231" s="2">
        <f>IFERROR(__xludf.DUMMYFUNCTION("""COMPUTED_VALUE"""),192.66)</f>
        <v>192.66</v>
      </c>
      <c r="D231" s="2">
        <f>IFERROR(__xludf.DUMMYFUNCTION("""COMPUTED_VALUE"""),180.27)</f>
        <v>180.27</v>
      </c>
      <c r="E231" s="2">
        <f>IFERROR(__xludf.DUMMYFUNCTION("""COMPUTED_VALUE"""),187.68)</f>
        <v>187.68</v>
      </c>
      <c r="F231" s="2">
        <f>IFERROR(__xludf.DUMMYFUNCTION("""COMPUTED_VALUE"""),2.2593509E7)</f>
        <v>22593509</v>
      </c>
    </row>
    <row r="232">
      <c r="A232" s="3">
        <f>IFERROR(__xludf.DUMMYFUNCTION("""COMPUTED_VALUE"""),45261.66666666667)</f>
        <v>45261.66667</v>
      </c>
      <c r="B232" s="2">
        <f>IFERROR(__xludf.DUMMYFUNCTION("""COMPUTED_VALUE"""),185.25)</f>
        <v>185.25</v>
      </c>
      <c r="C232" s="2">
        <f>IFERROR(__xludf.DUMMYFUNCTION("""COMPUTED_VALUE"""),188.56)</f>
        <v>188.56</v>
      </c>
      <c r="D232" s="2">
        <f>IFERROR(__xludf.DUMMYFUNCTION("""COMPUTED_VALUE"""),180.8)</f>
        <v>180.8</v>
      </c>
      <c r="E232" s="2">
        <f>IFERROR(__xludf.DUMMYFUNCTION("""COMPUTED_VALUE"""),185.97)</f>
        <v>185.97</v>
      </c>
      <c r="F232" s="2">
        <f>IFERROR(__xludf.DUMMYFUNCTION("""COMPUTED_VALUE"""),1.0315162E7)</f>
        <v>10315162</v>
      </c>
    </row>
    <row r="233">
      <c r="A233" s="3">
        <f>IFERROR(__xludf.DUMMYFUNCTION("""COMPUTED_VALUE"""),45264.66666666667)</f>
        <v>45264.66667</v>
      </c>
      <c r="B233" s="2">
        <f>IFERROR(__xludf.DUMMYFUNCTION("""COMPUTED_VALUE"""),184.81)</f>
        <v>184.81</v>
      </c>
      <c r="C233" s="2">
        <f>IFERROR(__xludf.DUMMYFUNCTION("""COMPUTED_VALUE"""),191.0)</f>
        <v>191</v>
      </c>
      <c r="D233" s="2">
        <f>IFERROR(__xludf.DUMMYFUNCTION("""COMPUTED_VALUE"""),183.61)</f>
        <v>183.61</v>
      </c>
      <c r="E233" s="2">
        <f>IFERROR(__xludf.DUMMYFUNCTION("""COMPUTED_VALUE"""),188.3)</f>
        <v>188.3</v>
      </c>
      <c r="F233" s="2">
        <f>IFERROR(__xludf.DUMMYFUNCTION("""COMPUTED_VALUE"""),8530965.0)</f>
        <v>8530965</v>
      </c>
    </row>
    <row r="234">
      <c r="A234" s="3">
        <f>IFERROR(__xludf.DUMMYFUNCTION("""COMPUTED_VALUE"""),45265.66666666667)</f>
        <v>45265.66667</v>
      </c>
      <c r="B234" s="2">
        <f>IFERROR(__xludf.DUMMYFUNCTION("""COMPUTED_VALUE"""),186.53)</f>
        <v>186.53</v>
      </c>
      <c r="C234" s="2">
        <f>IFERROR(__xludf.DUMMYFUNCTION("""COMPUTED_VALUE"""),188.52)</f>
        <v>188.52</v>
      </c>
      <c r="D234" s="2">
        <f>IFERROR(__xludf.DUMMYFUNCTION("""COMPUTED_VALUE"""),184.08)</f>
        <v>184.08</v>
      </c>
      <c r="E234" s="2">
        <f>IFERROR(__xludf.DUMMYFUNCTION("""COMPUTED_VALUE"""),186.16)</f>
        <v>186.16</v>
      </c>
      <c r="F234" s="2">
        <f>IFERROR(__xludf.DUMMYFUNCTION("""COMPUTED_VALUE"""),4060490.0)</f>
        <v>4060490</v>
      </c>
    </row>
    <row r="235">
      <c r="A235" s="3">
        <f>IFERROR(__xludf.DUMMYFUNCTION("""COMPUTED_VALUE"""),45266.66666666667)</f>
        <v>45266.66667</v>
      </c>
      <c r="B235" s="2">
        <f>IFERROR(__xludf.DUMMYFUNCTION("""COMPUTED_VALUE"""),187.41)</f>
        <v>187.41</v>
      </c>
      <c r="C235" s="2">
        <f>IFERROR(__xludf.DUMMYFUNCTION("""COMPUTED_VALUE"""),190.62)</f>
        <v>190.62</v>
      </c>
      <c r="D235" s="2">
        <f>IFERROR(__xludf.DUMMYFUNCTION("""COMPUTED_VALUE"""),184.4)</f>
        <v>184.4</v>
      </c>
      <c r="E235" s="2">
        <f>IFERROR(__xludf.DUMMYFUNCTION("""COMPUTED_VALUE"""),184.47)</f>
        <v>184.47</v>
      </c>
      <c r="F235" s="2">
        <f>IFERROR(__xludf.DUMMYFUNCTION("""COMPUTED_VALUE"""),5358674.0)</f>
        <v>5358674</v>
      </c>
    </row>
    <row r="236">
      <c r="A236" s="3">
        <f>IFERROR(__xludf.DUMMYFUNCTION("""COMPUTED_VALUE"""),45267.66666666667)</f>
        <v>45267.66667</v>
      </c>
      <c r="B236" s="2">
        <f>IFERROR(__xludf.DUMMYFUNCTION("""COMPUTED_VALUE"""),184.61)</f>
        <v>184.61</v>
      </c>
      <c r="C236" s="2">
        <f>IFERROR(__xludf.DUMMYFUNCTION("""COMPUTED_VALUE"""),188.78)</f>
        <v>188.78</v>
      </c>
      <c r="D236" s="2">
        <f>IFERROR(__xludf.DUMMYFUNCTION("""COMPUTED_VALUE"""),183.03)</f>
        <v>183.03</v>
      </c>
      <c r="E236" s="2">
        <f>IFERROR(__xludf.DUMMYFUNCTION("""COMPUTED_VALUE"""),187.31)</f>
        <v>187.31</v>
      </c>
      <c r="F236" s="2">
        <f>IFERROR(__xludf.DUMMYFUNCTION("""COMPUTED_VALUE"""),4824379.0)</f>
        <v>4824379</v>
      </c>
    </row>
    <row r="237">
      <c r="A237" s="3">
        <f>IFERROR(__xludf.DUMMYFUNCTION("""COMPUTED_VALUE"""),45268.66666666667)</f>
        <v>45268.66667</v>
      </c>
      <c r="B237" s="2">
        <f>IFERROR(__xludf.DUMMYFUNCTION("""COMPUTED_VALUE"""),187.0)</f>
        <v>187</v>
      </c>
      <c r="C237" s="2">
        <f>IFERROR(__xludf.DUMMYFUNCTION("""COMPUTED_VALUE"""),191.64)</f>
        <v>191.64</v>
      </c>
      <c r="D237" s="2">
        <f>IFERROR(__xludf.DUMMYFUNCTION("""COMPUTED_VALUE"""),185.8)</f>
        <v>185.8</v>
      </c>
      <c r="E237" s="2">
        <f>IFERROR(__xludf.DUMMYFUNCTION("""COMPUTED_VALUE"""),190.67)</f>
        <v>190.67</v>
      </c>
      <c r="F237" s="2">
        <f>IFERROR(__xludf.DUMMYFUNCTION("""COMPUTED_VALUE"""),5294921.0)</f>
        <v>5294921</v>
      </c>
    </row>
    <row r="238">
      <c r="A238" s="3">
        <f>IFERROR(__xludf.DUMMYFUNCTION("""COMPUTED_VALUE"""),45271.66666666667)</f>
        <v>45271.66667</v>
      </c>
      <c r="B238" s="2">
        <f>IFERROR(__xludf.DUMMYFUNCTION("""COMPUTED_VALUE"""),188.51)</f>
        <v>188.51</v>
      </c>
      <c r="C238" s="2">
        <f>IFERROR(__xludf.DUMMYFUNCTION("""COMPUTED_VALUE"""),196.66)</f>
        <v>196.66</v>
      </c>
      <c r="D238" s="2">
        <f>IFERROR(__xludf.DUMMYFUNCTION("""COMPUTED_VALUE"""),187.77)</f>
        <v>187.77</v>
      </c>
      <c r="E238" s="2">
        <f>IFERROR(__xludf.DUMMYFUNCTION("""COMPUTED_VALUE"""),192.99)</f>
        <v>192.99</v>
      </c>
      <c r="F238" s="2">
        <f>IFERROR(__xludf.DUMMYFUNCTION("""COMPUTED_VALUE"""),7350847.0)</f>
        <v>7350847</v>
      </c>
    </row>
    <row r="239">
      <c r="A239" s="3">
        <f>IFERROR(__xludf.DUMMYFUNCTION("""COMPUTED_VALUE"""),45272.66666666667)</f>
        <v>45272.66667</v>
      </c>
      <c r="B239" s="2">
        <f>IFERROR(__xludf.DUMMYFUNCTION("""COMPUTED_VALUE"""),190.84)</f>
        <v>190.84</v>
      </c>
      <c r="C239" s="2">
        <f>IFERROR(__xludf.DUMMYFUNCTION("""COMPUTED_VALUE"""),194.21)</f>
        <v>194.21</v>
      </c>
      <c r="D239" s="2">
        <f>IFERROR(__xludf.DUMMYFUNCTION("""COMPUTED_VALUE"""),189.69)</f>
        <v>189.69</v>
      </c>
      <c r="E239" s="2">
        <f>IFERROR(__xludf.DUMMYFUNCTION("""COMPUTED_VALUE"""),193.49)</f>
        <v>193.49</v>
      </c>
      <c r="F239" s="2">
        <f>IFERROR(__xludf.DUMMYFUNCTION("""COMPUTED_VALUE"""),3825737.0)</f>
        <v>3825737</v>
      </c>
    </row>
    <row r="240">
      <c r="A240" s="3">
        <f>IFERROR(__xludf.DUMMYFUNCTION("""COMPUTED_VALUE"""),45273.66666666667)</f>
        <v>45273.66667</v>
      </c>
      <c r="B240" s="2">
        <f>IFERROR(__xludf.DUMMYFUNCTION("""COMPUTED_VALUE"""),195.0)</f>
        <v>195</v>
      </c>
      <c r="C240" s="2">
        <f>IFERROR(__xludf.DUMMYFUNCTION("""COMPUTED_VALUE"""),197.43)</f>
        <v>197.43</v>
      </c>
      <c r="D240" s="2">
        <f>IFERROR(__xludf.DUMMYFUNCTION("""COMPUTED_VALUE"""),191.26)</f>
        <v>191.26</v>
      </c>
      <c r="E240" s="2">
        <f>IFERROR(__xludf.DUMMYFUNCTION("""COMPUTED_VALUE"""),196.55)</f>
        <v>196.55</v>
      </c>
      <c r="F240" s="2">
        <f>IFERROR(__xludf.DUMMYFUNCTION("""COMPUTED_VALUE"""),5331339.0)</f>
        <v>5331339</v>
      </c>
    </row>
    <row r="241">
      <c r="A241" s="3">
        <f>IFERROR(__xludf.DUMMYFUNCTION("""COMPUTED_VALUE"""),45274.66666666667)</f>
        <v>45274.66667</v>
      </c>
      <c r="B241" s="2">
        <f>IFERROR(__xludf.DUMMYFUNCTION("""COMPUTED_VALUE"""),198.57)</f>
        <v>198.57</v>
      </c>
      <c r="C241" s="2">
        <f>IFERROR(__xludf.DUMMYFUNCTION("""COMPUTED_VALUE"""),202.83)</f>
        <v>202.83</v>
      </c>
      <c r="D241" s="2">
        <f>IFERROR(__xludf.DUMMYFUNCTION("""COMPUTED_VALUE"""),196.11)</f>
        <v>196.11</v>
      </c>
      <c r="E241" s="2">
        <f>IFERROR(__xludf.DUMMYFUNCTION("""COMPUTED_VALUE"""),200.86)</f>
        <v>200.86</v>
      </c>
      <c r="F241" s="2">
        <f>IFERROR(__xludf.DUMMYFUNCTION("""COMPUTED_VALUE"""),7937720.0)</f>
        <v>7937720</v>
      </c>
    </row>
    <row r="242">
      <c r="A242" s="3">
        <f>IFERROR(__xludf.DUMMYFUNCTION("""COMPUTED_VALUE"""),45275.66666666667)</f>
        <v>45275.66667</v>
      </c>
      <c r="B242" s="2">
        <f>IFERROR(__xludf.DUMMYFUNCTION("""COMPUTED_VALUE"""),198.0)</f>
        <v>198</v>
      </c>
      <c r="C242" s="2">
        <f>IFERROR(__xludf.DUMMYFUNCTION("""COMPUTED_VALUE"""),200.85)</f>
        <v>200.85</v>
      </c>
      <c r="D242" s="2">
        <f>IFERROR(__xludf.DUMMYFUNCTION("""COMPUTED_VALUE"""),197.1)</f>
        <v>197.1</v>
      </c>
      <c r="E242" s="2">
        <f>IFERROR(__xludf.DUMMYFUNCTION("""COMPUTED_VALUE"""),199.01)</f>
        <v>199.01</v>
      </c>
      <c r="F242" s="2">
        <f>IFERROR(__xludf.DUMMYFUNCTION("""COMPUTED_VALUE"""),6241938.0)</f>
        <v>6241938</v>
      </c>
    </row>
    <row r="243">
      <c r="A243" s="3">
        <f>IFERROR(__xludf.DUMMYFUNCTION("""COMPUTED_VALUE"""),45278.66666666667)</f>
        <v>45278.66667</v>
      </c>
      <c r="B243" s="2">
        <f>IFERROR(__xludf.DUMMYFUNCTION("""COMPUTED_VALUE"""),198.1)</f>
        <v>198.1</v>
      </c>
      <c r="C243" s="2">
        <f>IFERROR(__xludf.DUMMYFUNCTION("""COMPUTED_VALUE"""),200.01)</f>
        <v>200.01</v>
      </c>
      <c r="D243" s="2">
        <f>IFERROR(__xludf.DUMMYFUNCTION("""COMPUTED_VALUE"""),196.55)</f>
        <v>196.55</v>
      </c>
      <c r="E243" s="2">
        <f>IFERROR(__xludf.DUMMYFUNCTION("""COMPUTED_VALUE"""),198.97)</f>
        <v>198.97</v>
      </c>
      <c r="F243" s="2">
        <f>IFERROR(__xludf.DUMMYFUNCTION("""COMPUTED_VALUE"""),3461687.0)</f>
        <v>3461687</v>
      </c>
    </row>
    <row r="244">
      <c r="A244" s="3">
        <f>IFERROR(__xludf.DUMMYFUNCTION("""COMPUTED_VALUE"""),45279.66666666667)</f>
        <v>45279.66667</v>
      </c>
      <c r="B244" s="2">
        <f>IFERROR(__xludf.DUMMYFUNCTION("""COMPUTED_VALUE"""),200.0)</f>
        <v>200</v>
      </c>
      <c r="C244" s="2">
        <f>IFERROR(__xludf.DUMMYFUNCTION("""COMPUTED_VALUE"""),200.87)</f>
        <v>200.87</v>
      </c>
      <c r="D244" s="2">
        <f>IFERROR(__xludf.DUMMYFUNCTION("""COMPUTED_VALUE"""),198.34)</f>
        <v>198.34</v>
      </c>
      <c r="E244" s="2">
        <f>IFERROR(__xludf.DUMMYFUNCTION("""COMPUTED_VALUE"""),199.02)</f>
        <v>199.02</v>
      </c>
      <c r="F244" s="2">
        <f>IFERROR(__xludf.DUMMYFUNCTION("""COMPUTED_VALUE"""),2963399.0)</f>
        <v>2963399</v>
      </c>
    </row>
    <row r="245">
      <c r="A245" s="3">
        <f>IFERROR(__xludf.DUMMYFUNCTION("""COMPUTED_VALUE"""),45280.66666666667)</f>
        <v>45280.66667</v>
      </c>
      <c r="B245" s="2">
        <f>IFERROR(__xludf.DUMMYFUNCTION("""COMPUTED_VALUE"""),198.12)</f>
        <v>198.12</v>
      </c>
      <c r="C245" s="2">
        <f>IFERROR(__xludf.DUMMYFUNCTION("""COMPUTED_VALUE"""),199.74)</f>
        <v>199.74</v>
      </c>
      <c r="D245" s="2">
        <f>IFERROR(__xludf.DUMMYFUNCTION("""COMPUTED_VALUE"""),194.13)</f>
        <v>194.13</v>
      </c>
      <c r="E245" s="2">
        <f>IFERROR(__xludf.DUMMYFUNCTION("""COMPUTED_VALUE"""),194.28)</f>
        <v>194.28</v>
      </c>
      <c r="F245" s="2">
        <f>IFERROR(__xludf.DUMMYFUNCTION("""COMPUTED_VALUE"""),3222933.0)</f>
        <v>3222933</v>
      </c>
    </row>
    <row r="246">
      <c r="A246" s="3">
        <f>IFERROR(__xludf.DUMMYFUNCTION("""COMPUTED_VALUE"""),45281.66666666667)</f>
        <v>45281.66667</v>
      </c>
      <c r="B246" s="2">
        <f>IFERROR(__xludf.DUMMYFUNCTION("""COMPUTED_VALUE"""),195.5)</f>
        <v>195.5</v>
      </c>
      <c r="C246" s="2">
        <f>IFERROR(__xludf.DUMMYFUNCTION("""COMPUTED_VALUE"""),196.95)</f>
        <v>196.95</v>
      </c>
      <c r="D246" s="2">
        <f>IFERROR(__xludf.DUMMYFUNCTION("""COMPUTED_VALUE"""),193.74)</f>
        <v>193.74</v>
      </c>
      <c r="E246" s="2">
        <f>IFERROR(__xludf.DUMMYFUNCTION("""COMPUTED_VALUE"""),196.79)</f>
        <v>196.79</v>
      </c>
      <c r="F246" s="2">
        <f>IFERROR(__xludf.DUMMYFUNCTION("""COMPUTED_VALUE"""),4213726.0)</f>
        <v>4213726</v>
      </c>
    </row>
    <row r="247">
      <c r="A247" s="3">
        <f>IFERROR(__xludf.DUMMYFUNCTION("""COMPUTED_VALUE"""),45282.66666666667)</f>
        <v>45282.66667</v>
      </c>
      <c r="B247" s="2">
        <f>IFERROR(__xludf.DUMMYFUNCTION("""COMPUTED_VALUE"""),197.02)</f>
        <v>197.02</v>
      </c>
      <c r="C247" s="2">
        <f>IFERROR(__xludf.DUMMYFUNCTION("""COMPUTED_VALUE"""),198.02)</f>
        <v>198.02</v>
      </c>
      <c r="D247" s="2">
        <f>IFERROR(__xludf.DUMMYFUNCTION("""COMPUTED_VALUE"""),194.1)</f>
        <v>194.1</v>
      </c>
      <c r="E247" s="2">
        <f>IFERROR(__xludf.DUMMYFUNCTION("""COMPUTED_VALUE"""),195.67)</f>
        <v>195.67</v>
      </c>
      <c r="F247" s="2">
        <f>IFERROR(__xludf.DUMMYFUNCTION("""COMPUTED_VALUE"""),2448826.0)</f>
        <v>2448826</v>
      </c>
    </row>
    <row r="248">
      <c r="A248" s="3">
        <f>IFERROR(__xludf.DUMMYFUNCTION("""COMPUTED_VALUE"""),45286.66666666667)</f>
        <v>45286.66667</v>
      </c>
      <c r="B248" s="2">
        <f>IFERROR(__xludf.DUMMYFUNCTION("""COMPUTED_VALUE"""),195.9)</f>
        <v>195.9</v>
      </c>
      <c r="C248" s="2">
        <f>IFERROR(__xludf.DUMMYFUNCTION("""COMPUTED_VALUE"""),199.32)</f>
        <v>199.32</v>
      </c>
      <c r="D248" s="2">
        <f>IFERROR(__xludf.DUMMYFUNCTION("""COMPUTED_VALUE"""),193.8)</f>
        <v>193.8</v>
      </c>
      <c r="E248" s="2">
        <f>IFERROR(__xludf.DUMMYFUNCTION("""COMPUTED_VALUE"""),198.56)</f>
        <v>198.56</v>
      </c>
      <c r="F248" s="2">
        <f>IFERROR(__xludf.DUMMYFUNCTION("""COMPUTED_VALUE"""),3639359.0)</f>
        <v>3639359</v>
      </c>
    </row>
    <row r="249">
      <c r="A249" s="3">
        <f>IFERROR(__xludf.DUMMYFUNCTION("""COMPUTED_VALUE"""),45287.66666666667)</f>
        <v>45287.66667</v>
      </c>
      <c r="B249" s="2">
        <f>IFERROR(__xludf.DUMMYFUNCTION("""COMPUTED_VALUE"""),200.0)</f>
        <v>200</v>
      </c>
      <c r="C249" s="2">
        <f>IFERROR(__xludf.DUMMYFUNCTION("""COMPUTED_VALUE"""),200.97)</f>
        <v>200.97</v>
      </c>
      <c r="D249" s="2">
        <f>IFERROR(__xludf.DUMMYFUNCTION("""COMPUTED_VALUE"""),197.04)</f>
        <v>197.04</v>
      </c>
      <c r="E249" s="2">
        <f>IFERROR(__xludf.DUMMYFUNCTION("""COMPUTED_VALUE"""),198.71)</f>
        <v>198.71</v>
      </c>
      <c r="F249" s="2">
        <f>IFERROR(__xludf.DUMMYFUNCTION("""COMPUTED_VALUE"""),4957172.0)</f>
        <v>4957172</v>
      </c>
    </row>
    <row r="250">
      <c r="A250" s="3">
        <f>IFERROR(__xludf.DUMMYFUNCTION("""COMPUTED_VALUE"""),45288.66666666667)</f>
        <v>45288.66667</v>
      </c>
      <c r="B250" s="2">
        <f>IFERROR(__xludf.DUMMYFUNCTION("""COMPUTED_VALUE"""),198.78)</f>
        <v>198.78</v>
      </c>
      <c r="C250" s="2">
        <f>IFERROR(__xludf.DUMMYFUNCTION("""COMPUTED_VALUE"""),201.74)</f>
        <v>201.74</v>
      </c>
      <c r="D250" s="2">
        <f>IFERROR(__xludf.DUMMYFUNCTION("""COMPUTED_VALUE"""),197.7)</f>
        <v>197.7</v>
      </c>
      <c r="E250" s="2">
        <f>IFERROR(__xludf.DUMMYFUNCTION("""COMPUTED_VALUE"""),201.23)</f>
        <v>201.23</v>
      </c>
      <c r="F250" s="2">
        <f>IFERROR(__xludf.DUMMYFUNCTION("""COMPUTED_VALUE"""),3823822.0)</f>
        <v>3823822</v>
      </c>
    </row>
    <row r="251">
      <c r="A251" s="3">
        <f>IFERROR(__xludf.DUMMYFUNCTION("""COMPUTED_VALUE"""),45289.66666666667)</f>
        <v>45289.66667</v>
      </c>
      <c r="B251" s="2">
        <f>IFERROR(__xludf.DUMMYFUNCTION("""COMPUTED_VALUE"""),200.0)</f>
        <v>200</v>
      </c>
      <c r="C251" s="2">
        <f>IFERROR(__xludf.DUMMYFUNCTION("""COMPUTED_VALUE"""),201.88)</f>
        <v>201.88</v>
      </c>
      <c r="D251" s="2">
        <f>IFERROR(__xludf.DUMMYFUNCTION("""COMPUTED_VALUE"""),198.34)</f>
        <v>198.34</v>
      </c>
      <c r="E251" s="2">
        <f>IFERROR(__xludf.DUMMYFUNCTION("""COMPUTED_VALUE"""),199.0)</f>
        <v>199</v>
      </c>
      <c r="F251" s="2">
        <f>IFERROR(__xludf.DUMMYFUNCTION("""COMPUTED_VALUE"""),3598227.0)</f>
        <v>3598227</v>
      </c>
    </row>
    <row r="252">
      <c r="A252" s="3">
        <f>IFERROR(__xludf.DUMMYFUNCTION("""COMPUTED_VALUE"""),45293.66666666667)</f>
        <v>45293.66667</v>
      </c>
      <c r="B252" s="2">
        <f>IFERROR(__xludf.DUMMYFUNCTION("""COMPUTED_VALUE"""),195.0)</f>
        <v>195</v>
      </c>
      <c r="C252" s="2">
        <f>IFERROR(__xludf.DUMMYFUNCTION("""COMPUTED_VALUE"""),196.23)</f>
        <v>196.23</v>
      </c>
      <c r="D252" s="2">
        <f>IFERROR(__xludf.DUMMYFUNCTION("""COMPUTED_VALUE"""),187.53)</f>
        <v>187.53</v>
      </c>
      <c r="E252" s="2">
        <f>IFERROR(__xludf.DUMMYFUNCTION("""COMPUTED_VALUE"""),189.12)</f>
        <v>189.12</v>
      </c>
      <c r="F252" s="2">
        <f>IFERROR(__xludf.DUMMYFUNCTION("""COMPUTED_VALUE"""),5173265.0)</f>
        <v>5173265</v>
      </c>
    </row>
    <row r="253">
      <c r="A253" s="3">
        <f>IFERROR(__xludf.DUMMYFUNCTION("""COMPUTED_VALUE"""),45294.66666666667)</f>
        <v>45294.66667</v>
      </c>
      <c r="B253" s="2">
        <f>IFERROR(__xludf.DUMMYFUNCTION("""COMPUTED_VALUE"""),185.0)</f>
        <v>185</v>
      </c>
      <c r="C253" s="2">
        <f>IFERROR(__xludf.DUMMYFUNCTION("""COMPUTED_VALUE"""),187.35)</f>
        <v>187.35</v>
      </c>
      <c r="D253" s="2">
        <f>IFERROR(__xludf.DUMMYFUNCTION("""COMPUTED_VALUE"""),183.01)</f>
        <v>183.01</v>
      </c>
      <c r="E253" s="2">
        <f>IFERROR(__xludf.DUMMYFUNCTION("""COMPUTED_VALUE"""),184.21)</f>
        <v>184.21</v>
      </c>
      <c r="F253" s="2">
        <f>IFERROR(__xludf.DUMMYFUNCTION("""COMPUTED_VALUE"""),4292018.0)</f>
        <v>4292018</v>
      </c>
    </row>
    <row r="254">
      <c r="A254" s="3">
        <f>IFERROR(__xludf.DUMMYFUNCTION("""COMPUTED_VALUE"""),45295.66666666667)</f>
        <v>45295.66667</v>
      </c>
      <c r="B254" s="2">
        <f>IFERROR(__xludf.DUMMYFUNCTION("""COMPUTED_VALUE"""),182.29)</f>
        <v>182.29</v>
      </c>
      <c r="C254" s="2">
        <f>IFERROR(__xludf.DUMMYFUNCTION("""COMPUTED_VALUE"""),187.15)</f>
        <v>187.15</v>
      </c>
      <c r="D254" s="2">
        <f>IFERROR(__xludf.DUMMYFUNCTION("""COMPUTED_VALUE"""),180.95)</f>
        <v>180.95</v>
      </c>
      <c r="E254" s="2">
        <f>IFERROR(__xludf.DUMMYFUNCTION("""COMPUTED_VALUE"""),183.72)</f>
        <v>183.72</v>
      </c>
      <c r="F254" s="2">
        <f>IFERROR(__xludf.DUMMYFUNCTION("""COMPUTED_VALUE"""),4270281.0)</f>
        <v>4270281</v>
      </c>
    </row>
    <row r="255">
      <c r="A255" s="3">
        <f>IFERROR(__xludf.DUMMYFUNCTION("""COMPUTED_VALUE"""),45296.66666666667)</f>
        <v>45296.66667</v>
      </c>
      <c r="B255" s="2">
        <f>IFERROR(__xludf.DUMMYFUNCTION("""COMPUTED_VALUE"""),184.57)</f>
        <v>184.57</v>
      </c>
      <c r="C255" s="2">
        <f>IFERROR(__xludf.DUMMYFUNCTION("""COMPUTED_VALUE"""),191.41)</f>
        <v>191.41</v>
      </c>
      <c r="D255" s="2">
        <f>IFERROR(__xludf.DUMMYFUNCTION("""COMPUTED_VALUE"""),184.57)</f>
        <v>184.57</v>
      </c>
      <c r="E255" s="2">
        <f>IFERROR(__xludf.DUMMYFUNCTION("""COMPUTED_VALUE"""),189.12)</f>
        <v>189.12</v>
      </c>
      <c r="F255" s="2">
        <f>IFERROR(__xludf.DUMMYFUNCTION("""COMPUTED_VALUE"""),5269755.0)</f>
        <v>5269755</v>
      </c>
    </row>
    <row r="256">
      <c r="A256" s="3">
        <f>IFERROR(__xludf.DUMMYFUNCTION("""COMPUTED_VALUE"""),45299.66666666667)</f>
        <v>45299.66667</v>
      </c>
      <c r="B256" s="2">
        <f>IFERROR(__xludf.DUMMYFUNCTION("""COMPUTED_VALUE"""),190.77)</f>
        <v>190.77</v>
      </c>
      <c r="C256" s="2">
        <f>IFERROR(__xludf.DUMMYFUNCTION("""COMPUTED_VALUE"""),196.9)</f>
        <v>196.9</v>
      </c>
      <c r="D256" s="2">
        <f>IFERROR(__xludf.DUMMYFUNCTION("""COMPUTED_VALUE"""),190.77)</f>
        <v>190.77</v>
      </c>
      <c r="E256" s="2">
        <f>IFERROR(__xludf.DUMMYFUNCTION("""COMPUTED_VALUE"""),196.35)</f>
        <v>196.35</v>
      </c>
      <c r="F256" s="2">
        <f>IFERROR(__xludf.DUMMYFUNCTION("""COMPUTED_VALUE"""),4562048.0)</f>
        <v>4562048</v>
      </c>
    </row>
    <row r="257">
      <c r="A257" s="3">
        <f>IFERROR(__xludf.DUMMYFUNCTION("""COMPUTED_VALUE"""),45300.66666666667)</f>
        <v>45300.66667</v>
      </c>
      <c r="B257" s="2">
        <f>IFERROR(__xludf.DUMMYFUNCTION("""COMPUTED_VALUE"""),195.65)</f>
        <v>195.65</v>
      </c>
      <c r="C257" s="2">
        <f>IFERROR(__xludf.DUMMYFUNCTION("""COMPUTED_VALUE"""),198.27)</f>
        <v>198.27</v>
      </c>
      <c r="D257" s="2">
        <f>IFERROR(__xludf.DUMMYFUNCTION("""COMPUTED_VALUE"""),194.75)</f>
        <v>194.75</v>
      </c>
      <c r="E257" s="2">
        <f>IFERROR(__xludf.DUMMYFUNCTION("""COMPUTED_VALUE"""),196.9)</f>
        <v>196.9</v>
      </c>
      <c r="F257" s="2">
        <f>IFERROR(__xludf.DUMMYFUNCTION("""COMPUTED_VALUE"""),3153581.0)</f>
        <v>3153581</v>
      </c>
    </row>
    <row r="258">
      <c r="A258" s="3">
        <f>IFERROR(__xludf.DUMMYFUNCTION("""COMPUTED_VALUE"""),45301.66666666667)</f>
        <v>45301.66667</v>
      </c>
      <c r="B258" s="2">
        <f>IFERROR(__xludf.DUMMYFUNCTION("""COMPUTED_VALUE"""),197.28)</f>
        <v>197.28</v>
      </c>
      <c r="C258" s="2">
        <f>IFERROR(__xludf.DUMMYFUNCTION("""COMPUTED_VALUE"""),200.54)</f>
        <v>200.54</v>
      </c>
      <c r="D258" s="2">
        <f>IFERROR(__xludf.DUMMYFUNCTION("""COMPUTED_VALUE"""),194.65)</f>
        <v>194.65</v>
      </c>
      <c r="E258" s="2">
        <f>IFERROR(__xludf.DUMMYFUNCTION("""COMPUTED_VALUE"""),197.4)</f>
        <v>197.4</v>
      </c>
      <c r="F258" s="2">
        <f>IFERROR(__xludf.DUMMYFUNCTION("""COMPUTED_VALUE"""),4179593.0)</f>
        <v>4179593</v>
      </c>
    </row>
    <row r="259">
      <c r="A259" s="3">
        <f>IFERROR(__xludf.DUMMYFUNCTION("""COMPUTED_VALUE"""),45302.66666666667)</f>
        <v>45302.66667</v>
      </c>
      <c r="B259" s="2">
        <f>IFERROR(__xludf.DUMMYFUNCTION("""COMPUTED_VALUE"""),199.2)</f>
        <v>199.2</v>
      </c>
      <c r="C259" s="2">
        <f>IFERROR(__xludf.DUMMYFUNCTION("""COMPUTED_VALUE"""),201.6)</f>
        <v>201.6</v>
      </c>
      <c r="D259" s="2">
        <f>IFERROR(__xludf.DUMMYFUNCTION("""COMPUTED_VALUE"""),195.53)</f>
        <v>195.53</v>
      </c>
      <c r="E259" s="2">
        <f>IFERROR(__xludf.DUMMYFUNCTION("""COMPUTED_VALUE"""),195.62)</f>
        <v>195.62</v>
      </c>
      <c r="F259" s="2">
        <f>IFERROR(__xludf.DUMMYFUNCTION("""COMPUTED_VALUE"""),5012565.0)</f>
        <v>5012565</v>
      </c>
    </row>
    <row r="260">
      <c r="A260" s="3">
        <f>IFERROR(__xludf.DUMMYFUNCTION("""COMPUTED_VALUE"""),45303.66666666667)</f>
        <v>45303.66667</v>
      </c>
      <c r="B260" s="2">
        <f>IFERROR(__xludf.DUMMYFUNCTION("""COMPUTED_VALUE"""),190.0)</f>
        <v>190</v>
      </c>
      <c r="C260" s="2">
        <f>IFERROR(__xludf.DUMMYFUNCTION("""COMPUTED_VALUE"""),196.08)</f>
        <v>196.08</v>
      </c>
      <c r="D260" s="2">
        <f>IFERROR(__xludf.DUMMYFUNCTION("""COMPUTED_VALUE"""),189.22)</f>
        <v>189.22</v>
      </c>
      <c r="E260" s="2">
        <f>IFERROR(__xludf.DUMMYFUNCTION("""COMPUTED_VALUE"""),191.26)</f>
        <v>191.26</v>
      </c>
      <c r="F260" s="2">
        <f>IFERROR(__xludf.DUMMYFUNCTION("""COMPUTED_VALUE"""),4982352.0)</f>
        <v>4982352</v>
      </c>
    </row>
    <row r="261">
      <c r="A261" s="3">
        <f>IFERROR(__xludf.DUMMYFUNCTION("""COMPUTED_VALUE"""),45307.66666666667)</f>
        <v>45307.66667</v>
      </c>
      <c r="B261" s="2">
        <f>IFERROR(__xludf.DUMMYFUNCTION("""COMPUTED_VALUE"""),190.0)</f>
        <v>190</v>
      </c>
      <c r="C261" s="2">
        <f>IFERROR(__xludf.DUMMYFUNCTION("""COMPUTED_VALUE"""),191.21)</f>
        <v>191.21</v>
      </c>
      <c r="D261" s="2">
        <f>IFERROR(__xludf.DUMMYFUNCTION("""COMPUTED_VALUE"""),186.57)</f>
        <v>186.57</v>
      </c>
      <c r="E261" s="2">
        <f>IFERROR(__xludf.DUMMYFUNCTION("""COMPUTED_VALUE"""),188.02)</f>
        <v>188.02</v>
      </c>
      <c r="F261" s="2">
        <f>IFERROR(__xludf.DUMMYFUNCTION("""COMPUTED_VALUE"""),4833391.0)</f>
        <v>4833391</v>
      </c>
    </row>
    <row r="262">
      <c r="A262" s="3">
        <f>IFERROR(__xludf.DUMMYFUNCTION("""COMPUTED_VALUE"""),45308.66666666667)</f>
        <v>45308.66667</v>
      </c>
      <c r="B262" s="2">
        <f>IFERROR(__xludf.DUMMYFUNCTION("""COMPUTED_VALUE"""),185.77)</f>
        <v>185.77</v>
      </c>
      <c r="C262" s="2">
        <f>IFERROR(__xludf.DUMMYFUNCTION("""COMPUTED_VALUE"""),188.14)</f>
        <v>188.14</v>
      </c>
      <c r="D262" s="2">
        <f>IFERROR(__xludf.DUMMYFUNCTION("""COMPUTED_VALUE"""),182.53)</f>
        <v>182.53</v>
      </c>
      <c r="E262" s="2">
        <f>IFERROR(__xludf.DUMMYFUNCTION("""COMPUTED_VALUE"""),188.12)</f>
        <v>188.12</v>
      </c>
      <c r="F262" s="2">
        <f>IFERROR(__xludf.DUMMYFUNCTION("""COMPUTED_VALUE"""),3756668.0)</f>
        <v>3756668</v>
      </c>
    </row>
    <row r="263">
      <c r="A263" s="3">
        <f>IFERROR(__xludf.DUMMYFUNCTION("""COMPUTED_VALUE"""),45309.66666666667)</f>
        <v>45309.66667</v>
      </c>
      <c r="B263" s="2">
        <f>IFERROR(__xludf.DUMMYFUNCTION("""COMPUTED_VALUE"""),190.77)</f>
        <v>190.77</v>
      </c>
      <c r="C263" s="2">
        <f>IFERROR(__xludf.DUMMYFUNCTION("""COMPUTED_VALUE"""),191.54)</f>
        <v>191.54</v>
      </c>
      <c r="D263" s="2">
        <f>IFERROR(__xludf.DUMMYFUNCTION("""COMPUTED_VALUE"""),184.39)</f>
        <v>184.39</v>
      </c>
      <c r="E263" s="2">
        <f>IFERROR(__xludf.DUMMYFUNCTION("""COMPUTED_VALUE"""),186.61)</f>
        <v>186.61</v>
      </c>
      <c r="F263" s="2">
        <f>IFERROR(__xludf.DUMMYFUNCTION("""COMPUTED_VALUE"""),4989985.0)</f>
        <v>4989985</v>
      </c>
    </row>
    <row r="264">
      <c r="A264" s="3">
        <f>IFERROR(__xludf.DUMMYFUNCTION("""COMPUTED_VALUE"""),45310.66666666667)</f>
        <v>45310.66667</v>
      </c>
      <c r="B264" s="2">
        <f>IFERROR(__xludf.DUMMYFUNCTION("""COMPUTED_VALUE"""),187.59)</f>
        <v>187.59</v>
      </c>
      <c r="C264" s="2">
        <f>IFERROR(__xludf.DUMMYFUNCTION("""COMPUTED_VALUE"""),193.14)</f>
        <v>193.14</v>
      </c>
      <c r="D264" s="2">
        <f>IFERROR(__xludf.DUMMYFUNCTION("""COMPUTED_VALUE"""),186.72)</f>
        <v>186.72</v>
      </c>
      <c r="E264" s="2">
        <f>IFERROR(__xludf.DUMMYFUNCTION("""COMPUTED_VALUE"""),193.12)</f>
        <v>193.12</v>
      </c>
      <c r="F264" s="2">
        <f>IFERROR(__xludf.DUMMYFUNCTION("""COMPUTED_VALUE"""),4523267.0)</f>
        <v>4523267</v>
      </c>
    </row>
    <row r="265">
      <c r="A265" s="3">
        <f>IFERROR(__xludf.DUMMYFUNCTION("""COMPUTED_VALUE"""),45313.66666666667)</f>
        <v>45313.66667</v>
      </c>
      <c r="B265" s="2">
        <f>IFERROR(__xludf.DUMMYFUNCTION("""COMPUTED_VALUE"""),196.75)</f>
        <v>196.75</v>
      </c>
      <c r="C265" s="2">
        <f>IFERROR(__xludf.DUMMYFUNCTION("""COMPUTED_VALUE"""),202.32)</f>
        <v>202.32</v>
      </c>
      <c r="D265" s="2">
        <f>IFERROR(__xludf.DUMMYFUNCTION("""COMPUTED_VALUE"""),196.51)</f>
        <v>196.51</v>
      </c>
      <c r="E265" s="2">
        <f>IFERROR(__xludf.DUMMYFUNCTION("""COMPUTED_VALUE"""),199.08)</f>
        <v>199.08</v>
      </c>
      <c r="F265" s="2">
        <f>IFERROR(__xludf.DUMMYFUNCTION("""COMPUTED_VALUE"""),6471888.0)</f>
        <v>6471888</v>
      </c>
    </row>
    <row r="266">
      <c r="A266" s="3">
        <f>IFERROR(__xludf.DUMMYFUNCTION("""COMPUTED_VALUE"""),45314.66666666667)</f>
        <v>45314.66667</v>
      </c>
      <c r="B266" s="2">
        <f>IFERROR(__xludf.DUMMYFUNCTION("""COMPUTED_VALUE"""),200.0)</f>
        <v>200</v>
      </c>
      <c r="C266" s="2">
        <f>IFERROR(__xludf.DUMMYFUNCTION("""COMPUTED_VALUE"""),205.97)</f>
        <v>205.97</v>
      </c>
      <c r="D266" s="2">
        <f>IFERROR(__xludf.DUMMYFUNCTION("""COMPUTED_VALUE"""),197.59)</f>
        <v>197.59</v>
      </c>
      <c r="E266" s="2">
        <f>IFERROR(__xludf.DUMMYFUNCTION("""COMPUTED_VALUE"""),205.58)</f>
        <v>205.58</v>
      </c>
      <c r="F266" s="2">
        <f>IFERROR(__xludf.DUMMYFUNCTION("""COMPUTED_VALUE"""),8763276.0)</f>
        <v>8763276</v>
      </c>
    </row>
    <row r="267">
      <c r="A267" s="3">
        <f>IFERROR(__xludf.DUMMYFUNCTION("""COMPUTED_VALUE"""),45315.66666666667)</f>
        <v>45315.66667</v>
      </c>
      <c r="B267" s="2">
        <f>IFERROR(__xludf.DUMMYFUNCTION("""COMPUTED_VALUE"""),209.18)</f>
        <v>209.18</v>
      </c>
      <c r="C267" s="2">
        <f>IFERROR(__xludf.DUMMYFUNCTION("""COMPUTED_VALUE"""),211.65)</f>
        <v>211.65</v>
      </c>
      <c r="D267" s="2">
        <f>IFERROR(__xludf.DUMMYFUNCTION("""COMPUTED_VALUE"""),203.49)</f>
        <v>203.49</v>
      </c>
      <c r="E267" s="2">
        <f>IFERROR(__xludf.DUMMYFUNCTION("""COMPUTED_VALUE"""),203.81)</f>
        <v>203.81</v>
      </c>
      <c r="F267" s="2">
        <f>IFERROR(__xludf.DUMMYFUNCTION("""COMPUTED_VALUE"""),8127759.0)</f>
        <v>8127759</v>
      </c>
    </row>
    <row r="268">
      <c r="A268" s="3">
        <f>IFERROR(__xludf.DUMMYFUNCTION("""COMPUTED_VALUE"""),45316.66666666667)</f>
        <v>45316.66667</v>
      </c>
      <c r="B268" s="2">
        <f>IFERROR(__xludf.DUMMYFUNCTION("""COMPUTED_VALUE"""),205.36)</f>
        <v>205.36</v>
      </c>
      <c r="C268" s="2">
        <f>IFERROR(__xludf.DUMMYFUNCTION("""COMPUTED_VALUE"""),209.47)</f>
        <v>209.47</v>
      </c>
      <c r="D268" s="2">
        <f>IFERROR(__xludf.DUMMYFUNCTION("""COMPUTED_VALUE"""),202.75)</f>
        <v>202.75</v>
      </c>
      <c r="E268" s="2">
        <f>IFERROR(__xludf.DUMMYFUNCTION("""COMPUTED_VALUE"""),206.01)</f>
        <v>206.01</v>
      </c>
      <c r="F268" s="2">
        <f>IFERROR(__xludf.DUMMYFUNCTION("""COMPUTED_VALUE"""),4804154.0)</f>
        <v>4804154</v>
      </c>
    </row>
    <row r="269">
      <c r="A269" s="3">
        <f>IFERROR(__xludf.DUMMYFUNCTION("""COMPUTED_VALUE"""),45317.66666666667)</f>
        <v>45317.66667</v>
      </c>
      <c r="B269" s="2">
        <f>IFERROR(__xludf.DUMMYFUNCTION("""COMPUTED_VALUE"""),203.75)</f>
        <v>203.75</v>
      </c>
      <c r="C269" s="2">
        <f>IFERROR(__xludf.DUMMYFUNCTION("""COMPUTED_VALUE"""),205.49)</f>
        <v>205.49</v>
      </c>
      <c r="D269" s="2">
        <f>IFERROR(__xludf.DUMMYFUNCTION("""COMPUTED_VALUE"""),201.2)</f>
        <v>201.2</v>
      </c>
      <c r="E269" s="2">
        <f>IFERROR(__xludf.DUMMYFUNCTION("""COMPUTED_VALUE"""),202.51)</f>
        <v>202.51</v>
      </c>
      <c r="F269" s="2">
        <f>IFERROR(__xludf.DUMMYFUNCTION("""COMPUTED_VALUE"""),3799060.0)</f>
        <v>3799060</v>
      </c>
    </row>
    <row r="270">
      <c r="A270" s="3">
        <f>IFERROR(__xludf.DUMMYFUNCTION("""COMPUTED_VALUE"""),45320.66666666667)</f>
        <v>45320.66667</v>
      </c>
      <c r="B270" s="2">
        <f>IFERROR(__xludf.DUMMYFUNCTION("""COMPUTED_VALUE"""),201.91)</f>
        <v>201.91</v>
      </c>
      <c r="C270" s="2">
        <f>IFERROR(__xludf.DUMMYFUNCTION("""COMPUTED_VALUE"""),210.26)</f>
        <v>210.26</v>
      </c>
      <c r="D270" s="2">
        <f>IFERROR(__xludf.DUMMYFUNCTION("""COMPUTED_VALUE"""),201.4)</f>
        <v>201.4</v>
      </c>
      <c r="E270" s="2">
        <f>IFERROR(__xludf.DUMMYFUNCTION("""COMPUTED_VALUE"""),209.54)</f>
        <v>209.54</v>
      </c>
      <c r="F270" s="2">
        <f>IFERROR(__xludf.DUMMYFUNCTION("""COMPUTED_VALUE"""),5288749.0)</f>
        <v>5288749</v>
      </c>
    </row>
    <row r="271">
      <c r="A271" s="3">
        <f>IFERROR(__xludf.DUMMYFUNCTION("""COMPUTED_VALUE"""),45321.66666666667)</f>
        <v>45321.66667</v>
      </c>
      <c r="B271" s="2">
        <f>IFERROR(__xludf.DUMMYFUNCTION("""COMPUTED_VALUE"""),208.64)</f>
        <v>208.64</v>
      </c>
      <c r="C271" s="2">
        <f>IFERROR(__xludf.DUMMYFUNCTION("""COMPUTED_VALUE"""),209.98)</f>
        <v>209.98</v>
      </c>
      <c r="D271" s="2">
        <f>IFERROR(__xludf.DUMMYFUNCTION("""COMPUTED_VALUE"""),204.81)</f>
        <v>204.81</v>
      </c>
      <c r="E271" s="2">
        <f>IFERROR(__xludf.DUMMYFUNCTION("""COMPUTED_VALUE"""),206.25)</f>
        <v>206.25</v>
      </c>
      <c r="F271" s="2">
        <f>IFERROR(__xludf.DUMMYFUNCTION("""COMPUTED_VALUE"""),4415381.0)</f>
        <v>4415381</v>
      </c>
    </row>
    <row r="272">
      <c r="A272" s="3">
        <f>IFERROR(__xludf.DUMMYFUNCTION("""COMPUTED_VALUE"""),45322.66666666667)</f>
        <v>45322.66667</v>
      </c>
      <c r="B272" s="2">
        <f>IFERROR(__xludf.DUMMYFUNCTION("""COMPUTED_VALUE"""),201.5)</f>
        <v>201.5</v>
      </c>
      <c r="C272" s="2">
        <f>IFERROR(__xludf.DUMMYFUNCTION("""COMPUTED_VALUE"""),203.29)</f>
        <v>203.29</v>
      </c>
      <c r="D272" s="2">
        <f>IFERROR(__xludf.DUMMYFUNCTION("""COMPUTED_VALUE"""),194.87)</f>
        <v>194.87</v>
      </c>
      <c r="E272" s="2">
        <f>IFERROR(__xludf.DUMMYFUNCTION("""COMPUTED_VALUE"""),195.64)</f>
        <v>195.64</v>
      </c>
      <c r="F272" s="2">
        <f>IFERROR(__xludf.DUMMYFUNCTION("""COMPUTED_VALUE"""),6296755.0)</f>
        <v>6296755</v>
      </c>
    </row>
    <row r="273">
      <c r="A273" s="3">
        <f>IFERROR(__xludf.DUMMYFUNCTION("""COMPUTED_VALUE"""),45323.66666666667)</f>
        <v>45323.66667</v>
      </c>
      <c r="B273" s="2">
        <f>IFERROR(__xludf.DUMMYFUNCTION("""COMPUTED_VALUE"""),197.0)</f>
        <v>197</v>
      </c>
      <c r="C273" s="2">
        <f>IFERROR(__xludf.DUMMYFUNCTION("""COMPUTED_VALUE"""),200.33)</f>
        <v>200.33</v>
      </c>
      <c r="D273" s="2">
        <f>IFERROR(__xludf.DUMMYFUNCTION("""COMPUTED_VALUE"""),195.34)</f>
        <v>195.34</v>
      </c>
      <c r="E273" s="2">
        <f>IFERROR(__xludf.DUMMYFUNCTION("""COMPUTED_VALUE"""),199.94)</f>
        <v>199.94</v>
      </c>
      <c r="F273" s="2">
        <f>IFERROR(__xludf.DUMMYFUNCTION("""COMPUTED_VALUE"""),3260591.0)</f>
        <v>3260591</v>
      </c>
    </row>
    <row r="274">
      <c r="A274" s="3">
        <f>IFERROR(__xludf.DUMMYFUNCTION("""COMPUTED_VALUE"""),45324.66666666667)</f>
        <v>45324.66667</v>
      </c>
      <c r="B274" s="2">
        <f>IFERROR(__xludf.DUMMYFUNCTION("""COMPUTED_VALUE"""),208.64)</f>
        <v>208.64</v>
      </c>
      <c r="C274" s="2">
        <f>IFERROR(__xludf.DUMMYFUNCTION("""COMPUTED_VALUE"""),219.74)</f>
        <v>219.74</v>
      </c>
      <c r="D274" s="2">
        <f>IFERROR(__xludf.DUMMYFUNCTION("""COMPUTED_VALUE"""),204.05)</f>
        <v>204.05</v>
      </c>
      <c r="E274" s="2">
        <f>IFERROR(__xludf.DUMMYFUNCTION("""COMPUTED_VALUE"""),218.76)</f>
        <v>218.76</v>
      </c>
      <c r="F274" s="2">
        <f>IFERROR(__xludf.DUMMYFUNCTION("""COMPUTED_VALUE"""),1.1911518E7)</f>
        <v>11911518</v>
      </c>
    </row>
    <row r="275">
      <c r="A275" s="3">
        <f>IFERROR(__xludf.DUMMYFUNCTION("""COMPUTED_VALUE"""),45327.66666666667)</f>
        <v>45327.66667</v>
      </c>
      <c r="B275" s="2">
        <f>IFERROR(__xludf.DUMMYFUNCTION("""COMPUTED_VALUE"""),217.11)</f>
        <v>217.11</v>
      </c>
      <c r="C275" s="2">
        <f>IFERROR(__xludf.DUMMYFUNCTION("""COMPUTED_VALUE"""),220.67)</f>
        <v>220.67</v>
      </c>
      <c r="D275" s="2">
        <f>IFERROR(__xludf.DUMMYFUNCTION("""COMPUTED_VALUE"""),210.54)</f>
        <v>210.54</v>
      </c>
      <c r="E275" s="2">
        <f>IFERROR(__xludf.DUMMYFUNCTION("""COMPUTED_VALUE"""),215.6)</f>
        <v>215.6</v>
      </c>
      <c r="F275" s="2">
        <f>IFERROR(__xludf.DUMMYFUNCTION("""COMPUTED_VALUE"""),5552565.0)</f>
        <v>5552565</v>
      </c>
    </row>
    <row r="276">
      <c r="A276" s="3">
        <f>IFERROR(__xludf.DUMMYFUNCTION("""COMPUTED_VALUE"""),45328.66666666667)</f>
        <v>45328.66667</v>
      </c>
      <c r="B276" s="2">
        <f>IFERROR(__xludf.DUMMYFUNCTION("""COMPUTED_VALUE"""),217.5)</f>
        <v>217.5</v>
      </c>
      <c r="C276" s="2">
        <f>IFERROR(__xludf.DUMMYFUNCTION("""COMPUTED_VALUE"""),218.5)</f>
        <v>218.5</v>
      </c>
      <c r="D276" s="2">
        <f>IFERROR(__xludf.DUMMYFUNCTION("""COMPUTED_VALUE"""),208.51)</f>
        <v>208.51</v>
      </c>
      <c r="E276" s="2">
        <f>IFERROR(__xludf.DUMMYFUNCTION("""COMPUTED_VALUE"""),213.68)</f>
        <v>213.68</v>
      </c>
      <c r="F276" s="2">
        <f>IFERROR(__xludf.DUMMYFUNCTION("""COMPUTED_VALUE"""),5159941.0)</f>
        <v>5159941</v>
      </c>
    </row>
    <row r="277">
      <c r="A277" s="3">
        <f>IFERROR(__xludf.DUMMYFUNCTION("""COMPUTED_VALUE"""),45329.66666666667)</f>
        <v>45329.66667</v>
      </c>
      <c r="B277" s="2">
        <f>IFERROR(__xludf.DUMMYFUNCTION("""COMPUTED_VALUE"""),214.01)</f>
        <v>214.01</v>
      </c>
      <c r="C277" s="2">
        <f>IFERROR(__xludf.DUMMYFUNCTION("""COMPUTED_VALUE"""),219.4)</f>
        <v>219.4</v>
      </c>
      <c r="D277" s="2">
        <f>IFERROR(__xludf.DUMMYFUNCTION("""COMPUTED_VALUE"""),212.75)</f>
        <v>212.75</v>
      </c>
      <c r="E277" s="2">
        <f>IFERROR(__xludf.DUMMYFUNCTION("""COMPUTED_VALUE"""),218.23)</f>
        <v>218.23</v>
      </c>
      <c r="F277" s="2">
        <f>IFERROR(__xludf.DUMMYFUNCTION("""COMPUTED_VALUE"""),3920972.0)</f>
        <v>3920972</v>
      </c>
    </row>
    <row r="278">
      <c r="A278" s="3">
        <f>IFERROR(__xludf.DUMMYFUNCTION("""COMPUTED_VALUE"""),45330.66666666667)</f>
        <v>45330.66667</v>
      </c>
      <c r="B278" s="2">
        <f>IFERROR(__xludf.DUMMYFUNCTION("""COMPUTED_VALUE"""),219.3)</f>
        <v>219.3</v>
      </c>
      <c r="C278" s="2">
        <f>IFERROR(__xludf.DUMMYFUNCTION("""COMPUTED_VALUE"""),226.29)</f>
        <v>226.29</v>
      </c>
      <c r="D278" s="2">
        <f>IFERROR(__xludf.DUMMYFUNCTION("""COMPUTED_VALUE"""),218.3)</f>
        <v>218.3</v>
      </c>
      <c r="E278" s="2">
        <f>IFERROR(__xludf.DUMMYFUNCTION("""COMPUTED_VALUE"""),222.9)</f>
        <v>222.9</v>
      </c>
      <c r="F278" s="2">
        <f>IFERROR(__xludf.DUMMYFUNCTION("""COMPUTED_VALUE"""),6119851.0)</f>
        <v>6119851</v>
      </c>
    </row>
    <row r="279">
      <c r="A279" s="3">
        <f>IFERROR(__xludf.DUMMYFUNCTION("""COMPUTED_VALUE"""),45331.66666666667)</f>
        <v>45331.66667</v>
      </c>
      <c r="B279" s="2">
        <f>IFERROR(__xludf.DUMMYFUNCTION("""COMPUTED_VALUE"""),228.3)</f>
        <v>228.3</v>
      </c>
      <c r="C279" s="2">
        <f>IFERROR(__xludf.DUMMYFUNCTION("""COMPUTED_VALUE"""),235.0)</f>
        <v>235</v>
      </c>
      <c r="D279" s="2">
        <f>IFERROR(__xludf.DUMMYFUNCTION("""COMPUTED_VALUE"""),228.13)</f>
        <v>228.13</v>
      </c>
      <c r="E279" s="2">
        <f>IFERROR(__xludf.DUMMYFUNCTION("""COMPUTED_VALUE"""),233.28)</f>
        <v>233.28</v>
      </c>
      <c r="F279" s="2">
        <f>IFERROR(__xludf.DUMMYFUNCTION("""COMPUTED_VALUE"""),8263401.0)</f>
        <v>8263401</v>
      </c>
    </row>
    <row r="280">
      <c r="A280" s="3">
        <f>IFERROR(__xludf.DUMMYFUNCTION("""COMPUTED_VALUE"""),45334.66666666667)</f>
        <v>45334.66667</v>
      </c>
      <c r="B280" s="2">
        <f>IFERROR(__xludf.DUMMYFUNCTION("""COMPUTED_VALUE"""),231.0)</f>
        <v>231</v>
      </c>
      <c r="C280" s="2">
        <f>IFERROR(__xludf.DUMMYFUNCTION("""COMPUTED_VALUE"""),237.72)</f>
        <v>237.72</v>
      </c>
      <c r="D280" s="2">
        <f>IFERROR(__xludf.DUMMYFUNCTION("""COMPUTED_VALUE"""),229.07)</f>
        <v>229.07</v>
      </c>
      <c r="E280" s="2">
        <f>IFERROR(__xludf.DUMMYFUNCTION("""COMPUTED_VALUE"""),232.16)</f>
        <v>232.16</v>
      </c>
      <c r="F280" s="2">
        <f>IFERROR(__xludf.DUMMYFUNCTION("""COMPUTED_VALUE"""),5383662.0)</f>
        <v>5383662</v>
      </c>
    </row>
    <row r="281">
      <c r="A281" s="3">
        <f>IFERROR(__xludf.DUMMYFUNCTION("""COMPUTED_VALUE"""),45335.66666666667)</f>
        <v>45335.66667</v>
      </c>
      <c r="B281" s="2">
        <f>IFERROR(__xludf.DUMMYFUNCTION("""COMPUTED_VALUE"""),223.06)</f>
        <v>223.06</v>
      </c>
      <c r="C281" s="2">
        <f>IFERROR(__xludf.DUMMYFUNCTION("""COMPUTED_VALUE"""),231.02)</f>
        <v>231.02</v>
      </c>
      <c r="D281" s="2">
        <f>IFERROR(__xludf.DUMMYFUNCTION("""COMPUTED_VALUE"""),220.5)</f>
        <v>220.5</v>
      </c>
      <c r="E281" s="2">
        <f>IFERROR(__xludf.DUMMYFUNCTION("""COMPUTED_VALUE"""),227.57)</f>
        <v>227.57</v>
      </c>
      <c r="F281" s="2">
        <f>IFERROR(__xludf.DUMMYFUNCTION("""COMPUTED_VALUE"""),4851114.0)</f>
        <v>4851114</v>
      </c>
    </row>
    <row r="282">
      <c r="A282" s="3">
        <f>IFERROR(__xludf.DUMMYFUNCTION("""COMPUTED_VALUE"""),45336.66666666667)</f>
        <v>45336.66667</v>
      </c>
      <c r="B282" s="2">
        <f>IFERROR(__xludf.DUMMYFUNCTION("""COMPUTED_VALUE"""),230.0)</f>
        <v>230</v>
      </c>
      <c r="C282" s="2">
        <f>IFERROR(__xludf.DUMMYFUNCTION("""COMPUTED_VALUE"""),236.24)</f>
        <v>236.24</v>
      </c>
      <c r="D282" s="2">
        <f>IFERROR(__xludf.DUMMYFUNCTION("""COMPUTED_VALUE"""),227.18)</f>
        <v>227.18</v>
      </c>
      <c r="E282" s="2">
        <f>IFERROR(__xludf.DUMMYFUNCTION("""COMPUTED_VALUE"""),236.0)</f>
        <v>236</v>
      </c>
      <c r="F282" s="2">
        <f>IFERROR(__xludf.DUMMYFUNCTION("""COMPUTED_VALUE"""),3741915.0)</f>
        <v>3741915</v>
      </c>
    </row>
    <row r="283">
      <c r="A283" s="3">
        <f>IFERROR(__xludf.DUMMYFUNCTION("""COMPUTED_VALUE"""),45337.66666666667)</f>
        <v>45337.66667</v>
      </c>
      <c r="B283" s="2">
        <f>IFERROR(__xludf.DUMMYFUNCTION("""COMPUTED_VALUE"""),235.0)</f>
        <v>235</v>
      </c>
      <c r="C283" s="2">
        <f>IFERROR(__xludf.DUMMYFUNCTION("""COMPUTED_VALUE"""),236.33)</f>
        <v>236.33</v>
      </c>
      <c r="D283" s="2">
        <f>IFERROR(__xludf.DUMMYFUNCTION("""COMPUTED_VALUE"""),229.1)</f>
        <v>229.1</v>
      </c>
      <c r="E283" s="2">
        <f>IFERROR(__xludf.DUMMYFUNCTION("""COMPUTED_VALUE"""),232.4)</f>
        <v>232.4</v>
      </c>
      <c r="F283" s="2">
        <f>IFERROR(__xludf.DUMMYFUNCTION("""COMPUTED_VALUE"""),3617604.0)</f>
        <v>3617604</v>
      </c>
    </row>
    <row r="284">
      <c r="A284" s="3">
        <f>IFERROR(__xludf.DUMMYFUNCTION("""COMPUTED_VALUE"""),45338.66666666667)</f>
        <v>45338.66667</v>
      </c>
      <c r="B284" s="2">
        <f>IFERROR(__xludf.DUMMYFUNCTION("""COMPUTED_VALUE"""),230.65)</f>
        <v>230.65</v>
      </c>
      <c r="C284" s="2">
        <f>IFERROR(__xludf.DUMMYFUNCTION("""COMPUTED_VALUE"""),234.82)</f>
        <v>234.82</v>
      </c>
      <c r="D284" s="2">
        <f>IFERROR(__xludf.DUMMYFUNCTION("""COMPUTED_VALUE"""),228.6)</f>
        <v>228.6</v>
      </c>
      <c r="E284" s="2">
        <f>IFERROR(__xludf.DUMMYFUNCTION("""COMPUTED_VALUE"""),230.31)</f>
        <v>230.31</v>
      </c>
      <c r="F284" s="2">
        <f>IFERROR(__xludf.DUMMYFUNCTION("""COMPUTED_VALUE"""),3604068.0)</f>
        <v>3604068</v>
      </c>
    </row>
    <row r="285">
      <c r="A285" s="3">
        <f>IFERROR(__xludf.DUMMYFUNCTION("""COMPUTED_VALUE"""),45342.66666666667)</f>
        <v>45342.66667</v>
      </c>
      <c r="B285" s="2">
        <f>IFERROR(__xludf.DUMMYFUNCTION("""COMPUTED_VALUE"""),226.03)</f>
        <v>226.03</v>
      </c>
      <c r="C285" s="2">
        <f>IFERROR(__xludf.DUMMYFUNCTION("""COMPUTED_VALUE"""),226.69)</f>
        <v>226.69</v>
      </c>
      <c r="D285" s="2">
        <f>IFERROR(__xludf.DUMMYFUNCTION("""COMPUTED_VALUE"""),215.59)</f>
        <v>215.59</v>
      </c>
      <c r="E285" s="2">
        <f>IFERROR(__xludf.DUMMYFUNCTION("""COMPUTED_VALUE"""),220.08)</f>
        <v>220.08</v>
      </c>
      <c r="F285" s="2">
        <f>IFERROR(__xludf.DUMMYFUNCTION("""COMPUTED_VALUE"""),6028646.0)</f>
        <v>6028646</v>
      </c>
    </row>
    <row r="286">
      <c r="A286" s="3">
        <f>IFERROR(__xludf.DUMMYFUNCTION("""COMPUTED_VALUE"""),45343.66666666667)</f>
        <v>45343.66667</v>
      </c>
      <c r="B286" s="2">
        <f>IFERROR(__xludf.DUMMYFUNCTION("""COMPUTED_VALUE"""),215.0)</f>
        <v>215</v>
      </c>
      <c r="C286" s="2">
        <f>IFERROR(__xludf.DUMMYFUNCTION("""COMPUTED_VALUE"""),217.2)</f>
        <v>217.2</v>
      </c>
      <c r="D286" s="2">
        <f>IFERROR(__xludf.DUMMYFUNCTION("""COMPUTED_VALUE"""),211.68)</f>
        <v>211.68</v>
      </c>
      <c r="E286" s="2">
        <f>IFERROR(__xludf.DUMMYFUNCTION("""COMPUTED_VALUE"""),216.21)</f>
        <v>216.21</v>
      </c>
      <c r="F286" s="2">
        <f>IFERROR(__xludf.DUMMYFUNCTION("""COMPUTED_VALUE"""),3596578.0)</f>
        <v>3596578</v>
      </c>
    </row>
    <row r="287">
      <c r="A287" s="3">
        <f>IFERROR(__xludf.DUMMYFUNCTION("""COMPUTED_VALUE"""),45344.66666666667)</f>
        <v>45344.66667</v>
      </c>
      <c r="B287" s="2">
        <f>IFERROR(__xludf.DUMMYFUNCTION("""COMPUTED_VALUE"""),224.14)</f>
        <v>224.14</v>
      </c>
      <c r="C287" s="2">
        <f>IFERROR(__xludf.DUMMYFUNCTION("""COMPUTED_VALUE"""),227.68)</f>
        <v>227.68</v>
      </c>
      <c r="D287" s="2">
        <f>IFERROR(__xludf.DUMMYFUNCTION("""COMPUTED_VALUE"""),219.52)</f>
        <v>219.52</v>
      </c>
      <c r="E287" s="2">
        <f>IFERROR(__xludf.DUMMYFUNCTION("""COMPUTED_VALUE"""),225.62)</f>
        <v>225.62</v>
      </c>
      <c r="F287" s="2">
        <f>IFERROR(__xludf.DUMMYFUNCTION("""COMPUTED_VALUE"""),5847729.0)</f>
        <v>5847729</v>
      </c>
    </row>
    <row r="288">
      <c r="A288" s="3">
        <f>IFERROR(__xludf.DUMMYFUNCTION("""COMPUTED_VALUE"""),45345.66666666667)</f>
        <v>45345.66667</v>
      </c>
      <c r="B288" s="2">
        <f>IFERROR(__xludf.DUMMYFUNCTION("""COMPUTED_VALUE"""),234.28)</f>
        <v>234.28</v>
      </c>
      <c r="C288" s="2">
        <f>IFERROR(__xludf.DUMMYFUNCTION("""COMPUTED_VALUE"""),234.83)</f>
        <v>234.83</v>
      </c>
      <c r="D288" s="2">
        <f>IFERROR(__xludf.DUMMYFUNCTION("""COMPUTED_VALUE"""),227.04)</f>
        <v>227.04</v>
      </c>
      <c r="E288" s="2">
        <f>IFERROR(__xludf.DUMMYFUNCTION("""COMPUTED_VALUE"""),229.34)</f>
        <v>229.34</v>
      </c>
      <c r="F288" s="2">
        <f>IFERROR(__xludf.DUMMYFUNCTION("""COMPUTED_VALUE"""),4527953.0)</f>
        <v>4527953</v>
      </c>
    </row>
    <row r="289">
      <c r="A289" s="3">
        <f>IFERROR(__xludf.DUMMYFUNCTION("""COMPUTED_VALUE"""),45348.66666666667)</f>
        <v>45348.66667</v>
      </c>
      <c r="B289" s="2">
        <f>IFERROR(__xludf.DUMMYFUNCTION("""COMPUTED_VALUE"""),229.33)</f>
        <v>229.33</v>
      </c>
      <c r="C289" s="2">
        <f>IFERROR(__xludf.DUMMYFUNCTION("""COMPUTED_VALUE"""),233.36)</f>
        <v>233.36</v>
      </c>
      <c r="D289" s="2">
        <f>IFERROR(__xludf.DUMMYFUNCTION("""COMPUTED_VALUE"""),226.65)</f>
        <v>226.65</v>
      </c>
      <c r="E289" s="2">
        <f>IFERROR(__xludf.DUMMYFUNCTION("""COMPUTED_VALUE"""),230.93)</f>
        <v>230.93</v>
      </c>
      <c r="F289" s="2">
        <f>IFERROR(__xludf.DUMMYFUNCTION("""COMPUTED_VALUE"""),4820595.0)</f>
        <v>4820595</v>
      </c>
    </row>
    <row r="290">
      <c r="A290" s="3">
        <f>IFERROR(__xludf.DUMMYFUNCTION("""COMPUTED_VALUE"""),45349.66666666667)</f>
        <v>45349.66667</v>
      </c>
      <c r="B290" s="2">
        <f>IFERROR(__xludf.DUMMYFUNCTION("""COMPUTED_VALUE"""),233.0)</f>
        <v>233</v>
      </c>
      <c r="C290" s="2">
        <f>IFERROR(__xludf.DUMMYFUNCTION("""COMPUTED_VALUE"""),235.66)</f>
        <v>235.66</v>
      </c>
      <c r="D290" s="2">
        <f>IFERROR(__xludf.DUMMYFUNCTION("""COMPUTED_VALUE"""),231.09)</f>
        <v>231.09</v>
      </c>
      <c r="E290" s="2">
        <f>IFERROR(__xludf.DUMMYFUNCTION("""COMPUTED_VALUE"""),234.03)</f>
        <v>234.03</v>
      </c>
      <c r="F290" s="2">
        <f>IFERROR(__xludf.DUMMYFUNCTION("""COMPUTED_VALUE"""),4810315.0)</f>
        <v>4810315</v>
      </c>
    </row>
    <row r="291">
      <c r="A291" s="3">
        <f>IFERROR(__xludf.DUMMYFUNCTION("""COMPUTED_VALUE"""),45350.66666666667)</f>
        <v>45350.66667</v>
      </c>
      <c r="B291" s="2">
        <f>IFERROR(__xludf.DUMMYFUNCTION("""COMPUTED_VALUE"""),230.75)</f>
        <v>230.75</v>
      </c>
      <c r="C291" s="2">
        <f>IFERROR(__xludf.DUMMYFUNCTION("""COMPUTED_VALUE"""),233.88)</f>
        <v>233.88</v>
      </c>
      <c r="D291" s="2">
        <f>IFERROR(__xludf.DUMMYFUNCTION("""COMPUTED_VALUE"""),226.56)</f>
        <v>226.56</v>
      </c>
      <c r="E291" s="2">
        <f>IFERROR(__xludf.DUMMYFUNCTION("""COMPUTED_VALUE"""),230.0)</f>
        <v>230</v>
      </c>
      <c r="F291" s="2">
        <f>IFERROR(__xludf.DUMMYFUNCTION("""COMPUTED_VALUE"""),1.9406239E7)</f>
        <v>19406239</v>
      </c>
    </row>
    <row r="292">
      <c r="A292" s="3">
        <f>IFERROR(__xludf.DUMMYFUNCTION("""COMPUTED_VALUE"""),45351.66666666667)</f>
        <v>45351.66667</v>
      </c>
      <c r="B292" s="2">
        <f>IFERROR(__xludf.DUMMYFUNCTION("""COMPUTED_VALUE"""),181.17)</f>
        <v>181.17</v>
      </c>
      <c r="C292" s="2">
        <f>IFERROR(__xludf.DUMMYFUNCTION("""COMPUTED_VALUE"""),190.45)</f>
        <v>190.45</v>
      </c>
      <c r="D292" s="2">
        <f>IFERROR(__xludf.DUMMYFUNCTION("""COMPUTED_VALUE"""),180.68)</f>
        <v>180.68</v>
      </c>
      <c r="E292" s="2">
        <f>IFERROR(__xludf.DUMMYFUNCTION("""COMPUTED_VALUE"""),188.28)</f>
        <v>188.28</v>
      </c>
      <c r="F292" s="2">
        <f>IFERROR(__xludf.DUMMYFUNCTION("""COMPUTED_VALUE"""),4.2311351E7)</f>
        <v>42311351</v>
      </c>
    </row>
    <row r="293">
      <c r="A293" s="3">
        <f>IFERROR(__xludf.DUMMYFUNCTION("""COMPUTED_VALUE"""),45352.66666666667)</f>
        <v>45352.66667</v>
      </c>
      <c r="B293" s="2">
        <f>IFERROR(__xludf.DUMMYFUNCTION("""COMPUTED_VALUE"""),191.26)</f>
        <v>191.26</v>
      </c>
      <c r="C293" s="2">
        <f>IFERROR(__xludf.DUMMYFUNCTION("""COMPUTED_VALUE"""),194.2)</f>
        <v>194.2</v>
      </c>
      <c r="D293" s="2">
        <f>IFERROR(__xludf.DUMMYFUNCTION("""COMPUTED_VALUE"""),186.14)</f>
        <v>186.14</v>
      </c>
      <c r="E293" s="2">
        <f>IFERROR(__xludf.DUMMYFUNCTION("""COMPUTED_VALUE"""),186.72)</f>
        <v>186.72</v>
      </c>
      <c r="F293" s="2">
        <f>IFERROR(__xludf.DUMMYFUNCTION("""COMPUTED_VALUE"""),1.7265859E7)</f>
        <v>17265859</v>
      </c>
    </row>
    <row r="294">
      <c r="A294" s="3">
        <f>IFERROR(__xludf.DUMMYFUNCTION("""COMPUTED_VALUE"""),45355.66666666667)</f>
        <v>45355.66667</v>
      </c>
      <c r="B294" s="2">
        <f>IFERROR(__xludf.DUMMYFUNCTION("""COMPUTED_VALUE"""),185.89)</f>
        <v>185.89</v>
      </c>
      <c r="C294" s="2">
        <f>IFERROR(__xludf.DUMMYFUNCTION("""COMPUTED_VALUE"""),186.55)</f>
        <v>186.55</v>
      </c>
      <c r="D294" s="2">
        <f>IFERROR(__xludf.DUMMYFUNCTION("""COMPUTED_VALUE"""),175.3)</f>
        <v>175.3</v>
      </c>
      <c r="E294" s="2">
        <f>IFERROR(__xludf.DUMMYFUNCTION("""COMPUTED_VALUE"""),177.93)</f>
        <v>177.93</v>
      </c>
      <c r="F294" s="2">
        <f>IFERROR(__xludf.DUMMYFUNCTION("""COMPUTED_VALUE"""),1.6342261E7)</f>
        <v>16342261</v>
      </c>
    </row>
    <row r="295">
      <c r="A295" s="3">
        <f>IFERROR(__xludf.DUMMYFUNCTION("""COMPUTED_VALUE"""),45356.66666666667)</f>
        <v>45356.66667</v>
      </c>
      <c r="B295" s="2">
        <f>IFERROR(__xludf.DUMMYFUNCTION("""COMPUTED_VALUE"""),175.03)</f>
        <v>175.03</v>
      </c>
      <c r="C295" s="2">
        <f>IFERROR(__xludf.DUMMYFUNCTION("""COMPUTED_VALUE"""),175.33)</f>
        <v>175.33</v>
      </c>
      <c r="D295" s="2">
        <f>IFERROR(__xludf.DUMMYFUNCTION("""COMPUTED_VALUE"""),166.32)</f>
        <v>166.32</v>
      </c>
      <c r="E295" s="2">
        <f>IFERROR(__xludf.DUMMYFUNCTION("""COMPUTED_VALUE"""),167.75)</f>
        <v>167.75</v>
      </c>
      <c r="F295" s="2">
        <f>IFERROR(__xludf.DUMMYFUNCTION("""COMPUTED_VALUE"""),1.4716891E7)</f>
        <v>14716891</v>
      </c>
    </row>
    <row r="296">
      <c r="A296" s="3">
        <f>IFERROR(__xludf.DUMMYFUNCTION("""COMPUTED_VALUE"""),45357.66666666667)</f>
        <v>45357.66667</v>
      </c>
      <c r="B296" s="2">
        <f>IFERROR(__xludf.DUMMYFUNCTION("""COMPUTED_VALUE"""),170.0)</f>
        <v>170</v>
      </c>
      <c r="C296" s="2">
        <f>IFERROR(__xludf.DUMMYFUNCTION("""COMPUTED_VALUE"""),171.36)</f>
        <v>171.36</v>
      </c>
      <c r="D296" s="2">
        <f>IFERROR(__xludf.DUMMYFUNCTION("""COMPUTED_VALUE"""),163.37)</f>
        <v>163.37</v>
      </c>
      <c r="E296" s="2">
        <f>IFERROR(__xludf.DUMMYFUNCTION("""COMPUTED_VALUE"""),167.0)</f>
        <v>167</v>
      </c>
      <c r="F296" s="2">
        <f>IFERROR(__xludf.DUMMYFUNCTION("""COMPUTED_VALUE"""),1.2733359E7)</f>
        <v>12733359</v>
      </c>
    </row>
    <row r="297">
      <c r="A297" s="3">
        <f>IFERROR(__xludf.DUMMYFUNCTION("""COMPUTED_VALUE"""),45358.66666666667)</f>
        <v>45358.66667</v>
      </c>
      <c r="B297" s="2">
        <f>IFERROR(__xludf.DUMMYFUNCTION("""COMPUTED_VALUE"""),167.0)</f>
        <v>167</v>
      </c>
      <c r="C297" s="2">
        <f>IFERROR(__xludf.DUMMYFUNCTION("""COMPUTED_VALUE"""),169.16)</f>
        <v>169.16</v>
      </c>
      <c r="D297" s="2">
        <f>IFERROR(__xludf.DUMMYFUNCTION("""COMPUTED_VALUE"""),163.71)</f>
        <v>163.71</v>
      </c>
      <c r="E297" s="2">
        <f>IFERROR(__xludf.DUMMYFUNCTION("""COMPUTED_VALUE"""),168.44)</f>
        <v>168.44</v>
      </c>
      <c r="F297" s="2">
        <f>IFERROR(__xludf.DUMMYFUNCTION("""COMPUTED_VALUE"""),9049602.0)</f>
        <v>9049602</v>
      </c>
    </row>
    <row r="298">
      <c r="A298" s="3">
        <f>IFERROR(__xludf.DUMMYFUNCTION("""COMPUTED_VALUE"""),45359.66666666667)</f>
        <v>45359.66667</v>
      </c>
      <c r="B298" s="2">
        <f>IFERROR(__xludf.DUMMYFUNCTION("""COMPUTED_VALUE"""),169.29)</f>
        <v>169.29</v>
      </c>
      <c r="C298" s="2">
        <f>IFERROR(__xludf.DUMMYFUNCTION("""COMPUTED_VALUE"""),169.84)</f>
        <v>169.84</v>
      </c>
      <c r="D298" s="2">
        <f>IFERROR(__xludf.DUMMYFUNCTION("""COMPUTED_VALUE"""),161.63)</f>
        <v>161.63</v>
      </c>
      <c r="E298" s="2">
        <f>IFERROR(__xludf.DUMMYFUNCTION("""COMPUTED_VALUE"""),162.4)</f>
        <v>162.4</v>
      </c>
      <c r="F298" s="2">
        <f>IFERROR(__xludf.DUMMYFUNCTION("""COMPUTED_VALUE"""),9368999.0)</f>
        <v>9368999</v>
      </c>
    </row>
    <row r="299">
      <c r="A299" s="3">
        <f>IFERROR(__xludf.DUMMYFUNCTION("""COMPUTED_VALUE"""),45362.66666666667)</f>
        <v>45362.66667</v>
      </c>
      <c r="B299" s="2">
        <f>IFERROR(__xludf.DUMMYFUNCTION("""COMPUTED_VALUE"""),161.42)</f>
        <v>161.42</v>
      </c>
      <c r="C299" s="2">
        <f>IFERROR(__xludf.DUMMYFUNCTION("""COMPUTED_VALUE"""),162.98)</f>
        <v>162.98</v>
      </c>
      <c r="D299" s="2">
        <f>IFERROR(__xludf.DUMMYFUNCTION("""COMPUTED_VALUE"""),160.4)</f>
        <v>160.4</v>
      </c>
      <c r="E299" s="2">
        <f>IFERROR(__xludf.DUMMYFUNCTION("""COMPUTED_VALUE"""),162.29)</f>
        <v>162.29</v>
      </c>
      <c r="F299" s="2">
        <f>IFERROR(__xludf.DUMMYFUNCTION("""COMPUTED_VALUE"""),6026073.0)</f>
        <v>6026073</v>
      </c>
    </row>
    <row r="300">
      <c r="A300" s="3">
        <f>IFERROR(__xludf.DUMMYFUNCTION("""COMPUTED_VALUE"""),45363.66666666667)</f>
        <v>45363.66667</v>
      </c>
      <c r="B300" s="2">
        <f>IFERROR(__xludf.DUMMYFUNCTION("""COMPUTED_VALUE"""),162.94)</f>
        <v>162.94</v>
      </c>
      <c r="C300" s="2">
        <f>IFERROR(__xludf.DUMMYFUNCTION("""COMPUTED_VALUE"""),163.77)</f>
        <v>163.77</v>
      </c>
      <c r="D300" s="2">
        <f>IFERROR(__xludf.DUMMYFUNCTION("""COMPUTED_VALUE"""),159.7)</f>
        <v>159.7</v>
      </c>
      <c r="E300" s="2">
        <f>IFERROR(__xludf.DUMMYFUNCTION("""COMPUTED_VALUE"""),161.95)</f>
        <v>161.95</v>
      </c>
      <c r="F300" s="2">
        <f>IFERROR(__xludf.DUMMYFUNCTION("""COMPUTED_VALUE"""),7386921.0)</f>
        <v>7386921</v>
      </c>
    </row>
    <row r="301">
      <c r="A301" s="3">
        <f>IFERROR(__xludf.DUMMYFUNCTION("""COMPUTED_VALUE"""),45364.66666666667)</f>
        <v>45364.66667</v>
      </c>
      <c r="B301" s="2">
        <f>IFERROR(__xludf.DUMMYFUNCTION("""COMPUTED_VALUE"""),161.27)</f>
        <v>161.27</v>
      </c>
      <c r="C301" s="2">
        <f>IFERROR(__xludf.DUMMYFUNCTION("""COMPUTED_VALUE"""),166.84)</f>
        <v>166.84</v>
      </c>
      <c r="D301" s="2">
        <f>IFERROR(__xludf.DUMMYFUNCTION("""COMPUTED_VALUE"""),160.7)</f>
        <v>160.7</v>
      </c>
      <c r="E301" s="2">
        <f>IFERROR(__xludf.DUMMYFUNCTION("""COMPUTED_VALUE"""),162.31)</f>
        <v>162.31</v>
      </c>
      <c r="F301" s="2">
        <f>IFERROR(__xludf.DUMMYFUNCTION("""COMPUTED_VALUE"""),5866709.0)</f>
        <v>5866709</v>
      </c>
    </row>
    <row r="302">
      <c r="A302" s="3">
        <f>IFERROR(__xludf.DUMMYFUNCTION("""COMPUTED_VALUE"""),45365.66666666667)</f>
        <v>45365.66667</v>
      </c>
      <c r="B302" s="2">
        <f>IFERROR(__xludf.DUMMYFUNCTION("""COMPUTED_VALUE"""),162.02)</f>
        <v>162.02</v>
      </c>
      <c r="C302" s="2">
        <f>IFERROR(__xludf.DUMMYFUNCTION("""COMPUTED_VALUE"""),162.5)</f>
        <v>162.5</v>
      </c>
      <c r="D302" s="2">
        <f>IFERROR(__xludf.DUMMYFUNCTION("""COMPUTED_VALUE"""),157.8)</f>
        <v>157.8</v>
      </c>
      <c r="E302" s="2">
        <f>IFERROR(__xludf.DUMMYFUNCTION("""COMPUTED_VALUE"""),158.92)</f>
        <v>158.92</v>
      </c>
      <c r="F302" s="2">
        <f>IFERROR(__xludf.DUMMYFUNCTION("""COMPUTED_VALUE"""),5999111.0)</f>
        <v>5999111</v>
      </c>
    </row>
    <row r="303">
      <c r="A303" s="3">
        <f>IFERROR(__xludf.DUMMYFUNCTION("""COMPUTED_VALUE"""),45366.66666666667)</f>
        <v>45366.66667</v>
      </c>
      <c r="B303" s="2">
        <f>IFERROR(__xludf.DUMMYFUNCTION("""COMPUTED_VALUE"""),158.78)</f>
        <v>158.78</v>
      </c>
      <c r="C303" s="2">
        <f>IFERROR(__xludf.DUMMYFUNCTION("""COMPUTED_VALUE"""),160.24)</f>
        <v>160.24</v>
      </c>
      <c r="D303" s="2">
        <f>IFERROR(__xludf.DUMMYFUNCTION("""COMPUTED_VALUE"""),156.62)</f>
        <v>156.62</v>
      </c>
      <c r="E303" s="2">
        <f>IFERROR(__xludf.DUMMYFUNCTION("""COMPUTED_VALUE"""),156.97)</f>
        <v>156.97</v>
      </c>
      <c r="F303" s="2">
        <f>IFERROR(__xludf.DUMMYFUNCTION("""COMPUTED_VALUE"""),8280637.0)</f>
        <v>8280637</v>
      </c>
    </row>
    <row r="304">
      <c r="A304" s="3">
        <f>IFERROR(__xludf.DUMMYFUNCTION("""COMPUTED_VALUE"""),45369.66666666667)</f>
        <v>45369.66667</v>
      </c>
      <c r="B304" s="2">
        <f>IFERROR(__xludf.DUMMYFUNCTION("""COMPUTED_VALUE"""),157.52)</f>
        <v>157.52</v>
      </c>
      <c r="C304" s="2">
        <f>IFERROR(__xludf.DUMMYFUNCTION("""COMPUTED_VALUE"""),158.26)</f>
        <v>158.26</v>
      </c>
      <c r="D304" s="2">
        <f>IFERROR(__xludf.DUMMYFUNCTION("""COMPUTED_VALUE"""),155.55)</f>
        <v>155.55</v>
      </c>
      <c r="E304" s="2">
        <f>IFERROR(__xludf.DUMMYFUNCTION("""COMPUTED_VALUE"""),156.31)</f>
        <v>156.31</v>
      </c>
      <c r="F304" s="2">
        <f>IFERROR(__xludf.DUMMYFUNCTION("""COMPUTED_VALUE"""),7127229.0)</f>
        <v>7127229</v>
      </c>
    </row>
    <row r="305">
      <c r="A305" s="3">
        <f>IFERROR(__xludf.DUMMYFUNCTION("""COMPUTED_VALUE"""),45370.66666666667)</f>
        <v>45370.66667</v>
      </c>
      <c r="B305" s="2">
        <f>IFERROR(__xludf.DUMMYFUNCTION("""COMPUTED_VALUE"""),152.11)</f>
        <v>152.11</v>
      </c>
      <c r="C305" s="2">
        <f>IFERROR(__xludf.DUMMYFUNCTION("""COMPUTED_VALUE"""),157.84)</f>
        <v>157.84</v>
      </c>
      <c r="D305" s="2">
        <f>IFERROR(__xludf.DUMMYFUNCTION("""COMPUTED_VALUE"""),151.49)</f>
        <v>151.49</v>
      </c>
      <c r="E305" s="2">
        <f>IFERROR(__xludf.DUMMYFUNCTION("""COMPUTED_VALUE"""),157.7)</f>
        <v>157.7</v>
      </c>
      <c r="F305" s="2">
        <f>IFERROR(__xludf.DUMMYFUNCTION("""COMPUTED_VALUE"""),6644858.0)</f>
        <v>6644858</v>
      </c>
    </row>
    <row r="306">
      <c r="A306" s="3">
        <f>IFERROR(__xludf.DUMMYFUNCTION("""COMPUTED_VALUE"""),45371.66666666667)</f>
        <v>45371.66667</v>
      </c>
      <c r="B306" s="2">
        <f>IFERROR(__xludf.DUMMYFUNCTION("""COMPUTED_VALUE"""),158.05)</f>
        <v>158.05</v>
      </c>
      <c r="C306" s="2">
        <f>IFERROR(__xludf.DUMMYFUNCTION("""COMPUTED_VALUE"""),164.31)</f>
        <v>164.31</v>
      </c>
      <c r="D306" s="2">
        <f>IFERROR(__xludf.DUMMYFUNCTION("""COMPUTED_VALUE"""),158.05)</f>
        <v>158.05</v>
      </c>
      <c r="E306" s="2">
        <f>IFERROR(__xludf.DUMMYFUNCTION("""COMPUTED_VALUE"""),163.04)</f>
        <v>163.04</v>
      </c>
      <c r="F306" s="2">
        <f>IFERROR(__xludf.DUMMYFUNCTION("""COMPUTED_VALUE"""),7596629.0)</f>
        <v>7596629</v>
      </c>
    </row>
    <row r="307">
      <c r="A307" s="3">
        <f>IFERROR(__xludf.DUMMYFUNCTION("""COMPUTED_VALUE"""),45372.66666666667)</f>
        <v>45372.66667</v>
      </c>
      <c r="B307" s="2">
        <f>IFERROR(__xludf.DUMMYFUNCTION("""COMPUTED_VALUE"""),166.0)</f>
        <v>166</v>
      </c>
      <c r="C307" s="2">
        <f>IFERROR(__xludf.DUMMYFUNCTION("""COMPUTED_VALUE"""),168.68)</f>
        <v>168.68</v>
      </c>
      <c r="D307" s="2">
        <f>IFERROR(__xludf.DUMMYFUNCTION("""COMPUTED_VALUE"""),157.21)</f>
        <v>157.21</v>
      </c>
      <c r="E307" s="2">
        <f>IFERROR(__xludf.DUMMYFUNCTION("""COMPUTED_VALUE"""),158.39)</f>
        <v>158.39</v>
      </c>
      <c r="F307" s="2">
        <f>IFERROR(__xludf.DUMMYFUNCTION("""COMPUTED_VALUE"""),1.1393371E7)</f>
        <v>11393371</v>
      </c>
    </row>
    <row r="308">
      <c r="A308" s="3">
        <f>IFERROR(__xludf.DUMMYFUNCTION("""COMPUTED_VALUE"""),45373.66666666667)</f>
        <v>45373.66667</v>
      </c>
      <c r="B308" s="2">
        <f>IFERROR(__xludf.DUMMYFUNCTION("""COMPUTED_VALUE"""),158.39)</f>
        <v>158.39</v>
      </c>
      <c r="C308" s="2">
        <f>IFERROR(__xludf.DUMMYFUNCTION("""COMPUTED_VALUE"""),160.3)</f>
        <v>160.3</v>
      </c>
      <c r="D308" s="2">
        <f>IFERROR(__xludf.DUMMYFUNCTION("""COMPUTED_VALUE"""),157.0)</f>
        <v>157</v>
      </c>
      <c r="E308" s="2">
        <f>IFERROR(__xludf.DUMMYFUNCTION("""COMPUTED_VALUE"""),159.03)</f>
        <v>159.03</v>
      </c>
      <c r="F308" s="2">
        <f>IFERROR(__xludf.DUMMYFUNCTION("""COMPUTED_VALUE"""),4085102.0)</f>
        <v>4085102</v>
      </c>
    </row>
    <row r="309">
      <c r="A309" s="3">
        <f>IFERROR(__xludf.DUMMYFUNCTION("""COMPUTED_VALUE"""),45376.66666666667)</f>
        <v>45376.66667</v>
      </c>
      <c r="B309" s="2">
        <f>IFERROR(__xludf.DUMMYFUNCTION("""COMPUTED_VALUE"""),157.79)</f>
        <v>157.79</v>
      </c>
      <c r="C309" s="2">
        <f>IFERROR(__xludf.DUMMYFUNCTION("""COMPUTED_VALUE"""),159.1)</f>
        <v>159.1</v>
      </c>
      <c r="D309" s="2">
        <f>IFERROR(__xludf.DUMMYFUNCTION("""COMPUTED_VALUE"""),157.25)</f>
        <v>157.25</v>
      </c>
      <c r="E309" s="2">
        <f>IFERROR(__xludf.DUMMYFUNCTION("""COMPUTED_VALUE"""),158.14)</f>
        <v>158.14</v>
      </c>
      <c r="F309" s="2">
        <f>IFERROR(__xludf.DUMMYFUNCTION("""COMPUTED_VALUE"""),3108718.0)</f>
        <v>3108718</v>
      </c>
    </row>
    <row r="310">
      <c r="A310" s="3">
        <f>IFERROR(__xludf.DUMMYFUNCTION("""COMPUTED_VALUE"""),45377.66666666667)</f>
        <v>45377.66667</v>
      </c>
      <c r="B310" s="2">
        <f>IFERROR(__xludf.DUMMYFUNCTION("""COMPUTED_VALUE"""),159.38)</f>
        <v>159.38</v>
      </c>
      <c r="C310" s="2">
        <f>IFERROR(__xludf.DUMMYFUNCTION("""COMPUTED_VALUE"""),160.97)</f>
        <v>160.97</v>
      </c>
      <c r="D310" s="2">
        <f>IFERROR(__xludf.DUMMYFUNCTION("""COMPUTED_VALUE"""),157.64)</f>
        <v>157.64</v>
      </c>
      <c r="E310" s="2">
        <f>IFERROR(__xludf.DUMMYFUNCTION("""COMPUTED_VALUE"""),158.02)</f>
        <v>158.02</v>
      </c>
      <c r="F310" s="2">
        <f>IFERROR(__xludf.DUMMYFUNCTION("""COMPUTED_VALUE"""),4069083.0)</f>
        <v>4069083</v>
      </c>
    </row>
    <row r="311">
      <c r="A311" s="3">
        <f>IFERROR(__xludf.DUMMYFUNCTION("""COMPUTED_VALUE"""),45378.66666666667)</f>
        <v>45378.66667</v>
      </c>
      <c r="B311" s="2">
        <f>IFERROR(__xludf.DUMMYFUNCTION("""COMPUTED_VALUE"""),159.6)</f>
        <v>159.6</v>
      </c>
      <c r="C311" s="2">
        <f>IFERROR(__xludf.DUMMYFUNCTION("""COMPUTED_VALUE"""),160.63)</f>
        <v>160.63</v>
      </c>
      <c r="D311" s="2">
        <f>IFERROR(__xludf.DUMMYFUNCTION("""COMPUTED_VALUE"""),157.7)</f>
        <v>157.7</v>
      </c>
      <c r="E311" s="2">
        <f>IFERROR(__xludf.DUMMYFUNCTION("""COMPUTED_VALUE"""),160.04)</f>
        <v>160.04</v>
      </c>
      <c r="F311" s="2">
        <f>IFERROR(__xludf.DUMMYFUNCTION("""COMPUTED_VALUE"""),4698138.0)</f>
        <v>4698138</v>
      </c>
    </row>
    <row r="312">
      <c r="A312" s="3">
        <f>IFERROR(__xludf.DUMMYFUNCTION("""COMPUTED_VALUE"""),45379.66666666667)</f>
        <v>45379.66667</v>
      </c>
      <c r="B312" s="2">
        <f>IFERROR(__xludf.DUMMYFUNCTION("""COMPUTED_VALUE"""),164.02)</f>
        <v>164.02</v>
      </c>
      <c r="C312" s="2">
        <f>IFERROR(__xludf.DUMMYFUNCTION("""COMPUTED_VALUE"""),165.89)</f>
        <v>165.89</v>
      </c>
      <c r="D312" s="2">
        <f>IFERROR(__xludf.DUMMYFUNCTION("""COMPUTED_VALUE"""),161.0)</f>
        <v>161</v>
      </c>
      <c r="E312" s="2">
        <f>IFERROR(__xludf.DUMMYFUNCTION("""COMPUTED_VALUE"""),161.6)</f>
        <v>161.6</v>
      </c>
      <c r="F312" s="2">
        <f>IFERROR(__xludf.DUMMYFUNCTION("""COMPUTED_VALUE"""),1.0106906E7)</f>
        <v>10106906</v>
      </c>
    </row>
    <row r="313">
      <c r="A313" s="3">
        <f>IFERROR(__xludf.DUMMYFUNCTION("""COMPUTED_VALUE"""),45383.66666666667)</f>
        <v>45383.66667</v>
      </c>
      <c r="B313" s="2">
        <f>IFERROR(__xludf.DUMMYFUNCTION("""COMPUTED_VALUE"""),161.86)</f>
        <v>161.86</v>
      </c>
      <c r="C313" s="2">
        <f>IFERROR(__xludf.DUMMYFUNCTION("""COMPUTED_VALUE"""),163.75)</f>
        <v>163.75</v>
      </c>
      <c r="D313" s="2">
        <f>IFERROR(__xludf.DUMMYFUNCTION("""COMPUTED_VALUE"""),159.74)</f>
        <v>159.74</v>
      </c>
      <c r="E313" s="2">
        <f>IFERROR(__xludf.DUMMYFUNCTION("""COMPUTED_VALUE"""),160.52)</f>
        <v>160.52</v>
      </c>
      <c r="F313" s="2">
        <f>IFERROR(__xludf.DUMMYFUNCTION("""COMPUTED_VALUE"""),3928834.0)</f>
        <v>3928834</v>
      </c>
    </row>
    <row r="314">
      <c r="A314" s="3">
        <f>IFERROR(__xludf.DUMMYFUNCTION("""COMPUTED_VALUE"""),45384.66666666667)</f>
        <v>45384.66667</v>
      </c>
      <c r="B314" s="2">
        <f>IFERROR(__xludf.DUMMYFUNCTION("""COMPUTED_VALUE"""),157.5)</f>
        <v>157.5</v>
      </c>
      <c r="C314" s="2">
        <f>IFERROR(__xludf.DUMMYFUNCTION("""COMPUTED_VALUE"""),157.77)</f>
        <v>157.77</v>
      </c>
      <c r="D314" s="2">
        <f>IFERROR(__xludf.DUMMYFUNCTION("""COMPUTED_VALUE"""),155.07)</f>
        <v>155.07</v>
      </c>
      <c r="E314" s="2">
        <f>IFERROR(__xludf.DUMMYFUNCTION("""COMPUTED_VALUE"""),156.19)</f>
        <v>156.19</v>
      </c>
      <c r="F314" s="2">
        <f>IFERROR(__xludf.DUMMYFUNCTION("""COMPUTED_VALUE"""),5615491.0)</f>
        <v>5615491</v>
      </c>
    </row>
    <row r="315">
      <c r="A315" s="3">
        <f>IFERROR(__xludf.DUMMYFUNCTION("""COMPUTED_VALUE"""),45385.66666666667)</f>
        <v>45385.66667</v>
      </c>
      <c r="B315" s="2">
        <f>IFERROR(__xludf.DUMMYFUNCTION("""COMPUTED_VALUE"""),155.15)</f>
        <v>155.15</v>
      </c>
      <c r="C315" s="2">
        <f>IFERROR(__xludf.DUMMYFUNCTION("""COMPUTED_VALUE"""),155.3)</f>
        <v>155.3</v>
      </c>
      <c r="D315" s="2">
        <f>IFERROR(__xludf.DUMMYFUNCTION("""COMPUTED_VALUE"""),152.53)</f>
        <v>152.53</v>
      </c>
      <c r="E315" s="2">
        <f>IFERROR(__xludf.DUMMYFUNCTION("""COMPUTED_VALUE"""),153.02)</f>
        <v>153.02</v>
      </c>
      <c r="F315" s="2">
        <f>IFERROR(__xludf.DUMMYFUNCTION("""COMPUTED_VALUE"""),6147013.0)</f>
        <v>6147013</v>
      </c>
    </row>
    <row r="316">
      <c r="A316" s="3">
        <f>IFERROR(__xludf.DUMMYFUNCTION("""COMPUTED_VALUE"""),45386.66666666667)</f>
        <v>45386.66667</v>
      </c>
      <c r="B316" s="2">
        <f>IFERROR(__xludf.DUMMYFUNCTION("""COMPUTED_VALUE"""),153.11)</f>
        <v>153.11</v>
      </c>
      <c r="C316" s="2">
        <f>IFERROR(__xludf.DUMMYFUNCTION("""COMPUTED_VALUE"""),156.0)</f>
        <v>156</v>
      </c>
      <c r="D316" s="2">
        <f>IFERROR(__xludf.DUMMYFUNCTION("""COMPUTED_VALUE"""),150.62)</f>
        <v>150.62</v>
      </c>
      <c r="E316" s="2">
        <f>IFERROR(__xludf.DUMMYFUNCTION("""COMPUTED_VALUE"""),151.34)</f>
        <v>151.34</v>
      </c>
      <c r="F316" s="2">
        <f>IFERROR(__xludf.DUMMYFUNCTION("""COMPUTED_VALUE"""),6249543.0)</f>
        <v>6249543</v>
      </c>
    </row>
    <row r="317">
      <c r="A317" s="3">
        <f>IFERROR(__xludf.DUMMYFUNCTION("""COMPUTED_VALUE"""),45387.66666666667)</f>
        <v>45387.66667</v>
      </c>
      <c r="B317" s="2">
        <f>IFERROR(__xludf.DUMMYFUNCTION("""COMPUTED_VALUE"""),152.48)</f>
        <v>152.48</v>
      </c>
      <c r="C317" s="2">
        <f>IFERROR(__xludf.DUMMYFUNCTION("""COMPUTED_VALUE"""),155.55)</f>
        <v>155.55</v>
      </c>
      <c r="D317" s="2">
        <f>IFERROR(__xludf.DUMMYFUNCTION("""COMPUTED_VALUE"""),152.17)</f>
        <v>152.17</v>
      </c>
      <c r="E317" s="2">
        <f>IFERROR(__xludf.DUMMYFUNCTION("""COMPUTED_VALUE"""),153.86)</f>
        <v>153.86</v>
      </c>
      <c r="F317" s="2">
        <f>IFERROR(__xludf.DUMMYFUNCTION("""COMPUTED_VALUE"""),5120008.0)</f>
        <v>5120008</v>
      </c>
    </row>
    <row r="318">
      <c r="A318" s="3">
        <f>IFERROR(__xludf.DUMMYFUNCTION("""COMPUTED_VALUE"""),45390.66666666667)</f>
        <v>45390.66667</v>
      </c>
      <c r="B318" s="2">
        <f>IFERROR(__xludf.DUMMYFUNCTION("""COMPUTED_VALUE"""),153.86)</f>
        <v>153.86</v>
      </c>
      <c r="C318" s="2">
        <f>IFERROR(__xludf.DUMMYFUNCTION("""COMPUTED_VALUE"""),155.69)</f>
        <v>155.69</v>
      </c>
      <c r="D318" s="2">
        <f>IFERROR(__xludf.DUMMYFUNCTION("""COMPUTED_VALUE"""),151.69)</f>
        <v>151.69</v>
      </c>
      <c r="E318" s="2">
        <f>IFERROR(__xludf.DUMMYFUNCTION("""COMPUTED_VALUE"""),154.86)</f>
        <v>154.86</v>
      </c>
      <c r="F318" s="2">
        <f>IFERROR(__xludf.DUMMYFUNCTION("""COMPUTED_VALUE"""),2682723.0)</f>
        <v>2682723</v>
      </c>
    </row>
    <row r="319">
      <c r="A319" s="3">
        <f>IFERROR(__xludf.DUMMYFUNCTION("""COMPUTED_VALUE"""),45391.66666666667)</f>
        <v>45391.66667</v>
      </c>
      <c r="B319" s="2">
        <f>IFERROR(__xludf.DUMMYFUNCTION("""COMPUTED_VALUE"""),155.12)</f>
        <v>155.12</v>
      </c>
      <c r="C319" s="2">
        <f>IFERROR(__xludf.DUMMYFUNCTION("""COMPUTED_VALUE"""),156.9)</f>
        <v>156.9</v>
      </c>
      <c r="D319" s="2">
        <f>IFERROR(__xludf.DUMMYFUNCTION("""COMPUTED_VALUE"""),153.83)</f>
        <v>153.83</v>
      </c>
      <c r="E319" s="2">
        <f>IFERROR(__xludf.DUMMYFUNCTION("""COMPUTED_VALUE"""),155.58)</f>
        <v>155.58</v>
      </c>
      <c r="F319" s="2">
        <f>IFERROR(__xludf.DUMMYFUNCTION("""COMPUTED_VALUE"""),3412176.0)</f>
        <v>3412176</v>
      </c>
    </row>
    <row r="320">
      <c r="A320" s="3">
        <f>IFERROR(__xludf.DUMMYFUNCTION("""COMPUTED_VALUE"""),45392.66666666667)</f>
        <v>45392.66667</v>
      </c>
      <c r="B320" s="2">
        <f>IFERROR(__xludf.DUMMYFUNCTION("""COMPUTED_VALUE"""),151.6)</f>
        <v>151.6</v>
      </c>
      <c r="C320" s="2">
        <f>IFERROR(__xludf.DUMMYFUNCTION("""COMPUTED_VALUE"""),153.51)</f>
        <v>153.51</v>
      </c>
      <c r="D320" s="2">
        <f>IFERROR(__xludf.DUMMYFUNCTION("""COMPUTED_VALUE"""),151.55)</f>
        <v>151.55</v>
      </c>
      <c r="E320" s="2">
        <f>IFERROR(__xludf.DUMMYFUNCTION("""COMPUTED_VALUE"""),152.97)</f>
        <v>152.97</v>
      </c>
      <c r="F320" s="2">
        <f>IFERROR(__xludf.DUMMYFUNCTION("""COMPUTED_VALUE"""),3602446.0)</f>
        <v>3602446</v>
      </c>
    </row>
    <row r="321">
      <c r="A321" s="3">
        <f>IFERROR(__xludf.DUMMYFUNCTION("""COMPUTED_VALUE"""),45393.66666666667)</f>
        <v>45393.66667</v>
      </c>
      <c r="B321" s="2">
        <f>IFERROR(__xludf.DUMMYFUNCTION("""COMPUTED_VALUE"""),154.66)</f>
        <v>154.66</v>
      </c>
      <c r="C321" s="2">
        <f>IFERROR(__xludf.DUMMYFUNCTION("""COMPUTED_VALUE"""),159.92)</f>
        <v>159.92</v>
      </c>
      <c r="D321" s="2">
        <f>IFERROR(__xludf.DUMMYFUNCTION("""COMPUTED_VALUE"""),154.33)</f>
        <v>154.33</v>
      </c>
      <c r="E321" s="2">
        <f>IFERROR(__xludf.DUMMYFUNCTION("""COMPUTED_VALUE"""),159.35)</f>
        <v>159.35</v>
      </c>
      <c r="F321" s="2">
        <f>IFERROR(__xludf.DUMMYFUNCTION("""COMPUTED_VALUE"""),5737466.0)</f>
        <v>5737466</v>
      </c>
    </row>
    <row r="322">
      <c r="A322" s="3">
        <f>IFERROR(__xludf.DUMMYFUNCTION("""COMPUTED_VALUE"""),45394.66666666667)</f>
        <v>45394.66667</v>
      </c>
      <c r="B322" s="2">
        <f>IFERROR(__xludf.DUMMYFUNCTION("""COMPUTED_VALUE"""),157.1)</f>
        <v>157.1</v>
      </c>
      <c r="C322" s="2">
        <f>IFERROR(__xludf.DUMMYFUNCTION("""COMPUTED_VALUE"""),160.52)</f>
        <v>160.52</v>
      </c>
      <c r="D322" s="2">
        <f>IFERROR(__xludf.DUMMYFUNCTION("""COMPUTED_VALUE"""),156.78)</f>
        <v>156.78</v>
      </c>
      <c r="E322" s="2">
        <f>IFERROR(__xludf.DUMMYFUNCTION("""COMPUTED_VALUE"""),158.56)</f>
        <v>158.56</v>
      </c>
      <c r="F322" s="2">
        <f>IFERROR(__xludf.DUMMYFUNCTION("""COMPUTED_VALUE"""),4663615.0)</f>
        <v>4663615</v>
      </c>
    </row>
    <row r="323">
      <c r="A323" s="3">
        <f>IFERROR(__xludf.DUMMYFUNCTION("""COMPUTED_VALUE"""),45397.66666666667)</f>
        <v>45397.66667</v>
      </c>
      <c r="B323" s="2">
        <f>IFERROR(__xludf.DUMMYFUNCTION("""COMPUTED_VALUE"""),156.38)</f>
        <v>156.38</v>
      </c>
      <c r="C323" s="2">
        <f>IFERROR(__xludf.DUMMYFUNCTION("""COMPUTED_VALUE"""),157.03)</f>
        <v>157.03</v>
      </c>
      <c r="D323" s="2">
        <f>IFERROR(__xludf.DUMMYFUNCTION("""COMPUTED_VALUE"""),151.09)</f>
        <v>151.09</v>
      </c>
      <c r="E323" s="2">
        <f>IFERROR(__xludf.DUMMYFUNCTION("""COMPUTED_VALUE"""),151.98)</f>
        <v>151.98</v>
      </c>
      <c r="F323" s="2">
        <f>IFERROR(__xludf.DUMMYFUNCTION("""COMPUTED_VALUE"""),5929197.0)</f>
        <v>5929197</v>
      </c>
    </row>
    <row r="324">
      <c r="A324" s="3">
        <f>IFERROR(__xludf.DUMMYFUNCTION("""COMPUTED_VALUE"""),45398.66666666667)</f>
        <v>45398.66667</v>
      </c>
      <c r="B324" s="2">
        <f>IFERROR(__xludf.DUMMYFUNCTION("""COMPUTED_VALUE"""),151.51)</f>
        <v>151.51</v>
      </c>
      <c r="C324" s="2">
        <f>IFERROR(__xludf.DUMMYFUNCTION("""COMPUTED_VALUE"""),152.07)</f>
        <v>152.07</v>
      </c>
      <c r="D324" s="2">
        <f>IFERROR(__xludf.DUMMYFUNCTION("""COMPUTED_VALUE"""),149.11)</f>
        <v>149.11</v>
      </c>
      <c r="E324" s="2">
        <f>IFERROR(__xludf.DUMMYFUNCTION("""COMPUTED_VALUE"""),150.3)</f>
        <v>150.3</v>
      </c>
      <c r="F324" s="2">
        <f>IFERROR(__xludf.DUMMYFUNCTION("""COMPUTED_VALUE"""),4705665.0)</f>
        <v>4705665</v>
      </c>
    </row>
    <row r="325">
      <c r="A325" s="3">
        <f>IFERROR(__xludf.DUMMYFUNCTION("""COMPUTED_VALUE"""),45399.66666666667)</f>
        <v>45399.66667</v>
      </c>
      <c r="B325" s="2">
        <f>IFERROR(__xludf.DUMMYFUNCTION("""COMPUTED_VALUE"""),151.04)</f>
        <v>151.04</v>
      </c>
      <c r="C325" s="2">
        <f>IFERROR(__xludf.DUMMYFUNCTION("""COMPUTED_VALUE"""),152.44)</f>
        <v>152.44</v>
      </c>
      <c r="D325" s="2">
        <f>IFERROR(__xludf.DUMMYFUNCTION("""COMPUTED_VALUE"""),148.77)</f>
        <v>148.77</v>
      </c>
      <c r="E325" s="2">
        <f>IFERROR(__xludf.DUMMYFUNCTION("""COMPUTED_VALUE"""),148.8)</f>
        <v>148.8</v>
      </c>
      <c r="F325" s="2">
        <f>IFERROR(__xludf.DUMMYFUNCTION("""COMPUTED_VALUE"""),3767066.0)</f>
        <v>3767066</v>
      </c>
    </row>
    <row r="326">
      <c r="A326" s="3">
        <f>IFERROR(__xludf.DUMMYFUNCTION("""COMPUTED_VALUE"""),45400.66666666667)</f>
        <v>45400.66667</v>
      </c>
      <c r="B326" s="2">
        <f>IFERROR(__xludf.DUMMYFUNCTION("""COMPUTED_VALUE"""),148.67)</f>
        <v>148.67</v>
      </c>
      <c r="C326" s="2">
        <f>IFERROR(__xludf.DUMMYFUNCTION("""COMPUTED_VALUE"""),150.9)</f>
        <v>150.9</v>
      </c>
      <c r="D326" s="2">
        <f>IFERROR(__xludf.DUMMYFUNCTION("""COMPUTED_VALUE"""),147.64)</f>
        <v>147.64</v>
      </c>
      <c r="E326" s="2">
        <f>IFERROR(__xludf.DUMMYFUNCTION("""COMPUTED_VALUE"""),148.41)</f>
        <v>148.41</v>
      </c>
      <c r="F326" s="2">
        <f>IFERROR(__xludf.DUMMYFUNCTION("""COMPUTED_VALUE"""),3795534.0)</f>
        <v>3795534</v>
      </c>
    </row>
    <row r="327">
      <c r="A327" s="3">
        <f>IFERROR(__xludf.DUMMYFUNCTION("""COMPUTED_VALUE"""),45401.66666666667)</f>
        <v>45401.66667</v>
      </c>
      <c r="B327" s="2">
        <f>IFERROR(__xludf.DUMMYFUNCTION("""COMPUTED_VALUE"""),147.66)</f>
        <v>147.66</v>
      </c>
      <c r="C327" s="2">
        <f>IFERROR(__xludf.DUMMYFUNCTION("""COMPUTED_VALUE"""),150.09)</f>
        <v>150.09</v>
      </c>
      <c r="D327" s="2">
        <f>IFERROR(__xludf.DUMMYFUNCTION("""COMPUTED_VALUE"""),144.55)</f>
        <v>144.55</v>
      </c>
      <c r="E327" s="2">
        <f>IFERROR(__xludf.DUMMYFUNCTION("""COMPUTED_VALUE"""),145.45)</f>
        <v>145.45</v>
      </c>
      <c r="F327" s="2">
        <f>IFERROR(__xludf.DUMMYFUNCTION("""COMPUTED_VALUE"""),4974560.0)</f>
        <v>4974560</v>
      </c>
    </row>
    <row r="328">
      <c r="A328" s="3">
        <f>IFERROR(__xludf.DUMMYFUNCTION("""COMPUTED_VALUE"""),45404.66666666667)</f>
        <v>45404.66667</v>
      </c>
      <c r="B328" s="2">
        <f>IFERROR(__xludf.DUMMYFUNCTION("""COMPUTED_VALUE"""),145.45)</f>
        <v>145.45</v>
      </c>
      <c r="C328" s="2">
        <f>IFERROR(__xludf.DUMMYFUNCTION("""COMPUTED_VALUE"""),148.4)</f>
        <v>148.4</v>
      </c>
      <c r="D328" s="2">
        <f>IFERROR(__xludf.DUMMYFUNCTION("""COMPUTED_VALUE"""),144.32)</f>
        <v>144.32</v>
      </c>
      <c r="E328" s="2">
        <f>IFERROR(__xludf.DUMMYFUNCTION("""COMPUTED_VALUE"""),147.21)</f>
        <v>147.21</v>
      </c>
      <c r="F328" s="2">
        <f>IFERROR(__xludf.DUMMYFUNCTION("""COMPUTED_VALUE"""),3736481.0)</f>
        <v>3736481</v>
      </c>
    </row>
    <row r="329">
      <c r="A329" s="3">
        <f>IFERROR(__xludf.DUMMYFUNCTION("""COMPUTED_VALUE"""),45405.66666666667)</f>
        <v>45405.66667</v>
      </c>
      <c r="B329" s="2">
        <f>IFERROR(__xludf.DUMMYFUNCTION("""COMPUTED_VALUE"""),148.93)</f>
        <v>148.93</v>
      </c>
      <c r="C329" s="2">
        <f>IFERROR(__xludf.DUMMYFUNCTION("""COMPUTED_VALUE"""),152.08)</f>
        <v>152.08</v>
      </c>
      <c r="D329" s="2">
        <f>IFERROR(__xludf.DUMMYFUNCTION("""COMPUTED_VALUE"""),148.8)</f>
        <v>148.8</v>
      </c>
      <c r="E329" s="2">
        <f>IFERROR(__xludf.DUMMYFUNCTION("""COMPUTED_VALUE"""),151.17)</f>
        <v>151.17</v>
      </c>
      <c r="F329" s="2">
        <f>IFERROR(__xludf.DUMMYFUNCTION("""COMPUTED_VALUE"""),4826509.0)</f>
        <v>4826509</v>
      </c>
    </row>
    <row r="330">
      <c r="A330" s="3">
        <f>IFERROR(__xludf.DUMMYFUNCTION("""COMPUTED_VALUE"""),45406.66666666667)</f>
        <v>45406.66667</v>
      </c>
      <c r="B330" s="2">
        <f>IFERROR(__xludf.DUMMYFUNCTION("""COMPUTED_VALUE"""),153.0)</f>
        <v>153</v>
      </c>
      <c r="C330" s="2">
        <f>IFERROR(__xludf.DUMMYFUNCTION("""COMPUTED_VALUE"""),155.08)</f>
        <v>155.08</v>
      </c>
      <c r="D330" s="2">
        <f>IFERROR(__xludf.DUMMYFUNCTION("""COMPUTED_VALUE"""),152.03)</f>
        <v>152.03</v>
      </c>
      <c r="E330" s="2">
        <f>IFERROR(__xludf.DUMMYFUNCTION("""COMPUTED_VALUE"""),154.99)</f>
        <v>154.99</v>
      </c>
      <c r="F330" s="2">
        <f>IFERROR(__xludf.DUMMYFUNCTION("""COMPUTED_VALUE"""),3972698.0)</f>
        <v>3972698</v>
      </c>
    </row>
    <row r="331">
      <c r="A331" s="3">
        <f>IFERROR(__xludf.DUMMYFUNCTION("""COMPUTED_VALUE"""),45407.66666666667)</f>
        <v>45407.66667</v>
      </c>
      <c r="B331" s="2">
        <f>IFERROR(__xludf.DUMMYFUNCTION("""COMPUTED_VALUE"""),152.59)</f>
        <v>152.59</v>
      </c>
      <c r="C331" s="2">
        <f>IFERROR(__xludf.DUMMYFUNCTION("""COMPUTED_VALUE"""),153.82)</f>
        <v>153.82</v>
      </c>
      <c r="D331" s="2">
        <f>IFERROR(__xludf.DUMMYFUNCTION("""COMPUTED_VALUE"""),149.55)</f>
        <v>149.55</v>
      </c>
      <c r="E331" s="2">
        <f>IFERROR(__xludf.DUMMYFUNCTION("""COMPUTED_VALUE"""),152.5)</f>
        <v>152.5</v>
      </c>
      <c r="F331" s="2">
        <f>IFERROR(__xludf.DUMMYFUNCTION("""COMPUTED_VALUE"""),3965032.0)</f>
        <v>3965032</v>
      </c>
    </row>
    <row r="332">
      <c r="A332" s="3">
        <f>IFERROR(__xludf.DUMMYFUNCTION("""COMPUTED_VALUE"""),45408.66666666667)</f>
        <v>45408.66667</v>
      </c>
      <c r="B332" s="2">
        <f>IFERROR(__xludf.DUMMYFUNCTION("""COMPUTED_VALUE"""),159.76)</f>
        <v>159.76</v>
      </c>
      <c r="C332" s="2">
        <f>IFERROR(__xludf.DUMMYFUNCTION("""COMPUTED_VALUE"""),160.29)</f>
        <v>160.29</v>
      </c>
      <c r="D332" s="2">
        <f>IFERROR(__xludf.DUMMYFUNCTION("""COMPUTED_VALUE"""),155.8)</f>
        <v>155.8</v>
      </c>
      <c r="E332" s="2">
        <f>IFERROR(__xludf.DUMMYFUNCTION("""COMPUTED_VALUE"""),158.13)</f>
        <v>158.13</v>
      </c>
      <c r="F332" s="2">
        <f>IFERROR(__xludf.DUMMYFUNCTION("""COMPUTED_VALUE"""),6533260.0)</f>
        <v>6533260</v>
      </c>
    </row>
    <row r="333">
      <c r="A333" s="3">
        <f>IFERROR(__xludf.DUMMYFUNCTION("""COMPUTED_VALUE"""),45411.66666666667)</f>
        <v>45411.66667</v>
      </c>
      <c r="B333" s="2">
        <f>IFERROR(__xludf.DUMMYFUNCTION("""COMPUTED_VALUE"""),158.7)</f>
        <v>158.7</v>
      </c>
      <c r="C333" s="2">
        <f>IFERROR(__xludf.DUMMYFUNCTION("""COMPUTED_VALUE"""),159.61)</f>
        <v>159.61</v>
      </c>
      <c r="D333" s="2">
        <f>IFERROR(__xludf.DUMMYFUNCTION("""COMPUTED_VALUE"""),156.24)</f>
        <v>156.24</v>
      </c>
      <c r="E333" s="2">
        <f>IFERROR(__xludf.DUMMYFUNCTION("""COMPUTED_VALUE"""),157.44)</f>
        <v>157.44</v>
      </c>
      <c r="F333" s="2">
        <f>IFERROR(__xludf.DUMMYFUNCTION("""COMPUTED_VALUE"""),5168711.0)</f>
        <v>5168711</v>
      </c>
    </row>
    <row r="334">
      <c r="A334" s="3">
        <f>IFERROR(__xludf.DUMMYFUNCTION("""COMPUTED_VALUE"""),45412.66666666667)</f>
        <v>45412.66667</v>
      </c>
      <c r="B334" s="2">
        <f>IFERROR(__xludf.DUMMYFUNCTION("""COMPUTED_VALUE"""),156.13)</f>
        <v>156.13</v>
      </c>
      <c r="C334" s="2">
        <f>IFERROR(__xludf.DUMMYFUNCTION("""COMPUTED_VALUE"""),158.58)</f>
        <v>158.58</v>
      </c>
      <c r="D334" s="2">
        <f>IFERROR(__xludf.DUMMYFUNCTION("""COMPUTED_VALUE"""),155.0)</f>
        <v>155</v>
      </c>
      <c r="E334" s="2">
        <f>IFERROR(__xludf.DUMMYFUNCTION("""COMPUTED_VALUE"""),155.2)</f>
        <v>155.2</v>
      </c>
      <c r="F334" s="2">
        <f>IFERROR(__xludf.DUMMYFUNCTION("""COMPUTED_VALUE"""),4016193.0)</f>
        <v>4016193</v>
      </c>
    </row>
    <row r="335">
      <c r="A335" s="3">
        <f>IFERROR(__xludf.DUMMYFUNCTION("""COMPUTED_VALUE"""),45413.66666666667)</f>
        <v>45413.66667</v>
      </c>
      <c r="B335" s="2">
        <f>IFERROR(__xludf.DUMMYFUNCTION("""COMPUTED_VALUE"""),158.14)</f>
        <v>158.14</v>
      </c>
      <c r="C335" s="2">
        <f>IFERROR(__xludf.DUMMYFUNCTION("""COMPUTED_VALUE"""),160.3)</f>
        <v>160.3</v>
      </c>
      <c r="D335" s="2">
        <f>IFERROR(__xludf.DUMMYFUNCTION("""COMPUTED_VALUE"""),154.18)</f>
        <v>154.18</v>
      </c>
      <c r="E335" s="2">
        <f>IFERROR(__xludf.DUMMYFUNCTION("""COMPUTED_VALUE"""),156.14)</f>
        <v>156.14</v>
      </c>
      <c r="F335" s="2">
        <f>IFERROR(__xludf.DUMMYFUNCTION("""COMPUTED_VALUE"""),3423066.0)</f>
        <v>3423066</v>
      </c>
    </row>
    <row r="336">
      <c r="A336" s="3">
        <f>IFERROR(__xludf.DUMMYFUNCTION("""COMPUTED_VALUE"""),45414.66666666667)</f>
        <v>45414.66667</v>
      </c>
      <c r="B336" s="2">
        <f>IFERROR(__xludf.DUMMYFUNCTION("""COMPUTED_VALUE"""),158.01)</f>
        <v>158.01</v>
      </c>
      <c r="C336" s="2">
        <f>IFERROR(__xludf.DUMMYFUNCTION("""COMPUTED_VALUE"""),159.39)</f>
        <v>159.39</v>
      </c>
      <c r="D336" s="2">
        <f>IFERROR(__xludf.DUMMYFUNCTION("""COMPUTED_VALUE"""),154.29)</f>
        <v>154.29</v>
      </c>
      <c r="E336" s="2">
        <f>IFERROR(__xludf.DUMMYFUNCTION("""COMPUTED_VALUE"""),157.77)</f>
        <v>157.77</v>
      </c>
      <c r="F336" s="2">
        <f>IFERROR(__xludf.DUMMYFUNCTION("""COMPUTED_VALUE"""),2671605.0)</f>
        <v>2671605</v>
      </c>
    </row>
    <row r="337">
      <c r="A337" s="3">
        <f>IFERROR(__xludf.DUMMYFUNCTION("""COMPUTED_VALUE"""),45415.66666666667)</f>
        <v>45415.66667</v>
      </c>
      <c r="B337" s="2">
        <f>IFERROR(__xludf.DUMMYFUNCTION("""COMPUTED_VALUE"""),161.0)</f>
        <v>161</v>
      </c>
      <c r="C337" s="2">
        <f>IFERROR(__xludf.DUMMYFUNCTION("""COMPUTED_VALUE"""),161.38)</f>
        <v>161.38</v>
      </c>
      <c r="D337" s="2">
        <f>IFERROR(__xludf.DUMMYFUNCTION("""COMPUTED_VALUE"""),157.69)</f>
        <v>157.69</v>
      </c>
      <c r="E337" s="2">
        <f>IFERROR(__xludf.DUMMYFUNCTION("""COMPUTED_VALUE"""),159.32)</f>
        <v>159.32</v>
      </c>
      <c r="F337" s="2">
        <f>IFERROR(__xludf.DUMMYFUNCTION("""COMPUTED_VALUE"""),3660233.0)</f>
        <v>3660233</v>
      </c>
    </row>
    <row r="338">
      <c r="A338" s="3">
        <f>IFERROR(__xludf.DUMMYFUNCTION("""COMPUTED_VALUE"""),45418.66666666667)</f>
        <v>45418.66667</v>
      </c>
      <c r="B338" s="2">
        <f>IFERROR(__xludf.DUMMYFUNCTION("""COMPUTED_VALUE"""),160.11)</f>
        <v>160.11</v>
      </c>
      <c r="C338" s="2">
        <f>IFERROR(__xludf.DUMMYFUNCTION("""COMPUTED_VALUE"""),163.88)</f>
        <v>163.88</v>
      </c>
      <c r="D338" s="2">
        <f>IFERROR(__xludf.DUMMYFUNCTION("""COMPUTED_VALUE"""),159.38)</f>
        <v>159.38</v>
      </c>
      <c r="E338" s="2">
        <f>IFERROR(__xludf.DUMMYFUNCTION("""COMPUTED_VALUE"""),163.68)</f>
        <v>163.68</v>
      </c>
      <c r="F338" s="2">
        <f>IFERROR(__xludf.DUMMYFUNCTION("""COMPUTED_VALUE"""),3198506.0)</f>
        <v>3198506</v>
      </c>
    </row>
    <row r="339">
      <c r="A339" s="3">
        <f>IFERROR(__xludf.DUMMYFUNCTION("""COMPUTED_VALUE"""),45419.66666666667)</f>
        <v>45419.66667</v>
      </c>
      <c r="B339" s="2">
        <f>IFERROR(__xludf.DUMMYFUNCTION("""COMPUTED_VALUE"""),160.22)</f>
        <v>160.22</v>
      </c>
      <c r="C339" s="2">
        <f>IFERROR(__xludf.DUMMYFUNCTION("""COMPUTED_VALUE"""),160.92)</f>
        <v>160.92</v>
      </c>
      <c r="D339" s="2">
        <f>IFERROR(__xludf.DUMMYFUNCTION("""COMPUTED_VALUE"""),158.27)</f>
        <v>158.27</v>
      </c>
      <c r="E339" s="2">
        <f>IFERROR(__xludf.DUMMYFUNCTION("""COMPUTED_VALUE"""),159.09)</f>
        <v>159.09</v>
      </c>
      <c r="F339" s="2">
        <f>IFERROR(__xludf.DUMMYFUNCTION("""COMPUTED_VALUE"""),4569262.0)</f>
        <v>4569262</v>
      </c>
    </row>
    <row r="340">
      <c r="A340" s="3">
        <f>IFERROR(__xludf.DUMMYFUNCTION("""COMPUTED_VALUE"""),45420.66666666667)</f>
        <v>45420.66667</v>
      </c>
      <c r="B340" s="2">
        <f>IFERROR(__xludf.DUMMYFUNCTION("""COMPUTED_VALUE"""),158.1)</f>
        <v>158.1</v>
      </c>
      <c r="C340" s="2">
        <f>IFERROR(__xludf.DUMMYFUNCTION("""COMPUTED_VALUE"""),159.64)</f>
        <v>159.64</v>
      </c>
      <c r="D340" s="2">
        <f>IFERROR(__xludf.DUMMYFUNCTION("""COMPUTED_VALUE"""),157.0)</f>
        <v>157</v>
      </c>
      <c r="E340" s="2">
        <f>IFERROR(__xludf.DUMMYFUNCTION("""COMPUTED_VALUE"""),157.78)</f>
        <v>157.78</v>
      </c>
      <c r="F340" s="2">
        <f>IFERROR(__xludf.DUMMYFUNCTION("""COMPUTED_VALUE"""),2632188.0)</f>
        <v>2632188</v>
      </c>
    </row>
    <row r="341">
      <c r="A341" s="3">
        <f>IFERROR(__xludf.DUMMYFUNCTION("""COMPUTED_VALUE"""),45421.66666666667)</f>
        <v>45421.66667</v>
      </c>
      <c r="B341" s="2">
        <f>IFERROR(__xludf.DUMMYFUNCTION("""COMPUTED_VALUE"""),157.86)</f>
        <v>157.86</v>
      </c>
      <c r="C341" s="2">
        <f>IFERROR(__xludf.DUMMYFUNCTION("""COMPUTED_VALUE"""),158.17)</f>
        <v>158.17</v>
      </c>
      <c r="D341" s="2">
        <f>IFERROR(__xludf.DUMMYFUNCTION("""COMPUTED_VALUE"""),155.77)</f>
        <v>155.77</v>
      </c>
      <c r="E341" s="2">
        <f>IFERROR(__xludf.DUMMYFUNCTION("""COMPUTED_VALUE"""),155.87)</f>
        <v>155.87</v>
      </c>
      <c r="F341" s="2">
        <f>IFERROR(__xludf.DUMMYFUNCTION("""COMPUTED_VALUE"""),2560789.0)</f>
        <v>2560789</v>
      </c>
    </row>
    <row r="342">
      <c r="A342" s="3">
        <f>IFERROR(__xludf.DUMMYFUNCTION("""COMPUTED_VALUE"""),45422.66666666667)</f>
        <v>45422.66667</v>
      </c>
      <c r="B342" s="2">
        <f>IFERROR(__xludf.DUMMYFUNCTION("""COMPUTED_VALUE"""),157.1)</f>
        <v>157.1</v>
      </c>
      <c r="C342" s="2">
        <f>IFERROR(__xludf.DUMMYFUNCTION("""COMPUTED_VALUE"""),158.12)</f>
        <v>158.12</v>
      </c>
      <c r="D342" s="2">
        <f>IFERROR(__xludf.DUMMYFUNCTION("""COMPUTED_VALUE"""),155.42)</f>
        <v>155.42</v>
      </c>
      <c r="E342" s="2">
        <f>IFERROR(__xludf.DUMMYFUNCTION("""COMPUTED_VALUE"""),157.15)</f>
        <v>157.15</v>
      </c>
      <c r="F342" s="2">
        <f>IFERROR(__xludf.DUMMYFUNCTION("""COMPUTED_VALUE"""),2443791.0)</f>
        <v>2443791</v>
      </c>
    </row>
    <row r="343">
      <c r="A343" s="3">
        <f>IFERROR(__xludf.DUMMYFUNCTION("""COMPUTED_VALUE"""),45425.66666666667)</f>
        <v>45425.66667</v>
      </c>
      <c r="B343" s="2">
        <f>IFERROR(__xludf.DUMMYFUNCTION("""COMPUTED_VALUE"""),158.05)</f>
        <v>158.05</v>
      </c>
      <c r="C343" s="2">
        <f>IFERROR(__xludf.DUMMYFUNCTION("""COMPUTED_VALUE"""),161.38)</f>
        <v>161.38</v>
      </c>
      <c r="D343" s="2">
        <f>IFERROR(__xludf.DUMMYFUNCTION("""COMPUTED_VALUE"""),157.51)</f>
        <v>157.51</v>
      </c>
      <c r="E343" s="2">
        <f>IFERROR(__xludf.DUMMYFUNCTION("""COMPUTED_VALUE"""),159.79)</f>
        <v>159.79</v>
      </c>
      <c r="F343" s="2">
        <f>IFERROR(__xludf.DUMMYFUNCTION("""COMPUTED_VALUE"""),3180658.0)</f>
        <v>3180658</v>
      </c>
    </row>
    <row r="344">
      <c r="A344" s="3">
        <f>IFERROR(__xludf.DUMMYFUNCTION("""COMPUTED_VALUE"""),45426.66666666667)</f>
        <v>45426.66667</v>
      </c>
      <c r="B344" s="2">
        <f>IFERROR(__xludf.DUMMYFUNCTION("""COMPUTED_VALUE"""),161.0)</f>
        <v>161</v>
      </c>
      <c r="C344" s="2">
        <f>IFERROR(__xludf.DUMMYFUNCTION("""COMPUTED_VALUE"""),162.25)</f>
        <v>162.25</v>
      </c>
      <c r="D344" s="2">
        <f>IFERROR(__xludf.DUMMYFUNCTION("""COMPUTED_VALUE"""),159.35)</f>
        <v>159.35</v>
      </c>
      <c r="E344" s="2">
        <f>IFERROR(__xludf.DUMMYFUNCTION("""COMPUTED_VALUE"""),160.95)</f>
        <v>160.95</v>
      </c>
      <c r="F344" s="2">
        <f>IFERROR(__xludf.DUMMYFUNCTION("""COMPUTED_VALUE"""),2831068.0)</f>
        <v>2831068</v>
      </c>
    </row>
    <row r="345">
      <c r="A345" s="3">
        <f>IFERROR(__xludf.DUMMYFUNCTION("""COMPUTED_VALUE"""),45427.66666666667)</f>
        <v>45427.66667</v>
      </c>
      <c r="B345" s="2">
        <f>IFERROR(__xludf.DUMMYFUNCTION("""COMPUTED_VALUE"""),163.0)</f>
        <v>163</v>
      </c>
      <c r="C345" s="2">
        <f>IFERROR(__xludf.DUMMYFUNCTION("""COMPUTED_VALUE"""),164.86)</f>
        <v>164.86</v>
      </c>
      <c r="D345" s="2">
        <f>IFERROR(__xludf.DUMMYFUNCTION("""COMPUTED_VALUE"""),158.85)</f>
        <v>158.85</v>
      </c>
      <c r="E345" s="2">
        <f>IFERROR(__xludf.DUMMYFUNCTION("""COMPUTED_VALUE"""),164.37)</f>
        <v>164.37</v>
      </c>
      <c r="F345" s="2">
        <f>IFERROR(__xludf.DUMMYFUNCTION("""COMPUTED_VALUE"""),4147204.0)</f>
        <v>4147204</v>
      </c>
    </row>
    <row r="346">
      <c r="A346" s="3">
        <f>IFERROR(__xludf.DUMMYFUNCTION("""COMPUTED_VALUE"""),45428.66666666667)</f>
        <v>45428.66667</v>
      </c>
      <c r="B346" s="2">
        <f>IFERROR(__xludf.DUMMYFUNCTION("""COMPUTED_VALUE"""),163.87)</f>
        <v>163.87</v>
      </c>
      <c r="C346" s="2">
        <f>IFERROR(__xludf.DUMMYFUNCTION("""COMPUTED_VALUE"""),165.88)</f>
        <v>165.88</v>
      </c>
      <c r="D346" s="2">
        <f>IFERROR(__xludf.DUMMYFUNCTION("""COMPUTED_VALUE"""),163.19)</f>
        <v>163.19</v>
      </c>
      <c r="E346" s="2">
        <f>IFERROR(__xludf.DUMMYFUNCTION("""COMPUTED_VALUE"""),165.04)</f>
        <v>165.04</v>
      </c>
      <c r="F346" s="2">
        <f>IFERROR(__xludf.DUMMYFUNCTION("""COMPUTED_VALUE"""),3021504.0)</f>
        <v>3021504</v>
      </c>
    </row>
    <row r="347">
      <c r="A347" s="3">
        <f>IFERROR(__xludf.DUMMYFUNCTION("""COMPUTED_VALUE"""),45429.66666666667)</f>
        <v>45429.66667</v>
      </c>
      <c r="B347" s="2">
        <f>IFERROR(__xludf.DUMMYFUNCTION("""COMPUTED_VALUE"""),163.72)</f>
        <v>163.72</v>
      </c>
      <c r="C347" s="2">
        <f>IFERROR(__xludf.DUMMYFUNCTION("""COMPUTED_VALUE"""),164.42)</f>
        <v>164.42</v>
      </c>
      <c r="D347" s="2">
        <f>IFERROR(__xludf.DUMMYFUNCTION("""COMPUTED_VALUE"""),161.13)</f>
        <v>161.13</v>
      </c>
      <c r="E347" s="2">
        <f>IFERROR(__xludf.DUMMYFUNCTION("""COMPUTED_VALUE"""),161.86)</f>
        <v>161.86</v>
      </c>
      <c r="F347" s="2">
        <f>IFERROR(__xludf.DUMMYFUNCTION("""COMPUTED_VALUE"""),3625310.0)</f>
        <v>3625310</v>
      </c>
    </row>
    <row r="348">
      <c r="A348" s="3">
        <f>IFERROR(__xludf.DUMMYFUNCTION("""COMPUTED_VALUE"""),45432.66666666667)</f>
        <v>45432.66667</v>
      </c>
      <c r="B348" s="2">
        <f>IFERROR(__xludf.DUMMYFUNCTION("""COMPUTED_VALUE"""),163.08)</f>
        <v>163.08</v>
      </c>
      <c r="C348" s="2">
        <f>IFERROR(__xludf.DUMMYFUNCTION("""COMPUTED_VALUE"""),165.35)</f>
        <v>165.35</v>
      </c>
      <c r="D348" s="2">
        <f>IFERROR(__xludf.DUMMYFUNCTION("""COMPUTED_VALUE"""),162.54)</f>
        <v>162.54</v>
      </c>
      <c r="E348" s="2">
        <f>IFERROR(__xludf.DUMMYFUNCTION("""COMPUTED_VALUE"""),164.78)</f>
        <v>164.78</v>
      </c>
      <c r="F348" s="2">
        <f>IFERROR(__xludf.DUMMYFUNCTION("""COMPUTED_VALUE"""),3545117.0)</f>
        <v>3545117</v>
      </c>
    </row>
    <row r="349">
      <c r="A349" s="3">
        <f>IFERROR(__xludf.DUMMYFUNCTION("""COMPUTED_VALUE"""),45433.66666666667)</f>
        <v>45433.66667</v>
      </c>
      <c r="B349" s="2">
        <f>IFERROR(__xludf.DUMMYFUNCTION("""COMPUTED_VALUE"""),163.78)</f>
        <v>163.78</v>
      </c>
      <c r="C349" s="2">
        <f>IFERROR(__xludf.DUMMYFUNCTION("""COMPUTED_VALUE"""),164.33)</f>
        <v>164.33</v>
      </c>
      <c r="D349" s="2">
        <f>IFERROR(__xludf.DUMMYFUNCTION("""COMPUTED_VALUE"""),161.39)</f>
        <v>161.39</v>
      </c>
      <c r="E349" s="2">
        <f>IFERROR(__xludf.DUMMYFUNCTION("""COMPUTED_VALUE"""),162.71)</f>
        <v>162.71</v>
      </c>
      <c r="F349" s="2">
        <f>IFERROR(__xludf.DUMMYFUNCTION("""COMPUTED_VALUE"""),4051344.0)</f>
        <v>4051344</v>
      </c>
    </row>
    <row r="350">
      <c r="A350" s="3">
        <f>IFERROR(__xludf.DUMMYFUNCTION("""COMPUTED_VALUE"""),45434.66666666667)</f>
        <v>45434.66667</v>
      </c>
      <c r="B350" s="2">
        <f>IFERROR(__xludf.DUMMYFUNCTION("""COMPUTED_VALUE"""),163.06)</f>
        <v>163.06</v>
      </c>
      <c r="C350" s="2">
        <f>IFERROR(__xludf.DUMMYFUNCTION("""COMPUTED_VALUE"""),164.84)</f>
        <v>164.84</v>
      </c>
      <c r="D350" s="2">
        <f>IFERROR(__xludf.DUMMYFUNCTION("""COMPUTED_VALUE"""),162.13)</f>
        <v>162.13</v>
      </c>
      <c r="E350" s="2">
        <f>IFERROR(__xludf.DUMMYFUNCTION("""COMPUTED_VALUE"""),163.34)</f>
        <v>163.34</v>
      </c>
      <c r="F350" s="2">
        <f>IFERROR(__xludf.DUMMYFUNCTION("""COMPUTED_VALUE"""),9912492.0)</f>
        <v>9912492</v>
      </c>
    </row>
    <row r="351">
      <c r="A351" s="3">
        <f>IFERROR(__xludf.DUMMYFUNCTION("""COMPUTED_VALUE"""),45435.66666666667)</f>
        <v>45435.66667</v>
      </c>
      <c r="B351" s="2">
        <f>IFERROR(__xludf.DUMMYFUNCTION("""COMPUTED_VALUE"""),168.25)</f>
        <v>168.25</v>
      </c>
      <c r="C351" s="2">
        <f>IFERROR(__xludf.DUMMYFUNCTION("""COMPUTED_VALUE"""),168.8)</f>
        <v>168.8</v>
      </c>
      <c r="D351" s="2">
        <f>IFERROR(__xludf.DUMMYFUNCTION("""COMPUTED_VALUE"""),152.35)</f>
        <v>152.35</v>
      </c>
      <c r="E351" s="2">
        <f>IFERROR(__xludf.DUMMYFUNCTION("""COMPUTED_VALUE"""),154.58)</f>
        <v>154.58</v>
      </c>
      <c r="F351" s="2">
        <f>IFERROR(__xludf.DUMMYFUNCTION("""COMPUTED_VALUE"""),1.9511068E7)</f>
        <v>19511068</v>
      </c>
    </row>
    <row r="352">
      <c r="A352" s="3">
        <f>IFERROR(__xludf.DUMMYFUNCTION("""COMPUTED_VALUE"""),45436.66666666667)</f>
        <v>45436.66667</v>
      </c>
      <c r="B352" s="2">
        <f>IFERROR(__xludf.DUMMYFUNCTION("""COMPUTED_VALUE"""),155.36)</f>
        <v>155.36</v>
      </c>
      <c r="C352" s="2">
        <f>IFERROR(__xludf.DUMMYFUNCTION("""COMPUTED_VALUE"""),159.0)</f>
        <v>159</v>
      </c>
      <c r="D352" s="2">
        <f>IFERROR(__xludf.DUMMYFUNCTION("""COMPUTED_VALUE"""),154.11)</f>
        <v>154.11</v>
      </c>
      <c r="E352" s="2">
        <f>IFERROR(__xludf.DUMMYFUNCTION("""COMPUTED_VALUE"""),156.16)</f>
        <v>156.16</v>
      </c>
      <c r="F352" s="2">
        <f>IFERROR(__xludf.DUMMYFUNCTION("""COMPUTED_VALUE"""),6026313.0)</f>
        <v>6026313</v>
      </c>
    </row>
    <row r="353">
      <c r="A353" s="3">
        <f>IFERROR(__xludf.DUMMYFUNCTION("""COMPUTED_VALUE"""),45440.66666666667)</f>
        <v>45440.66667</v>
      </c>
      <c r="B353" s="2">
        <f>IFERROR(__xludf.DUMMYFUNCTION("""COMPUTED_VALUE"""),156.07)</f>
        <v>156.07</v>
      </c>
      <c r="C353" s="2">
        <f>IFERROR(__xludf.DUMMYFUNCTION("""COMPUTED_VALUE"""),156.47)</f>
        <v>156.47</v>
      </c>
      <c r="D353" s="2">
        <f>IFERROR(__xludf.DUMMYFUNCTION("""COMPUTED_VALUE"""),149.55)</f>
        <v>149.55</v>
      </c>
      <c r="E353" s="2">
        <f>IFERROR(__xludf.DUMMYFUNCTION("""COMPUTED_VALUE"""),150.74)</f>
        <v>150.74</v>
      </c>
      <c r="F353" s="2">
        <f>IFERROR(__xludf.DUMMYFUNCTION("""COMPUTED_VALUE"""),6453661.0)</f>
        <v>6453661</v>
      </c>
    </row>
    <row r="354">
      <c r="A354" s="3">
        <f>IFERROR(__xludf.DUMMYFUNCTION("""COMPUTED_VALUE"""),45441.66666666667)</f>
        <v>45441.66667</v>
      </c>
      <c r="B354" s="2">
        <f>IFERROR(__xludf.DUMMYFUNCTION("""COMPUTED_VALUE"""),148.64)</f>
        <v>148.64</v>
      </c>
      <c r="C354" s="2">
        <f>IFERROR(__xludf.DUMMYFUNCTION("""COMPUTED_VALUE"""),150.0)</f>
        <v>150</v>
      </c>
      <c r="D354" s="2">
        <f>IFERROR(__xludf.DUMMYFUNCTION("""COMPUTED_VALUE"""),147.74)</f>
        <v>147.74</v>
      </c>
      <c r="E354" s="2">
        <f>IFERROR(__xludf.DUMMYFUNCTION("""COMPUTED_VALUE"""),148.19)</f>
        <v>148.19</v>
      </c>
      <c r="F354" s="2">
        <f>IFERROR(__xludf.DUMMYFUNCTION("""COMPUTED_VALUE"""),4880099.0)</f>
        <v>4880099</v>
      </c>
    </row>
    <row r="355">
      <c r="A355" s="3">
        <f>IFERROR(__xludf.DUMMYFUNCTION("""COMPUTED_VALUE"""),45442.66666666667)</f>
        <v>45442.66667</v>
      </c>
      <c r="B355" s="2">
        <f>IFERROR(__xludf.DUMMYFUNCTION("""COMPUTED_VALUE"""),147.0)</f>
        <v>147</v>
      </c>
      <c r="C355" s="2">
        <f>IFERROR(__xludf.DUMMYFUNCTION("""COMPUTED_VALUE"""),147.7)</f>
        <v>147.7</v>
      </c>
      <c r="D355" s="2">
        <f>IFERROR(__xludf.DUMMYFUNCTION("""COMPUTED_VALUE"""),140.23)</f>
        <v>140.23</v>
      </c>
      <c r="E355" s="2">
        <f>IFERROR(__xludf.DUMMYFUNCTION("""COMPUTED_VALUE"""),140.95)</f>
        <v>140.95</v>
      </c>
      <c r="F355" s="2">
        <f>IFERROR(__xludf.DUMMYFUNCTION("""COMPUTED_VALUE"""),9278593.0)</f>
        <v>9278593</v>
      </c>
    </row>
    <row r="356">
      <c r="A356" s="3">
        <f>IFERROR(__xludf.DUMMYFUNCTION("""COMPUTED_VALUE"""),45443.66666666667)</f>
        <v>45443.66667</v>
      </c>
      <c r="B356" s="2">
        <f>IFERROR(__xludf.DUMMYFUNCTION("""COMPUTED_VALUE"""),140.27)</f>
        <v>140.27</v>
      </c>
      <c r="C356" s="2">
        <f>IFERROR(__xludf.DUMMYFUNCTION("""COMPUTED_VALUE"""),142.1)</f>
        <v>142.1</v>
      </c>
      <c r="D356" s="2">
        <f>IFERROR(__xludf.DUMMYFUNCTION("""COMPUTED_VALUE"""),133.59)</f>
        <v>133.59</v>
      </c>
      <c r="E356" s="2">
        <f>IFERROR(__xludf.DUMMYFUNCTION("""COMPUTED_VALUE"""),136.18)</f>
        <v>136.18</v>
      </c>
      <c r="F356" s="2">
        <f>IFERROR(__xludf.DUMMYFUNCTION("""COMPUTED_VALUE"""),1.4049227E7)</f>
        <v>14049227</v>
      </c>
    </row>
    <row r="357">
      <c r="A357" s="3">
        <f>IFERROR(__xludf.DUMMYFUNCTION("""COMPUTED_VALUE"""),45446.66666666667)</f>
        <v>45446.66667</v>
      </c>
      <c r="B357" s="2">
        <f>IFERROR(__xludf.DUMMYFUNCTION("""COMPUTED_VALUE"""),136.85)</f>
        <v>136.85</v>
      </c>
      <c r="C357" s="2">
        <f>IFERROR(__xludf.DUMMYFUNCTION("""COMPUTED_VALUE"""),138.48)</f>
        <v>138.48</v>
      </c>
      <c r="D357" s="2">
        <f>IFERROR(__xludf.DUMMYFUNCTION("""COMPUTED_VALUE"""),135.7)</f>
        <v>135.7</v>
      </c>
      <c r="E357" s="2">
        <f>IFERROR(__xludf.DUMMYFUNCTION("""COMPUTED_VALUE"""),136.93)</f>
        <v>136.93</v>
      </c>
      <c r="F357" s="2">
        <f>IFERROR(__xludf.DUMMYFUNCTION("""COMPUTED_VALUE"""),7549696.0)</f>
        <v>7549696</v>
      </c>
    </row>
    <row r="358">
      <c r="A358" s="3">
        <f>IFERROR(__xludf.DUMMYFUNCTION("""COMPUTED_VALUE"""),45447.66666666667)</f>
        <v>45447.66667</v>
      </c>
      <c r="B358" s="2">
        <f>IFERROR(__xludf.DUMMYFUNCTION("""COMPUTED_VALUE"""),137.2)</f>
        <v>137.2</v>
      </c>
      <c r="C358" s="2">
        <f>IFERROR(__xludf.DUMMYFUNCTION("""COMPUTED_VALUE"""),139.06)</f>
        <v>139.06</v>
      </c>
      <c r="D358" s="2">
        <f>IFERROR(__xludf.DUMMYFUNCTION("""COMPUTED_VALUE"""),135.6)</f>
        <v>135.6</v>
      </c>
      <c r="E358" s="2">
        <f>IFERROR(__xludf.DUMMYFUNCTION("""COMPUTED_VALUE"""),137.0)</f>
        <v>137</v>
      </c>
      <c r="F358" s="2">
        <f>IFERROR(__xludf.DUMMYFUNCTION("""COMPUTED_VALUE"""),7627449.0)</f>
        <v>7627449</v>
      </c>
    </row>
    <row r="359">
      <c r="A359" s="3">
        <f>IFERROR(__xludf.DUMMYFUNCTION("""COMPUTED_VALUE"""),45448.66666666667)</f>
        <v>45448.66667</v>
      </c>
      <c r="B359" s="2">
        <f>IFERROR(__xludf.DUMMYFUNCTION("""COMPUTED_VALUE"""),137.22)</f>
        <v>137.22</v>
      </c>
      <c r="C359" s="2">
        <f>IFERROR(__xludf.DUMMYFUNCTION("""COMPUTED_VALUE"""),137.3)</f>
        <v>137.3</v>
      </c>
      <c r="D359" s="2">
        <f>IFERROR(__xludf.DUMMYFUNCTION("""COMPUTED_VALUE"""),128.41)</f>
        <v>128.41</v>
      </c>
      <c r="E359" s="2">
        <f>IFERROR(__xludf.DUMMYFUNCTION("""COMPUTED_VALUE"""),134.29)</f>
        <v>134.29</v>
      </c>
      <c r="F359" s="2">
        <f>IFERROR(__xludf.DUMMYFUNCTION("""COMPUTED_VALUE"""),1.5919826E7)</f>
        <v>15919826</v>
      </c>
    </row>
    <row r="360">
      <c r="A360" s="3">
        <f>IFERROR(__xludf.DUMMYFUNCTION("""COMPUTED_VALUE"""),45449.66666666667)</f>
        <v>45449.66667</v>
      </c>
      <c r="B360" s="2">
        <f>IFERROR(__xludf.DUMMYFUNCTION("""COMPUTED_VALUE"""),133.94)</f>
        <v>133.94</v>
      </c>
      <c r="C360" s="2">
        <f>IFERROR(__xludf.DUMMYFUNCTION("""COMPUTED_VALUE"""),135.85)</f>
        <v>135.85</v>
      </c>
      <c r="D360" s="2">
        <f>IFERROR(__xludf.DUMMYFUNCTION("""COMPUTED_VALUE"""),131.84)</f>
        <v>131.84</v>
      </c>
      <c r="E360" s="2">
        <f>IFERROR(__xludf.DUMMYFUNCTION("""COMPUTED_VALUE"""),132.04)</f>
        <v>132.04</v>
      </c>
      <c r="F360" s="2">
        <f>IFERROR(__xludf.DUMMYFUNCTION("""COMPUTED_VALUE"""),8261026.0)</f>
        <v>8261026</v>
      </c>
    </row>
    <row r="361">
      <c r="A361" s="3">
        <f>IFERROR(__xludf.DUMMYFUNCTION("""COMPUTED_VALUE"""),45450.66666666667)</f>
        <v>45450.66667</v>
      </c>
      <c r="B361" s="2">
        <f>IFERROR(__xludf.DUMMYFUNCTION("""COMPUTED_VALUE"""),131.06)</f>
        <v>131.06</v>
      </c>
      <c r="C361" s="2">
        <f>IFERROR(__xludf.DUMMYFUNCTION("""COMPUTED_VALUE"""),132.6)</f>
        <v>132.6</v>
      </c>
      <c r="D361" s="2">
        <f>IFERROR(__xludf.DUMMYFUNCTION("""COMPUTED_VALUE"""),130.08)</f>
        <v>130.08</v>
      </c>
      <c r="E361" s="2">
        <f>IFERROR(__xludf.DUMMYFUNCTION("""COMPUTED_VALUE"""),131.21)</f>
        <v>131.21</v>
      </c>
      <c r="F361" s="2">
        <f>IFERROR(__xludf.DUMMYFUNCTION("""COMPUTED_VALUE"""),4355403.0)</f>
        <v>4355403</v>
      </c>
    </row>
    <row r="362">
      <c r="A362" s="3">
        <f>IFERROR(__xludf.DUMMYFUNCTION("""COMPUTED_VALUE"""),45453.66666666667)</f>
        <v>45453.66667</v>
      </c>
      <c r="B362" s="2">
        <f>IFERROR(__xludf.DUMMYFUNCTION("""COMPUTED_VALUE"""),129.53)</f>
        <v>129.53</v>
      </c>
      <c r="C362" s="2">
        <f>IFERROR(__xludf.DUMMYFUNCTION("""COMPUTED_VALUE"""),130.0)</f>
        <v>130</v>
      </c>
      <c r="D362" s="2">
        <f>IFERROR(__xludf.DUMMYFUNCTION("""COMPUTED_VALUE"""),125.89)</f>
        <v>125.89</v>
      </c>
      <c r="E362" s="2">
        <f>IFERROR(__xludf.DUMMYFUNCTION("""COMPUTED_VALUE"""),126.76)</f>
        <v>126.76</v>
      </c>
      <c r="F362" s="2">
        <f>IFERROR(__xludf.DUMMYFUNCTION("""COMPUTED_VALUE"""),1.0827256E7)</f>
        <v>10827256</v>
      </c>
    </row>
    <row r="363">
      <c r="A363" s="3">
        <f>IFERROR(__xludf.DUMMYFUNCTION("""COMPUTED_VALUE"""),45454.66666666667)</f>
        <v>45454.66667</v>
      </c>
      <c r="B363" s="2">
        <f>IFERROR(__xludf.DUMMYFUNCTION("""COMPUTED_VALUE"""),128.75)</f>
        <v>128.75</v>
      </c>
      <c r="C363" s="2">
        <f>IFERROR(__xludf.DUMMYFUNCTION("""COMPUTED_VALUE"""),130.64)</f>
        <v>130.64</v>
      </c>
      <c r="D363" s="2">
        <f>IFERROR(__xludf.DUMMYFUNCTION("""COMPUTED_VALUE"""),127.15)</f>
        <v>127.15</v>
      </c>
      <c r="E363" s="2">
        <f>IFERROR(__xludf.DUMMYFUNCTION("""COMPUTED_VALUE"""),128.48)</f>
        <v>128.48</v>
      </c>
      <c r="F363" s="2">
        <f>IFERROR(__xludf.DUMMYFUNCTION("""COMPUTED_VALUE"""),1.0559383E7)</f>
        <v>10559383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tr">
        <f>IFERROR(__xludf.DUMMYFUNCTION("(GOOGLEFINANCE(""TSLA"", ""all"", DATE(2023, 1, 1), today()))"),"Date")</f>
        <v>Date</v>
      </c>
      <c r="B1" s="2" t="str">
        <f>IFERROR(__xludf.DUMMYFUNCTION("""COMPUTED_VALUE"""),"Open")</f>
        <v>Open</v>
      </c>
      <c r="C1" s="2" t="str">
        <f>IFERROR(__xludf.DUMMYFUNCTION("""COMPUTED_VALUE"""),"High")</f>
        <v>High</v>
      </c>
      <c r="D1" s="2" t="str">
        <f>IFERROR(__xludf.DUMMYFUNCTION("""COMPUTED_VALUE"""),"Low")</f>
        <v>Low</v>
      </c>
      <c r="E1" s="2" t="str">
        <f>IFERROR(__xludf.DUMMYFUNCTION("""COMPUTED_VALUE"""),"Close")</f>
        <v>Close</v>
      </c>
      <c r="F1" s="2" t="str">
        <f>IFERROR(__xludf.DUMMYFUNCTION("""COMPUTED_VALUE"""),"Volume")</f>
        <v>Volume</v>
      </c>
    </row>
    <row r="2">
      <c r="A2" s="3">
        <f>IFERROR(__xludf.DUMMYFUNCTION("""COMPUTED_VALUE"""),44929.66666666667)</f>
        <v>44929.66667</v>
      </c>
      <c r="B2" s="2">
        <f>IFERROR(__xludf.DUMMYFUNCTION("""COMPUTED_VALUE"""),118.47)</f>
        <v>118.47</v>
      </c>
      <c r="C2" s="2">
        <f>IFERROR(__xludf.DUMMYFUNCTION("""COMPUTED_VALUE"""),118.8)</f>
        <v>118.8</v>
      </c>
      <c r="D2" s="2">
        <f>IFERROR(__xludf.DUMMYFUNCTION("""COMPUTED_VALUE"""),104.64)</f>
        <v>104.64</v>
      </c>
      <c r="E2" s="2">
        <f>IFERROR(__xludf.DUMMYFUNCTION("""COMPUTED_VALUE"""),108.1)</f>
        <v>108.1</v>
      </c>
      <c r="F2" s="2">
        <f>IFERROR(__xludf.DUMMYFUNCTION("""COMPUTED_VALUE"""),2.31402818E8)</f>
        <v>231402818</v>
      </c>
    </row>
    <row r="3">
      <c r="A3" s="3">
        <f>IFERROR(__xludf.DUMMYFUNCTION("""COMPUTED_VALUE"""),44930.66666666667)</f>
        <v>44930.66667</v>
      </c>
      <c r="B3" s="2">
        <f>IFERROR(__xludf.DUMMYFUNCTION("""COMPUTED_VALUE"""),109.11)</f>
        <v>109.11</v>
      </c>
      <c r="C3" s="2">
        <f>IFERROR(__xludf.DUMMYFUNCTION("""COMPUTED_VALUE"""),114.59)</f>
        <v>114.59</v>
      </c>
      <c r="D3" s="2">
        <f>IFERROR(__xludf.DUMMYFUNCTION("""COMPUTED_VALUE"""),107.52)</f>
        <v>107.52</v>
      </c>
      <c r="E3" s="2">
        <f>IFERROR(__xludf.DUMMYFUNCTION("""COMPUTED_VALUE"""),113.64)</f>
        <v>113.64</v>
      </c>
      <c r="F3" s="2">
        <f>IFERROR(__xludf.DUMMYFUNCTION("""COMPUTED_VALUE"""),1.80388976E8)</f>
        <v>180388976</v>
      </c>
    </row>
    <row r="4">
      <c r="A4" s="3">
        <f>IFERROR(__xludf.DUMMYFUNCTION("""COMPUTED_VALUE"""),44931.66666666667)</f>
        <v>44931.66667</v>
      </c>
      <c r="B4" s="2">
        <f>IFERROR(__xludf.DUMMYFUNCTION("""COMPUTED_VALUE"""),110.51)</f>
        <v>110.51</v>
      </c>
      <c r="C4" s="2">
        <f>IFERROR(__xludf.DUMMYFUNCTION("""COMPUTED_VALUE"""),111.75)</f>
        <v>111.75</v>
      </c>
      <c r="D4" s="2">
        <f>IFERROR(__xludf.DUMMYFUNCTION("""COMPUTED_VALUE"""),107.16)</f>
        <v>107.16</v>
      </c>
      <c r="E4" s="2">
        <f>IFERROR(__xludf.DUMMYFUNCTION("""COMPUTED_VALUE"""),110.34)</f>
        <v>110.34</v>
      </c>
      <c r="F4" s="2">
        <f>IFERROR(__xludf.DUMMYFUNCTION("""COMPUTED_VALUE"""),1.57986324E8)</f>
        <v>157986324</v>
      </c>
    </row>
    <row r="5">
      <c r="A5" s="3">
        <f>IFERROR(__xludf.DUMMYFUNCTION("""COMPUTED_VALUE"""),44932.66666666667)</f>
        <v>44932.66667</v>
      </c>
      <c r="B5" s="2">
        <f>IFERROR(__xludf.DUMMYFUNCTION("""COMPUTED_VALUE"""),103.0)</f>
        <v>103</v>
      </c>
      <c r="C5" s="2">
        <f>IFERROR(__xludf.DUMMYFUNCTION("""COMPUTED_VALUE"""),114.39)</f>
        <v>114.39</v>
      </c>
      <c r="D5" s="2">
        <f>IFERROR(__xludf.DUMMYFUNCTION("""COMPUTED_VALUE"""),101.81)</f>
        <v>101.81</v>
      </c>
      <c r="E5" s="2">
        <f>IFERROR(__xludf.DUMMYFUNCTION("""COMPUTED_VALUE"""),113.06)</f>
        <v>113.06</v>
      </c>
      <c r="F5" s="2">
        <f>IFERROR(__xludf.DUMMYFUNCTION("""COMPUTED_VALUE"""),2.20911051E8)</f>
        <v>220911051</v>
      </c>
    </row>
    <row r="6">
      <c r="A6" s="3">
        <f>IFERROR(__xludf.DUMMYFUNCTION("""COMPUTED_VALUE"""),44935.66666666667)</f>
        <v>44935.66667</v>
      </c>
      <c r="B6" s="2">
        <f>IFERROR(__xludf.DUMMYFUNCTION("""COMPUTED_VALUE"""),118.96)</f>
        <v>118.96</v>
      </c>
      <c r="C6" s="2">
        <f>IFERROR(__xludf.DUMMYFUNCTION("""COMPUTED_VALUE"""),123.52)</f>
        <v>123.52</v>
      </c>
      <c r="D6" s="2">
        <f>IFERROR(__xludf.DUMMYFUNCTION("""COMPUTED_VALUE"""),117.11)</f>
        <v>117.11</v>
      </c>
      <c r="E6" s="2">
        <f>IFERROR(__xludf.DUMMYFUNCTION("""COMPUTED_VALUE"""),119.77)</f>
        <v>119.77</v>
      </c>
      <c r="F6" s="2">
        <f>IFERROR(__xludf.DUMMYFUNCTION("""COMPUTED_VALUE"""),1.90283951E8)</f>
        <v>190283951</v>
      </c>
    </row>
    <row r="7">
      <c r="A7" s="3">
        <f>IFERROR(__xludf.DUMMYFUNCTION("""COMPUTED_VALUE"""),44936.66666666667)</f>
        <v>44936.66667</v>
      </c>
      <c r="B7" s="2">
        <f>IFERROR(__xludf.DUMMYFUNCTION("""COMPUTED_VALUE"""),121.07)</f>
        <v>121.07</v>
      </c>
      <c r="C7" s="2">
        <f>IFERROR(__xludf.DUMMYFUNCTION("""COMPUTED_VALUE"""),122.76)</f>
        <v>122.76</v>
      </c>
      <c r="D7" s="2">
        <f>IFERROR(__xludf.DUMMYFUNCTION("""COMPUTED_VALUE"""),114.92)</f>
        <v>114.92</v>
      </c>
      <c r="E7" s="2">
        <f>IFERROR(__xludf.DUMMYFUNCTION("""COMPUTED_VALUE"""),118.85)</f>
        <v>118.85</v>
      </c>
      <c r="F7" s="2">
        <f>IFERROR(__xludf.DUMMYFUNCTION("""COMPUTED_VALUE"""),1.67642485E8)</f>
        <v>167642485</v>
      </c>
    </row>
    <row r="8">
      <c r="A8" s="3">
        <f>IFERROR(__xludf.DUMMYFUNCTION("""COMPUTED_VALUE"""),44937.66666666667)</f>
        <v>44937.66667</v>
      </c>
      <c r="B8" s="2">
        <f>IFERROR(__xludf.DUMMYFUNCTION("""COMPUTED_VALUE"""),122.09)</f>
        <v>122.09</v>
      </c>
      <c r="C8" s="2">
        <f>IFERROR(__xludf.DUMMYFUNCTION("""COMPUTED_VALUE"""),125.95)</f>
        <v>125.95</v>
      </c>
      <c r="D8" s="2">
        <f>IFERROR(__xludf.DUMMYFUNCTION("""COMPUTED_VALUE"""),120.51)</f>
        <v>120.51</v>
      </c>
      <c r="E8" s="2">
        <f>IFERROR(__xludf.DUMMYFUNCTION("""COMPUTED_VALUE"""),123.22)</f>
        <v>123.22</v>
      </c>
      <c r="F8" s="2">
        <f>IFERROR(__xludf.DUMMYFUNCTION("""COMPUTED_VALUE"""),1.83810771E8)</f>
        <v>183810771</v>
      </c>
    </row>
    <row r="9">
      <c r="A9" s="3">
        <f>IFERROR(__xludf.DUMMYFUNCTION("""COMPUTED_VALUE"""),44938.66666666667)</f>
        <v>44938.66667</v>
      </c>
      <c r="B9" s="2">
        <f>IFERROR(__xludf.DUMMYFUNCTION("""COMPUTED_VALUE"""),122.56)</f>
        <v>122.56</v>
      </c>
      <c r="C9" s="2">
        <f>IFERROR(__xludf.DUMMYFUNCTION("""COMPUTED_VALUE"""),124.13)</f>
        <v>124.13</v>
      </c>
      <c r="D9" s="2">
        <f>IFERROR(__xludf.DUMMYFUNCTION("""COMPUTED_VALUE"""),117.0)</f>
        <v>117</v>
      </c>
      <c r="E9" s="2">
        <f>IFERROR(__xludf.DUMMYFUNCTION("""COMPUTED_VALUE"""),123.56)</f>
        <v>123.56</v>
      </c>
      <c r="F9" s="2">
        <f>IFERROR(__xludf.DUMMYFUNCTION("""COMPUTED_VALUE"""),1.69400913E8)</f>
        <v>169400913</v>
      </c>
    </row>
    <row r="10">
      <c r="A10" s="3">
        <f>IFERROR(__xludf.DUMMYFUNCTION("""COMPUTED_VALUE"""),44939.66666666667)</f>
        <v>44939.66667</v>
      </c>
      <c r="B10" s="2">
        <f>IFERROR(__xludf.DUMMYFUNCTION("""COMPUTED_VALUE"""),116.55)</f>
        <v>116.55</v>
      </c>
      <c r="C10" s="2">
        <f>IFERROR(__xludf.DUMMYFUNCTION("""COMPUTED_VALUE"""),122.63)</f>
        <v>122.63</v>
      </c>
      <c r="D10" s="2">
        <f>IFERROR(__xludf.DUMMYFUNCTION("""COMPUTED_VALUE"""),115.6)</f>
        <v>115.6</v>
      </c>
      <c r="E10" s="2">
        <f>IFERROR(__xludf.DUMMYFUNCTION("""COMPUTED_VALUE"""),122.4)</f>
        <v>122.4</v>
      </c>
      <c r="F10" s="2">
        <f>IFERROR(__xludf.DUMMYFUNCTION("""COMPUTED_VALUE"""),1.80714119E8)</f>
        <v>180714119</v>
      </c>
    </row>
    <row r="11">
      <c r="A11" s="3">
        <f>IFERROR(__xludf.DUMMYFUNCTION("""COMPUTED_VALUE"""),44943.66666666667)</f>
        <v>44943.66667</v>
      </c>
      <c r="B11" s="2">
        <f>IFERROR(__xludf.DUMMYFUNCTION("""COMPUTED_VALUE"""),125.7)</f>
        <v>125.7</v>
      </c>
      <c r="C11" s="2">
        <f>IFERROR(__xludf.DUMMYFUNCTION("""COMPUTED_VALUE"""),131.7)</f>
        <v>131.7</v>
      </c>
      <c r="D11" s="2">
        <f>IFERROR(__xludf.DUMMYFUNCTION("""COMPUTED_VALUE"""),125.02)</f>
        <v>125.02</v>
      </c>
      <c r="E11" s="2">
        <f>IFERROR(__xludf.DUMMYFUNCTION("""COMPUTED_VALUE"""),131.49)</f>
        <v>131.49</v>
      </c>
      <c r="F11" s="2">
        <f>IFERROR(__xludf.DUMMYFUNCTION("""COMPUTED_VALUE"""),1.86476985E8)</f>
        <v>186476985</v>
      </c>
    </row>
    <row r="12">
      <c r="A12" s="3">
        <f>IFERROR(__xludf.DUMMYFUNCTION("""COMPUTED_VALUE"""),44944.66666666667)</f>
        <v>44944.66667</v>
      </c>
      <c r="B12" s="2">
        <f>IFERROR(__xludf.DUMMYFUNCTION("""COMPUTED_VALUE"""),136.56)</f>
        <v>136.56</v>
      </c>
      <c r="C12" s="2">
        <f>IFERROR(__xludf.DUMMYFUNCTION("""COMPUTED_VALUE"""),136.68)</f>
        <v>136.68</v>
      </c>
      <c r="D12" s="2">
        <f>IFERROR(__xludf.DUMMYFUNCTION("""COMPUTED_VALUE"""),127.01)</f>
        <v>127.01</v>
      </c>
      <c r="E12" s="2">
        <f>IFERROR(__xludf.DUMMYFUNCTION("""COMPUTED_VALUE"""),128.78)</f>
        <v>128.78</v>
      </c>
      <c r="F12" s="2">
        <f>IFERROR(__xludf.DUMMYFUNCTION("""COMPUTED_VALUE"""),1.95680318E8)</f>
        <v>195680318</v>
      </c>
    </row>
    <row r="13">
      <c r="A13" s="3">
        <f>IFERROR(__xludf.DUMMYFUNCTION("""COMPUTED_VALUE"""),44945.66666666667)</f>
        <v>44945.66667</v>
      </c>
      <c r="B13" s="2">
        <f>IFERROR(__xludf.DUMMYFUNCTION("""COMPUTED_VALUE"""),127.26)</f>
        <v>127.26</v>
      </c>
      <c r="C13" s="2">
        <f>IFERROR(__xludf.DUMMYFUNCTION("""COMPUTED_VALUE"""),129.99)</f>
        <v>129.99</v>
      </c>
      <c r="D13" s="2">
        <f>IFERROR(__xludf.DUMMYFUNCTION("""COMPUTED_VALUE"""),124.31)</f>
        <v>124.31</v>
      </c>
      <c r="E13" s="2">
        <f>IFERROR(__xludf.DUMMYFUNCTION("""COMPUTED_VALUE"""),127.17)</f>
        <v>127.17</v>
      </c>
      <c r="F13" s="2">
        <f>IFERROR(__xludf.DUMMYFUNCTION("""COMPUTED_VALUE"""),1.7029188E8)</f>
        <v>170291880</v>
      </c>
    </row>
    <row r="14">
      <c r="A14" s="3">
        <f>IFERROR(__xludf.DUMMYFUNCTION("""COMPUTED_VALUE"""),44946.66666666667)</f>
        <v>44946.66667</v>
      </c>
      <c r="B14" s="2">
        <f>IFERROR(__xludf.DUMMYFUNCTION("""COMPUTED_VALUE"""),128.68)</f>
        <v>128.68</v>
      </c>
      <c r="C14" s="2">
        <f>IFERROR(__xludf.DUMMYFUNCTION("""COMPUTED_VALUE"""),133.51)</f>
        <v>133.51</v>
      </c>
      <c r="D14" s="2">
        <f>IFERROR(__xludf.DUMMYFUNCTION("""COMPUTED_VALUE"""),127.35)</f>
        <v>127.35</v>
      </c>
      <c r="E14" s="2">
        <f>IFERROR(__xludf.DUMMYFUNCTION("""COMPUTED_VALUE"""),133.42)</f>
        <v>133.42</v>
      </c>
      <c r="F14" s="2">
        <f>IFERROR(__xludf.DUMMYFUNCTION("""COMPUTED_VALUE"""),1.38858136E8)</f>
        <v>138858136</v>
      </c>
    </row>
    <row r="15">
      <c r="A15" s="3">
        <f>IFERROR(__xludf.DUMMYFUNCTION("""COMPUTED_VALUE"""),44949.66666666667)</f>
        <v>44949.66667</v>
      </c>
      <c r="B15" s="2">
        <f>IFERROR(__xludf.DUMMYFUNCTION("""COMPUTED_VALUE"""),135.87)</f>
        <v>135.87</v>
      </c>
      <c r="C15" s="2">
        <f>IFERROR(__xludf.DUMMYFUNCTION("""COMPUTED_VALUE"""),145.38)</f>
        <v>145.38</v>
      </c>
      <c r="D15" s="2">
        <f>IFERROR(__xludf.DUMMYFUNCTION("""COMPUTED_VALUE"""),134.27)</f>
        <v>134.27</v>
      </c>
      <c r="E15" s="2">
        <f>IFERROR(__xludf.DUMMYFUNCTION("""COMPUTED_VALUE"""),143.75)</f>
        <v>143.75</v>
      </c>
      <c r="F15" s="2">
        <f>IFERROR(__xludf.DUMMYFUNCTION("""COMPUTED_VALUE"""),2.03119211E8)</f>
        <v>203119211</v>
      </c>
    </row>
    <row r="16">
      <c r="A16" s="3">
        <f>IFERROR(__xludf.DUMMYFUNCTION("""COMPUTED_VALUE"""),44950.66666666667)</f>
        <v>44950.66667</v>
      </c>
      <c r="B16" s="2">
        <f>IFERROR(__xludf.DUMMYFUNCTION("""COMPUTED_VALUE"""),143.0)</f>
        <v>143</v>
      </c>
      <c r="C16" s="2">
        <f>IFERROR(__xludf.DUMMYFUNCTION("""COMPUTED_VALUE"""),146.5)</f>
        <v>146.5</v>
      </c>
      <c r="D16" s="2">
        <f>IFERROR(__xludf.DUMMYFUNCTION("""COMPUTED_VALUE"""),141.1)</f>
        <v>141.1</v>
      </c>
      <c r="E16" s="2">
        <f>IFERROR(__xludf.DUMMYFUNCTION("""COMPUTED_VALUE"""),143.89)</f>
        <v>143.89</v>
      </c>
      <c r="F16" s="2">
        <f>IFERROR(__xludf.DUMMYFUNCTION("""COMPUTED_VALUE"""),1.58699056E8)</f>
        <v>158699056</v>
      </c>
    </row>
    <row r="17">
      <c r="A17" s="3">
        <f>IFERROR(__xludf.DUMMYFUNCTION("""COMPUTED_VALUE"""),44951.66666666667)</f>
        <v>44951.66667</v>
      </c>
      <c r="B17" s="2">
        <f>IFERROR(__xludf.DUMMYFUNCTION("""COMPUTED_VALUE"""),141.91)</f>
        <v>141.91</v>
      </c>
      <c r="C17" s="2">
        <f>IFERROR(__xludf.DUMMYFUNCTION("""COMPUTED_VALUE"""),146.41)</f>
        <v>146.41</v>
      </c>
      <c r="D17" s="2">
        <f>IFERROR(__xludf.DUMMYFUNCTION("""COMPUTED_VALUE"""),138.07)</f>
        <v>138.07</v>
      </c>
      <c r="E17" s="2">
        <f>IFERROR(__xludf.DUMMYFUNCTION("""COMPUTED_VALUE"""),144.43)</f>
        <v>144.43</v>
      </c>
      <c r="F17" s="2">
        <f>IFERROR(__xludf.DUMMYFUNCTION("""COMPUTED_VALUE"""),1.92734347E8)</f>
        <v>192734347</v>
      </c>
    </row>
    <row r="18">
      <c r="A18" s="3">
        <f>IFERROR(__xludf.DUMMYFUNCTION("""COMPUTED_VALUE"""),44952.66666666667)</f>
        <v>44952.66667</v>
      </c>
      <c r="B18" s="2">
        <f>IFERROR(__xludf.DUMMYFUNCTION("""COMPUTED_VALUE"""),159.97)</f>
        <v>159.97</v>
      </c>
      <c r="C18" s="2">
        <f>IFERROR(__xludf.DUMMYFUNCTION("""COMPUTED_VALUE"""),161.42)</f>
        <v>161.42</v>
      </c>
      <c r="D18" s="2">
        <f>IFERROR(__xludf.DUMMYFUNCTION("""COMPUTED_VALUE"""),154.76)</f>
        <v>154.76</v>
      </c>
      <c r="E18" s="2">
        <f>IFERROR(__xludf.DUMMYFUNCTION("""COMPUTED_VALUE"""),160.27)</f>
        <v>160.27</v>
      </c>
      <c r="F18" s="2">
        <f>IFERROR(__xludf.DUMMYFUNCTION("""COMPUTED_VALUE"""),2.3481509E8)</f>
        <v>234815090</v>
      </c>
    </row>
    <row r="19">
      <c r="A19" s="3">
        <f>IFERROR(__xludf.DUMMYFUNCTION("""COMPUTED_VALUE"""),44953.66666666667)</f>
        <v>44953.66667</v>
      </c>
      <c r="B19" s="2">
        <f>IFERROR(__xludf.DUMMYFUNCTION("""COMPUTED_VALUE"""),162.43)</f>
        <v>162.43</v>
      </c>
      <c r="C19" s="2">
        <f>IFERROR(__xludf.DUMMYFUNCTION("""COMPUTED_VALUE"""),180.68)</f>
        <v>180.68</v>
      </c>
      <c r="D19" s="2">
        <f>IFERROR(__xludf.DUMMYFUNCTION("""COMPUTED_VALUE"""),161.17)</f>
        <v>161.17</v>
      </c>
      <c r="E19" s="2">
        <f>IFERROR(__xludf.DUMMYFUNCTION("""COMPUTED_VALUE"""),177.9)</f>
        <v>177.9</v>
      </c>
      <c r="F19" s="2">
        <f>IFERROR(__xludf.DUMMYFUNCTION("""COMPUTED_VALUE"""),3.06590613E8)</f>
        <v>306590613</v>
      </c>
    </row>
    <row r="20">
      <c r="A20" s="3">
        <f>IFERROR(__xludf.DUMMYFUNCTION("""COMPUTED_VALUE"""),44956.66666666667)</f>
        <v>44956.66667</v>
      </c>
      <c r="B20" s="2">
        <f>IFERROR(__xludf.DUMMYFUNCTION("""COMPUTED_VALUE"""),178.05)</f>
        <v>178.05</v>
      </c>
      <c r="C20" s="2">
        <f>IFERROR(__xludf.DUMMYFUNCTION("""COMPUTED_VALUE"""),179.77)</f>
        <v>179.77</v>
      </c>
      <c r="D20" s="2">
        <f>IFERROR(__xludf.DUMMYFUNCTION("""COMPUTED_VALUE"""),166.5)</f>
        <v>166.5</v>
      </c>
      <c r="E20" s="2">
        <f>IFERROR(__xludf.DUMMYFUNCTION("""COMPUTED_VALUE"""),166.66)</f>
        <v>166.66</v>
      </c>
      <c r="F20" s="2">
        <f>IFERROR(__xludf.DUMMYFUNCTION("""COMPUTED_VALUE"""),2.30878807E8)</f>
        <v>230878807</v>
      </c>
    </row>
    <row r="21">
      <c r="A21" s="3">
        <f>IFERROR(__xludf.DUMMYFUNCTION("""COMPUTED_VALUE"""),44957.66666666667)</f>
        <v>44957.66667</v>
      </c>
      <c r="B21" s="2">
        <f>IFERROR(__xludf.DUMMYFUNCTION("""COMPUTED_VALUE"""),164.57)</f>
        <v>164.57</v>
      </c>
      <c r="C21" s="2">
        <f>IFERROR(__xludf.DUMMYFUNCTION("""COMPUTED_VALUE"""),174.3)</f>
        <v>174.3</v>
      </c>
      <c r="D21" s="2">
        <f>IFERROR(__xludf.DUMMYFUNCTION("""COMPUTED_VALUE"""),162.78)</f>
        <v>162.78</v>
      </c>
      <c r="E21" s="2">
        <f>IFERROR(__xludf.DUMMYFUNCTION("""COMPUTED_VALUE"""),173.22)</f>
        <v>173.22</v>
      </c>
      <c r="F21" s="2">
        <f>IFERROR(__xludf.DUMMYFUNCTION("""COMPUTED_VALUE"""),1.96813541E8)</f>
        <v>196813541</v>
      </c>
    </row>
    <row r="22">
      <c r="A22" s="3">
        <f>IFERROR(__xludf.DUMMYFUNCTION("""COMPUTED_VALUE"""),44958.66666666667)</f>
        <v>44958.66667</v>
      </c>
      <c r="B22" s="2">
        <f>IFERROR(__xludf.DUMMYFUNCTION("""COMPUTED_VALUE"""),173.89)</f>
        <v>173.89</v>
      </c>
      <c r="C22" s="2">
        <f>IFERROR(__xludf.DUMMYFUNCTION("""COMPUTED_VALUE"""),183.81)</f>
        <v>183.81</v>
      </c>
      <c r="D22" s="2">
        <f>IFERROR(__xludf.DUMMYFUNCTION("""COMPUTED_VALUE"""),169.93)</f>
        <v>169.93</v>
      </c>
      <c r="E22" s="2">
        <f>IFERROR(__xludf.DUMMYFUNCTION("""COMPUTED_VALUE"""),181.41)</f>
        <v>181.41</v>
      </c>
      <c r="F22" s="2">
        <f>IFERROR(__xludf.DUMMYFUNCTION("""COMPUTED_VALUE"""),2.13806323E8)</f>
        <v>213806323</v>
      </c>
    </row>
    <row r="23">
      <c r="A23" s="3">
        <f>IFERROR(__xludf.DUMMYFUNCTION("""COMPUTED_VALUE"""),44959.66666666667)</f>
        <v>44959.66667</v>
      </c>
      <c r="B23" s="2">
        <f>IFERROR(__xludf.DUMMYFUNCTION("""COMPUTED_VALUE"""),187.33)</f>
        <v>187.33</v>
      </c>
      <c r="C23" s="2">
        <f>IFERROR(__xludf.DUMMYFUNCTION("""COMPUTED_VALUE"""),196.75)</f>
        <v>196.75</v>
      </c>
      <c r="D23" s="2">
        <f>IFERROR(__xludf.DUMMYFUNCTION("""COMPUTED_VALUE"""),182.61)</f>
        <v>182.61</v>
      </c>
      <c r="E23" s="2">
        <f>IFERROR(__xludf.DUMMYFUNCTION("""COMPUTED_VALUE"""),188.27)</f>
        <v>188.27</v>
      </c>
      <c r="F23" s="2">
        <f>IFERROR(__xludf.DUMMYFUNCTION("""COMPUTED_VALUE"""),2.17448287E8)</f>
        <v>217448287</v>
      </c>
    </row>
    <row r="24">
      <c r="A24" s="3">
        <f>IFERROR(__xludf.DUMMYFUNCTION("""COMPUTED_VALUE"""),44960.66666666667)</f>
        <v>44960.66667</v>
      </c>
      <c r="B24" s="2">
        <f>IFERROR(__xludf.DUMMYFUNCTION("""COMPUTED_VALUE"""),183.95)</f>
        <v>183.95</v>
      </c>
      <c r="C24" s="2">
        <f>IFERROR(__xludf.DUMMYFUNCTION("""COMPUTED_VALUE"""),199.0)</f>
        <v>199</v>
      </c>
      <c r="D24" s="2">
        <f>IFERROR(__xludf.DUMMYFUNCTION("""COMPUTED_VALUE"""),183.69)</f>
        <v>183.69</v>
      </c>
      <c r="E24" s="2">
        <f>IFERROR(__xludf.DUMMYFUNCTION("""COMPUTED_VALUE"""),189.98)</f>
        <v>189.98</v>
      </c>
      <c r="F24" s="2">
        <f>IFERROR(__xludf.DUMMYFUNCTION("""COMPUTED_VALUE"""),2.32662023E8)</f>
        <v>232662023</v>
      </c>
    </row>
    <row r="25">
      <c r="A25" s="3">
        <f>IFERROR(__xludf.DUMMYFUNCTION("""COMPUTED_VALUE"""),44963.66666666667)</f>
        <v>44963.66667</v>
      </c>
      <c r="B25" s="2">
        <f>IFERROR(__xludf.DUMMYFUNCTION("""COMPUTED_VALUE"""),193.01)</f>
        <v>193.01</v>
      </c>
      <c r="C25" s="2">
        <f>IFERROR(__xludf.DUMMYFUNCTION("""COMPUTED_VALUE"""),198.17)</f>
        <v>198.17</v>
      </c>
      <c r="D25" s="2">
        <f>IFERROR(__xludf.DUMMYFUNCTION("""COMPUTED_VALUE"""),189.92)</f>
        <v>189.92</v>
      </c>
      <c r="E25" s="2">
        <f>IFERROR(__xludf.DUMMYFUNCTION("""COMPUTED_VALUE"""),194.76)</f>
        <v>194.76</v>
      </c>
      <c r="F25" s="2">
        <f>IFERROR(__xludf.DUMMYFUNCTION("""COMPUTED_VALUE"""),1.86188131E8)</f>
        <v>186188131</v>
      </c>
    </row>
    <row r="26">
      <c r="A26" s="3">
        <f>IFERROR(__xludf.DUMMYFUNCTION("""COMPUTED_VALUE"""),44964.66666666667)</f>
        <v>44964.66667</v>
      </c>
      <c r="B26" s="2">
        <f>IFERROR(__xludf.DUMMYFUNCTION("""COMPUTED_VALUE"""),196.43)</f>
        <v>196.43</v>
      </c>
      <c r="C26" s="2">
        <f>IFERROR(__xludf.DUMMYFUNCTION("""COMPUTED_VALUE"""),197.5)</f>
        <v>197.5</v>
      </c>
      <c r="D26" s="2">
        <f>IFERROR(__xludf.DUMMYFUNCTION("""COMPUTED_VALUE"""),189.55)</f>
        <v>189.55</v>
      </c>
      <c r="E26" s="2">
        <f>IFERROR(__xludf.DUMMYFUNCTION("""COMPUTED_VALUE"""),196.81)</f>
        <v>196.81</v>
      </c>
      <c r="F26" s="2">
        <f>IFERROR(__xludf.DUMMYFUNCTION("""COMPUTED_VALUE"""),1.86010325E8)</f>
        <v>186010325</v>
      </c>
    </row>
    <row r="27">
      <c r="A27" s="3">
        <f>IFERROR(__xludf.DUMMYFUNCTION("""COMPUTED_VALUE"""),44965.66666666667)</f>
        <v>44965.66667</v>
      </c>
      <c r="B27" s="2">
        <f>IFERROR(__xludf.DUMMYFUNCTION("""COMPUTED_VALUE"""),196.1)</f>
        <v>196.1</v>
      </c>
      <c r="C27" s="2">
        <f>IFERROR(__xludf.DUMMYFUNCTION("""COMPUTED_VALUE"""),203.0)</f>
        <v>203</v>
      </c>
      <c r="D27" s="2">
        <f>IFERROR(__xludf.DUMMYFUNCTION("""COMPUTED_VALUE"""),194.31)</f>
        <v>194.31</v>
      </c>
      <c r="E27" s="2">
        <f>IFERROR(__xludf.DUMMYFUNCTION("""COMPUTED_VALUE"""),201.29)</f>
        <v>201.29</v>
      </c>
      <c r="F27" s="2">
        <f>IFERROR(__xludf.DUMMYFUNCTION("""COMPUTED_VALUE"""),1.80673644E8)</f>
        <v>180673644</v>
      </c>
    </row>
    <row r="28">
      <c r="A28" s="3">
        <f>IFERROR(__xludf.DUMMYFUNCTION("""COMPUTED_VALUE"""),44966.66666666667)</f>
        <v>44966.66667</v>
      </c>
      <c r="B28" s="2">
        <f>IFERROR(__xludf.DUMMYFUNCTION("""COMPUTED_VALUE"""),207.78)</f>
        <v>207.78</v>
      </c>
      <c r="C28" s="2">
        <f>IFERROR(__xludf.DUMMYFUNCTION("""COMPUTED_VALUE"""),214.0)</f>
        <v>214</v>
      </c>
      <c r="D28" s="2">
        <f>IFERROR(__xludf.DUMMYFUNCTION("""COMPUTED_VALUE"""),204.77)</f>
        <v>204.77</v>
      </c>
      <c r="E28" s="2">
        <f>IFERROR(__xludf.DUMMYFUNCTION("""COMPUTED_VALUE"""),207.32)</f>
        <v>207.32</v>
      </c>
      <c r="F28" s="2">
        <f>IFERROR(__xludf.DUMMYFUNCTION("""COMPUTED_VALUE"""),2.15431442E8)</f>
        <v>215431442</v>
      </c>
    </row>
    <row r="29">
      <c r="A29" s="3">
        <f>IFERROR(__xludf.DUMMYFUNCTION("""COMPUTED_VALUE"""),44967.66666666667)</f>
        <v>44967.66667</v>
      </c>
      <c r="B29" s="2">
        <f>IFERROR(__xludf.DUMMYFUNCTION("""COMPUTED_VALUE"""),202.23)</f>
        <v>202.23</v>
      </c>
      <c r="C29" s="2">
        <f>IFERROR(__xludf.DUMMYFUNCTION("""COMPUTED_VALUE"""),206.2)</f>
        <v>206.2</v>
      </c>
      <c r="D29" s="2">
        <f>IFERROR(__xludf.DUMMYFUNCTION("""COMPUTED_VALUE"""),192.89)</f>
        <v>192.89</v>
      </c>
      <c r="E29" s="2">
        <f>IFERROR(__xludf.DUMMYFUNCTION("""COMPUTED_VALUE"""),196.89)</f>
        <v>196.89</v>
      </c>
      <c r="F29" s="2">
        <f>IFERROR(__xludf.DUMMYFUNCTION("""COMPUTED_VALUE"""),2.04754129E8)</f>
        <v>204754129</v>
      </c>
    </row>
    <row r="30">
      <c r="A30" s="3">
        <f>IFERROR(__xludf.DUMMYFUNCTION("""COMPUTED_VALUE"""),44970.66666666667)</f>
        <v>44970.66667</v>
      </c>
      <c r="B30" s="2">
        <f>IFERROR(__xludf.DUMMYFUNCTION("""COMPUTED_VALUE"""),194.42)</f>
        <v>194.42</v>
      </c>
      <c r="C30" s="2">
        <f>IFERROR(__xludf.DUMMYFUNCTION("""COMPUTED_VALUE"""),196.3)</f>
        <v>196.3</v>
      </c>
      <c r="D30" s="2">
        <f>IFERROR(__xludf.DUMMYFUNCTION("""COMPUTED_VALUE"""),187.61)</f>
        <v>187.61</v>
      </c>
      <c r="E30" s="2">
        <f>IFERROR(__xludf.DUMMYFUNCTION("""COMPUTED_VALUE"""),194.64)</f>
        <v>194.64</v>
      </c>
      <c r="F30" s="2">
        <f>IFERROR(__xludf.DUMMYFUNCTION("""COMPUTED_VALUE"""),1.72475452E8)</f>
        <v>172475452</v>
      </c>
    </row>
    <row r="31">
      <c r="A31" s="3">
        <f>IFERROR(__xludf.DUMMYFUNCTION("""COMPUTED_VALUE"""),44971.66666666667)</f>
        <v>44971.66667</v>
      </c>
      <c r="B31" s="2">
        <f>IFERROR(__xludf.DUMMYFUNCTION("""COMPUTED_VALUE"""),191.94)</f>
        <v>191.94</v>
      </c>
      <c r="C31" s="2">
        <f>IFERROR(__xludf.DUMMYFUNCTION("""COMPUTED_VALUE"""),209.82)</f>
        <v>209.82</v>
      </c>
      <c r="D31" s="2">
        <f>IFERROR(__xludf.DUMMYFUNCTION("""COMPUTED_VALUE"""),189.44)</f>
        <v>189.44</v>
      </c>
      <c r="E31" s="2">
        <f>IFERROR(__xludf.DUMMYFUNCTION("""COMPUTED_VALUE"""),209.25)</f>
        <v>209.25</v>
      </c>
      <c r="F31" s="2">
        <f>IFERROR(__xludf.DUMMYFUNCTION("""COMPUTED_VALUE"""),2.16455708E8)</f>
        <v>216455708</v>
      </c>
    </row>
    <row r="32">
      <c r="A32" s="3">
        <f>IFERROR(__xludf.DUMMYFUNCTION("""COMPUTED_VALUE"""),44972.66666666667)</f>
        <v>44972.66667</v>
      </c>
      <c r="B32" s="2">
        <f>IFERROR(__xludf.DUMMYFUNCTION("""COMPUTED_VALUE"""),211.76)</f>
        <v>211.76</v>
      </c>
      <c r="C32" s="2">
        <f>IFERROR(__xludf.DUMMYFUNCTION("""COMPUTED_VALUE"""),214.66)</f>
        <v>214.66</v>
      </c>
      <c r="D32" s="2">
        <f>IFERROR(__xludf.DUMMYFUNCTION("""COMPUTED_VALUE"""),206.11)</f>
        <v>206.11</v>
      </c>
      <c r="E32" s="2">
        <f>IFERROR(__xludf.DUMMYFUNCTION("""COMPUTED_VALUE"""),214.24)</f>
        <v>214.24</v>
      </c>
      <c r="F32" s="2">
        <f>IFERROR(__xludf.DUMMYFUNCTION("""COMPUTED_VALUE"""),1.82108581E8)</f>
        <v>182108581</v>
      </c>
    </row>
    <row r="33">
      <c r="A33" s="3">
        <f>IFERROR(__xludf.DUMMYFUNCTION("""COMPUTED_VALUE"""),44973.66666666667)</f>
        <v>44973.66667</v>
      </c>
      <c r="B33" s="2">
        <f>IFERROR(__xludf.DUMMYFUNCTION("""COMPUTED_VALUE"""),210.78)</f>
        <v>210.78</v>
      </c>
      <c r="C33" s="2">
        <f>IFERROR(__xludf.DUMMYFUNCTION("""COMPUTED_VALUE"""),217.65)</f>
        <v>217.65</v>
      </c>
      <c r="D33" s="2">
        <f>IFERROR(__xludf.DUMMYFUNCTION("""COMPUTED_VALUE"""),201.84)</f>
        <v>201.84</v>
      </c>
      <c r="E33" s="2">
        <f>IFERROR(__xludf.DUMMYFUNCTION("""COMPUTED_VALUE"""),202.04)</f>
        <v>202.04</v>
      </c>
      <c r="F33" s="2">
        <f>IFERROR(__xludf.DUMMYFUNCTION("""COMPUTED_VALUE"""),2.29586538E8)</f>
        <v>229586538</v>
      </c>
    </row>
    <row r="34">
      <c r="A34" s="3">
        <f>IFERROR(__xludf.DUMMYFUNCTION("""COMPUTED_VALUE"""),44974.66666666667)</f>
        <v>44974.66667</v>
      </c>
      <c r="B34" s="2">
        <f>IFERROR(__xludf.DUMMYFUNCTION("""COMPUTED_VALUE"""),199.99)</f>
        <v>199.99</v>
      </c>
      <c r="C34" s="2">
        <f>IFERROR(__xludf.DUMMYFUNCTION("""COMPUTED_VALUE"""),208.44)</f>
        <v>208.44</v>
      </c>
      <c r="D34" s="2">
        <f>IFERROR(__xludf.DUMMYFUNCTION("""COMPUTED_VALUE"""),197.5)</f>
        <v>197.5</v>
      </c>
      <c r="E34" s="2">
        <f>IFERROR(__xludf.DUMMYFUNCTION("""COMPUTED_VALUE"""),208.31)</f>
        <v>208.31</v>
      </c>
      <c r="F34" s="2">
        <f>IFERROR(__xludf.DUMMYFUNCTION("""COMPUTED_VALUE"""),2.13738549E8)</f>
        <v>213738549</v>
      </c>
    </row>
    <row r="35">
      <c r="A35" s="3">
        <f>IFERROR(__xludf.DUMMYFUNCTION("""COMPUTED_VALUE"""),44978.66666666667)</f>
        <v>44978.66667</v>
      </c>
      <c r="B35" s="2">
        <f>IFERROR(__xludf.DUMMYFUNCTION("""COMPUTED_VALUE"""),204.99)</f>
        <v>204.99</v>
      </c>
      <c r="C35" s="2">
        <f>IFERROR(__xludf.DUMMYFUNCTION("""COMPUTED_VALUE"""),209.71)</f>
        <v>209.71</v>
      </c>
      <c r="D35" s="2">
        <f>IFERROR(__xludf.DUMMYFUNCTION("""COMPUTED_VALUE"""),197.22)</f>
        <v>197.22</v>
      </c>
      <c r="E35" s="2">
        <f>IFERROR(__xludf.DUMMYFUNCTION("""COMPUTED_VALUE"""),197.37)</f>
        <v>197.37</v>
      </c>
      <c r="F35" s="2">
        <f>IFERROR(__xludf.DUMMYFUNCTION("""COMPUTED_VALUE"""),1.80018588E8)</f>
        <v>180018588</v>
      </c>
    </row>
    <row r="36">
      <c r="A36" s="3">
        <f>IFERROR(__xludf.DUMMYFUNCTION("""COMPUTED_VALUE"""),44979.66666666667)</f>
        <v>44979.66667</v>
      </c>
      <c r="B36" s="2">
        <f>IFERROR(__xludf.DUMMYFUNCTION("""COMPUTED_VALUE"""),197.93)</f>
        <v>197.93</v>
      </c>
      <c r="C36" s="2">
        <f>IFERROR(__xludf.DUMMYFUNCTION("""COMPUTED_VALUE"""),201.99)</f>
        <v>201.99</v>
      </c>
      <c r="D36" s="2">
        <f>IFERROR(__xludf.DUMMYFUNCTION("""COMPUTED_VALUE"""),191.78)</f>
        <v>191.78</v>
      </c>
      <c r="E36" s="2">
        <f>IFERROR(__xludf.DUMMYFUNCTION("""COMPUTED_VALUE"""),200.86)</f>
        <v>200.86</v>
      </c>
      <c r="F36" s="2">
        <f>IFERROR(__xludf.DUMMYFUNCTION("""COMPUTED_VALUE"""),1.91828457E8)</f>
        <v>191828457</v>
      </c>
    </row>
    <row r="37">
      <c r="A37" s="3">
        <f>IFERROR(__xludf.DUMMYFUNCTION("""COMPUTED_VALUE"""),44980.66666666667)</f>
        <v>44980.66667</v>
      </c>
      <c r="B37" s="2">
        <f>IFERROR(__xludf.DUMMYFUNCTION("""COMPUTED_VALUE"""),203.91)</f>
        <v>203.91</v>
      </c>
      <c r="C37" s="2">
        <f>IFERROR(__xludf.DUMMYFUNCTION("""COMPUTED_VALUE"""),205.14)</f>
        <v>205.14</v>
      </c>
      <c r="D37" s="2">
        <f>IFERROR(__xludf.DUMMYFUNCTION("""COMPUTED_VALUE"""),196.33)</f>
        <v>196.33</v>
      </c>
      <c r="E37" s="2">
        <f>IFERROR(__xludf.DUMMYFUNCTION("""COMPUTED_VALUE"""),202.07)</f>
        <v>202.07</v>
      </c>
      <c r="F37" s="2">
        <f>IFERROR(__xludf.DUMMYFUNCTION("""COMPUTED_VALUE"""),1.4635995E8)</f>
        <v>146359950</v>
      </c>
    </row>
    <row r="38">
      <c r="A38" s="3">
        <f>IFERROR(__xludf.DUMMYFUNCTION("""COMPUTED_VALUE"""),44981.66666666667)</f>
        <v>44981.66667</v>
      </c>
      <c r="B38" s="2">
        <f>IFERROR(__xludf.DUMMYFUNCTION("""COMPUTED_VALUE"""),196.33)</f>
        <v>196.33</v>
      </c>
      <c r="C38" s="2">
        <f>IFERROR(__xludf.DUMMYFUNCTION("""COMPUTED_VALUE"""),197.67)</f>
        <v>197.67</v>
      </c>
      <c r="D38" s="2">
        <f>IFERROR(__xludf.DUMMYFUNCTION("""COMPUTED_VALUE"""),192.8)</f>
        <v>192.8</v>
      </c>
      <c r="E38" s="2">
        <f>IFERROR(__xludf.DUMMYFUNCTION("""COMPUTED_VALUE"""),196.88)</f>
        <v>196.88</v>
      </c>
      <c r="F38" s="2">
        <f>IFERROR(__xludf.DUMMYFUNCTION("""COMPUTED_VALUE"""),1.42228105E8)</f>
        <v>142228105</v>
      </c>
    </row>
    <row r="39">
      <c r="A39" s="3">
        <f>IFERROR(__xludf.DUMMYFUNCTION("""COMPUTED_VALUE"""),44984.66666666667)</f>
        <v>44984.66667</v>
      </c>
      <c r="B39" s="2">
        <f>IFERROR(__xludf.DUMMYFUNCTION("""COMPUTED_VALUE"""),202.03)</f>
        <v>202.03</v>
      </c>
      <c r="C39" s="2">
        <f>IFERROR(__xludf.DUMMYFUNCTION("""COMPUTED_VALUE"""),209.42)</f>
        <v>209.42</v>
      </c>
      <c r="D39" s="2">
        <f>IFERROR(__xludf.DUMMYFUNCTION("""COMPUTED_VALUE"""),201.26)</f>
        <v>201.26</v>
      </c>
      <c r="E39" s="2">
        <f>IFERROR(__xludf.DUMMYFUNCTION("""COMPUTED_VALUE"""),207.63)</f>
        <v>207.63</v>
      </c>
      <c r="F39" s="2">
        <f>IFERROR(__xludf.DUMMYFUNCTION("""COMPUTED_VALUE"""),1.61028315E8)</f>
        <v>161028315</v>
      </c>
    </row>
    <row r="40">
      <c r="A40" s="3">
        <f>IFERROR(__xludf.DUMMYFUNCTION("""COMPUTED_VALUE"""),44985.66666666667)</f>
        <v>44985.66667</v>
      </c>
      <c r="B40" s="2">
        <f>IFERROR(__xludf.DUMMYFUNCTION("""COMPUTED_VALUE"""),210.59)</f>
        <v>210.59</v>
      </c>
      <c r="C40" s="2">
        <f>IFERROR(__xludf.DUMMYFUNCTION("""COMPUTED_VALUE"""),211.23)</f>
        <v>211.23</v>
      </c>
      <c r="D40" s="2">
        <f>IFERROR(__xludf.DUMMYFUNCTION("""COMPUTED_VALUE"""),203.75)</f>
        <v>203.75</v>
      </c>
      <c r="E40" s="2">
        <f>IFERROR(__xludf.DUMMYFUNCTION("""COMPUTED_VALUE"""),205.71)</f>
        <v>205.71</v>
      </c>
      <c r="F40" s="2">
        <f>IFERROR(__xludf.DUMMYFUNCTION("""COMPUTED_VALUE"""),1.53144912E8)</f>
        <v>153144912</v>
      </c>
    </row>
    <row r="41">
      <c r="A41" s="3">
        <f>IFERROR(__xludf.DUMMYFUNCTION("""COMPUTED_VALUE"""),44986.66666666667)</f>
        <v>44986.66667</v>
      </c>
      <c r="B41" s="2">
        <f>IFERROR(__xludf.DUMMYFUNCTION("""COMPUTED_VALUE"""),206.21)</f>
        <v>206.21</v>
      </c>
      <c r="C41" s="2">
        <f>IFERROR(__xludf.DUMMYFUNCTION("""COMPUTED_VALUE"""),207.2)</f>
        <v>207.2</v>
      </c>
      <c r="D41" s="2">
        <f>IFERROR(__xludf.DUMMYFUNCTION("""COMPUTED_VALUE"""),198.52)</f>
        <v>198.52</v>
      </c>
      <c r="E41" s="2">
        <f>IFERROR(__xludf.DUMMYFUNCTION("""COMPUTED_VALUE"""),202.77)</f>
        <v>202.77</v>
      </c>
      <c r="F41" s="2">
        <f>IFERROR(__xludf.DUMMYFUNCTION("""COMPUTED_VALUE"""),1.5685279E8)</f>
        <v>156852790</v>
      </c>
    </row>
    <row r="42">
      <c r="A42" s="3">
        <f>IFERROR(__xludf.DUMMYFUNCTION("""COMPUTED_VALUE"""),44987.66666666667)</f>
        <v>44987.66667</v>
      </c>
      <c r="B42" s="2">
        <f>IFERROR(__xludf.DUMMYFUNCTION("""COMPUTED_VALUE"""),186.74)</f>
        <v>186.74</v>
      </c>
      <c r="C42" s="2">
        <f>IFERROR(__xludf.DUMMYFUNCTION("""COMPUTED_VALUE"""),193.75)</f>
        <v>193.75</v>
      </c>
      <c r="D42" s="2">
        <f>IFERROR(__xludf.DUMMYFUNCTION("""COMPUTED_VALUE"""),186.01)</f>
        <v>186.01</v>
      </c>
      <c r="E42" s="2">
        <f>IFERROR(__xludf.DUMMYFUNCTION("""COMPUTED_VALUE"""),190.9)</f>
        <v>190.9</v>
      </c>
      <c r="F42" s="2">
        <f>IFERROR(__xludf.DUMMYFUNCTION("""COMPUTED_VALUE"""),1.81979154E8)</f>
        <v>181979154</v>
      </c>
    </row>
    <row r="43">
      <c r="A43" s="3">
        <f>IFERROR(__xludf.DUMMYFUNCTION("""COMPUTED_VALUE"""),44988.66666666667)</f>
        <v>44988.66667</v>
      </c>
      <c r="B43" s="2">
        <f>IFERROR(__xludf.DUMMYFUNCTION("""COMPUTED_VALUE"""),194.8)</f>
        <v>194.8</v>
      </c>
      <c r="C43" s="2">
        <f>IFERROR(__xludf.DUMMYFUNCTION("""COMPUTED_VALUE"""),200.48)</f>
        <v>200.48</v>
      </c>
      <c r="D43" s="2">
        <f>IFERROR(__xludf.DUMMYFUNCTION("""COMPUTED_VALUE"""),192.88)</f>
        <v>192.88</v>
      </c>
      <c r="E43" s="2">
        <f>IFERROR(__xludf.DUMMYFUNCTION("""COMPUTED_VALUE"""),197.79)</f>
        <v>197.79</v>
      </c>
      <c r="F43" s="2">
        <f>IFERROR(__xludf.DUMMYFUNCTION("""COMPUTED_VALUE"""),1.54193277E8)</f>
        <v>154193277</v>
      </c>
    </row>
    <row r="44">
      <c r="A44" s="3">
        <f>IFERROR(__xludf.DUMMYFUNCTION("""COMPUTED_VALUE"""),44991.66666666667)</f>
        <v>44991.66667</v>
      </c>
      <c r="B44" s="2">
        <f>IFERROR(__xludf.DUMMYFUNCTION("""COMPUTED_VALUE"""),198.54)</f>
        <v>198.54</v>
      </c>
      <c r="C44" s="2">
        <f>IFERROR(__xludf.DUMMYFUNCTION("""COMPUTED_VALUE"""),198.6)</f>
        <v>198.6</v>
      </c>
      <c r="D44" s="2">
        <f>IFERROR(__xludf.DUMMYFUNCTION("""COMPUTED_VALUE"""),192.3)</f>
        <v>192.3</v>
      </c>
      <c r="E44" s="2">
        <f>IFERROR(__xludf.DUMMYFUNCTION("""COMPUTED_VALUE"""),193.81)</f>
        <v>193.81</v>
      </c>
      <c r="F44" s="2">
        <f>IFERROR(__xludf.DUMMYFUNCTION("""COMPUTED_VALUE"""),1.28100106E8)</f>
        <v>128100106</v>
      </c>
    </row>
    <row r="45">
      <c r="A45" s="3">
        <f>IFERROR(__xludf.DUMMYFUNCTION("""COMPUTED_VALUE"""),44992.66666666667)</f>
        <v>44992.66667</v>
      </c>
      <c r="B45" s="2">
        <f>IFERROR(__xludf.DUMMYFUNCTION("""COMPUTED_VALUE"""),191.38)</f>
        <v>191.38</v>
      </c>
      <c r="C45" s="2">
        <f>IFERROR(__xludf.DUMMYFUNCTION("""COMPUTED_VALUE"""),194.2)</f>
        <v>194.2</v>
      </c>
      <c r="D45" s="2">
        <f>IFERROR(__xludf.DUMMYFUNCTION("""COMPUTED_VALUE"""),186.1)</f>
        <v>186.1</v>
      </c>
      <c r="E45" s="2">
        <f>IFERROR(__xludf.DUMMYFUNCTION("""COMPUTED_VALUE"""),187.71)</f>
        <v>187.71</v>
      </c>
      <c r="F45" s="2">
        <f>IFERROR(__xludf.DUMMYFUNCTION("""COMPUTED_VALUE"""),1.4812579E8)</f>
        <v>148125790</v>
      </c>
    </row>
    <row r="46">
      <c r="A46" s="3">
        <f>IFERROR(__xludf.DUMMYFUNCTION("""COMPUTED_VALUE"""),44993.66666666667)</f>
        <v>44993.66667</v>
      </c>
      <c r="B46" s="2">
        <f>IFERROR(__xludf.DUMMYFUNCTION("""COMPUTED_VALUE"""),185.04)</f>
        <v>185.04</v>
      </c>
      <c r="C46" s="2">
        <f>IFERROR(__xludf.DUMMYFUNCTION("""COMPUTED_VALUE"""),186.5)</f>
        <v>186.5</v>
      </c>
      <c r="D46" s="2">
        <f>IFERROR(__xludf.DUMMYFUNCTION("""COMPUTED_VALUE"""),180.0)</f>
        <v>180</v>
      </c>
      <c r="E46" s="2">
        <f>IFERROR(__xludf.DUMMYFUNCTION("""COMPUTED_VALUE"""),182.0)</f>
        <v>182</v>
      </c>
      <c r="F46" s="2">
        <f>IFERROR(__xludf.DUMMYFUNCTION("""COMPUTED_VALUE"""),1.51897763E8)</f>
        <v>151897763</v>
      </c>
    </row>
    <row r="47">
      <c r="A47" s="3">
        <f>IFERROR(__xludf.DUMMYFUNCTION("""COMPUTED_VALUE"""),44994.66666666667)</f>
        <v>44994.66667</v>
      </c>
      <c r="B47" s="2">
        <f>IFERROR(__xludf.DUMMYFUNCTION("""COMPUTED_VALUE"""),180.25)</f>
        <v>180.25</v>
      </c>
      <c r="C47" s="2">
        <f>IFERROR(__xludf.DUMMYFUNCTION("""COMPUTED_VALUE"""),185.18)</f>
        <v>185.18</v>
      </c>
      <c r="D47" s="2">
        <f>IFERROR(__xludf.DUMMYFUNCTION("""COMPUTED_VALUE"""),172.51)</f>
        <v>172.51</v>
      </c>
      <c r="E47" s="2">
        <f>IFERROR(__xludf.DUMMYFUNCTION("""COMPUTED_VALUE"""),172.92)</f>
        <v>172.92</v>
      </c>
      <c r="F47" s="2">
        <f>IFERROR(__xludf.DUMMYFUNCTION("""COMPUTED_VALUE"""),1.70023794E8)</f>
        <v>170023794</v>
      </c>
    </row>
    <row r="48">
      <c r="A48" s="3">
        <f>IFERROR(__xludf.DUMMYFUNCTION("""COMPUTED_VALUE"""),44995.66666666667)</f>
        <v>44995.66667</v>
      </c>
      <c r="B48" s="2">
        <f>IFERROR(__xludf.DUMMYFUNCTION("""COMPUTED_VALUE"""),175.13)</f>
        <v>175.13</v>
      </c>
      <c r="C48" s="2">
        <f>IFERROR(__xludf.DUMMYFUNCTION("""COMPUTED_VALUE"""),178.29)</f>
        <v>178.29</v>
      </c>
      <c r="D48" s="2">
        <f>IFERROR(__xludf.DUMMYFUNCTION("""COMPUTED_VALUE"""),168.44)</f>
        <v>168.44</v>
      </c>
      <c r="E48" s="2">
        <f>IFERROR(__xludf.DUMMYFUNCTION("""COMPUTED_VALUE"""),173.44)</f>
        <v>173.44</v>
      </c>
      <c r="F48" s="2">
        <f>IFERROR(__xludf.DUMMYFUNCTION("""COMPUTED_VALUE"""),1.91488872E8)</f>
        <v>191488872</v>
      </c>
    </row>
    <row r="49">
      <c r="A49" s="3">
        <f>IFERROR(__xludf.DUMMYFUNCTION("""COMPUTED_VALUE"""),44998.66666666667)</f>
        <v>44998.66667</v>
      </c>
      <c r="B49" s="2">
        <f>IFERROR(__xludf.DUMMYFUNCTION("""COMPUTED_VALUE"""),167.46)</f>
        <v>167.46</v>
      </c>
      <c r="C49" s="2">
        <f>IFERROR(__xludf.DUMMYFUNCTION("""COMPUTED_VALUE"""),177.35)</f>
        <v>177.35</v>
      </c>
      <c r="D49" s="2">
        <f>IFERROR(__xludf.DUMMYFUNCTION("""COMPUTED_VALUE"""),163.91)</f>
        <v>163.91</v>
      </c>
      <c r="E49" s="2">
        <f>IFERROR(__xludf.DUMMYFUNCTION("""COMPUTED_VALUE"""),174.48)</f>
        <v>174.48</v>
      </c>
      <c r="F49" s="2">
        <f>IFERROR(__xludf.DUMMYFUNCTION("""COMPUTED_VALUE"""),1.67790256E8)</f>
        <v>167790256</v>
      </c>
    </row>
    <row r="50">
      <c r="A50" s="3">
        <f>IFERROR(__xludf.DUMMYFUNCTION("""COMPUTED_VALUE"""),44999.66666666667)</f>
        <v>44999.66667</v>
      </c>
      <c r="B50" s="2">
        <f>IFERROR(__xludf.DUMMYFUNCTION("""COMPUTED_VALUE"""),177.31)</f>
        <v>177.31</v>
      </c>
      <c r="C50" s="2">
        <f>IFERROR(__xludf.DUMMYFUNCTION("""COMPUTED_VALUE"""),183.8)</f>
        <v>183.8</v>
      </c>
      <c r="D50" s="2">
        <f>IFERROR(__xludf.DUMMYFUNCTION("""COMPUTED_VALUE"""),177.14)</f>
        <v>177.14</v>
      </c>
      <c r="E50" s="2">
        <f>IFERROR(__xludf.DUMMYFUNCTION("""COMPUTED_VALUE"""),183.26)</f>
        <v>183.26</v>
      </c>
      <c r="F50" s="2">
        <f>IFERROR(__xludf.DUMMYFUNCTION("""COMPUTED_VALUE"""),1.43717897E8)</f>
        <v>143717897</v>
      </c>
    </row>
    <row r="51">
      <c r="A51" s="3">
        <f>IFERROR(__xludf.DUMMYFUNCTION("""COMPUTED_VALUE"""),45000.66666666667)</f>
        <v>45000.66667</v>
      </c>
      <c r="B51" s="2">
        <f>IFERROR(__xludf.DUMMYFUNCTION("""COMPUTED_VALUE"""),180.8)</f>
        <v>180.8</v>
      </c>
      <c r="C51" s="2">
        <f>IFERROR(__xludf.DUMMYFUNCTION("""COMPUTED_VALUE"""),182.34)</f>
        <v>182.34</v>
      </c>
      <c r="D51" s="2">
        <f>IFERROR(__xludf.DUMMYFUNCTION("""COMPUTED_VALUE"""),176.03)</f>
        <v>176.03</v>
      </c>
      <c r="E51" s="2">
        <f>IFERROR(__xludf.DUMMYFUNCTION("""COMPUTED_VALUE"""),180.45)</f>
        <v>180.45</v>
      </c>
      <c r="F51" s="2">
        <f>IFERROR(__xludf.DUMMYFUNCTION("""COMPUTED_VALUE"""),1.45995583E8)</f>
        <v>145995583</v>
      </c>
    </row>
    <row r="52">
      <c r="A52" s="3">
        <f>IFERROR(__xludf.DUMMYFUNCTION("""COMPUTED_VALUE"""),45001.66666666667)</f>
        <v>45001.66667</v>
      </c>
      <c r="B52" s="2">
        <f>IFERROR(__xludf.DUMMYFUNCTION("""COMPUTED_VALUE"""),180.37)</f>
        <v>180.37</v>
      </c>
      <c r="C52" s="2">
        <f>IFERROR(__xludf.DUMMYFUNCTION("""COMPUTED_VALUE"""),185.81)</f>
        <v>185.81</v>
      </c>
      <c r="D52" s="2">
        <f>IFERROR(__xludf.DUMMYFUNCTION("""COMPUTED_VALUE"""),178.84)</f>
        <v>178.84</v>
      </c>
      <c r="E52" s="2">
        <f>IFERROR(__xludf.DUMMYFUNCTION("""COMPUTED_VALUE"""),184.13)</f>
        <v>184.13</v>
      </c>
      <c r="F52" s="2">
        <f>IFERROR(__xludf.DUMMYFUNCTION("""COMPUTED_VALUE"""),1.21374453E8)</f>
        <v>121374453</v>
      </c>
    </row>
    <row r="53">
      <c r="A53" s="3">
        <f>IFERROR(__xludf.DUMMYFUNCTION("""COMPUTED_VALUE"""),45002.66666666667)</f>
        <v>45002.66667</v>
      </c>
      <c r="B53" s="2">
        <f>IFERROR(__xludf.DUMMYFUNCTION("""COMPUTED_VALUE"""),184.52)</f>
        <v>184.52</v>
      </c>
      <c r="C53" s="2">
        <f>IFERROR(__xludf.DUMMYFUNCTION("""COMPUTED_VALUE"""),186.22)</f>
        <v>186.22</v>
      </c>
      <c r="D53" s="2">
        <f>IFERROR(__xludf.DUMMYFUNCTION("""COMPUTED_VALUE"""),177.33)</f>
        <v>177.33</v>
      </c>
      <c r="E53" s="2">
        <f>IFERROR(__xludf.DUMMYFUNCTION("""COMPUTED_VALUE"""),180.13)</f>
        <v>180.13</v>
      </c>
      <c r="F53" s="2">
        <f>IFERROR(__xludf.DUMMYFUNCTION("""COMPUTED_VALUE"""),1.3319714E8)</f>
        <v>133197140</v>
      </c>
    </row>
    <row r="54">
      <c r="A54" s="3">
        <f>IFERROR(__xludf.DUMMYFUNCTION("""COMPUTED_VALUE"""),45005.66666666667)</f>
        <v>45005.66667</v>
      </c>
      <c r="B54" s="2">
        <f>IFERROR(__xludf.DUMMYFUNCTION("""COMPUTED_VALUE"""),178.08)</f>
        <v>178.08</v>
      </c>
      <c r="C54" s="2">
        <f>IFERROR(__xludf.DUMMYFUNCTION("""COMPUTED_VALUE"""),186.44)</f>
        <v>186.44</v>
      </c>
      <c r="D54" s="2">
        <f>IFERROR(__xludf.DUMMYFUNCTION("""COMPUTED_VALUE"""),176.35)</f>
        <v>176.35</v>
      </c>
      <c r="E54" s="2">
        <f>IFERROR(__xludf.DUMMYFUNCTION("""COMPUTED_VALUE"""),183.25)</f>
        <v>183.25</v>
      </c>
      <c r="F54" s="2">
        <f>IFERROR(__xludf.DUMMYFUNCTION("""COMPUTED_VALUE"""),1.29684359E8)</f>
        <v>129684359</v>
      </c>
    </row>
    <row r="55">
      <c r="A55" s="3">
        <f>IFERROR(__xludf.DUMMYFUNCTION("""COMPUTED_VALUE"""),45006.66666666667)</f>
        <v>45006.66667</v>
      </c>
      <c r="B55" s="2">
        <f>IFERROR(__xludf.DUMMYFUNCTION("""COMPUTED_VALUE"""),188.28)</f>
        <v>188.28</v>
      </c>
      <c r="C55" s="2">
        <f>IFERROR(__xludf.DUMMYFUNCTION("""COMPUTED_VALUE"""),198.0)</f>
        <v>198</v>
      </c>
      <c r="D55" s="2">
        <f>IFERROR(__xludf.DUMMYFUNCTION("""COMPUTED_VALUE"""),188.04)</f>
        <v>188.04</v>
      </c>
      <c r="E55" s="2">
        <f>IFERROR(__xludf.DUMMYFUNCTION("""COMPUTED_VALUE"""),197.58)</f>
        <v>197.58</v>
      </c>
      <c r="F55" s="2">
        <f>IFERROR(__xludf.DUMMYFUNCTION("""COMPUTED_VALUE"""),1.53391444E8)</f>
        <v>153391444</v>
      </c>
    </row>
    <row r="56">
      <c r="A56" s="3">
        <f>IFERROR(__xludf.DUMMYFUNCTION("""COMPUTED_VALUE"""),45007.66666666667)</f>
        <v>45007.66667</v>
      </c>
      <c r="B56" s="2">
        <f>IFERROR(__xludf.DUMMYFUNCTION("""COMPUTED_VALUE"""),199.3)</f>
        <v>199.3</v>
      </c>
      <c r="C56" s="2">
        <f>IFERROR(__xludf.DUMMYFUNCTION("""COMPUTED_VALUE"""),200.66)</f>
        <v>200.66</v>
      </c>
      <c r="D56" s="2">
        <f>IFERROR(__xludf.DUMMYFUNCTION("""COMPUTED_VALUE"""),190.95)</f>
        <v>190.95</v>
      </c>
      <c r="E56" s="2">
        <f>IFERROR(__xludf.DUMMYFUNCTION("""COMPUTED_VALUE"""),191.15)</f>
        <v>191.15</v>
      </c>
      <c r="F56" s="2">
        <f>IFERROR(__xludf.DUMMYFUNCTION("""COMPUTED_VALUE"""),1.50376373E8)</f>
        <v>150376373</v>
      </c>
    </row>
    <row r="57">
      <c r="A57" s="3">
        <f>IFERROR(__xludf.DUMMYFUNCTION("""COMPUTED_VALUE"""),45008.66666666667)</f>
        <v>45008.66667</v>
      </c>
      <c r="B57" s="2">
        <f>IFERROR(__xludf.DUMMYFUNCTION("""COMPUTED_VALUE"""),195.26)</f>
        <v>195.26</v>
      </c>
      <c r="C57" s="2">
        <f>IFERROR(__xludf.DUMMYFUNCTION("""COMPUTED_VALUE"""),199.31)</f>
        <v>199.31</v>
      </c>
      <c r="D57" s="2">
        <f>IFERROR(__xludf.DUMMYFUNCTION("""COMPUTED_VALUE"""),188.65)</f>
        <v>188.65</v>
      </c>
      <c r="E57" s="2">
        <f>IFERROR(__xludf.DUMMYFUNCTION("""COMPUTED_VALUE"""),192.22)</f>
        <v>192.22</v>
      </c>
      <c r="F57" s="2">
        <f>IFERROR(__xludf.DUMMYFUNCTION("""COMPUTED_VALUE"""),1.44193876E8)</f>
        <v>144193876</v>
      </c>
    </row>
    <row r="58">
      <c r="A58" s="3">
        <f>IFERROR(__xludf.DUMMYFUNCTION("""COMPUTED_VALUE"""),45009.66666666667)</f>
        <v>45009.66667</v>
      </c>
      <c r="B58" s="2">
        <f>IFERROR(__xludf.DUMMYFUNCTION("""COMPUTED_VALUE"""),191.65)</f>
        <v>191.65</v>
      </c>
      <c r="C58" s="2">
        <f>IFERROR(__xludf.DUMMYFUNCTION("""COMPUTED_VALUE"""),192.36)</f>
        <v>192.36</v>
      </c>
      <c r="D58" s="2">
        <f>IFERROR(__xludf.DUMMYFUNCTION("""COMPUTED_VALUE"""),187.15)</f>
        <v>187.15</v>
      </c>
      <c r="E58" s="2">
        <f>IFERROR(__xludf.DUMMYFUNCTION("""COMPUTED_VALUE"""),190.41)</f>
        <v>190.41</v>
      </c>
      <c r="F58" s="2">
        <f>IFERROR(__xludf.DUMMYFUNCTION("""COMPUTED_VALUE"""),1.16531584E8)</f>
        <v>116531584</v>
      </c>
    </row>
    <row r="59">
      <c r="A59" s="3">
        <f>IFERROR(__xludf.DUMMYFUNCTION("""COMPUTED_VALUE"""),45012.66666666667)</f>
        <v>45012.66667</v>
      </c>
      <c r="B59" s="2">
        <f>IFERROR(__xludf.DUMMYFUNCTION("""COMPUTED_VALUE"""),194.42)</f>
        <v>194.42</v>
      </c>
      <c r="C59" s="2">
        <f>IFERROR(__xludf.DUMMYFUNCTION("""COMPUTED_VALUE"""),197.39)</f>
        <v>197.39</v>
      </c>
      <c r="D59" s="2">
        <f>IFERROR(__xludf.DUMMYFUNCTION("""COMPUTED_VALUE"""),189.94)</f>
        <v>189.94</v>
      </c>
      <c r="E59" s="2">
        <f>IFERROR(__xludf.DUMMYFUNCTION("""COMPUTED_VALUE"""),191.81)</f>
        <v>191.81</v>
      </c>
      <c r="F59" s="2">
        <f>IFERROR(__xludf.DUMMYFUNCTION("""COMPUTED_VALUE"""),1.20851587E8)</f>
        <v>120851587</v>
      </c>
    </row>
    <row r="60">
      <c r="A60" s="3">
        <f>IFERROR(__xludf.DUMMYFUNCTION("""COMPUTED_VALUE"""),45013.66666666667)</f>
        <v>45013.66667</v>
      </c>
      <c r="B60" s="2">
        <f>IFERROR(__xludf.DUMMYFUNCTION("""COMPUTED_VALUE"""),192.0)</f>
        <v>192</v>
      </c>
      <c r="C60" s="2">
        <f>IFERROR(__xludf.DUMMYFUNCTION("""COMPUTED_VALUE"""),192.35)</f>
        <v>192.35</v>
      </c>
      <c r="D60" s="2">
        <f>IFERROR(__xludf.DUMMYFUNCTION("""COMPUTED_VALUE"""),185.43)</f>
        <v>185.43</v>
      </c>
      <c r="E60" s="2">
        <f>IFERROR(__xludf.DUMMYFUNCTION("""COMPUTED_VALUE"""),189.19)</f>
        <v>189.19</v>
      </c>
      <c r="F60" s="2">
        <f>IFERROR(__xludf.DUMMYFUNCTION("""COMPUTED_VALUE"""),9.8654635E7)</f>
        <v>98654635</v>
      </c>
    </row>
    <row r="61">
      <c r="A61" s="3">
        <f>IFERROR(__xludf.DUMMYFUNCTION("""COMPUTED_VALUE"""),45014.66666666667)</f>
        <v>45014.66667</v>
      </c>
      <c r="B61" s="2">
        <f>IFERROR(__xludf.DUMMYFUNCTION("""COMPUTED_VALUE"""),193.13)</f>
        <v>193.13</v>
      </c>
      <c r="C61" s="2">
        <f>IFERROR(__xludf.DUMMYFUNCTION("""COMPUTED_VALUE"""),195.29)</f>
        <v>195.29</v>
      </c>
      <c r="D61" s="2">
        <f>IFERROR(__xludf.DUMMYFUNCTION("""COMPUTED_VALUE"""),189.44)</f>
        <v>189.44</v>
      </c>
      <c r="E61" s="2">
        <f>IFERROR(__xludf.DUMMYFUNCTION("""COMPUTED_VALUE"""),193.88)</f>
        <v>193.88</v>
      </c>
      <c r="F61" s="2">
        <f>IFERROR(__xludf.DUMMYFUNCTION("""COMPUTED_VALUE"""),1.23660026E8)</f>
        <v>123660026</v>
      </c>
    </row>
    <row r="62">
      <c r="A62" s="3">
        <f>IFERROR(__xludf.DUMMYFUNCTION("""COMPUTED_VALUE"""),45015.66666666667)</f>
        <v>45015.66667</v>
      </c>
      <c r="B62" s="2">
        <f>IFERROR(__xludf.DUMMYFUNCTION("""COMPUTED_VALUE"""),195.58)</f>
        <v>195.58</v>
      </c>
      <c r="C62" s="2">
        <f>IFERROR(__xludf.DUMMYFUNCTION("""COMPUTED_VALUE"""),197.33)</f>
        <v>197.33</v>
      </c>
      <c r="D62" s="2">
        <f>IFERROR(__xludf.DUMMYFUNCTION("""COMPUTED_VALUE"""),194.42)</f>
        <v>194.42</v>
      </c>
      <c r="E62" s="2">
        <f>IFERROR(__xludf.DUMMYFUNCTION("""COMPUTED_VALUE"""),195.28)</f>
        <v>195.28</v>
      </c>
      <c r="F62" s="2">
        <f>IFERROR(__xludf.DUMMYFUNCTION("""COMPUTED_VALUE"""),1.10252238E8)</f>
        <v>110252238</v>
      </c>
    </row>
    <row r="63">
      <c r="A63" s="3">
        <f>IFERROR(__xludf.DUMMYFUNCTION("""COMPUTED_VALUE"""),45016.66666666667)</f>
        <v>45016.66667</v>
      </c>
      <c r="B63" s="2">
        <f>IFERROR(__xludf.DUMMYFUNCTION("""COMPUTED_VALUE"""),197.53)</f>
        <v>197.53</v>
      </c>
      <c r="C63" s="2">
        <f>IFERROR(__xludf.DUMMYFUNCTION("""COMPUTED_VALUE"""),207.79)</f>
        <v>207.79</v>
      </c>
      <c r="D63" s="2">
        <f>IFERROR(__xludf.DUMMYFUNCTION("""COMPUTED_VALUE"""),197.2)</f>
        <v>197.2</v>
      </c>
      <c r="E63" s="2">
        <f>IFERROR(__xludf.DUMMYFUNCTION("""COMPUTED_VALUE"""),207.46)</f>
        <v>207.46</v>
      </c>
      <c r="F63" s="2">
        <f>IFERROR(__xludf.DUMMYFUNCTION("""COMPUTED_VALUE"""),1.70222118E8)</f>
        <v>170222118</v>
      </c>
    </row>
    <row r="64">
      <c r="A64" s="3">
        <f>IFERROR(__xludf.DUMMYFUNCTION("""COMPUTED_VALUE"""),45019.66666666667)</f>
        <v>45019.66667</v>
      </c>
      <c r="B64" s="2">
        <f>IFERROR(__xludf.DUMMYFUNCTION("""COMPUTED_VALUE"""),199.91)</f>
        <v>199.91</v>
      </c>
      <c r="C64" s="2">
        <f>IFERROR(__xludf.DUMMYFUNCTION("""COMPUTED_VALUE"""),202.69)</f>
        <v>202.69</v>
      </c>
      <c r="D64" s="2">
        <f>IFERROR(__xludf.DUMMYFUNCTION("""COMPUTED_VALUE"""),192.2)</f>
        <v>192.2</v>
      </c>
      <c r="E64" s="2">
        <f>IFERROR(__xludf.DUMMYFUNCTION("""COMPUTED_VALUE"""),194.77)</f>
        <v>194.77</v>
      </c>
      <c r="F64" s="2">
        <f>IFERROR(__xludf.DUMMYFUNCTION("""COMPUTED_VALUE"""),1.695459E8)</f>
        <v>169545900</v>
      </c>
    </row>
    <row r="65">
      <c r="A65" s="3">
        <f>IFERROR(__xludf.DUMMYFUNCTION("""COMPUTED_VALUE"""),45020.66666666667)</f>
        <v>45020.66667</v>
      </c>
      <c r="B65" s="2">
        <f>IFERROR(__xludf.DUMMYFUNCTION("""COMPUTED_VALUE"""),197.32)</f>
        <v>197.32</v>
      </c>
      <c r="C65" s="2">
        <f>IFERROR(__xludf.DUMMYFUNCTION("""COMPUTED_VALUE"""),198.74)</f>
        <v>198.74</v>
      </c>
      <c r="D65" s="2">
        <f>IFERROR(__xludf.DUMMYFUNCTION("""COMPUTED_VALUE"""),190.32)</f>
        <v>190.32</v>
      </c>
      <c r="E65" s="2">
        <f>IFERROR(__xludf.DUMMYFUNCTION("""COMPUTED_VALUE"""),192.58)</f>
        <v>192.58</v>
      </c>
      <c r="F65" s="2">
        <f>IFERROR(__xludf.DUMMYFUNCTION("""COMPUTED_VALUE"""),1.26463845E8)</f>
        <v>126463845</v>
      </c>
    </row>
    <row r="66">
      <c r="A66" s="3">
        <f>IFERROR(__xludf.DUMMYFUNCTION("""COMPUTED_VALUE"""),45021.66666666667)</f>
        <v>45021.66667</v>
      </c>
      <c r="B66" s="2">
        <f>IFERROR(__xludf.DUMMYFUNCTION("""COMPUTED_VALUE"""),190.52)</f>
        <v>190.52</v>
      </c>
      <c r="C66" s="2">
        <f>IFERROR(__xludf.DUMMYFUNCTION("""COMPUTED_VALUE"""),190.68)</f>
        <v>190.68</v>
      </c>
      <c r="D66" s="2">
        <f>IFERROR(__xludf.DUMMYFUNCTION("""COMPUTED_VALUE"""),183.76)</f>
        <v>183.76</v>
      </c>
      <c r="E66" s="2">
        <f>IFERROR(__xludf.DUMMYFUNCTION("""COMPUTED_VALUE"""),185.52)</f>
        <v>185.52</v>
      </c>
      <c r="F66" s="2">
        <f>IFERROR(__xludf.DUMMYFUNCTION("""COMPUTED_VALUE"""),1.33882493E8)</f>
        <v>133882493</v>
      </c>
    </row>
    <row r="67">
      <c r="A67" s="3">
        <f>IFERROR(__xludf.DUMMYFUNCTION("""COMPUTED_VALUE"""),45022.66666666667)</f>
        <v>45022.66667</v>
      </c>
      <c r="B67" s="2">
        <f>IFERROR(__xludf.DUMMYFUNCTION("""COMPUTED_VALUE"""),183.08)</f>
        <v>183.08</v>
      </c>
      <c r="C67" s="2">
        <f>IFERROR(__xludf.DUMMYFUNCTION("""COMPUTED_VALUE"""),186.39)</f>
        <v>186.39</v>
      </c>
      <c r="D67" s="2">
        <f>IFERROR(__xludf.DUMMYFUNCTION("""COMPUTED_VALUE"""),179.74)</f>
        <v>179.74</v>
      </c>
      <c r="E67" s="2">
        <f>IFERROR(__xludf.DUMMYFUNCTION("""COMPUTED_VALUE"""),185.06)</f>
        <v>185.06</v>
      </c>
      <c r="F67" s="2">
        <f>IFERROR(__xludf.DUMMYFUNCTION("""COMPUTED_VALUE"""),1.23857932E8)</f>
        <v>123857932</v>
      </c>
    </row>
    <row r="68">
      <c r="A68" s="3">
        <f>IFERROR(__xludf.DUMMYFUNCTION("""COMPUTED_VALUE"""),45026.66666666667)</f>
        <v>45026.66667</v>
      </c>
      <c r="B68" s="2">
        <f>IFERROR(__xludf.DUMMYFUNCTION("""COMPUTED_VALUE"""),179.94)</f>
        <v>179.94</v>
      </c>
      <c r="C68" s="2">
        <f>IFERROR(__xludf.DUMMYFUNCTION("""COMPUTED_VALUE"""),185.1)</f>
        <v>185.1</v>
      </c>
      <c r="D68" s="2">
        <f>IFERROR(__xludf.DUMMYFUNCTION("""COMPUTED_VALUE"""),176.11)</f>
        <v>176.11</v>
      </c>
      <c r="E68" s="2">
        <f>IFERROR(__xludf.DUMMYFUNCTION("""COMPUTED_VALUE"""),184.51)</f>
        <v>184.51</v>
      </c>
      <c r="F68" s="2">
        <f>IFERROR(__xludf.DUMMYFUNCTION("""COMPUTED_VALUE"""),1.42154637E8)</f>
        <v>142154637</v>
      </c>
    </row>
    <row r="69">
      <c r="A69" s="3">
        <f>IFERROR(__xludf.DUMMYFUNCTION("""COMPUTED_VALUE"""),45027.66666666667)</f>
        <v>45027.66667</v>
      </c>
      <c r="B69" s="2">
        <f>IFERROR(__xludf.DUMMYFUNCTION("""COMPUTED_VALUE"""),186.69)</f>
        <v>186.69</v>
      </c>
      <c r="C69" s="2">
        <f>IFERROR(__xludf.DUMMYFUNCTION("""COMPUTED_VALUE"""),189.19)</f>
        <v>189.19</v>
      </c>
      <c r="D69" s="2">
        <f>IFERROR(__xludf.DUMMYFUNCTION("""COMPUTED_VALUE"""),185.65)</f>
        <v>185.65</v>
      </c>
      <c r="E69" s="2">
        <f>IFERROR(__xludf.DUMMYFUNCTION("""COMPUTED_VALUE"""),186.79)</f>
        <v>186.79</v>
      </c>
      <c r="F69" s="2">
        <f>IFERROR(__xludf.DUMMYFUNCTION("""COMPUTED_VALUE"""),1.15770892E8)</f>
        <v>115770892</v>
      </c>
    </row>
    <row r="70">
      <c r="A70" s="3">
        <f>IFERROR(__xludf.DUMMYFUNCTION("""COMPUTED_VALUE"""),45028.66666666667)</f>
        <v>45028.66667</v>
      </c>
      <c r="B70" s="2">
        <f>IFERROR(__xludf.DUMMYFUNCTION("""COMPUTED_VALUE"""),190.74)</f>
        <v>190.74</v>
      </c>
      <c r="C70" s="2">
        <f>IFERROR(__xludf.DUMMYFUNCTION("""COMPUTED_VALUE"""),191.58)</f>
        <v>191.58</v>
      </c>
      <c r="D70" s="2">
        <f>IFERROR(__xludf.DUMMYFUNCTION("""COMPUTED_VALUE"""),180.31)</f>
        <v>180.31</v>
      </c>
      <c r="E70" s="2">
        <f>IFERROR(__xludf.DUMMYFUNCTION("""COMPUTED_VALUE"""),180.54)</f>
        <v>180.54</v>
      </c>
      <c r="F70" s="2">
        <f>IFERROR(__xludf.DUMMYFUNCTION("""COMPUTED_VALUE"""),1.50256278E8)</f>
        <v>150256278</v>
      </c>
    </row>
    <row r="71">
      <c r="A71" s="3">
        <f>IFERROR(__xludf.DUMMYFUNCTION("""COMPUTED_VALUE"""),45029.66666666667)</f>
        <v>45029.66667</v>
      </c>
      <c r="B71" s="2">
        <f>IFERROR(__xludf.DUMMYFUNCTION("""COMPUTED_VALUE"""),182.96)</f>
        <v>182.96</v>
      </c>
      <c r="C71" s="2">
        <f>IFERROR(__xludf.DUMMYFUNCTION("""COMPUTED_VALUE"""),186.5)</f>
        <v>186.5</v>
      </c>
      <c r="D71" s="2">
        <f>IFERROR(__xludf.DUMMYFUNCTION("""COMPUTED_VALUE"""),180.94)</f>
        <v>180.94</v>
      </c>
      <c r="E71" s="2">
        <f>IFERROR(__xludf.DUMMYFUNCTION("""COMPUTED_VALUE"""),185.9)</f>
        <v>185.9</v>
      </c>
      <c r="F71" s="2">
        <f>IFERROR(__xludf.DUMMYFUNCTION("""COMPUTED_VALUE"""),1.12932985E8)</f>
        <v>112932985</v>
      </c>
    </row>
    <row r="72">
      <c r="A72" s="3">
        <f>IFERROR(__xludf.DUMMYFUNCTION("""COMPUTED_VALUE"""),45030.66666666667)</f>
        <v>45030.66667</v>
      </c>
      <c r="B72" s="2">
        <f>IFERROR(__xludf.DUMMYFUNCTION("""COMPUTED_VALUE"""),183.95)</f>
        <v>183.95</v>
      </c>
      <c r="C72" s="2">
        <f>IFERROR(__xludf.DUMMYFUNCTION("""COMPUTED_VALUE"""),186.28)</f>
        <v>186.28</v>
      </c>
      <c r="D72" s="2">
        <f>IFERROR(__xludf.DUMMYFUNCTION("""COMPUTED_VALUE"""),182.01)</f>
        <v>182.01</v>
      </c>
      <c r="E72" s="2">
        <f>IFERROR(__xludf.DUMMYFUNCTION("""COMPUTED_VALUE"""),185.0)</f>
        <v>185</v>
      </c>
      <c r="F72" s="2">
        <f>IFERROR(__xludf.DUMMYFUNCTION("""COMPUTED_VALUE"""),9.6438664E7)</f>
        <v>96438664</v>
      </c>
    </row>
    <row r="73">
      <c r="A73" s="3">
        <f>IFERROR(__xludf.DUMMYFUNCTION("""COMPUTED_VALUE"""),45033.66666666667)</f>
        <v>45033.66667</v>
      </c>
      <c r="B73" s="2">
        <f>IFERROR(__xludf.DUMMYFUNCTION("""COMPUTED_VALUE"""),186.32)</f>
        <v>186.32</v>
      </c>
      <c r="C73" s="2">
        <f>IFERROR(__xludf.DUMMYFUNCTION("""COMPUTED_VALUE"""),189.69)</f>
        <v>189.69</v>
      </c>
      <c r="D73" s="2">
        <f>IFERROR(__xludf.DUMMYFUNCTION("""COMPUTED_VALUE"""),182.69)</f>
        <v>182.69</v>
      </c>
      <c r="E73" s="2">
        <f>IFERROR(__xludf.DUMMYFUNCTION("""COMPUTED_VALUE"""),187.04)</f>
        <v>187.04</v>
      </c>
      <c r="F73" s="2">
        <f>IFERROR(__xludf.DUMMYFUNCTION("""COMPUTED_VALUE"""),1.16662189E8)</f>
        <v>116662189</v>
      </c>
    </row>
    <row r="74">
      <c r="A74" s="3">
        <f>IFERROR(__xludf.DUMMYFUNCTION("""COMPUTED_VALUE"""),45034.66666666667)</f>
        <v>45034.66667</v>
      </c>
      <c r="B74" s="2">
        <f>IFERROR(__xludf.DUMMYFUNCTION("""COMPUTED_VALUE"""),187.15)</f>
        <v>187.15</v>
      </c>
      <c r="C74" s="2">
        <f>IFERROR(__xludf.DUMMYFUNCTION("""COMPUTED_VALUE"""),187.69)</f>
        <v>187.69</v>
      </c>
      <c r="D74" s="2">
        <f>IFERROR(__xludf.DUMMYFUNCTION("""COMPUTED_VALUE"""),183.58)</f>
        <v>183.58</v>
      </c>
      <c r="E74" s="2">
        <f>IFERROR(__xludf.DUMMYFUNCTION("""COMPUTED_VALUE"""),184.31)</f>
        <v>184.31</v>
      </c>
      <c r="F74" s="2">
        <f>IFERROR(__xludf.DUMMYFUNCTION("""COMPUTED_VALUE"""),9.2067016E7)</f>
        <v>92067016</v>
      </c>
    </row>
    <row r="75">
      <c r="A75" s="3">
        <f>IFERROR(__xludf.DUMMYFUNCTION("""COMPUTED_VALUE"""),45035.66666666667)</f>
        <v>45035.66667</v>
      </c>
      <c r="B75" s="2">
        <f>IFERROR(__xludf.DUMMYFUNCTION("""COMPUTED_VALUE"""),179.1)</f>
        <v>179.1</v>
      </c>
      <c r="C75" s="2">
        <f>IFERROR(__xludf.DUMMYFUNCTION("""COMPUTED_VALUE"""),183.5)</f>
        <v>183.5</v>
      </c>
      <c r="D75" s="2">
        <f>IFERROR(__xludf.DUMMYFUNCTION("""COMPUTED_VALUE"""),177.65)</f>
        <v>177.65</v>
      </c>
      <c r="E75" s="2">
        <f>IFERROR(__xludf.DUMMYFUNCTION("""COMPUTED_VALUE"""),180.59)</f>
        <v>180.59</v>
      </c>
      <c r="F75" s="2">
        <f>IFERROR(__xludf.DUMMYFUNCTION("""COMPUTED_VALUE"""),1.25732687E8)</f>
        <v>125732687</v>
      </c>
    </row>
    <row r="76">
      <c r="A76" s="3">
        <f>IFERROR(__xludf.DUMMYFUNCTION("""COMPUTED_VALUE"""),45036.66666666667)</f>
        <v>45036.66667</v>
      </c>
      <c r="B76" s="2">
        <f>IFERROR(__xludf.DUMMYFUNCTION("""COMPUTED_VALUE"""),166.17)</f>
        <v>166.17</v>
      </c>
      <c r="C76" s="2">
        <f>IFERROR(__xludf.DUMMYFUNCTION("""COMPUTED_VALUE"""),169.7)</f>
        <v>169.7</v>
      </c>
      <c r="D76" s="2">
        <f>IFERROR(__xludf.DUMMYFUNCTION("""COMPUTED_VALUE"""),160.56)</f>
        <v>160.56</v>
      </c>
      <c r="E76" s="2">
        <f>IFERROR(__xludf.DUMMYFUNCTION("""COMPUTED_VALUE"""),162.99)</f>
        <v>162.99</v>
      </c>
      <c r="F76" s="2">
        <f>IFERROR(__xludf.DUMMYFUNCTION("""COMPUTED_VALUE"""),2.10970819E8)</f>
        <v>210970819</v>
      </c>
    </row>
    <row r="77">
      <c r="A77" s="3">
        <f>IFERROR(__xludf.DUMMYFUNCTION("""COMPUTED_VALUE"""),45037.66666666667)</f>
        <v>45037.66667</v>
      </c>
      <c r="B77" s="2">
        <f>IFERROR(__xludf.DUMMYFUNCTION("""COMPUTED_VALUE"""),164.8)</f>
        <v>164.8</v>
      </c>
      <c r="C77" s="2">
        <f>IFERROR(__xludf.DUMMYFUNCTION("""COMPUTED_VALUE"""),166.0)</f>
        <v>166</v>
      </c>
      <c r="D77" s="2">
        <f>IFERROR(__xludf.DUMMYFUNCTION("""COMPUTED_VALUE"""),161.32)</f>
        <v>161.32</v>
      </c>
      <c r="E77" s="2">
        <f>IFERROR(__xludf.DUMMYFUNCTION("""COMPUTED_VALUE"""),165.08)</f>
        <v>165.08</v>
      </c>
      <c r="F77" s="2">
        <f>IFERROR(__xludf.DUMMYFUNCTION("""COMPUTED_VALUE"""),1.23538954E8)</f>
        <v>123538954</v>
      </c>
    </row>
    <row r="78">
      <c r="A78" s="3">
        <f>IFERROR(__xludf.DUMMYFUNCTION("""COMPUTED_VALUE"""),45040.66666666667)</f>
        <v>45040.66667</v>
      </c>
      <c r="B78" s="2">
        <f>IFERROR(__xludf.DUMMYFUNCTION("""COMPUTED_VALUE"""),164.65)</f>
        <v>164.65</v>
      </c>
      <c r="C78" s="2">
        <f>IFERROR(__xludf.DUMMYFUNCTION("""COMPUTED_VALUE"""),165.65)</f>
        <v>165.65</v>
      </c>
      <c r="D78" s="2">
        <f>IFERROR(__xludf.DUMMYFUNCTION("""COMPUTED_VALUE"""),158.61)</f>
        <v>158.61</v>
      </c>
      <c r="E78" s="2">
        <f>IFERROR(__xludf.DUMMYFUNCTION("""COMPUTED_VALUE"""),162.55)</f>
        <v>162.55</v>
      </c>
      <c r="F78" s="2">
        <f>IFERROR(__xludf.DUMMYFUNCTION("""COMPUTED_VALUE"""),1.40006559E8)</f>
        <v>140006559</v>
      </c>
    </row>
    <row r="79">
      <c r="A79" s="3">
        <f>IFERROR(__xludf.DUMMYFUNCTION("""COMPUTED_VALUE"""),45041.66666666667)</f>
        <v>45041.66667</v>
      </c>
      <c r="B79" s="2">
        <f>IFERROR(__xludf.DUMMYFUNCTION("""COMPUTED_VALUE"""),159.82)</f>
        <v>159.82</v>
      </c>
      <c r="C79" s="2">
        <f>IFERROR(__xludf.DUMMYFUNCTION("""COMPUTED_VALUE"""),163.47)</f>
        <v>163.47</v>
      </c>
      <c r="D79" s="2">
        <f>IFERROR(__xludf.DUMMYFUNCTION("""COMPUTED_VALUE"""),158.75)</f>
        <v>158.75</v>
      </c>
      <c r="E79" s="2">
        <f>IFERROR(__xludf.DUMMYFUNCTION("""COMPUTED_VALUE"""),160.67)</f>
        <v>160.67</v>
      </c>
      <c r="F79" s="2">
        <f>IFERROR(__xludf.DUMMYFUNCTION("""COMPUTED_VALUE"""),1.21999312E8)</f>
        <v>121999312</v>
      </c>
    </row>
    <row r="80">
      <c r="A80" s="3">
        <f>IFERROR(__xludf.DUMMYFUNCTION("""COMPUTED_VALUE"""),45042.66666666667)</f>
        <v>45042.66667</v>
      </c>
      <c r="B80" s="2">
        <f>IFERROR(__xludf.DUMMYFUNCTION("""COMPUTED_VALUE"""),160.29)</f>
        <v>160.29</v>
      </c>
      <c r="C80" s="2">
        <f>IFERROR(__xludf.DUMMYFUNCTION("""COMPUTED_VALUE"""),160.67)</f>
        <v>160.67</v>
      </c>
      <c r="D80" s="2">
        <f>IFERROR(__xludf.DUMMYFUNCTION("""COMPUTED_VALUE"""),153.14)</f>
        <v>153.14</v>
      </c>
      <c r="E80" s="2">
        <f>IFERROR(__xludf.DUMMYFUNCTION("""COMPUTED_VALUE"""),153.75)</f>
        <v>153.75</v>
      </c>
      <c r="F80" s="2">
        <f>IFERROR(__xludf.DUMMYFUNCTION("""COMPUTED_VALUE"""),1.53364142E8)</f>
        <v>153364142</v>
      </c>
    </row>
    <row r="81">
      <c r="A81" s="3">
        <f>IFERROR(__xludf.DUMMYFUNCTION("""COMPUTED_VALUE"""),45043.66666666667)</f>
        <v>45043.66667</v>
      </c>
      <c r="B81" s="2">
        <f>IFERROR(__xludf.DUMMYFUNCTION("""COMPUTED_VALUE"""),152.64)</f>
        <v>152.64</v>
      </c>
      <c r="C81" s="2">
        <f>IFERROR(__xludf.DUMMYFUNCTION("""COMPUTED_VALUE"""),160.48)</f>
        <v>160.48</v>
      </c>
      <c r="D81" s="2">
        <f>IFERROR(__xludf.DUMMYFUNCTION("""COMPUTED_VALUE"""),152.37)</f>
        <v>152.37</v>
      </c>
      <c r="E81" s="2">
        <f>IFERROR(__xludf.DUMMYFUNCTION("""COMPUTED_VALUE"""),160.19)</f>
        <v>160.19</v>
      </c>
      <c r="F81" s="2">
        <f>IFERROR(__xludf.DUMMYFUNCTION("""COMPUTED_VALUE"""),1.27015177E8)</f>
        <v>127015177</v>
      </c>
    </row>
    <row r="82">
      <c r="A82" s="3">
        <f>IFERROR(__xludf.DUMMYFUNCTION("""COMPUTED_VALUE"""),45044.66666666667)</f>
        <v>45044.66667</v>
      </c>
      <c r="B82" s="2">
        <f>IFERROR(__xludf.DUMMYFUNCTION("""COMPUTED_VALUE"""),160.9)</f>
        <v>160.9</v>
      </c>
      <c r="C82" s="2">
        <f>IFERROR(__xludf.DUMMYFUNCTION("""COMPUTED_VALUE"""),165.0)</f>
        <v>165</v>
      </c>
      <c r="D82" s="2">
        <f>IFERROR(__xludf.DUMMYFUNCTION("""COMPUTED_VALUE"""),157.32)</f>
        <v>157.32</v>
      </c>
      <c r="E82" s="2">
        <f>IFERROR(__xludf.DUMMYFUNCTION("""COMPUTED_VALUE"""),164.31)</f>
        <v>164.31</v>
      </c>
      <c r="F82" s="2">
        <f>IFERROR(__xludf.DUMMYFUNCTION("""COMPUTED_VALUE"""),1.22515812E8)</f>
        <v>122515812</v>
      </c>
    </row>
    <row r="83">
      <c r="A83" s="3">
        <f>IFERROR(__xludf.DUMMYFUNCTION("""COMPUTED_VALUE"""),45047.66666666667)</f>
        <v>45047.66667</v>
      </c>
      <c r="B83" s="2">
        <f>IFERROR(__xludf.DUMMYFUNCTION("""COMPUTED_VALUE"""),163.17)</f>
        <v>163.17</v>
      </c>
      <c r="C83" s="2">
        <f>IFERROR(__xludf.DUMMYFUNCTION("""COMPUTED_VALUE"""),163.28)</f>
        <v>163.28</v>
      </c>
      <c r="D83" s="2">
        <f>IFERROR(__xludf.DUMMYFUNCTION("""COMPUTED_VALUE"""),158.83)</f>
        <v>158.83</v>
      </c>
      <c r="E83" s="2">
        <f>IFERROR(__xludf.DUMMYFUNCTION("""COMPUTED_VALUE"""),161.83)</f>
        <v>161.83</v>
      </c>
      <c r="F83" s="2">
        <f>IFERROR(__xludf.DUMMYFUNCTION("""COMPUTED_VALUE"""),1.09015048E8)</f>
        <v>109015048</v>
      </c>
    </row>
    <row r="84">
      <c r="A84" s="3">
        <f>IFERROR(__xludf.DUMMYFUNCTION("""COMPUTED_VALUE"""),45048.66666666667)</f>
        <v>45048.66667</v>
      </c>
      <c r="B84" s="2">
        <f>IFERROR(__xludf.DUMMYFUNCTION("""COMPUTED_VALUE"""),161.88)</f>
        <v>161.88</v>
      </c>
      <c r="C84" s="2">
        <f>IFERROR(__xludf.DUMMYFUNCTION("""COMPUTED_VALUE"""),165.49)</f>
        <v>165.49</v>
      </c>
      <c r="D84" s="2">
        <f>IFERROR(__xludf.DUMMYFUNCTION("""COMPUTED_VALUE"""),158.93)</f>
        <v>158.93</v>
      </c>
      <c r="E84" s="2">
        <f>IFERROR(__xludf.DUMMYFUNCTION("""COMPUTED_VALUE"""),160.31)</f>
        <v>160.31</v>
      </c>
      <c r="F84" s="2">
        <f>IFERROR(__xludf.DUMMYFUNCTION("""COMPUTED_VALUE"""),1.28259744E8)</f>
        <v>128259744</v>
      </c>
    </row>
    <row r="85">
      <c r="A85" s="3">
        <f>IFERROR(__xludf.DUMMYFUNCTION("""COMPUTED_VALUE"""),45049.66666666667)</f>
        <v>45049.66667</v>
      </c>
      <c r="B85" s="2">
        <f>IFERROR(__xludf.DUMMYFUNCTION("""COMPUTED_VALUE"""),160.01)</f>
        <v>160.01</v>
      </c>
      <c r="C85" s="2">
        <f>IFERROR(__xludf.DUMMYFUNCTION("""COMPUTED_VALUE"""),165.0)</f>
        <v>165</v>
      </c>
      <c r="D85" s="2">
        <f>IFERROR(__xludf.DUMMYFUNCTION("""COMPUTED_VALUE"""),159.91)</f>
        <v>159.91</v>
      </c>
      <c r="E85" s="2">
        <f>IFERROR(__xludf.DUMMYFUNCTION("""COMPUTED_VALUE"""),160.61)</f>
        <v>160.61</v>
      </c>
      <c r="F85" s="2">
        <f>IFERROR(__xludf.DUMMYFUNCTION("""COMPUTED_VALUE"""),1.19727972E8)</f>
        <v>119727972</v>
      </c>
    </row>
    <row r="86">
      <c r="A86" s="3">
        <f>IFERROR(__xludf.DUMMYFUNCTION("""COMPUTED_VALUE"""),45050.66666666667)</f>
        <v>45050.66667</v>
      </c>
      <c r="B86" s="2">
        <f>IFERROR(__xludf.DUMMYFUNCTION("""COMPUTED_VALUE"""),162.71)</f>
        <v>162.71</v>
      </c>
      <c r="C86" s="2">
        <f>IFERROR(__xludf.DUMMYFUNCTION("""COMPUTED_VALUE"""),162.95)</f>
        <v>162.95</v>
      </c>
      <c r="D86" s="2">
        <f>IFERROR(__xludf.DUMMYFUNCTION("""COMPUTED_VALUE"""),159.65)</f>
        <v>159.65</v>
      </c>
      <c r="E86" s="2">
        <f>IFERROR(__xludf.DUMMYFUNCTION("""COMPUTED_VALUE"""),161.2)</f>
        <v>161.2</v>
      </c>
      <c r="F86" s="2">
        <f>IFERROR(__xludf.DUMMYFUNCTION("""COMPUTED_VALUE"""),9.5108492E7)</f>
        <v>95108492</v>
      </c>
    </row>
    <row r="87">
      <c r="A87" s="3">
        <f>IFERROR(__xludf.DUMMYFUNCTION("""COMPUTED_VALUE"""),45051.66666666667)</f>
        <v>45051.66667</v>
      </c>
      <c r="B87" s="2">
        <f>IFERROR(__xludf.DUMMYFUNCTION("""COMPUTED_VALUE"""),163.97)</f>
        <v>163.97</v>
      </c>
      <c r="C87" s="2">
        <f>IFERROR(__xludf.DUMMYFUNCTION("""COMPUTED_VALUE"""),170.79)</f>
        <v>170.79</v>
      </c>
      <c r="D87" s="2">
        <f>IFERROR(__xludf.DUMMYFUNCTION("""COMPUTED_VALUE"""),163.51)</f>
        <v>163.51</v>
      </c>
      <c r="E87" s="2">
        <f>IFERROR(__xludf.DUMMYFUNCTION("""COMPUTED_VALUE"""),170.06)</f>
        <v>170.06</v>
      </c>
      <c r="F87" s="2">
        <f>IFERROR(__xludf.DUMMYFUNCTION("""COMPUTED_VALUE"""),1.07607259E8)</f>
        <v>107607259</v>
      </c>
    </row>
    <row r="88">
      <c r="A88" s="3">
        <f>IFERROR(__xludf.DUMMYFUNCTION("""COMPUTED_VALUE"""),45054.66666666667)</f>
        <v>45054.66667</v>
      </c>
      <c r="B88" s="2">
        <f>IFERROR(__xludf.DUMMYFUNCTION("""COMPUTED_VALUE"""),173.72)</f>
        <v>173.72</v>
      </c>
      <c r="C88" s="2">
        <f>IFERROR(__xludf.DUMMYFUNCTION("""COMPUTED_VALUE"""),173.8)</f>
        <v>173.8</v>
      </c>
      <c r="D88" s="2">
        <f>IFERROR(__xludf.DUMMYFUNCTION("""COMPUTED_VALUE"""),169.19)</f>
        <v>169.19</v>
      </c>
      <c r="E88" s="2">
        <f>IFERROR(__xludf.DUMMYFUNCTION("""COMPUTED_VALUE"""),171.79)</f>
        <v>171.79</v>
      </c>
      <c r="F88" s="2">
        <f>IFERROR(__xludf.DUMMYFUNCTION("""COMPUTED_VALUE"""),1.12249449E8)</f>
        <v>112249449</v>
      </c>
    </row>
    <row r="89">
      <c r="A89" s="3">
        <f>IFERROR(__xludf.DUMMYFUNCTION("""COMPUTED_VALUE"""),45055.66666666667)</f>
        <v>45055.66667</v>
      </c>
      <c r="B89" s="2">
        <f>IFERROR(__xludf.DUMMYFUNCTION("""COMPUTED_VALUE"""),168.95)</f>
        <v>168.95</v>
      </c>
      <c r="C89" s="2">
        <f>IFERROR(__xludf.DUMMYFUNCTION("""COMPUTED_VALUE"""),169.82)</f>
        <v>169.82</v>
      </c>
      <c r="D89" s="2">
        <f>IFERROR(__xludf.DUMMYFUNCTION("""COMPUTED_VALUE"""),166.56)</f>
        <v>166.56</v>
      </c>
      <c r="E89" s="2">
        <f>IFERROR(__xludf.DUMMYFUNCTION("""COMPUTED_VALUE"""),169.15)</f>
        <v>169.15</v>
      </c>
      <c r="F89" s="2">
        <f>IFERROR(__xludf.DUMMYFUNCTION("""COMPUTED_VALUE"""),8.8965043E7)</f>
        <v>88965043</v>
      </c>
    </row>
    <row r="90">
      <c r="A90" s="3">
        <f>IFERROR(__xludf.DUMMYFUNCTION("""COMPUTED_VALUE"""),45056.66666666667)</f>
        <v>45056.66667</v>
      </c>
      <c r="B90" s="2">
        <f>IFERROR(__xludf.DUMMYFUNCTION("""COMPUTED_VALUE"""),172.55)</f>
        <v>172.55</v>
      </c>
      <c r="C90" s="2">
        <f>IFERROR(__xludf.DUMMYFUNCTION("""COMPUTED_VALUE"""),174.43)</f>
        <v>174.43</v>
      </c>
      <c r="D90" s="2">
        <f>IFERROR(__xludf.DUMMYFUNCTION("""COMPUTED_VALUE"""),166.68)</f>
        <v>166.68</v>
      </c>
      <c r="E90" s="2">
        <f>IFERROR(__xludf.DUMMYFUNCTION("""COMPUTED_VALUE"""),168.54)</f>
        <v>168.54</v>
      </c>
      <c r="F90" s="2">
        <f>IFERROR(__xludf.DUMMYFUNCTION("""COMPUTED_VALUE"""),1.19840693E8)</f>
        <v>119840693</v>
      </c>
    </row>
    <row r="91">
      <c r="A91" s="3">
        <f>IFERROR(__xludf.DUMMYFUNCTION("""COMPUTED_VALUE"""),45057.66666666667)</f>
        <v>45057.66667</v>
      </c>
      <c r="B91" s="2">
        <f>IFERROR(__xludf.DUMMYFUNCTION("""COMPUTED_VALUE"""),168.7)</f>
        <v>168.7</v>
      </c>
      <c r="C91" s="2">
        <f>IFERROR(__xludf.DUMMYFUNCTION("""COMPUTED_VALUE"""),173.57)</f>
        <v>173.57</v>
      </c>
      <c r="D91" s="2">
        <f>IFERROR(__xludf.DUMMYFUNCTION("""COMPUTED_VALUE"""),166.79)</f>
        <v>166.79</v>
      </c>
      <c r="E91" s="2">
        <f>IFERROR(__xludf.DUMMYFUNCTION("""COMPUTED_VALUE"""),172.08)</f>
        <v>172.08</v>
      </c>
      <c r="F91" s="2">
        <f>IFERROR(__xludf.DUMMYFUNCTION("""COMPUTED_VALUE"""),1.0388993E8)</f>
        <v>103889930</v>
      </c>
    </row>
    <row r="92">
      <c r="A92" s="3">
        <f>IFERROR(__xludf.DUMMYFUNCTION("""COMPUTED_VALUE"""),45058.66666666667)</f>
        <v>45058.66667</v>
      </c>
      <c r="B92" s="2">
        <f>IFERROR(__xludf.DUMMYFUNCTION("""COMPUTED_VALUE"""),176.07)</f>
        <v>176.07</v>
      </c>
      <c r="C92" s="2">
        <f>IFERROR(__xludf.DUMMYFUNCTION("""COMPUTED_VALUE"""),177.38)</f>
        <v>177.38</v>
      </c>
      <c r="D92" s="2">
        <f>IFERROR(__xludf.DUMMYFUNCTION("""COMPUTED_VALUE"""),167.23)</f>
        <v>167.23</v>
      </c>
      <c r="E92" s="2">
        <f>IFERROR(__xludf.DUMMYFUNCTION("""COMPUTED_VALUE"""),167.98)</f>
        <v>167.98</v>
      </c>
      <c r="F92" s="2">
        <f>IFERROR(__xludf.DUMMYFUNCTION("""COMPUTED_VALUE"""),1.57849625E8)</f>
        <v>157849625</v>
      </c>
    </row>
    <row r="93">
      <c r="A93" s="3">
        <f>IFERROR(__xludf.DUMMYFUNCTION("""COMPUTED_VALUE"""),45061.66666666667)</f>
        <v>45061.66667</v>
      </c>
      <c r="B93" s="2">
        <f>IFERROR(__xludf.DUMMYFUNCTION("""COMPUTED_VALUE"""),167.66)</f>
        <v>167.66</v>
      </c>
      <c r="C93" s="2">
        <f>IFERROR(__xludf.DUMMYFUNCTION("""COMPUTED_VALUE"""),169.76)</f>
        <v>169.76</v>
      </c>
      <c r="D93" s="2">
        <f>IFERROR(__xludf.DUMMYFUNCTION("""COMPUTED_VALUE"""),164.55)</f>
        <v>164.55</v>
      </c>
      <c r="E93" s="2">
        <f>IFERROR(__xludf.DUMMYFUNCTION("""COMPUTED_VALUE"""),166.35)</f>
        <v>166.35</v>
      </c>
      <c r="F93" s="2">
        <f>IFERROR(__xludf.DUMMYFUNCTION("""COMPUTED_VALUE"""),1.0559251E8)</f>
        <v>105592510</v>
      </c>
    </row>
    <row r="94">
      <c r="A94" s="3">
        <f>IFERROR(__xludf.DUMMYFUNCTION("""COMPUTED_VALUE"""),45062.66666666667)</f>
        <v>45062.66667</v>
      </c>
      <c r="B94" s="2">
        <f>IFERROR(__xludf.DUMMYFUNCTION("""COMPUTED_VALUE"""),165.65)</f>
        <v>165.65</v>
      </c>
      <c r="C94" s="2">
        <f>IFERROR(__xludf.DUMMYFUNCTION("""COMPUTED_VALUE"""),169.52)</f>
        <v>169.52</v>
      </c>
      <c r="D94" s="2">
        <f>IFERROR(__xludf.DUMMYFUNCTION("""COMPUTED_VALUE"""),164.35)</f>
        <v>164.35</v>
      </c>
      <c r="E94" s="2">
        <f>IFERROR(__xludf.DUMMYFUNCTION("""COMPUTED_VALUE"""),166.52)</f>
        <v>166.52</v>
      </c>
      <c r="F94" s="2">
        <f>IFERROR(__xludf.DUMMYFUNCTION("""COMPUTED_VALUE"""),9.8288792E7)</f>
        <v>98288792</v>
      </c>
    </row>
    <row r="95">
      <c r="A95" s="3">
        <f>IFERROR(__xludf.DUMMYFUNCTION("""COMPUTED_VALUE"""),45063.66666666667)</f>
        <v>45063.66667</v>
      </c>
      <c r="B95" s="2">
        <f>IFERROR(__xludf.DUMMYFUNCTION("""COMPUTED_VALUE"""),168.41)</f>
        <v>168.41</v>
      </c>
      <c r="C95" s="2">
        <f>IFERROR(__xludf.DUMMYFUNCTION("""COMPUTED_VALUE"""),174.5)</f>
        <v>174.5</v>
      </c>
      <c r="D95" s="2">
        <f>IFERROR(__xludf.DUMMYFUNCTION("""COMPUTED_VALUE"""),167.19)</f>
        <v>167.19</v>
      </c>
      <c r="E95" s="2">
        <f>IFERROR(__xludf.DUMMYFUNCTION("""COMPUTED_VALUE"""),173.86)</f>
        <v>173.86</v>
      </c>
      <c r="F95" s="2">
        <f>IFERROR(__xludf.DUMMYFUNCTION("""COMPUTED_VALUE"""),1.25473558E8)</f>
        <v>125473558</v>
      </c>
    </row>
    <row r="96">
      <c r="A96" s="3">
        <f>IFERROR(__xludf.DUMMYFUNCTION("""COMPUTED_VALUE"""),45064.66666666667)</f>
        <v>45064.66667</v>
      </c>
      <c r="B96" s="2">
        <f>IFERROR(__xludf.DUMMYFUNCTION("""COMPUTED_VALUE"""),174.22)</f>
        <v>174.22</v>
      </c>
      <c r="C96" s="2">
        <f>IFERROR(__xludf.DUMMYFUNCTION("""COMPUTED_VALUE"""),177.06)</f>
        <v>177.06</v>
      </c>
      <c r="D96" s="2">
        <f>IFERROR(__xludf.DUMMYFUNCTION("""COMPUTED_VALUE"""),172.45)</f>
        <v>172.45</v>
      </c>
      <c r="E96" s="2">
        <f>IFERROR(__xludf.DUMMYFUNCTION("""COMPUTED_VALUE"""),176.89)</f>
        <v>176.89</v>
      </c>
      <c r="F96" s="2">
        <f>IFERROR(__xludf.DUMMYFUNCTION("""COMPUTED_VALUE"""),1.09520332E8)</f>
        <v>109520332</v>
      </c>
    </row>
    <row r="97">
      <c r="A97" s="3">
        <f>IFERROR(__xludf.DUMMYFUNCTION("""COMPUTED_VALUE"""),45065.66666666667)</f>
        <v>45065.66667</v>
      </c>
      <c r="B97" s="2">
        <f>IFERROR(__xludf.DUMMYFUNCTION("""COMPUTED_VALUE"""),177.17)</f>
        <v>177.17</v>
      </c>
      <c r="C97" s="2">
        <f>IFERROR(__xludf.DUMMYFUNCTION("""COMPUTED_VALUE"""),181.95)</f>
        <v>181.95</v>
      </c>
      <c r="D97" s="2">
        <f>IFERROR(__xludf.DUMMYFUNCTION("""COMPUTED_VALUE"""),176.31)</f>
        <v>176.31</v>
      </c>
      <c r="E97" s="2">
        <f>IFERROR(__xludf.DUMMYFUNCTION("""COMPUTED_VALUE"""),180.14)</f>
        <v>180.14</v>
      </c>
      <c r="F97" s="2">
        <f>IFERROR(__xludf.DUMMYFUNCTION("""COMPUTED_VALUE"""),1.36196668E8)</f>
        <v>136196668</v>
      </c>
    </row>
    <row r="98">
      <c r="A98" s="3">
        <f>IFERROR(__xludf.DUMMYFUNCTION("""COMPUTED_VALUE"""),45068.66666666667)</f>
        <v>45068.66667</v>
      </c>
      <c r="B98" s="2">
        <f>IFERROR(__xludf.DUMMYFUNCTION("""COMPUTED_VALUE"""),180.7)</f>
        <v>180.7</v>
      </c>
      <c r="C98" s="2">
        <f>IFERROR(__xludf.DUMMYFUNCTION("""COMPUTED_VALUE"""),189.32)</f>
        <v>189.32</v>
      </c>
      <c r="D98" s="2">
        <f>IFERROR(__xludf.DUMMYFUNCTION("""COMPUTED_VALUE"""),180.11)</f>
        <v>180.11</v>
      </c>
      <c r="E98" s="2">
        <f>IFERROR(__xludf.DUMMYFUNCTION("""COMPUTED_VALUE"""),188.87)</f>
        <v>188.87</v>
      </c>
      <c r="F98" s="2">
        <f>IFERROR(__xludf.DUMMYFUNCTION("""COMPUTED_VALUE"""),1.3200143E8)</f>
        <v>132001430</v>
      </c>
    </row>
    <row r="99">
      <c r="A99" s="3">
        <f>IFERROR(__xludf.DUMMYFUNCTION("""COMPUTED_VALUE"""),45069.66666666667)</f>
        <v>45069.66667</v>
      </c>
      <c r="B99" s="2">
        <f>IFERROR(__xludf.DUMMYFUNCTION("""COMPUTED_VALUE"""),186.2)</f>
        <v>186.2</v>
      </c>
      <c r="C99" s="2">
        <f>IFERROR(__xludf.DUMMYFUNCTION("""COMPUTED_VALUE"""),192.96)</f>
        <v>192.96</v>
      </c>
      <c r="D99" s="2">
        <f>IFERROR(__xludf.DUMMYFUNCTION("""COMPUTED_VALUE"""),185.26)</f>
        <v>185.26</v>
      </c>
      <c r="E99" s="2">
        <f>IFERROR(__xludf.DUMMYFUNCTION("""COMPUTED_VALUE"""),185.77)</f>
        <v>185.77</v>
      </c>
      <c r="F99" s="2">
        <f>IFERROR(__xludf.DUMMYFUNCTION("""COMPUTED_VALUE"""),1.5695213E8)</f>
        <v>156952130</v>
      </c>
    </row>
    <row r="100">
      <c r="A100" s="3">
        <f>IFERROR(__xludf.DUMMYFUNCTION("""COMPUTED_VALUE"""),45070.66666666667)</f>
        <v>45070.66667</v>
      </c>
      <c r="B100" s="2">
        <f>IFERROR(__xludf.DUMMYFUNCTION("""COMPUTED_VALUE"""),182.23)</f>
        <v>182.23</v>
      </c>
      <c r="C100" s="2">
        <f>IFERROR(__xludf.DUMMYFUNCTION("""COMPUTED_VALUE"""),184.22)</f>
        <v>184.22</v>
      </c>
      <c r="D100" s="2">
        <f>IFERROR(__xludf.DUMMYFUNCTION("""COMPUTED_VALUE"""),178.22)</f>
        <v>178.22</v>
      </c>
      <c r="E100" s="2">
        <f>IFERROR(__xludf.DUMMYFUNCTION("""COMPUTED_VALUE"""),182.9)</f>
        <v>182.9</v>
      </c>
      <c r="F100" s="2">
        <f>IFERROR(__xludf.DUMMYFUNCTION("""COMPUTED_VALUE"""),1.37605054E8)</f>
        <v>137605054</v>
      </c>
    </row>
    <row r="101">
      <c r="A101" s="3">
        <f>IFERROR(__xludf.DUMMYFUNCTION("""COMPUTED_VALUE"""),45071.66666666667)</f>
        <v>45071.66667</v>
      </c>
      <c r="B101" s="2">
        <f>IFERROR(__xludf.DUMMYFUNCTION("""COMPUTED_VALUE"""),186.54)</f>
        <v>186.54</v>
      </c>
      <c r="C101" s="2">
        <f>IFERROR(__xludf.DUMMYFUNCTION("""COMPUTED_VALUE"""),186.78)</f>
        <v>186.78</v>
      </c>
      <c r="D101" s="2">
        <f>IFERROR(__xludf.DUMMYFUNCTION("""COMPUTED_VALUE"""),180.58)</f>
        <v>180.58</v>
      </c>
      <c r="E101" s="2">
        <f>IFERROR(__xludf.DUMMYFUNCTION("""COMPUTED_VALUE"""),184.47)</f>
        <v>184.47</v>
      </c>
      <c r="F101" s="2">
        <f>IFERROR(__xludf.DUMMYFUNCTION("""COMPUTED_VALUE"""),9.6870719E7)</f>
        <v>96870719</v>
      </c>
    </row>
    <row r="102">
      <c r="A102" s="3">
        <f>IFERROR(__xludf.DUMMYFUNCTION("""COMPUTED_VALUE"""),45072.66666666667)</f>
        <v>45072.66667</v>
      </c>
      <c r="B102" s="2">
        <f>IFERROR(__xludf.DUMMYFUNCTION("""COMPUTED_VALUE"""),184.62)</f>
        <v>184.62</v>
      </c>
      <c r="C102" s="2">
        <f>IFERROR(__xludf.DUMMYFUNCTION("""COMPUTED_VALUE"""),198.6)</f>
        <v>198.6</v>
      </c>
      <c r="D102" s="2">
        <f>IFERROR(__xludf.DUMMYFUNCTION("""COMPUTED_VALUE"""),184.53)</f>
        <v>184.53</v>
      </c>
      <c r="E102" s="2">
        <f>IFERROR(__xludf.DUMMYFUNCTION("""COMPUTED_VALUE"""),193.17)</f>
        <v>193.17</v>
      </c>
      <c r="F102" s="2">
        <f>IFERROR(__xludf.DUMMYFUNCTION("""COMPUTED_VALUE"""),1.62061496E8)</f>
        <v>162061496</v>
      </c>
    </row>
    <row r="103">
      <c r="A103" s="3">
        <f>IFERROR(__xludf.DUMMYFUNCTION("""COMPUTED_VALUE"""),45076.66666666667)</f>
        <v>45076.66667</v>
      </c>
      <c r="B103" s="2">
        <f>IFERROR(__xludf.DUMMYFUNCTION("""COMPUTED_VALUE"""),200.1)</f>
        <v>200.1</v>
      </c>
      <c r="C103" s="2">
        <f>IFERROR(__xludf.DUMMYFUNCTION("""COMPUTED_VALUE"""),204.48)</f>
        <v>204.48</v>
      </c>
      <c r="D103" s="2">
        <f>IFERROR(__xludf.DUMMYFUNCTION("""COMPUTED_VALUE"""),197.53)</f>
        <v>197.53</v>
      </c>
      <c r="E103" s="2">
        <f>IFERROR(__xludf.DUMMYFUNCTION("""COMPUTED_VALUE"""),201.16)</f>
        <v>201.16</v>
      </c>
      <c r="F103" s="2">
        <f>IFERROR(__xludf.DUMMYFUNCTION("""COMPUTED_VALUE"""),1.28818746E8)</f>
        <v>128818746</v>
      </c>
    </row>
    <row r="104">
      <c r="A104" s="3">
        <f>IFERROR(__xludf.DUMMYFUNCTION("""COMPUTED_VALUE"""),45077.66666666667)</f>
        <v>45077.66667</v>
      </c>
      <c r="B104" s="2">
        <f>IFERROR(__xludf.DUMMYFUNCTION("""COMPUTED_VALUE"""),199.78)</f>
        <v>199.78</v>
      </c>
      <c r="C104" s="2">
        <f>IFERROR(__xludf.DUMMYFUNCTION("""COMPUTED_VALUE"""),203.95)</f>
        <v>203.95</v>
      </c>
      <c r="D104" s="2">
        <f>IFERROR(__xludf.DUMMYFUNCTION("""COMPUTED_VALUE"""),195.12)</f>
        <v>195.12</v>
      </c>
      <c r="E104" s="2">
        <f>IFERROR(__xludf.DUMMYFUNCTION("""COMPUTED_VALUE"""),203.93)</f>
        <v>203.93</v>
      </c>
      <c r="F104" s="2">
        <f>IFERROR(__xludf.DUMMYFUNCTION("""COMPUTED_VALUE"""),1.50711736E8)</f>
        <v>150711736</v>
      </c>
    </row>
    <row r="105">
      <c r="A105" s="3">
        <f>IFERROR(__xludf.DUMMYFUNCTION("""COMPUTED_VALUE"""),45078.66666666667)</f>
        <v>45078.66667</v>
      </c>
      <c r="B105" s="2">
        <f>IFERROR(__xludf.DUMMYFUNCTION("""COMPUTED_VALUE"""),202.59)</f>
        <v>202.59</v>
      </c>
      <c r="C105" s="2">
        <f>IFERROR(__xludf.DUMMYFUNCTION("""COMPUTED_VALUE"""),209.8)</f>
        <v>209.8</v>
      </c>
      <c r="D105" s="2">
        <f>IFERROR(__xludf.DUMMYFUNCTION("""COMPUTED_VALUE"""),199.37)</f>
        <v>199.37</v>
      </c>
      <c r="E105" s="2">
        <f>IFERROR(__xludf.DUMMYFUNCTION("""COMPUTED_VALUE"""),207.52)</f>
        <v>207.52</v>
      </c>
      <c r="F105" s="2">
        <f>IFERROR(__xludf.DUMMYFUNCTION("""COMPUTED_VALUE"""),1.48029931E8)</f>
        <v>148029931</v>
      </c>
    </row>
    <row r="106">
      <c r="A106" s="3">
        <f>IFERROR(__xludf.DUMMYFUNCTION("""COMPUTED_VALUE"""),45079.66666666667)</f>
        <v>45079.66667</v>
      </c>
      <c r="B106" s="2">
        <f>IFERROR(__xludf.DUMMYFUNCTION("""COMPUTED_VALUE"""),210.15)</f>
        <v>210.15</v>
      </c>
      <c r="C106" s="2">
        <f>IFERROR(__xludf.DUMMYFUNCTION("""COMPUTED_VALUE"""),217.25)</f>
        <v>217.25</v>
      </c>
      <c r="D106" s="2">
        <f>IFERROR(__xludf.DUMMYFUNCTION("""COMPUTED_VALUE"""),209.75)</f>
        <v>209.75</v>
      </c>
      <c r="E106" s="2">
        <f>IFERROR(__xludf.DUMMYFUNCTION("""COMPUTED_VALUE"""),213.97)</f>
        <v>213.97</v>
      </c>
      <c r="F106" s="2">
        <f>IFERROR(__xludf.DUMMYFUNCTION("""COMPUTED_VALUE"""),1.64398372E8)</f>
        <v>164398372</v>
      </c>
    </row>
    <row r="107">
      <c r="A107" s="3">
        <f>IFERROR(__xludf.DUMMYFUNCTION("""COMPUTED_VALUE"""),45082.66666666667)</f>
        <v>45082.66667</v>
      </c>
      <c r="B107" s="2">
        <f>IFERROR(__xludf.DUMMYFUNCTION("""COMPUTED_VALUE"""),217.8)</f>
        <v>217.8</v>
      </c>
      <c r="C107" s="2">
        <f>IFERROR(__xludf.DUMMYFUNCTION("""COMPUTED_VALUE"""),221.29)</f>
        <v>221.29</v>
      </c>
      <c r="D107" s="2">
        <f>IFERROR(__xludf.DUMMYFUNCTION("""COMPUTED_VALUE"""),214.52)</f>
        <v>214.52</v>
      </c>
      <c r="E107" s="2">
        <f>IFERROR(__xludf.DUMMYFUNCTION("""COMPUTED_VALUE"""),217.61)</f>
        <v>217.61</v>
      </c>
      <c r="F107" s="2">
        <f>IFERROR(__xludf.DUMMYFUNCTION("""COMPUTED_VALUE"""),1.51143052E8)</f>
        <v>151143052</v>
      </c>
    </row>
    <row r="108">
      <c r="A108" s="3">
        <f>IFERROR(__xludf.DUMMYFUNCTION("""COMPUTED_VALUE"""),45083.66666666667)</f>
        <v>45083.66667</v>
      </c>
      <c r="B108" s="2">
        <f>IFERROR(__xludf.DUMMYFUNCTION("""COMPUTED_VALUE"""),216.14)</f>
        <v>216.14</v>
      </c>
      <c r="C108" s="2">
        <f>IFERROR(__xludf.DUMMYFUNCTION("""COMPUTED_VALUE"""),221.91)</f>
        <v>221.91</v>
      </c>
      <c r="D108" s="2">
        <f>IFERROR(__xludf.DUMMYFUNCTION("""COMPUTED_VALUE"""),212.53)</f>
        <v>212.53</v>
      </c>
      <c r="E108" s="2">
        <f>IFERROR(__xludf.DUMMYFUNCTION("""COMPUTED_VALUE"""),221.31)</f>
        <v>221.31</v>
      </c>
      <c r="F108" s="2">
        <f>IFERROR(__xludf.DUMMYFUNCTION("""COMPUTED_VALUE"""),1.46911576E8)</f>
        <v>146911576</v>
      </c>
    </row>
    <row r="109">
      <c r="A109" s="3">
        <f>IFERROR(__xludf.DUMMYFUNCTION("""COMPUTED_VALUE"""),45084.66666666667)</f>
        <v>45084.66667</v>
      </c>
      <c r="B109" s="2">
        <f>IFERROR(__xludf.DUMMYFUNCTION("""COMPUTED_VALUE"""),228.0)</f>
        <v>228</v>
      </c>
      <c r="C109" s="2">
        <f>IFERROR(__xludf.DUMMYFUNCTION("""COMPUTED_VALUE"""),230.83)</f>
        <v>230.83</v>
      </c>
      <c r="D109" s="2">
        <f>IFERROR(__xludf.DUMMYFUNCTION("""COMPUTED_VALUE"""),223.2)</f>
        <v>223.2</v>
      </c>
      <c r="E109" s="2">
        <f>IFERROR(__xludf.DUMMYFUNCTION("""COMPUTED_VALUE"""),224.57)</f>
        <v>224.57</v>
      </c>
      <c r="F109" s="2">
        <f>IFERROR(__xludf.DUMMYFUNCTION("""COMPUTED_VALUE"""),1.85710777E8)</f>
        <v>185710777</v>
      </c>
    </row>
    <row r="110">
      <c r="A110" s="3">
        <f>IFERROR(__xludf.DUMMYFUNCTION("""COMPUTED_VALUE"""),45085.66666666667)</f>
        <v>45085.66667</v>
      </c>
      <c r="B110" s="2">
        <f>IFERROR(__xludf.DUMMYFUNCTION("""COMPUTED_VALUE"""),224.22)</f>
        <v>224.22</v>
      </c>
      <c r="C110" s="2">
        <f>IFERROR(__xludf.DUMMYFUNCTION("""COMPUTED_VALUE"""),235.23)</f>
        <v>235.23</v>
      </c>
      <c r="D110" s="2">
        <f>IFERROR(__xludf.DUMMYFUNCTION("""COMPUTED_VALUE"""),223.01)</f>
        <v>223.01</v>
      </c>
      <c r="E110" s="2">
        <f>IFERROR(__xludf.DUMMYFUNCTION("""COMPUTED_VALUE"""),234.86)</f>
        <v>234.86</v>
      </c>
      <c r="F110" s="2">
        <f>IFERROR(__xludf.DUMMYFUNCTION("""COMPUTED_VALUE"""),1.64489739E8)</f>
        <v>164489739</v>
      </c>
    </row>
    <row r="111">
      <c r="A111" s="3">
        <f>IFERROR(__xludf.DUMMYFUNCTION("""COMPUTED_VALUE"""),45086.66666666667)</f>
        <v>45086.66667</v>
      </c>
      <c r="B111" s="2">
        <f>IFERROR(__xludf.DUMMYFUNCTION("""COMPUTED_VALUE"""),249.07)</f>
        <v>249.07</v>
      </c>
      <c r="C111" s="2">
        <f>IFERROR(__xludf.DUMMYFUNCTION("""COMPUTED_VALUE"""),252.42)</f>
        <v>252.42</v>
      </c>
      <c r="D111" s="2">
        <f>IFERROR(__xludf.DUMMYFUNCTION("""COMPUTED_VALUE"""),242.02)</f>
        <v>242.02</v>
      </c>
      <c r="E111" s="2">
        <f>IFERROR(__xludf.DUMMYFUNCTION("""COMPUTED_VALUE"""),244.4)</f>
        <v>244.4</v>
      </c>
      <c r="F111" s="2">
        <f>IFERROR(__xludf.DUMMYFUNCTION("""COMPUTED_VALUE"""),2.00242371E8)</f>
        <v>200242371</v>
      </c>
    </row>
    <row r="112">
      <c r="A112" s="3">
        <f>IFERROR(__xludf.DUMMYFUNCTION("""COMPUTED_VALUE"""),45089.66666666667)</f>
        <v>45089.66667</v>
      </c>
      <c r="B112" s="2">
        <f>IFERROR(__xludf.DUMMYFUNCTION("""COMPUTED_VALUE"""),247.94)</f>
        <v>247.94</v>
      </c>
      <c r="C112" s="2">
        <f>IFERROR(__xludf.DUMMYFUNCTION("""COMPUTED_VALUE"""),250.97)</f>
        <v>250.97</v>
      </c>
      <c r="D112" s="2">
        <f>IFERROR(__xludf.DUMMYFUNCTION("""COMPUTED_VALUE"""),244.59)</f>
        <v>244.59</v>
      </c>
      <c r="E112" s="2">
        <f>IFERROR(__xludf.DUMMYFUNCTION("""COMPUTED_VALUE"""),249.83)</f>
        <v>249.83</v>
      </c>
      <c r="F112" s="2">
        <f>IFERROR(__xludf.DUMMYFUNCTION("""COMPUTED_VALUE"""),1.50740523E8)</f>
        <v>150740523</v>
      </c>
    </row>
    <row r="113">
      <c r="A113" s="3">
        <f>IFERROR(__xludf.DUMMYFUNCTION("""COMPUTED_VALUE"""),45090.66666666667)</f>
        <v>45090.66667</v>
      </c>
      <c r="B113" s="2">
        <f>IFERROR(__xludf.DUMMYFUNCTION("""COMPUTED_VALUE"""),253.51)</f>
        <v>253.51</v>
      </c>
      <c r="C113" s="2">
        <f>IFERROR(__xludf.DUMMYFUNCTION("""COMPUTED_VALUE"""),259.68)</f>
        <v>259.68</v>
      </c>
      <c r="D113" s="2">
        <f>IFERROR(__xludf.DUMMYFUNCTION("""COMPUTED_VALUE"""),251.34)</f>
        <v>251.34</v>
      </c>
      <c r="E113" s="2">
        <f>IFERROR(__xludf.DUMMYFUNCTION("""COMPUTED_VALUE"""),258.71)</f>
        <v>258.71</v>
      </c>
      <c r="F113" s="2">
        <f>IFERROR(__xludf.DUMMYFUNCTION("""COMPUTED_VALUE"""),1.62384343E8)</f>
        <v>162384343</v>
      </c>
    </row>
    <row r="114">
      <c r="A114" s="3">
        <f>IFERROR(__xludf.DUMMYFUNCTION("""COMPUTED_VALUE"""),45091.66666666667)</f>
        <v>45091.66667</v>
      </c>
      <c r="B114" s="2">
        <f>IFERROR(__xludf.DUMMYFUNCTION("""COMPUTED_VALUE"""),260.17)</f>
        <v>260.17</v>
      </c>
      <c r="C114" s="2">
        <f>IFERROR(__xludf.DUMMYFUNCTION("""COMPUTED_VALUE"""),261.57)</f>
        <v>261.57</v>
      </c>
      <c r="D114" s="2">
        <f>IFERROR(__xludf.DUMMYFUNCTION("""COMPUTED_VALUE"""),250.5)</f>
        <v>250.5</v>
      </c>
      <c r="E114" s="2">
        <f>IFERROR(__xludf.DUMMYFUNCTION("""COMPUTED_VALUE"""),256.79)</f>
        <v>256.79</v>
      </c>
      <c r="F114" s="2">
        <f>IFERROR(__xludf.DUMMYFUNCTION("""COMPUTED_VALUE"""),1.70575536E8)</f>
        <v>170575536</v>
      </c>
    </row>
    <row r="115">
      <c r="A115" s="3">
        <f>IFERROR(__xludf.DUMMYFUNCTION("""COMPUTED_VALUE"""),45092.66666666667)</f>
        <v>45092.66667</v>
      </c>
      <c r="B115" s="2">
        <f>IFERROR(__xludf.DUMMYFUNCTION("""COMPUTED_VALUE"""),248.4)</f>
        <v>248.4</v>
      </c>
      <c r="C115" s="2">
        <f>IFERROR(__xludf.DUMMYFUNCTION("""COMPUTED_VALUE"""),258.95)</f>
        <v>258.95</v>
      </c>
      <c r="D115" s="2">
        <f>IFERROR(__xludf.DUMMYFUNCTION("""COMPUTED_VALUE"""),247.29)</f>
        <v>247.29</v>
      </c>
      <c r="E115" s="2">
        <f>IFERROR(__xludf.DUMMYFUNCTION("""COMPUTED_VALUE"""),255.9)</f>
        <v>255.9</v>
      </c>
      <c r="F115" s="2">
        <f>IFERROR(__xludf.DUMMYFUNCTION("""COMPUTED_VALUE"""),1.60171238E8)</f>
        <v>160171238</v>
      </c>
    </row>
    <row r="116">
      <c r="A116" s="3">
        <f>IFERROR(__xludf.DUMMYFUNCTION("""COMPUTED_VALUE"""),45093.66666666667)</f>
        <v>45093.66667</v>
      </c>
      <c r="B116" s="2">
        <f>IFERROR(__xludf.DUMMYFUNCTION("""COMPUTED_VALUE"""),258.92)</f>
        <v>258.92</v>
      </c>
      <c r="C116" s="2">
        <f>IFERROR(__xludf.DUMMYFUNCTION("""COMPUTED_VALUE"""),263.6)</f>
        <v>263.6</v>
      </c>
      <c r="D116" s="2">
        <f>IFERROR(__xludf.DUMMYFUNCTION("""COMPUTED_VALUE"""),257.21)</f>
        <v>257.21</v>
      </c>
      <c r="E116" s="2">
        <f>IFERROR(__xludf.DUMMYFUNCTION("""COMPUTED_VALUE"""),260.54)</f>
        <v>260.54</v>
      </c>
      <c r="F116" s="2">
        <f>IFERROR(__xludf.DUMMYFUNCTION("""COMPUTED_VALUE"""),1.67915649E8)</f>
        <v>167915649</v>
      </c>
    </row>
    <row r="117">
      <c r="A117" s="3">
        <f>IFERROR(__xludf.DUMMYFUNCTION("""COMPUTED_VALUE"""),45097.66666666667)</f>
        <v>45097.66667</v>
      </c>
      <c r="B117" s="2">
        <f>IFERROR(__xludf.DUMMYFUNCTION("""COMPUTED_VALUE"""),261.5)</f>
        <v>261.5</v>
      </c>
      <c r="C117" s="2">
        <f>IFERROR(__xludf.DUMMYFUNCTION("""COMPUTED_VALUE"""),274.75)</f>
        <v>274.75</v>
      </c>
      <c r="D117" s="2">
        <f>IFERROR(__xludf.DUMMYFUNCTION("""COMPUTED_VALUE"""),261.12)</f>
        <v>261.12</v>
      </c>
      <c r="E117" s="2">
        <f>IFERROR(__xludf.DUMMYFUNCTION("""COMPUTED_VALUE"""),274.45)</f>
        <v>274.45</v>
      </c>
      <c r="F117" s="2">
        <f>IFERROR(__xludf.DUMMYFUNCTION("""COMPUTED_VALUE"""),1.65611217E8)</f>
        <v>165611217</v>
      </c>
    </row>
    <row r="118">
      <c r="A118" s="3">
        <f>IFERROR(__xludf.DUMMYFUNCTION("""COMPUTED_VALUE"""),45098.66666666667)</f>
        <v>45098.66667</v>
      </c>
      <c r="B118" s="2">
        <f>IFERROR(__xludf.DUMMYFUNCTION("""COMPUTED_VALUE"""),275.13)</f>
        <v>275.13</v>
      </c>
      <c r="C118" s="2">
        <f>IFERROR(__xludf.DUMMYFUNCTION("""COMPUTED_VALUE"""),276.99)</f>
        <v>276.99</v>
      </c>
      <c r="D118" s="2">
        <f>IFERROR(__xludf.DUMMYFUNCTION("""COMPUTED_VALUE"""),257.78)</f>
        <v>257.78</v>
      </c>
      <c r="E118" s="2">
        <f>IFERROR(__xludf.DUMMYFUNCTION("""COMPUTED_VALUE"""),259.46)</f>
        <v>259.46</v>
      </c>
      <c r="F118" s="2">
        <f>IFERROR(__xludf.DUMMYFUNCTION("""COMPUTED_VALUE"""),2.11797109E8)</f>
        <v>211797109</v>
      </c>
    </row>
    <row r="119">
      <c r="A119" s="3">
        <f>IFERROR(__xludf.DUMMYFUNCTION("""COMPUTED_VALUE"""),45099.66666666667)</f>
        <v>45099.66667</v>
      </c>
      <c r="B119" s="2">
        <f>IFERROR(__xludf.DUMMYFUNCTION("""COMPUTED_VALUE"""),250.77)</f>
        <v>250.77</v>
      </c>
      <c r="C119" s="2">
        <f>IFERROR(__xludf.DUMMYFUNCTION("""COMPUTED_VALUE"""),265.0)</f>
        <v>265</v>
      </c>
      <c r="D119" s="2">
        <f>IFERROR(__xludf.DUMMYFUNCTION("""COMPUTED_VALUE"""),248.25)</f>
        <v>248.25</v>
      </c>
      <c r="E119" s="2">
        <f>IFERROR(__xludf.DUMMYFUNCTION("""COMPUTED_VALUE"""),264.61)</f>
        <v>264.61</v>
      </c>
      <c r="F119" s="2">
        <f>IFERROR(__xludf.DUMMYFUNCTION("""COMPUTED_VALUE"""),1.66875944E8)</f>
        <v>166875944</v>
      </c>
    </row>
    <row r="120">
      <c r="A120" s="3">
        <f>IFERROR(__xludf.DUMMYFUNCTION("""COMPUTED_VALUE"""),45100.66666666667)</f>
        <v>45100.66667</v>
      </c>
      <c r="B120" s="2">
        <f>IFERROR(__xludf.DUMMYFUNCTION("""COMPUTED_VALUE"""),259.29)</f>
        <v>259.29</v>
      </c>
      <c r="C120" s="2">
        <f>IFERROR(__xludf.DUMMYFUNCTION("""COMPUTED_VALUE"""),262.45)</f>
        <v>262.45</v>
      </c>
      <c r="D120" s="2">
        <f>IFERROR(__xludf.DUMMYFUNCTION("""COMPUTED_VALUE"""),252.8)</f>
        <v>252.8</v>
      </c>
      <c r="E120" s="2">
        <f>IFERROR(__xludf.DUMMYFUNCTION("""COMPUTED_VALUE"""),256.6)</f>
        <v>256.6</v>
      </c>
      <c r="F120" s="2">
        <f>IFERROR(__xludf.DUMMYFUNCTION("""COMPUTED_VALUE"""),1.77460803E8)</f>
        <v>177460803</v>
      </c>
    </row>
    <row r="121">
      <c r="A121" s="3">
        <f>IFERROR(__xludf.DUMMYFUNCTION("""COMPUTED_VALUE"""),45103.66666666667)</f>
        <v>45103.66667</v>
      </c>
      <c r="B121" s="2">
        <f>IFERROR(__xludf.DUMMYFUNCTION("""COMPUTED_VALUE"""),250.07)</f>
        <v>250.07</v>
      </c>
      <c r="C121" s="2">
        <f>IFERROR(__xludf.DUMMYFUNCTION("""COMPUTED_VALUE"""),258.37)</f>
        <v>258.37</v>
      </c>
      <c r="D121" s="2">
        <f>IFERROR(__xludf.DUMMYFUNCTION("""COMPUTED_VALUE"""),240.7)</f>
        <v>240.7</v>
      </c>
      <c r="E121" s="2">
        <f>IFERROR(__xludf.DUMMYFUNCTION("""COMPUTED_VALUE"""),241.05)</f>
        <v>241.05</v>
      </c>
      <c r="F121" s="2">
        <f>IFERROR(__xludf.DUMMYFUNCTION("""COMPUTED_VALUE"""),1.79990552E8)</f>
        <v>179990552</v>
      </c>
    </row>
    <row r="122">
      <c r="A122" s="3">
        <f>IFERROR(__xludf.DUMMYFUNCTION("""COMPUTED_VALUE"""),45104.66666666667)</f>
        <v>45104.66667</v>
      </c>
      <c r="B122" s="2">
        <f>IFERROR(__xludf.DUMMYFUNCTION("""COMPUTED_VALUE"""),243.24)</f>
        <v>243.24</v>
      </c>
      <c r="C122" s="2">
        <f>IFERROR(__xludf.DUMMYFUNCTION("""COMPUTED_VALUE"""),250.39)</f>
        <v>250.39</v>
      </c>
      <c r="D122" s="2">
        <f>IFERROR(__xludf.DUMMYFUNCTION("""COMPUTED_VALUE"""),240.85)</f>
        <v>240.85</v>
      </c>
      <c r="E122" s="2">
        <f>IFERROR(__xludf.DUMMYFUNCTION("""COMPUTED_VALUE"""),250.21)</f>
        <v>250.21</v>
      </c>
      <c r="F122" s="2">
        <f>IFERROR(__xludf.DUMMYFUNCTION("""COMPUTED_VALUE"""),1.64968214E8)</f>
        <v>164968214</v>
      </c>
    </row>
    <row r="123">
      <c r="A123" s="3">
        <f>IFERROR(__xludf.DUMMYFUNCTION("""COMPUTED_VALUE"""),45105.66666666667)</f>
        <v>45105.66667</v>
      </c>
      <c r="B123" s="2">
        <f>IFERROR(__xludf.DUMMYFUNCTION("""COMPUTED_VALUE"""),249.7)</f>
        <v>249.7</v>
      </c>
      <c r="C123" s="2">
        <f>IFERROR(__xludf.DUMMYFUNCTION("""COMPUTED_VALUE"""),259.88)</f>
        <v>259.88</v>
      </c>
      <c r="D123" s="2">
        <f>IFERROR(__xludf.DUMMYFUNCTION("""COMPUTED_VALUE"""),248.89)</f>
        <v>248.89</v>
      </c>
      <c r="E123" s="2">
        <f>IFERROR(__xludf.DUMMYFUNCTION("""COMPUTED_VALUE"""),256.24)</f>
        <v>256.24</v>
      </c>
      <c r="F123" s="2">
        <f>IFERROR(__xludf.DUMMYFUNCTION("""COMPUTED_VALUE"""),1.59770797E8)</f>
        <v>159770797</v>
      </c>
    </row>
    <row r="124">
      <c r="A124" s="3">
        <f>IFERROR(__xludf.DUMMYFUNCTION("""COMPUTED_VALUE"""),45106.66666666667)</f>
        <v>45106.66667</v>
      </c>
      <c r="B124" s="2">
        <f>IFERROR(__xludf.DUMMYFUNCTION("""COMPUTED_VALUE"""),258.03)</f>
        <v>258.03</v>
      </c>
      <c r="C124" s="2">
        <f>IFERROR(__xludf.DUMMYFUNCTION("""COMPUTED_VALUE"""),260.74)</f>
        <v>260.74</v>
      </c>
      <c r="D124" s="2">
        <f>IFERROR(__xludf.DUMMYFUNCTION("""COMPUTED_VALUE"""),253.61)</f>
        <v>253.61</v>
      </c>
      <c r="E124" s="2">
        <f>IFERROR(__xludf.DUMMYFUNCTION("""COMPUTED_VALUE"""),257.5)</f>
        <v>257.5</v>
      </c>
      <c r="F124" s="2">
        <f>IFERROR(__xludf.DUMMYFUNCTION("""COMPUTED_VALUE"""),1.3128336E8)</f>
        <v>131283360</v>
      </c>
    </row>
    <row r="125">
      <c r="A125" s="3">
        <f>IFERROR(__xludf.DUMMYFUNCTION("""COMPUTED_VALUE"""),45107.66666666667)</f>
        <v>45107.66667</v>
      </c>
      <c r="B125" s="2">
        <f>IFERROR(__xludf.DUMMYFUNCTION("""COMPUTED_VALUE"""),260.6)</f>
        <v>260.6</v>
      </c>
      <c r="C125" s="2">
        <f>IFERROR(__xludf.DUMMYFUNCTION("""COMPUTED_VALUE"""),264.45)</f>
        <v>264.45</v>
      </c>
      <c r="D125" s="2">
        <f>IFERROR(__xludf.DUMMYFUNCTION("""COMPUTED_VALUE"""),259.89)</f>
        <v>259.89</v>
      </c>
      <c r="E125" s="2">
        <f>IFERROR(__xludf.DUMMYFUNCTION("""COMPUTED_VALUE"""),261.77)</f>
        <v>261.77</v>
      </c>
      <c r="F125" s="2">
        <f>IFERROR(__xludf.DUMMYFUNCTION("""COMPUTED_VALUE"""),1.12620784E8)</f>
        <v>112620784</v>
      </c>
    </row>
    <row r="126">
      <c r="A126" s="3">
        <f>IFERROR(__xludf.DUMMYFUNCTION("""COMPUTED_VALUE"""),45110.54513888889)</f>
        <v>45110.54514</v>
      </c>
      <c r="B126" s="2">
        <f>IFERROR(__xludf.DUMMYFUNCTION("""COMPUTED_VALUE"""),276.49)</f>
        <v>276.49</v>
      </c>
      <c r="C126" s="2">
        <f>IFERROR(__xludf.DUMMYFUNCTION("""COMPUTED_VALUE"""),284.25)</f>
        <v>284.25</v>
      </c>
      <c r="D126" s="2">
        <f>IFERROR(__xludf.DUMMYFUNCTION("""COMPUTED_VALUE"""),275.11)</f>
        <v>275.11</v>
      </c>
      <c r="E126" s="2">
        <f>IFERROR(__xludf.DUMMYFUNCTION("""COMPUTED_VALUE"""),279.82)</f>
        <v>279.82</v>
      </c>
      <c r="F126" s="2">
        <f>IFERROR(__xludf.DUMMYFUNCTION("""COMPUTED_VALUE"""),1.19685891E8)</f>
        <v>119685891</v>
      </c>
    </row>
    <row r="127">
      <c r="A127" s="3">
        <f>IFERROR(__xludf.DUMMYFUNCTION("""COMPUTED_VALUE"""),45112.66666666667)</f>
        <v>45112.66667</v>
      </c>
      <c r="B127" s="2">
        <f>IFERROR(__xludf.DUMMYFUNCTION("""COMPUTED_VALUE"""),278.82)</f>
        <v>278.82</v>
      </c>
      <c r="C127" s="2">
        <f>IFERROR(__xludf.DUMMYFUNCTION("""COMPUTED_VALUE"""),283.85)</f>
        <v>283.85</v>
      </c>
      <c r="D127" s="2">
        <f>IFERROR(__xludf.DUMMYFUNCTION("""COMPUTED_VALUE"""),277.6)</f>
        <v>277.6</v>
      </c>
      <c r="E127" s="2">
        <f>IFERROR(__xludf.DUMMYFUNCTION("""COMPUTED_VALUE"""),282.48)</f>
        <v>282.48</v>
      </c>
      <c r="F127" s="2">
        <f>IFERROR(__xludf.DUMMYFUNCTION("""COMPUTED_VALUE"""),1.31530862E8)</f>
        <v>131530862</v>
      </c>
    </row>
    <row r="128">
      <c r="A128" s="3">
        <f>IFERROR(__xludf.DUMMYFUNCTION("""COMPUTED_VALUE"""),45113.66666666667)</f>
        <v>45113.66667</v>
      </c>
      <c r="B128" s="2">
        <f>IFERROR(__xludf.DUMMYFUNCTION("""COMPUTED_VALUE"""),278.09)</f>
        <v>278.09</v>
      </c>
      <c r="C128" s="2">
        <f>IFERROR(__xludf.DUMMYFUNCTION("""COMPUTED_VALUE"""),279.97)</f>
        <v>279.97</v>
      </c>
      <c r="D128" s="2">
        <f>IFERROR(__xludf.DUMMYFUNCTION("""COMPUTED_VALUE"""),272.88)</f>
        <v>272.88</v>
      </c>
      <c r="E128" s="2">
        <f>IFERROR(__xludf.DUMMYFUNCTION("""COMPUTED_VALUE"""),276.54)</f>
        <v>276.54</v>
      </c>
      <c r="F128" s="2">
        <f>IFERROR(__xludf.DUMMYFUNCTION("""COMPUTED_VALUE"""),1.20707419E8)</f>
        <v>120707419</v>
      </c>
    </row>
    <row r="129">
      <c r="A129" s="3">
        <f>IFERROR(__xludf.DUMMYFUNCTION("""COMPUTED_VALUE"""),45114.66666666667)</f>
        <v>45114.66667</v>
      </c>
      <c r="B129" s="2">
        <f>IFERROR(__xludf.DUMMYFUNCTION("""COMPUTED_VALUE"""),278.43)</f>
        <v>278.43</v>
      </c>
      <c r="C129" s="2">
        <f>IFERROR(__xludf.DUMMYFUNCTION("""COMPUTED_VALUE"""),280.78)</f>
        <v>280.78</v>
      </c>
      <c r="D129" s="2">
        <f>IFERROR(__xludf.DUMMYFUNCTION("""COMPUTED_VALUE"""),273.77)</f>
        <v>273.77</v>
      </c>
      <c r="E129" s="2">
        <f>IFERROR(__xludf.DUMMYFUNCTION("""COMPUTED_VALUE"""),274.43)</f>
        <v>274.43</v>
      </c>
      <c r="F129" s="2">
        <f>IFERROR(__xludf.DUMMYFUNCTION("""COMPUTED_VALUE"""),1.13879174E8)</f>
        <v>113879174</v>
      </c>
    </row>
    <row r="130">
      <c r="A130" s="3">
        <f>IFERROR(__xludf.DUMMYFUNCTION("""COMPUTED_VALUE"""),45117.66666666667)</f>
        <v>45117.66667</v>
      </c>
      <c r="B130" s="2">
        <f>IFERROR(__xludf.DUMMYFUNCTION("""COMPUTED_VALUE"""),276.47)</f>
        <v>276.47</v>
      </c>
      <c r="C130" s="2">
        <f>IFERROR(__xludf.DUMMYFUNCTION("""COMPUTED_VALUE"""),277.52)</f>
        <v>277.52</v>
      </c>
      <c r="D130" s="2">
        <f>IFERROR(__xludf.DUMMYFUNCTION("""COMPUTED_VALUE"""),265.1)</f>
        <v>265.1</v>
      </c>
      <c r="E130" s="2">
        <f>IFERROR(__xludf.DUMMYFUNCTION("""COMPUTED_VALUE"""),269.61)</f>
        <v>269.61</v>
      </c>
      <c r="F130" s="2">
        <f>IFERROR(__xludf.DUMMYFUNCTION("""COMPUTED_VALUE"""),1.19425405E8)</f>
        <v>119425405</v>
      </c>
    </row>
    <row r="131">
      <c r="A131" s="3">
        <f>IFERROR(__xludf.DUMMYFUNCTION("""COMPUTED_VALUE"""),45118.66666666667)</f>
        <v>45118.66667</v>
      </c>
      <c r="B131" s="2">
        <f>IFERROR(__xludf.DUMMYFUNCTION("""COMPUTED_VALUE"""),268.65)</f>
        <v>268.65</v>
      </c>
      <c r="C131" s="2">
        <f>IFERROR(__xludf.DUMMYFUNCTION("""COMPUTED_VALUE"""),270.9)</f>
        <v>270.9</v>
      </c>
      <c r="D131" s="2">
        <f>IFERROR(__xludf.DUMMYFUNCTION("""COMPUTED_VALUE"""),266.37)</f>
        <v>266.37</v>
      </c>
      <c r="E131" s="2">
        <f>IFERROR(__xludf.DUMMYFUNCTION("""COMPUTED_VALUE"""),269.79)</f>
        <v>269.79</v>
      </c>
      <c r="F131" s="2">
        <f>IFERROR(__xludf.DUMMYFUNCTION("""COMPUTED_VALUE"""),9.1972358E7)</f>
        <v>91972358</v>
      </c>
    </row>
    <row r="132">
      <c r="A132" s="3">
        <f>IFERROR(__xludf.DUMMYFUNCTION("""COMPUTED_VALUE"""),45119.66666666667)</f>
        <v>45119.66667</v>
      </c>
      <c r="B132" s="2">
        <f>IFERROR(__xludf.DUMMYFUNCTION("""COMPUTED_VALUE"""),276.33)</f>
        <v>276.33</v>
      </c>
      <c r="C132" s="2">
        <f>IFERROR(__xludf.DUMMYFUNCTION("""COMPUTED_VALUE"""),276.52)</f>
        <v>276.52</v>
      </c>
      <c r="D132" s="2">
        <f>IFERROR(__xludf.DUMMYFUNCTION("""COMPUTED_VALUE"""),271.46)</f>
        <v>271.46</v>
      </c>
      <c r="E132" s="2">
        <f>IFERROR(__xludf.DUMMYFUNCTION("""COMPUTED_VALUE"""),271.99)</f>
        <v>271.99</v>
      </c>
      <c r="F132" s="2">
        <f>IFERROR(__xludf.DUMMYFUNCTION("""COMPUTED_VALUE"""),9.5672139E7)</f>
        <v>95672139</v>
      </c>
    </row>
    <row r="133">
      <c r="A133" s="3">
        <f>IFERROR(__xludf.DUMMYFUNCTION("""COMPUTED_VALUE"""),45120.66666666667)</f>
        <v>45120.66667</v>
      </c>
      <c r="B133" s="2">
        <f>IFERROR(__xludf.DUMMYFUNCTION("""COMPUTED_VALUE"""),274.59)</f>
        <v>274.59</v>
      </c>
      <c r="C133" s="2">
        <f>IFERROR(__xludf.DUMMYFUNCTION("""COMPUTED_VALUE"""),279.45)</f>
        <v>279.45</v>
      </c>
      <c r="D133" s="2">
        <f>IFERROR(__xludf.DUMMYFUNCTION("""COMPUTED_VALUE"""),270.6)</f>
        <v>270.6</v>
      </c>
      <c r="E133" s="2">
        <f>IFERROR(__xludf.DUMMYFUNCTION("""COMPUTED_VALUE"""),277.9)</f>
        <v>277.9</v>
      </c>
      <c r="F133" s="2">
        <f>IFERROR(__xludf.DUMMYFUNCTION("""COMPUTED_VALUE"""),1.12681458E8)</f>
        <v>112681458</v>
      </c>
    </row>
    <row r="134">
      <c r="A134" s="3">
        <f>IFERROR(__xludf.DUMMYFUNCTION("""COMPUTED_VALUE"""),45121.66666666667)</f>
        <v>45121.66667</v>
      </c>
      <c r="B134" s="2">
        <f>IFERROR(__xludf.DUMMYFUNCTION("""COMPUTED_VALUE"""),277.01)</f>
        <v>277.01</v>
      </c>
      <c r="C134" s="2">
        <f>IFERROR(__xludf.DUMMYFUNCTION("""COMPUTED_VALUE"""),285.3)</f>
        <v>285.3</v>
      </c>
      <c r="D134" s="2">
        <f>IFERROR(__xludf.DUMMYFUNCTION("""COMPUTED_VALUE"""),276.31)</f>
        <v>276.31</v>
      </c>
      <c r="E134" s="2">
        <f>IFERROR(__xludf.DUMMYFUNCTION("""COMPUTED_VALUE"""),281.38)</f>
        <v>281.38</v>
      </c>
      <c r="F134" s="2">
        <f>IFERROR(__xludf.DUMMYFUNCTION("""COMPUTED_VALUE"""),1.20062369E8)</f>
        <v>120062369</v>
      </c>
    </row>
    <row r="135">
      <c r="A135" s="3">
        <f>IFERROR(__xludf.DUMMYFUNCTION("""COMPUTED_VALUE"""),45124.66666666667)</f>
        <v>45124.66667</v>
      </c>
      <c r="B135" s="2">
        <f>IFERROR(__xludf.DUMMYFUNCTION("""COMPUTED_VALUE"""),286.63)</f>
        <v>286.63</v>
      </c>
      <c r="C135" s="2">
        <f>IFERROR(__xludf.DUMMYFUNCTION("""COMPUTED_VALUE"""),292.23)</f>
        <v>292.23</v>
      </c>
      <c r="D135" s="2">
        <f>IFERROR(__xludf.DUMMYFUNCTION("""COMPUTED_VALUE"""),283.57)</f>
        <v>283.57</v>
      </c>
      <c r="E135" s="2">
        <f>IFERROR(__xludf.DUMMYFUNCTION("""COMPUTED_VALUE"""),290.38)</f>
        <v>290.38</v>
      </c>
      <c r="F135" s="2">
        <f>IFERROR(__xludf.DUMMYFUNCTION("""COMPUTED_VALUE"""),1.31569593E8)</f>
        <v>131569593</v>
      </c>
    </row>
    <row r="136">
      <c r="A136" s="3">
        <f>IFERROR(__xludf.DUMMYFUNCTION("""COMPUTED_VALUE"""),45125.66666666667)</f>
        <v>45125.66667</v>
      </c>
      <c r="B136" s="2">
        <f>IFERROR(__xludf.DUMMYFUNCTION("""COMPUTED_VALUE"""),290.15)</f>
        <v>290.15</v>
      </c>
      <c r="C136" s="2">
        <f>IFERROR(__xludf.DUMMYFUNCTION("""COMPUTED_VALUE"""),295.26)</f>
        <v>295.26</v>
      </c>
      <c r="D136" s="2">
        <f>IFERROR(__xludf.DUMMYFUNCTION("""COMPUTED_VALUE"""),286.01)</f>
        <v>286.01</v>
      </c>
      <c r="E136" s="2">
        <f>IFERROR(__xludf.DUMMYFUNCTION("""COMPUTED_VALUE"""),293.34)</f>
        <v>293.34</v>
      </c>
      <c r="F136" s="2">
        <f>IFERROR(__xludf.DUMMYFUNCTION("""COMPUTED_VALUE"""),1.12434713E8)</f>
        <v>112434713</v>
      </c>
    </row>
    <row r="137">
      <c r="A137" s="3">
        <f>IFERROR(__xludf.DUMMYFUNCTION("""COMPUTED_VALUE"""),45126.66666666667)</f>
        <v>45126.66667</v>
      </c>
      <c r="B137" s="2">
        <f>IFERROR(__xludf.DUMMYFUNCTION("""COMPUTED_VALUE"""),296.04)</f>
        <v>296.04</v>
      </c>
      <c r="C137" s="2">
        <f>IFERROR(__xludf.DUMMYFUNCTION("""COMPUTED_VALUE"""),299.29)</f>
        <v>299.29</v>
      </c>
      <c r="D137" s="2">
        <f>IFERROR(__xludf.DUMMYFUNCTION("""COMPUTED_VALUE"""),289.52)</f>
        <v>289.52</v>
      </c>
      <c r="E137" s="2">
        <f>IFERROR(__xludf.DUMMYFUNCTION("""COMPUTED_VALUE"""),291.26)</f>
        <v>291.26</v>
      </c>
      <c r="F137" s="2">
        <f>IFERROR(__xludf.DUMMYFUNCTION("""COMPUTED_VALUE"""),1.42355353E8)</f>
        <v>142355353</v>
      </c>
    </row>
    <row r="138">
      <c r="A138" s="3">
        <f>IFERROR(__xludf.DUMMYFUNCTION("""COMPUTED_VALUE"""),45127.66666666667)</f>
        <v>45127.66667</v>
      </c>
      <c r="B138" s="2">
        <f>IFERROR(__xludf.DUMMYFUNCTION("""COMPUTED_VALUE"""),279.56)</f>
        <v>279.56</v>
      </c>
      <c r="C138" s="2">
        <f>IFERROR(__xludf.DUMMYFUNCTION("""COMPUTED_VALUE"""),280.93)</f>
        <v>280.93</v>
      </c>
      <c r="D138" s="2">
        <f>IFERROR(__xludf.DUMMYFUNCTION("""COMPUTED_VALUE"""),261.2)</f>
        <v>261.2</v>
      </c>
      <c r="E138" s="2">
        <f>IFERROR(__xludf.DUMMYFUNCTION("""COMPUTED_VALUE"""),262.9)</f>
        <v>262.9</v>
      </c>
      <c r="F138" s="2">
        <f>IFERROR(__xludf.DUMMYFUNCTION("""COMPUTED_VALUE"""),1.75158273E8)</f>
        <v>175158273</v>
      </c>
    </row>
    <row r="139">
      <c r="A139" s="3">
        <f>IFERROR(__xludf.DUMMYFUNCTION("""COMPUTED_VALUE"""),45128.66666666667)</f>
        <v>45128.66667</v>
      </c>
      <c r="B139" s="2">
        <f>IFERROR(__xludf.DUMMYFUNCTION("""COMPUTED_VALUE"""),268.0)</f>
        <v>268</v>
      </c>
      <c r="C139" s="2">
        <f>IFERROR(__xludf.DUMMYFUNCTION("""COMPUTED_VALUE"""),268.0)</f>
        <v>268</v>
      </c>
      <c r="D139" s="2">
        <f>IFERROR(__xludf.DUMMYFUNCTION("""COMPUTED_VALUE"""),255.8)</f>
        <v>255.8</v>
      </c>
      <c r="E139" s="2">
        <f>IFERROR(__xludf.DUMMYFUNCTION("""COMPUTED_VALUE"""),260.02)</f>
        <v>260.02</v>
      </c>
      <c r="F139" s="2">
        <f>IFERROR(__xludf.DUMMYFUNCTION("""COMPUTED_VALUE"""),1.61796073E8)</f>
        <v>161796073</v>
      </c>
    </row>
    <row r="140">
      <c r="A140" s="3">
        <f>IFERROR(__xludf.DUMMYFUNCTION("""COMPUTED_VALUE"""),45131.66666666667)</f>
        <v>45131.66667</v>
      </c>
      <c r="B140" s="2">
        <f>IFERROR(__xludf.DUMMYFUNCTION("""COMPUTED_VALUE"""),255.85)</f>
        <v>255.85</v>
      </c>
      <c r="C140" s="2">
        <f>IFERROR(__xludf.DUMMYFUNCTION("""COMPUTED_VALUE"""),269.85)</f>
        <v>269.85</v>
      </c>
      <c r="D140" s="2">
        <f>IFERROR(__xludf.DUMMYFUNCTION("""COMPUTED_VALUE"""),254.12)</f>
        <v>254.12</v>
      </c>
      <c r="E140" s="2">
        <f>IFERROR(__xludf.DUMMYFUNCTION("""COMPUTED_VALUE"""),269.06)</f>
        <v>269.06</v>
      </c>
      <c r="F140" s="2">
        <f>IFERROR(__xludf.DUMMYFUNCTION("""COMPUTED_VALUE"""),1.37005037E8)</f>
        <v>137005037</v>
      </c>
    </row>
    <row r="141">
      <c r="A141" s="3">
        <f>IFERROR(__xludf.DUMMYFUNCTION("""COMPUTED_VALUE"""),45132.66666666667)</f>
        <v>45132.66667</v>
      </c>
      <c r="B141" s="2">
        <f>IFERROR(__xludf.DUMMYFUNCTION("""COMPUTED_VALUE"""),272.38)</f>
        <v>272.38</v>
      </c>
      <c r="C141" s="2">
        <f>IFERROR(__xludf.DUMMYFUNCTION("""COMPUTED_VALUE"""),272.9)</f>
        <v>272.9</v>
      </c>
      <c r="D141" s="2">
        <f>IFERROR(__xludf.DUMMYFUNCTION("""COMPUTED_VALUE"""),265.0)</f>
        <v>265</v>
      </c>
      <c r="E141" s="2">
        <f>IFERROR(__xludf.DUMMYFUNCTION("""COMPUTED_VALUE"""),265.28)</f>
        <v>265.28</v>
      </c>
      <c r="F141" s="2">
        <f>IFERROR(__xludf.DUMMYFUNCTION("""COMPUTED_VALUE"""),1.12757327E8)</f>
        <v>112757327</v>
      </c>
    </row>
    <row r="142">
      <c r="A142" s="3">
        <f>IFERROR(__xludf.DUMMYFUNCTION("""COMPUTED_VALUE"""),45133.66666666667)</f>
        <v>45133.66667</v>
      </c>
      <c r="B142" s="2">
        <f>IFERROR(__xludf.DUMMYFUNCTION("""COMPUTED_VALUE"""),263.25)</f>
        <v>263.25</v>
      </c>
      <c r="C142" s="2">
        <f>IFERROR(__xludf.DUMMYFUNCTION("""COMPUTED_VALUE"""),268.04)</f>
        <v>268.04</v>
      </c>
      <c r="D142" s="2">
        <f>IFERROR(__xludf.DUMMYFUNCTION("""COMPUTED_VALUE"""),261.75)</f>
        <v>261.75</v>
      </c>
      <c r="E142" s="2">
        <f>IFERROR(__xludf.DUMMYFUNCTION("""COMPUTED_VALUE"""),264.35)</f>
        <v>264.35</v>
      </c>
      <c r="F142" s="2">
        <f>IFERROR(__xludf.DUMMYFUNCTION("""COMPUTED_VALUE"""),9.5856177E7)</f>
        <v>95856177</v>
      </c>
    </row>
    <row r="143">
      <c r="A143" s="3">
        <f>IFERROR(__xludf.DUMMYFUNCTION("""COMPUTED_VALUE"""),45134.66666666667)</f>
        <v>45134.66667</v>
      </c>
      <c r="B143" s="2">
        <f>IFERROR(__xludf.DUMMYFUNCTION("""COMPUTED_VALUE"""),268.31)</f>
        <v>268.31</v>
      </c>
      <c r="C143" s="2">
        <f>IFERROR(__xludf.DUMMYFUNCTION("""COMPUTED_VALUE"""),269.13)</f>
        <v>269.13</v>
      </c>
      <c r="D143" s="2">
        <f>IFERROR(__xludf.DUMMYFUNCTION("""COMPUTED_VALUE"""),255.3)</f>
        <v>255.3</v>
      </c>
      <c r="E143" s="2">
        <f>IFERROR(__xludf.DUMMYFUNCTION("""COMPUTED_VALUE"""),255.71)</f>
        <v>255.71</v>
      </c>
      <c r="F143" s="2">
        <f>IFERROR(__xludf.DUMMYFUNCTION("""COMPUTED_VALUE"""),1.03697263E8)</f>
        <v>103697263</v>
      </c>
    </row>
    <row r="144">
      <c r="A144" s="3">
        <f>IFERROR(__xludf.DUMMYFUNCTION("""COMPUTED_VALUE"""),45135.66666666667)</f>
        <v>45135.66667</v>
      </c>
      <c r="B144" s="2">
        <f>IFERROR(__xludf.DUMMYFUNCTION("""COMPUTED_VALUE"""),259.86)</f>
        <v>259.86</v>
      </c>
      <c r="C144" s="2">
        <f>IFERROR(__xludf.DUMMYFUNCTION("""COMPUTED_VALUE"""),267.25)</f>
        <v>267.25</v>
      </c>
      <c r="D144" s="2">
        <f>IFERROR(__xludf.DUMMYFUNCTION("""COMPUTED_VALUE"""),258.23)</f>
        <v>258.23</v>
      </c>
      <c r="E144" s="2">
        <f>IFERROR(__xludf.DUMMYFUNCTION("""COMPUTED_VALUE"""),266.44)</f>
        <v>266.44</v>
      </c>
      <c r="F144" s="2">
        <f>IFERROR(__xludf.DUMMYFUNCTION("""COMPUTED_VALUE"""),1.11446026E8)</f>
        <v>111446026</v>
      </c>
    </row>
    <row r="145">
      <c r="A145" s="3">
        <f>IFERROR(__xludf.DUMMYFUNCTION("""COMPUTED_VALUE"""),45138.66666666667)</f>
        <v>45138.66667</v>
      </c>
      <c r="B145" s="2">
        <f>IFERROR(__xludf.DUMMYFUNCTION("""COMPUTED_VALUE"""),267.48)</f>
        <v>267.48</v>
      </c>
      <c r="C145" s="2">
        <f>IFERROR(__xludf.DUMMYFUNCTION("""COMPUTED_VALUE"""),269.08)</f>
        <v>269.08</v>
      </c>
      <c r="D145" s="2">
        <f>IFERROR(__xludf.DUMMYFUNCTION("""COMPUTED_VALUE"""),263.78)</f>
        <v>263.78</v>
      </c>
      <c r="E145" s="2">
        <f>IFERROR(__xludf.DUMMYFUNCTION("""COMPUTED_VALUE"""),267.43)</f>
        <v>267.43</v>
      </c>
      <c r="F145" s="2">
        <f>IFERROR(__xludf.DUMMYFUNCTION("""COMPUTED_VALUE"""),8.4582172E7)</f>
        <v>84582172</v>
      </c>
    </row>
    <row r="146">
      <c r="A146" s="3">
        <f>IFERROR(__xludf.DUMMYFUNCTION("""COMPUTED_VALUE"""),45139.66666666667)</f>
        <v>45139.66667</v>
      </c>
      <c r="B146" s="2">
        <f>IFERROR(__xludf.DUMMYFUNCTION("""COMPUTED_VALUE"""),266.26)</f>
        <v>266.26</v>
      </c>
      <c r="C146" s="2">
        <f>IFERROR(__xludf.DUMMYFUNCTION("""COMPUTED_VALUE"""),266.47)</f>
        <v>266.47</v>
      </c>
      <c r="D146" s="2">
        <f>IFERROR(__xludf.DUMMYFUNCTION("""COMPUTED_VALUE"""),260.25)</f>
        <v>260.25</v>
      </c>
      <c r="E146" s="2">
        <f>IFERROR(__xludf.DUMMYFUNCTION("""COMPUTED_VALUE"""),261.07)</f>
        <v>261.07</v>
      </c>
      <c r="F146" s="2">
        <f>IFERROR(__xludf.DUMMYFUNCTION("""COMPUTED_VALUE"""),8.364572E7)</f>
        <v>83645720</v>
      </c>
    </row>
    <row r="147">
      <c r="A147" s="3">
        <f>IFERROR(__xludf.DUMMYFUNCTION("""COMPUTED_VALUE"""),45140.66666666667)</f>
        <v>45140.66667</v>
      </c>
      <c r="B147" s="2">
        <f>IFERROR(__xludf.DUMMYFUNCTION("""COMPUTED_VALUE"""),255.57)</f>
        <v>255.57</v>
      </c>
      <c r="C147" s="2">
        <f>IFERROR(__xludf.DUMMYFUNCTION("""COMPUTED_VALUE"""),259.52)</f>
        <v>259.52</v>
      </c>
      <c r="D147" s="2">
        <f>IFERROR(__xludf.DUMMYFUNCTION("""COMPUTED_VALUE"""),250.49)</f>
        <v>250.49</v>
      </c>
      <c r="E147" s="2">
        <f>IFERROR(__xludf.DUMMYFUNCTION("""COMPUTED_VALUE"""),254.11)</f>
        <v>254.11</v>
      </c>
      <c r="F147" s="2">
        <f>IFERROR(__xludf.DUMMYFUNCTION("""COMPUTED_VALUE"""),1.01752865E8)</f>
        <v>101752865</v>
      </c>
    </row>
    <row r="148">
      <c r="A148" s="3">
        <f>IFERROR(__xludf.DUMMYFUNCTION("""COMPUTED_VALUE"""),45141.66666666667)</f>
        <v>45141.66667</v>
      </c>
      <c r="B148" s="2">
        <f>IFERROR(__xludf.DUMMYFUNCTION("""COMPUTED_VALUE"""),252.04)</f>
        <v>252.04</v>
      </c>
      <c r="C148" s="2">
        <f>IFERROR(__xludf.DUMMYFUNCTION("""COMPUTED_VALUE"""),260.49)</f>
        <v>260.49</v>
      </c>
      <c r="D148" s="2">
        <f>IFERROR(__xludf.DUMMYFUNCTION("""COMPUTED_VALUE"""),252.0)</f>
        <v>252</v>
      </c>
      <c r="E148" s="2">
        <f>IFERROR(__xludf.DUMMYFUNCTION("""COMPUTED_VALUE"""),259.32)</f>
        <v>259.32</v>
      </c>
      <c r="F148" s="2">
        <f>IFERROR(__xludf.DUMMYFUNCTION("""COMPUTED_VALUE"""),9.7829545E7)</f>
        <v>97829545</v>
      </c>
    </row>
    <row r="149">
      <c r="A149" s="3">
        <f>IFERROR(__xludf.DUMMYFUNCTION("""COMPUTED_VALUE"""),45142.66666666667)</f>
        <v>45142.66667</v>
      </c>
      <c r="B149" s="2">
        <f>IFERROR(__xludf.DUMMYFUNCTION("""COMPUTED_VALUE"""),260.97)</f>
        <v>260.97</v>
      </c>
      <c r="C149" s="2">
        <f>IFERROR(__xludf.DUMMYFUNCTION("""COMPUTED_VALUE"""),264.77)</f>
        <v>264.77</v>
      </c>
      <c r="D149" s="2">
        <f>IFERROR(__xludf.DUMMYFUNCTION("""COMPUTED_VALUE"""),253.11)</f>
        <v>253.11</v>
      </c>
      <c r="E149" s="2">
        <f>IFERROR(__xludf.DUMMYFUNCTION("""COMPUTED_VALUE"""),253.86)</f>
        <v>253.86</v>
      </c>
      <c r="F149" s="2">
        <f>IFERROR(__xludf.DUMMYFUNCTION("""COMPUTED_VALUE"""),9.9539907E7)</f>
        <v>99539907</v>
      </c>
    </row>
    <row r="150">
      <c r="A150" s="3">
        <f>IFERROR(__xludf.DUMMYFUNCTION("""COMPUTED_VALUE"""),45145.66666666667)</f>
        <v>45145.66667</v>
      </c>
      <c r="B150" s="2">
        <f>IFERROR(__xludf.DUMMYFUNCTION("""COMPUTED_VALUE"""),251.45)</f>
        <v>251.45</v>
      </c>
      <c r="C150" s="2">
        <f>IFERROR(__xludf.DUMMYFUNCTION("""COMPUTED_VALUE"""),253.65)</f>
        <v>253.65</v>
      </c>
      <c r="D150" s="2">
        <f>IFERROR(__xludf.DUMMYFUNCTION("""COMPUTED_VALUE"""),242.76)</f>
        <v>242.76</v>
      </c>
      <c r="E150" s="2">
        <f>IFERROR(__xludf.DUMMYFUNCTION("""COMPUTED_VALUE"""),251.45)</f>
        <v>251.45</v>
      </c>
      <c r="F150" s="2">
        <f>IFERROR(__xludf.DUMMYFUNCTION("""COMPUTED_VALUE"""),1.11097943E8)</f>
        <v>111097943</v>
      </c>
    </row>
    <row r="151">
      <c r="A151" s="3">
        <f>IFERROR(__xludf.DUMMYFUNCTION("""COMPUTED_VALUE"""),45146.66666666667)</f>
        <v>45146.66667</v>
      </c>
      <c r="B151" s="2">
        <f>IFERROR(__xludf.DUMMYFUNCTION("""COMPUTED_VALUE"""),247.45)</f>
        <v>247.45</v>
      </c>
      <c r="C151" s="2">
        <f>IFERROR(__xludf.DUMMYFUNCTION("""COMPUTED_VALUE"""),250.92)</f>
        <v>250.92</v>
      </c>
      <c r="D151" s="2">
        <f>IFERROR(__xludf.DUMMYFUNCTION("""COMPUTED_VALUE"""),245.01)</f>
        <v>245.01</v>
      </c>
      <c r="E151" s="2">
        <f>IFERROR(__xludf.DUMMYFUNCTION("""COMPUTED_VALUE"""),249.7)</f>
        <v>249.7</v>
      </c>
      <c r="F151" s="2">
        <f>IFERROR(__xludf.DUMMYFUNCTION("""COMPUTED_VALUE"""),9.6642183E7)</f>
        <v>96642183</v>
      </c>
    </row>
    <row r="152">
      <c r="A152" s="3">
        <f>IFERROR(__xludf.DUMMYFUNCTION("""COMPUTED_VALUE"""),45147.66666666667)</f>
        <v>45147.66667</v>
      </c>
      <c r="B152" s="2">
        <f>IFERROR(__xludf.DUMMYFUNCTION("""COMPUTED_VALUE"""),250.87)</f>
        <v>250.87</v>
      </c>
      <c r="C152" s="2">
        <f>IFERROR(__xludf.DUMMYFUNCTION("""COMPUTED_VALUE"""),251.1)</f>
        <v>251.1</v>
      </c>
      <c r="D152" s="2">
        <f>IFERROR(__xludf.DUMMYFUNCTION("""COMPUTED_VALUE"""),241.9)</f>
        <v>241.9</v>
      </c>
      <c r="E152" s="2">
        <f>IFERROR(__xludf.DUMMYFUNCTION("""COMPUTED_VALUE"""),242.19)</f>
        <v>242.19</v>
      </c>
      <c r="F152" s="2">
        <f>IFERROR(__xludf.DUMMYFUNCTION("""COMPUTED_VALUE"""),1.01596324E8)</f>
        <v>101596324</v>
      </c>
    </row>
    <row r="153">
      <c r="A153" s="3">
        <f>IFERROR(__xludf.DUMMYFUNCTION("""COMPUTED_VALUE"""),45148.66666666667)</f>
        <v>45148.66667</v>
      </c>
      <c r="B153" s="2">
        <f>IFERROR(__xludf.DUMMYFUNCTION("""COMPUTED_VALUE"""),245.4)</f>
        <v>245.4</v>
      </c>
      <c r="C153" s="2">
        <f>IFERROR(__xludf.DUMMYFUNCTION("""COMPUTED_VALUE"""),251.8)</f>
        <v>251.8</v>
      </c>
      <c r="D153" s="2">
        <f>IFERROR(__xludf.DUMMYFUNCTION("""COMPUTED_VALUE"""),243.0)</f>
        <v>243</v>
      </c>
      <c r="E153" s="2">
        <f>IFERROR(__xludf.DUMMYFUNCTION("""COMPUTED_VALUE"""),245.34)</f>
        <v>245.34</v>
      </c>
      <c r="F153" s="2">
        <f>IFERROR(__xludf.DUMMYFUNCTION("""COMPUTED_VALUE"""),1.09498608E8)</f>
        <v>109498608</v>
      </c>
    </row>
    <row r="154">
      <c r="A154" s="3">
        <f>IFERROR(__xludf.DUMMYFUNCTION("""COMPUTED_VALUE"""),45149.66666666667)</f>
        <v>45149.66667</v>
      </c>
      <c r="B154" s="2">
        <f>IFERROR(__xludf.DUMMYFUNCTION("""COMPUTED_VALUE"""),241.77)</f>
        <v>241.77</v>
      </c>
      <c r="C154" s="2">
        <f>IFERROR(__xludf.DUMMYFUNCTION("""COMPUTED_VALUE"""),243.79)</f>
        <v>243.79</v>
      </c>
      <c r="D154" s="2">
        <f>IFERROR(__xludf.DUMMYFUNCTION("""COMPUTED_VALUE"""),238.02)</f>
        <v>238.02</v>
      </c>
      <c r="E154" s="2">
        <f>IFERROR(__xludf.DUMMYFUNCTION("""COMPUTED_VALUE"""),242.65)</f>
        <v>242.65</v>
      </c>
      <c r="F154" s="2">
        <f>IFERROR(__xludf.DUMMYFUNCTION("""COMPUTED_VALUE"""),9.9038642E7)</f>
        <v>99038642</v>
      </c>
    </row>
    <row r="155">
      <c r="A155" s="3">
        <f>IFERROR(__xludf.DUMMYFUNCTION("""COMPUTED_VALUE"""),45152.66666666667)</f>
        <v>45152.66667</v>
      </c>
      <c r="B155" s="2">
        <f>IFERROR(__xludf.DUMMYFUNCTION("""COMPUTED_VALUE"""),235.7)</f>
        <v>235.7</v>
      </c>
      <c r="C155" s="2">
        <f>IFERROR(__xludf.DUMMYFUNCTION("""COMPUTED_VALUE"""),240.66)</f>
        <v>240.66</v>
      </c>
      <c r="D155" s="2">
        <f>IFERROR(__xludf.DUMMYFUNCTION("""COMPUTED_VALUE"""),233.75)</f>
        <v>233.75</v>
      </c>
      <c r="E155" s="2">
        <f>IFERROR(__xludf.DUMMYFUNCTION("""COMPUTED_VALUE"""),239.76)</f>
        <v>239.76</v>
      </c>
      <c r="F155" s="2">
        <f>IFERROR(__xludf.DUMMYFUNCTION("""COMPUTED_VALUE"""),9.8595331E7)</f>
        <v>98595331</v>
      </c>
    </row>
    <row r="156">
      <c r="A156" s="3">
        <f>IFERROR(__xludf.DUMMYFUNCTION("""COMPUTED_VALUE"""),45153.66666666667)</f>
        <v>45153.66667</v>
      </c>
      <c r="B156" s="2">
        <f>IFERROR(__xludf.DUMMYFUNCTION("""COMPUTED_VALUE"""),238.73)</f>
        <v>238.73</v>
      </c>
      <c r="C156" s="2">
        <f>IFERROR(__xludf.DUMMYFUNCTION("""COMPUTED_VALUE"""),240.5)</f>
        <v>240.5</v>
      </c>
      <c r="D156" s="2">
        <f>IFERROR(__xludf.DUMMYFUNCTION("""COMPUTED_VALUE"""),232.61)</f>
        <v>232.61</v>
      </c>
      <c r="E156" s="2">
        <f>IFERROR(__xludf.DUMMYFUNCTION("""COMPUTED_VALUE"""),232.96)</f>
        <v>232.96</v>
      </c>
      <c r="F156" s="2">
        <f>IFERROR(__xludf.DUMMYFUNCTION("""COMPUTED_VALUE"""),8.8197599E7)</f>
        <v>88197599</v>
      </c>
    </row>
    <row r="157">
      <c r="A157" s="3">
        <f>IFERROR(__xludf.DUMMYFUNCTION("""COMPUTED_VALUE"""),45154.66666666667)</f>
        <v>45154.66667</v>
      </c>
      <c r="B157" s="2">
        <f>IFERROR(__xludf.DUMMYFUNCTION("""COMPUTED_VALUE"""),228.02)</f>
        <v>228.02</v>
      </c>
      <c r="C157" s="2">
        <f>IFERROR(__xludf.DUMMYFUNCTION("""COMPUTED_VALUE"""),233.97)</f>
        <v>233.97</v>
      </c>
      <c r="D157" s="2">
        <f>IFERROR(__xludf.DUMMYFUNCTION("""COMPUTED_VALUE"""),225.38)</f>
        <v>225.38</v>
      </c>
      <c r="E157" s="2">
        <f>IFERROR(__xludf.DUMMYFUNCTION("""COMPUTED_VALUE"""),225.6)</f>
        <v>225.6</v>
      </c>
      <c r="F157" s="2">
        <f>IFERROR(__xludf.DUMMYFUNCTION("""COMPUTED_VALUE"""),1.1248452E8)</f>
        <v>112484520</v>
      </c>
    </row>
    <row r="158">
      <c r="A158" s="3">
        <f>IFERROR(__xludf.DUMMYFUNCTION("""COMPUTED_VALUE"""),45155.66666666667)</f>
        <v>45155.66667</v>
      </c>
      <c r="B158" s="2">
        <f>IFERROR(__xludf.DUMMYFUNCTION("""COMPUTED_VALUE"""),226.06)</f>
        <v>226.06</v>
      </c>
      <c r="C158" s="2">
        <f>IFERROR(__xludf.DUMMYFUNCTION("""COMPUTED_VALUE"""),226.74)</f>
        <v>226.74</v>
      </c>
      <c r="D158" s="2">
        <f>IFERROR(__xludf.DUMMYFUNCTION("""COMPUTED_VALUE"""),218.83)</f>
        <v>218.83</v>
      </c>
      <c r="E158" s="2">
        <f>IFERROR(__xludf.DUMMYFUNCTION("""COMPUTED_VALUE"""),219.22)</f>
        <v>219.22</v>
      </c>
      <c r="F158" s="2">
        <f>IFERROR(__xludf.DUMMYFUNCTION("""COMPUTED_VALUE"""),1.20718417E8)</f>
        <v>120718417</v>
      </c>
    </row>
    <row r="159">
      <c r="A159" s="3">
        <f>IFERROR(__xludf.DUMMYFUNCTION("""COMPUTED_VALUE"""),45156.66666666667)</f>
        <v>45156.66667</v>
      </c>
      <c r="B159" s="2">
        <f>IFERROR(__xludf.DUMMYFUNCTION("""COMPUTED_VALUE"""),214.12)</f>
        <v>214.12</v>
      </c>
      <c r="C159" s="2">
        <f>IFERROR(__xludf.DUMMYFUNCTION("""COMPUTED_VALUE"""),217.58)</f>
        <v>217.58</v>
      </c>
      <c r="D159" s="2">
        <f>IFERROR(__xludf.DUMMYFUNCTION("""COMPUTED_VALUE"""),212.36)</f>
        <v>212.36</v>
      </c>
      <c r="E159" s="2">
        <f>IFERROR(__xludf.DUMMYFUNCTION("""COMPUTED_VALUE"""),215.49)</f>
        <v>215.49</v>
      </c>
      <c r="F159" s="2">
        <f>IFERROR(__xludf.DUMMYFUNCTION("""COMPUTED_VALUE"""),1.36276584E8)</f>
        <v>136276584</v>
      </c>
    </row>
    <row r="160">
      <c r="A160" s="3">
        <f>IFERROR(__xludf.DUMMYFUNCTION("""COMPUTED_VALUE"""),45159.66666666667)</f>
        <v>45159.66667</v>
      </c>
      <c r="B160" s="2">
        <f>IFERROR(__xludf.DUMMYFUNCTION("""COMPUTED_VALUE"""),221.55)</f>
        <v>221.55</v>
      </c>
      <c r="C160" s="2">
        <f>IFERROR(__xludf.DUMMYFUNCTION("""COMPUTED_VALUE"""),232.13)</f>
        <v>232.13</v>
      </c>
      <c r="D160" s="2">
        <f>IFERROR(__xludf.DUMMYFUNCTION("""COMPUTED_VALUE"""),220.58)</f>
        <v>220.58</v>
      </c>
      <c r="E160" s="2">
        <f>IFERROR(__xludf.DUMMYFUNCTION("""COMPUTED_VALUE"""),231.28)</f>
        <v>231.28</v>
      </c>
      <c r="F160" s="2">
        <f>IFERROR(__xludf.DUMMYFUNCTION("""COMPUTED_VALUE"""),1.35702671E8)</f>
        <v>135702671</v>
      </c>
    </row>
    <row r="161">
      <c r="A161" s="3">
        <f>IFERROR(__xludf.DUMMYFUNCTION("""COMPUTED_VALUE"""),45160.66666666667)</f>
        <v>45160.66667</v>
      </c>
      <c r="B161" s="2">
        <f>IFERROR(__xludf.DUMMYFUNCTION("""COMPUTED_VALUE"""),240.25)</f>
        <v>240.25</v>
      </c>
      <c r="C161" s="2">
        <f>IFERROR(__xludf.DUMMYFUNCTION("""COMPUTED_VALUE"""),240.82)</f>
        <v>240.82</v>
      </c>
      <c r="D161" s="2">
        <f>IFERROR(__xludf.DUMMYFUNCTION("""COMPUTED_VALUE"""),229.55)</f>
        <v>229.55</v>
      </c>
      <c r="E161" s="2">
        <f>IFERROR(__xludf.DUMMYFUNCTION("""COMPUTED_VALUE"""),233.19)</f>
        <v>233.19</v>
      </c>
      <c r="F161" s="2">
        <f>IFERROR(__xludf.DUMMYFUNCTION("""COMPUTED_VALUE"""),1.30597886E8)</f>
        <v>130597886</v>
      </c>
    </row>
    <row r="162">
      <c r="A162" s="3">
        <f>IFERROR(__xludf.DUMMYFUNCTION("""COMPUTED_VALUE"""),45161.66666666667)</f>
        <v>45161.66667</v>
      </c>
      <c r="B162" s="2">
        <f>IFERROR(__xludf.DUMMYFUNCTION("""COMPUTED_VALUE"""),229.34)</f>
        <v>229.34</v>
      </c>
      <c r="C162" s="2">
        <f>IFERROR(__xludf.DUMMYFUNCTION("""COMPUTED_VALUE"""),238.98)</f>
        <v>238.98</v>
      </c>
      <c r="D162" s="2">
        <f>IFERROR(__xludf.DUMMYFUNCTION("""COMPUTED_VALUE"""),229.29)</f>
        <v>229.29</v>
      </c>
      <c r="E162" s="2">
        <f>IFERROR(__xludf.DUMMYFUNCTION("""COMPUTED_VALUE"""),236.86)</f>
        <v>236.86</v>
      </c>
      <c r="F162" s="2">
        <f>IFERROR(__xludf.DUMMYFUNCTION("""COMPUTED_VALUE"""),1.01077635E8)</f>
        <v>101077635</v>
      </c>
    </row>
    <row r="163">
      <c r="A163" s="3">
        <f>IFERROR(__xludf.DUMMYFUNCTION("""COMPUTED_VALUE"""),45162.66666666667)</f>
        <v>45162.66667</v>
      </c>
      <c r="B163" s="2">
        <f>IFERROR(__xludf.DUMMYFUNCTION("""COMPUTED_VALUE"""),238.66)</f>
        <v>238.66</v>
      </c>
      <c r="C163" s="2">
        <f>IFERROR(__xludf.DUMMYFUNCTION("""COMPUTED_VALUE"""),238.92)</f>
        <v>238.92</v>
      </c>
      <c r="D163" s="2">
        <f>IFERROR(__xludf.DUMMYFUNCTION("""COMPUTED_VALUE"""),228.18)</f>
        <v>228.18</v>
      </c>
      <c r="E163" s="2">
        <f>IFERROR(__xludf.DUMMYFUNCTION("""COMPUTED_VALUE"""),230.04)</f>
        <v>230.04</v>
      </c>
      <c r="F163" s="2">
        <f>IFERROR(__xludf.DUMMYFUNCTION("""COMPUTED_VALUE"""),9.9777432E7)</f>
        <v>99777432</v>
      </c>
    </row>
    <row r="164">
      <c r="A164" s="3">
        <f>IFERROR(__xludf.DUMMYFUNCTION("""COMPUTED_VALUE"""),45163.66666666667)</f>
        <v>45163.66667</v>
      </c>
      <c r="B164" s="2">
        <f>IFERROR(__xludf.DUMMYFUNCTION("""COMPUTED_VALUE"""),231.31)</f>
        <v>231.31</v>
      </c>
      <c r="C164" s="2">
        <f>IFERROR(__xludf.DUMMYFUNCTION("""COMPUTED_VALUE"""),239.0)</f>
        <v>239</v>
      </c>
      <c r="D164" s="2">
        <f>IFERROR(__xludf.DUMMYFUNCTION("""COMPUTED_VALUE"""),230.35)</f>
        <v>230.35</v>
      </c>
      <c r="E164" s="2">
        <f>IFERROR(__xludf.DUMMYFUNCTION("""COMPUTED_VALUE"""),238.59)</f>
        <v>238.59</v>
      </c>
      <c r="F164" s="2">
        <f>IFERROR(__xludf.DUMMYFUNCTION("""COMPUTED_VALUE"""),1.06612231E8)</f>
        <v>106612231</v>
      </c>
    </row>
    <row r="165">
      <c r="A165" s="3">
        <f>IFERROR(__xludf.DUMMYFUNCTION("""COMPUTED_VALUE"""),45166.66666666667)</f>
        <v>45166.66667</v>
      </c>
      <c r="B165" s="2">
        <f>IFERROR(__xludf.DUMMYFUNCTION("""COMPUTED_VALUE"""),242.58)</f>
        <v>242.58</v>
      </c>
      <c r="C165" s="2">
        <f>IFERROR(__xludf.DUMMYFUNCTION("""COMPUTED_VALUE"""),244.38)</f>
        <v>244.38</v>
      </c>
      <c r="D165" s="2">
        <f>IFERROR(__xludf.DUMMYFUNCTION("""COMPUTED_VALUE"""),235.35)</f>
        <v>235.35</v>
      </c>
      <c r="E165" s="2">
        <f>IFERROR(__xludf.DUMMYFUNCTION("""COMPUTED_VALUE"""),238.82)</f>
        <v>238.82</v>
      </c>
      <c r="F165" s="2">
        <f>IFERROR(__xludf.DUMMYFUNCTION("""COMPUTED_VALUE"""),1.07673727E8)</f>
        <v>107673727</v>
      </c>
    </row>
    <row r="166">
      <c r="A166" s="3">
        <f>IFERROR(__xludf.DUMMYFUNCTION("""COMPUTED_VALUE"""),45167.66666666667)</f>
        <v>45167.66667</v>
      </c>
      <c r="B166" s="2">
        <f>IFERROR(__xludf.DUMMYFUNCTION("""COMPUTED_VALUE"""),238.58)</f>
        <v>238.58</v>
      </c>
      <c r="C166" s="2">
        <f>IFERROR(__xludf.DUMMYFUNCTION("""COMPUTED_VALUE"""),257.48)</f>
        <v>257.48</v>
      </c>
      <c r="D166" s="2">
        <f>IFERROR(__xludf.DUMMYFUNCTION("""COMPUTED_VALUE"""),237.77)</f>
        <v>237.77</v>
      </c>
      <c r="E166" s="2">
        <f>IFERROR(__xludf.DUMMYFUNCTION("""COMPUTED_VALUE"""),257.18)</f>
        <v>257.18</v>
      </c>
      <c r="F166" s="2">
        <f>IFERROR(__xludf.DUMMYFUNCTION("""COMPUTED_VALUE"""),1.34047603E8)</f>
        <v>134047603</v>
      </c>
    </row>
    <row r="167">
      <c r="A167" s="3">
        <f>IFERROR(__xludf.DUMMYFUNCTION("""COMPUTED_VALUE"""),45168.66666666667)</f>
        <v>45168.66667</v>
      </c>
      <c r="B167" s="2">
        <f>IFERROR(__xludf.DUMMYFUNCTION("""COMPUTED_VALUE"""),254.2)</f>
        <v>254.2</v>
      </c>
      <c r="C167" s="2">
        <f>IFERROR(__xludf.DUMMYFUNCTION("""COMPUTED_VALUE"""),260.51)</f>
        <v>260.51</v>
      </c>
      <c r="D167" s="2">
        <f>IFERROR(__xludf.DUMMYFUNCTION("""COMPUTED_VALUE"""),250.59)</f>
        <v>250.59</v>
      </c>
      <c r="E167" s="2">
        <f>IFERROR(__xludf.DUMMYFUNCTION("""COMPUTED_VALUE"""),256.9)</f>
        <v>256.9</v>
      </c>
      <c r="F167" s="2">
        <f>IFERROR(__xludf.DUMMYFUNCTION("""COMPUTED_VALUE"""),1.21988437E8)</f>
        <v>121988437</v>
      </c>
    </row>
    <row r="168">
      <c r="A168" s="3">
        <f>IFERROR(__xludf.DUMMYFUNCTION("""COMPUTED_VALUE"""),45169.66666666667)</f>
        <v>45169.66667</v>
      </c>
      <c r="B168" s="2">
        <f>IFERROR(__xludf.DUMMYFUNCTION("""COMPUTED_VALUE"""),255.98)</f>
        <v>255.98</v>
      </c>
      <c r="C168" s="2">
        <f>IFERROR(__xludf.DUMMYFUNCTION("""COMPUTED_VALUE"""),261.18)</f>
        <v>261.18</v>
      </c>
      <c r="D168" s="2">
        <f>IFERROR(__xludf.DUMMYFUNCTION("""COMPUTED_VALUE"""),255.05)</f>
        <v>255.05</v>
      </c>
      <c r="E168" s="2">
        <f>IFERROR(__xludf.DUMMYFUNCTION("""COMPUTED_VALUE"""),258.08)</f>
        <v>258.08</v>
      </c>
      <c r="F168" s="2">
        <f>IFERROR(__xludf.DUMMYFUNCTION("""COMPUTED_VALUE"""),1.08861698E8)</f>
        <v>108861698</v>
      </c>
    </row>
    <row r="169">
      <c r="A169" s="3">
        <f>IFERROR(__xludf.DUMMYFUNCTION("""COMPUTED_VALUE"""),45170.66666666667)</f>
        <v>45170.66667</v>
      </c>
      <c r="B169" s="2">
        <f>IFERROR(__xludf.DUMMYFUNCTION("""COMPUTED_VALUE"""),257.26)</f>
        <v>257.26</v>
      </c>
      <c r="C169" s="2">
        <f>IFERROR(__xludf.DUMMYFUNCTION("""COMPUTED_VALUE"""),259.08)</f>
        <v>259.08</v>
      </c>
      <c r="D169" s="2">
        <f>IFERROR(__xludf.DUMMYFUNCTION("""COMPUTED_VALUE"""),242.01)</f>
        <v>242.01</v>
      </c>
      <c r="E169" s="2">
        <f>IFERROR(__xludf.DUMMYFUNCTION("""COMPUTED_VALUE"""),245.01)</f>
        <v>245.01</v>
      </c>
      <c r="F169" s="2">
        <f>IFERROR(__xludf.DUMMYFUNCTION("""COMPUTED_VALUE"""),1.3254164E8)</f>
        <v>132541640</v>
      </c>
    </row>
    <row r="170">
      <c r="A170" s="3">
        <f>IFERROR(__xludf.DUMMYFUNCTION("""COMPUTED_VALUE"""),45174.66666666667)</f>
        <v>45174.66667</v>
      </c>
      <c r="B170" s="2">
        <f>IFERROR(__xludf.DUMMYFUNCTION("""COMPUTED_VALUE"""),245.0)</f>
        <v>245</v>
      </c>
      <c r="C170" s="2">
        <f>IFERROR(__xludf.DUMMYFUNCTION("""COMPUTED_VALUE"""),258.0)</f>
        <v>258</v>
      </c>
      <c r="D170" s="2">
        <f>IFERROR(__xludf.DUMMYFUNCTION("""COMPUTED_VALUE"""),244.86)</f>
        <v>244.86</v>
      </c>
      <c r="E170" s="2">
        <f>IFERROR(__xludf.DUMMYFUNCTION("""COMPUTED_VALUE"""),256.49)</f>
        <v>256.49</v>
      </c>
      <c r="F170" s="2">
        <f>IFERROR(__xludf.DUMMYFUNCTION("""COMPUTED_VALUE"""),1.29469565E8)</f>
        <v>129469565</v>
      </c>
    </row>
    <row r="171">
      <c r="A171" s="3">
        <f>IFERROR(__xludf.DUMMYFUNCTION("""COMPUTED_VALUE"""),45175.66666666667)</f>
        <v>45175.66667</v>
      </c>
      <c r="B171" s="2">
        <f>IFERROR(__xludf.DUMMYFUNCTION("""COMPUTED_VALUE"""),255.14)</f>
        <v>255.14</v>
      </c>
      <c r="C171" s="2">
        <f>IFERROR(__xludf.DUMMYFUNCTION("""COMPUTED_VALUE"""),255.39)</f>
        <v>255.39</v>
      </c>
      <c r="D171" s="2">
        <f>IFERROR(__xludf.DUMMYFUNCTION("""COMPUTED_VALUE"""),245.06)</f>
        <v>245.06</v>
      </c>
      <c r="E171" s="2">
        <f>IFERROR(__xludf.DUMMYFUNCTION("""COMPUTED_VALUE"""),251.92)</f>
        <v>251.92</v>
      </c>
      <c r="F171" s="2">
        <f>IFERROR(__xludf.DUMMYFUNCTION("""COMPUTED_VALUE"""),1.16959759E8)</f>
        <v>116959759</v>
      </c>
    </row>
    <row r="172">
      <c r="A172" s="3">
        <f>IFERROR(__xludf.DUMMYFUNCTION("""COMPUTED_VALUE"""),45176.66666666667)</f>
        <v>45176.66667</v>
      </c>
      <c r="B172" s="2">
        <f>IFERROR(__xludf.DUMMYFUNCTION("""COMPUTED_VALUE"""),245.07)</f>
        <v>245.07</v>
      </c>
      <c r="C172" s="2">
        <f>IFERROR(__xludf.DUMMYFUNCTION("""COMPUTED_VALUE"""),252.81)</f>
        <v>252.81</v>
      </c>
      <c r="D172" s="2">
        <f>IFERROR(__xludf.DUMMYFUNCTION("""COMPUTED_VALUE"""),243.27)</f>
        <v>243.27</v>
      </c>
      <c r="E172" s="2">
        <f>IFERROR(__xludf.DUMMYFUNCTION("""COMPUTED_VALUE"""),251.49)</f>
        <v>251.49</v>
      </c>
      <c r="F172" s="2">
        <f>IFERROR(__xludf.DUMMYFUNCTION("""COMPUTED_VALUE"""),1.15312886E8)</f>
        <v>115312886</v>
      </c>
    </row>
    <row r="173">
      <c r="A173" s="3">
        <f>IFERROR(__xludf.DUMMYFUNCTION("""COMPUTED_VALUE"""),45177.66666666667)</f>
        <v>45177.66667</v>
      </c>
      <c r="B173" s="2">
        <f>IFERROR(__xludf.DUMMYFUNCTION("""COMPUTED_VALUE"""),251.22)</f>
        <v>251.22</v>
      </c>
      <c r="C173" s="2">
        <f>IFERROR(__xludf.DUMMYFUNCTION("""COMPUTED_VALUE"""),256.52)</f>
        <v>256.52</v>
      </c>
      <c r="D173" s="2">
        <f>IFERROR(__xludf.DUMMYFUNCTION("""COMPUTED_VALUE"""),246.67)</f>
        <v>246.67</v>
      </c>
      <c r="E173" s="2">
        <f>IFERROR(__xludf.DUMMYFUNCTION("""COMPUTED_VALUE"""),248.5)</f>
        <v>248.5</v>
      </c>
      <c r="F173" s="2">
        <f>IFERROR(__xludf.DUMMYFUNCTION("""COMPUTED_VALUE"""),1.18559635E8)</f>
        <v>118559635</v>
      </c>
    </row>
    <row r="174">
      <c r="A174" s="3">
        <f>IFERROR(__xludf.DUMMYFUNCTION("""COMPUTED_VALUE"""),45180.66666666667)</f>
        <v>45180.66667</v>
      </c>
      <c r="B174" s="2">
        <f>IFERROR(__xludf.DUMMYFUNCTION("""COMPUTED_VALUE"""),264.27)</f>
        <v>264.27</v>
      </c>
      <c r="C174" s="2">
        <f>IFERROR(__xludf.DUMMYFUNCTION("""COMPUTED_VALUE"""),274.85)</f>
        <v>274.85</v>
      </c>
      <c r="D174" s="2">
        <f>IFERROR(__xludf.DUMMYFUNCTION("""COMPUTED_VALUE"""),260.61)</f>
        <v>260.61</v>
      </c>
      <c r="E174" s="2">
        <f>IFERROR(__xludf.DUMMYFUNCTION("""COMPUTED_VALUE"""),273.58)</f>
        <v>273.58</v>
      </c>
      <c r="F174" s="2">
        <f>IFERROR(__xludf.DUMMYFUNCTION("""COMPUTED_VALUE"""),1.74667852E8)</f>
        <v>174667852</v>
      </c>
    </row>
    <row r="175">
      <c r="A175" s="3">
        <f>IFERROR(__xludf.DUMMYFUNCTION("""COMPUTED_VALUE"""),45181.66666666667)</f>
        <v>45181.66667</v>
      </c>
      <c r="B175" s="2">
        <f>IFERROR(__xludf.DUMMYFUNCTION("""COMPUTED_VALUE"""),270.76)</f>
        <v>270.76</v>
      </c>
      <c r="C175" s="2">
        <f>IFERROR(__xludf.DUMMYFUNCTION("""COMPUTED_VALUE"""),278.39)</f>
        <v>278.39</v>
      </c>
      <c r="D175" s="2">
        <f>IFERROR(__xludf.DUMMYFUNCTION("""COMPUTED_VALUE"""),266.6)</f>
        <v>266.6</v>
      </c>
      <c r="E175" s="2">
        <f>IFERROR(__xludf.DUMMYFUNCTION("""COMPUTED_VALUE"""),267.48)</f>
        <v>267.48</v>
      </c>
      <c r="F175" s="2">
        <f>IFERROR(__xludf.DUMMYFUNCTION("""COMPUTED_VALUE"""),1.35999866E8)</f>
        <v>135999866</v>
      </c>
    </row>
    <row r="176">
      <c r="A176" s="3">
        <f>IFERROR(__xludf.DUMMYFUNCTION("""COMPUTED_VALUE"""),45182.66666666667)</f>
        <v>45182.66667</v>
      </c>
      <c r="B176" s="2">
        <f>IFERROR(__xludf.DUMMYFUNCTION("""COMPUTED_VALUE"""),270.07)</f>
        <v>270.07</v>
      </c>
      <c r="C176" s="2">
        <f>IFERROR(__xludf.DUMMYFUNCTION("""COMPUTED_VALUE"""),274.98)</f>
        <v>274.98</v>
      </c>
      <c r="D176" s="2">
        <f>IFERROR(__xludf.DUMMYFUNCTION("""COMPUTED_VALUE"""),268.1)</f>
        <v>268.1</v>
      </c>
      <c r="E176" s="2">
        <f>IFERROR(__xludf.DUMMYFUNCTION("""COMPUTED_VALUE"""),271.3)</f>
        <v>271.3</v>
      </c>
      <c r="F176" s="2">
        <f>IFERROR(__xludf.DUMMYFUNCTION("""COMPUTED_VALUE"""),1.11673737E8)</f>
        <v>111673737</v>
      </c>
    </row>
    <row r="177">
      <c r="A177" s="3">
        <f>IFERROR(__xludf.DUMMYFUNCTION("""COMPUTED_VALUE"""),45183.66666666667)</f>
        <v>45183.66667</v>
      </c>
      <c r="B177" s="2">
        <f>IFERROR(__xludf.DUMMYFUNCTION("""COMPUTED_VALUE"""),271.32)</f>
        <v>271.32</v>
      </c>
      <c r="C177" s="2">
        <f>IFERROR(__xludf.DUMMYFUNCTION("""COMPUTED_VALUE"""),276.71)</f>
        <v>276.71</v>
      </c>
      <c r="D177" s="2">
        <f>IFERROR(__xludf.DUMMYFUNCTION("""COMPUTED_VALUE"""),270.42)</f>
        <v>270.42</v>
      </c>
      <c r="E177" s="2">
        <f>IFERROR(__xludf.DUMMYFUNCTION("""COMPUTED_VALUE"""),276.04)</f>
        <v>276.04</v>
      </c>
      <c r="F177" s="2">
        <f>IFERROR(__xludf.DUMMYFUNCTION("""COMPUTED_VALUE"""),1.07709842E8)</f>
        <v>107709842</v>
      </c>
    </row>
    <row r="178">
      <c r="A178" s="3">
        <f>IFERROR(__xludf.DUMMYFUNCTION("""COMPUTED_VALUE"""),45184.66666666667)</f>
        <v>45184.66667</v>
      </c>
      <c r="B178" s="2">
        <f>IFERROR(__xludf.DUMMYFUNCTION("""COMPUTED_VALUE"""),277.55)</f>
        <v>277.55</v>
      </c>
      <c r="C178" s="2">
        <f>IFERROR(__xludf.DUMMYFUNCTION("""COMPUTED_VALUE"""),278.98)</f>
        <v>278.98</v>
      </c>
      <c r="D178" s="2">
        <f>IFERROR(__xludf.DUMMYFUNCTION("""COMPUTED_VALUE"""),271.0)</f>
        <v>271</v>
      </c>
      <c r="E178" s="2">
        <f>IFERROR(__xludf.DUMMYFUNCTION("""COMPUTED_VALUE"""),274.39)</f>
        <v>274.39</v>
      </c>
      <c r="F178" s="2">
        <f>IFERROR(__xludf.DUMMYFUNCTION("""COMPUTED_VALUE"""),1.33692313E8)</f>
        <v>133692313</v>
      </c>
    </row>
    <row r="179">
      <c r="A179" s="3">
        <f>IFERROR(__xludf.DUMMYFUNCTION("""COMPUTED_VALUE"""),45187.66666666667)</f>
        <v>45187.66667</v>
      </c>
      <c r="B179" s="2">
        <f>IFERROR(__xludf.DUMMYFUNCTION("""COMPUTED_VALUE"""),271.16)</f>
        <v>271.16</v>
      </c>
      <c r="C179" s="2">
        <f>IFERROR(__xludf.DUMMYFUNCTION("""COMPUTED_VALUE"""),271.44)</f>
        <v>271.44</v>
      </c>
      <c r="D179" s="2">
        <f>IFERROR(__xludf.DUMMYFUNCTION("""COMPUTED_VALUE"""),263.76)</f>
        <v>263.76</v>
      </c>
      <c r="E179" s="2">
        <f>IFERROR(__xludf.DUMMYFUNCTION("""COMPUTED_VALUE"""),265.28)</f>
        <v>265.28</v>
      </c>
      <c r="F179" s="2">
        <f>IFERROR(__xludf.DUMMYFUNCTION("""COMPUTED_VALUE"""),1.01543305E8)</f>
        <v>101543305</v>
      </c>
    </row>
    <row r="180">
      <c r="A180" s="3">
        <f>IFERROR(__xludf.DUMMYFUNCTION("""COMPUTED_VALUE"""),45188.66666666667)</f>
        <v>45188.66667</v>
      </c>
      <c r="B180" s="2">
        <f>IFERROR(__xludf.DUMMYFUNCTION("""COMPUTED_VALUE"""),264.35)</f>
        <v>264.35</v>
      </c>
      <c r="C180" s="2">
        <f>IFERROR(__xludf.DUMMYFUNCTION("""COMPUTED_VALUE"""),267.85)</f>
        <v>267.85</v>
      </c>
      <c r="D180" s="2">
        <f>IFERROR(__xludf.DUMMYFUNCTION("""COMPUTED_VALUE"""),261.2)</f>
        <v>261.2</v>
      </c>
      <c r="E180" s="2">
        <f>IFERROR(__xludf.DUMMYFUNCTION("""COMPUTED_VALUE"""),266.5)</f>
        <v>266.5</v>
      </c>
      <c r="F180" s="2">
        <f>IFERROR(__xludf.DUMMYFUNCTION("""COMPUTED_VALUE"""),1.0370404E8)</f>
        <v>103704040</v>
      </c>
    </row>
    <row r="181">
      <c r="A181" s="3">
        <f>IFERROR(__xludf.DUMMYFUNCTION("""COMPUTED_VALUE"""),45189.66666666667)</f>
        <v>45189.66667</v>
      </c>
      <c r="B181" s="2">
        <f>IFERROR(__xludf.DUMMYFUNCTION("""COMPUTED_VALUE"""),267.04)</f>
        <v>267.04</v>
      </c>
      <c r="C181" s="2">
        <f>IFERROR(__xludf.DUMMYFUNCTION("""COMPUTED_VALUE"""),273.93)</f>
        <v>273.93</v>
      </c>
      <c r="D181" s="2">
        <f>IFERROR(__xludf.DUMMYFUNCTION("""COMPUTED_VALUE"""),262.46)</f>
        <v>262.46</v>
      </c>
      <c r="E181" s="2">
        <f>IFERROR(__xludf.DUMMYFUNCTION("""COMPUTED_VALUE"""),262.59)</f>
        <v>262.59</v>
      </c>
      <c r="F181" s="2">
        <f>IFERROR(__xludf.DUMMYFUNCTION("""COMPUTED_VALUE"""),1.22514643E8)</f>
        <v>122514643</v>
      </c>
    </row>
    <row r="182">
      <c r="A182" s="3">
        <f>IFERROR(__xludf.DUMMYFUNCTION("""COMPUTED_VALUE"""),45190.66666666667)</f>
        <v>45190.66667</v>
      </c>
      <c r="B182" s="2">
        <f>IFERROR(__xludf.DUMMYFUNCTION("""COMPUTED_VALUE"""),257.85)</f>
        <v>257.85</v>
      </c>
      <c r="C182" s="2">
        <f>IFERROR(__xludf.DUMMYFUNCTION("""COMPUTED_VALUE"""),260.86)</f>
        <v>260.86</v>
      </c>
      <c r="D182" s="2">
        <f>IFERROR(__xludf.DUMMYFUNCTION("""COMPUTED_VALUE"""),254.21)</f>
        <v>254.21</v>
      </c>
      <c r="E182" s="2">
        <f>IFERROR(__xludf.DUMMYFUNCTION("""COMPUTED_VALUE"""),255.7)</f>
        <v>255.7</v>
      </c>
      <c r="F182" s="2">
        <f>IFERROR(__xludf.DUMMYFUNCTION("""COMPUTED_VALUE"""),1.19951516E8)</f>
        <v>119951516</v>
      </c>
    </row>
    <row r="183">
      <c r="A183" s="3">
        <f>IFERROR(__xludf.DUMMYFUNCTION("""COMPUTED_VALUE"""),45191.66666666667)</f>
        <v>45191.66667</v>
      </c>
      <c r="B183" s="2">
        <f>IFERROR(__xludf.DUMMYFUNCTION("""COMPUTED_VALUE"""),257.4)</f>
        <v>257.4</v>
      </c>
      <c r="C183" s="2">
        <f>IFERROR(__xludf.DUMMYFUNCTION("""COMPUTED_VALUE"""),257.79)</f>
        <v>257.79</v>
      </c>
      <c r="D183" s="2">
        <f>IFERROR(__xludf.DUMMYFUNCTION("""COMPUTED_VALUE"""),244.48)</f>
        <v>244.48</v>
      </c>
      <c r="E183" s="2">
        <f>IFERROR(__xludf.DUMMYFUNCTION("""COMPUTED_VALUE"""),244.88)</f>
        <v>244.88</v>
      </c>
      <c r="F183" s="2">
        <f>IFERROR(__xludf.DUMMYFUNCTION("""COMPUTED_VALUE"""),1.27524083E8)</f>
        <v>127524083</v>
      </c>
    </row>
    <row r="184">
      <c r="A184" s="3">
        <f>IFERROR(__xludf.DUMMYFUNCTION("""COMPUTED_VALUE"""),45194.66666666667)</f>
        <v>45194.66667</v>
      </c>
      <c r="B184" s="2">
        <f>IFERROR(__xludf.DUMMYFUNCTION("""COMPUTED_VALUE"""),243.38)</f>
        <v>243.38</v>
      </c>
      <c r="C184" s="2">
        <f>IFERROR(__xludf.DUMMYFUNCTION("""COMPUTED_VALUE"""),247.1)</f>
        <v>247.1</v>
      </c>
      <c r="D184" s="2">
        <f>IFERROR(__xludf.DUMMYFUNCTION("""COMPUTED_VALUE"""),238.31)</f>
        <v>238.31</v>
      </c>
      <c r="E184" s="2">
        <f>IFERROR(__xludf.DUMMYFUNCTION("""COMPUTED_VALUE"""),246.99)</f>
        <v>246.99</v>
      </c>
      <c r="F184" s="2">
        <f>IFERROR(__xludf.DUMMYFUNCTION("""COMPUTED_VALUE"""),1.04636557E8)</f>
        <v>104636557</v>
      </c>
    </row>
    <row r="185">
      <c r="A185" s="3">
        <f>IFERROR(__xludf.DUMMYFUNCTION("""COMPUTED_VALUE"""),45195.66666666667)</f>
        <v>45195.66667</v>
      </c>
      <c r="B185" s="2">
        <f>IFERROR(__xludf.DUMMYFUNCTION("""COMPUTED_VALUE"""),242.98)</f>
        <v>242.98</v>
      </c>
      <c r="C185" s="2">
        <f>IFERROR(__xludf.DUMMYFUNCTION("""COMPUTED_VALUE"""),249.55)</f>
        <v>249.55</v>
      </c>
      <c r="D185" s="2">
        <f>IFERROR(__xludf.DUMMYFUNCTION("""COMPUTED_VALUE"""),241.66)</f>
        <v>241.66</v>
      </c>
      <c r="E185" s="2">
        <f>IFERROR(__xludf.DUMMYFUNCTION("""COMPUTED_VALUE"""),244.12)</f>
        <v>244.12</v>
      </c>
      <c r="F185" s="2">
        <f>IFERROR(__xludf.DUMMYFUNCTION("""COMPUTED_VALUE"""),1.01993631E8)</f>
        <v>101993631</v>
      </c>
    </row>
    <row r="186">
      <c r="A186" s="3">
        <f>IFERROR(__xludf.DUMMYFUNCTION("""COMPUTED_VALUE"""),45196.66666666667)</f>
        <v>45196.66667</v>
      </c>
      <c r="B186" s="2">
        <f>IFERROR(__xludf.DUMMYFUNCTION("""COMPUTED_VALUE"""),244.26)</f>
        <v>244.26</v>
      </c>
      <c r="C186" s="2">
        <f>IFERROR(__xludf.DUMMYFUNCTION("""COMPUTED_VALUE"""),245.33)</f>
        <v>245.33</v>
      </c>
      <c r="D186" s="2">
        <f>IFERROR(__xludf.DUMMYFUNCTION("""COMPUTED_VALUE"""),234.58)</f>
        <v>234.58</v>
      </c>
      <c r="E186" s="2">
        <f>IFERROR(__xludf.DUMMYFUNCTION("""COMPUTED_VALUE"""),240.5)</f>
        <v>240.5</v>
      </c>
      <c r="F186" s="2">
        <f>IFERROR(__xludf.DUMMYFUNCTION("""COMPUTED_VALUE"""),1.36597184E8)</f>
        <v>136597184</v>
      </c>
    </row>
    <row r="187">
      <c r="A187" s="3">
        <f>IFERROR(__xludf.DUMMYFUNCTION("""COMPUTED_VALUE"""),45197.66666666667)</f>
        <v>45197.66667</v>
      </c>
      <c r="B187" s="2">
        <f>IFERROR(__xludf.DUMMYFUNCTION("""COMPUTED_VALUE"""),240.02)</f>
        <v>240.02</v>
      </c>
      <c r="C187" s="2">
        <f>IFERROR(__xludf.DUMMYFUNCTION("""COMPUTED_VALUE"""),247.55)</f>
        <v>247.55</v>
      </c>
      <c r="D187" s="2">
        <f>IFERROR(__xludf.DUMMYFUNCTION("""COMPUTED_VALUE"""),238.65)</f>
        <v>238.65</v>
      </c>
      <c r="E187" s="2">
        <f>IFERROR(__xludf.DUMMYFUNCTION("""COMPUTED_VALUE"""),246.38)</f>
        <v>246.38</v>
      </c>
      <c r="F187" s="2">
        <f>IFERROR(__xludf.DUMMYFUNCTION("""COMPUTED_VALUE"""),1.1705887E8)</f>
        <v>117058870</v>
      </c>
    </row>
    <row r="188">
      <c r="A188" s="3">
        <f>IFERROR(__xludf.DUMMYFUNCTION("""COMPUTED_VALUE"""),45198.66666666667)</f>
        <v>45198.66667</v>
      </c>
      <c r="B188" s="2">
        <f>IFERROR(__xludf.DUMMYFUNCTION("""COMPUTED_VALUE"""),250.0)</f>
        <v>250</v>
      </c>
      <c r="C188" s="2">
        <f>IFERROR(__xludf.DUMMYFUNCTION("""COMPUTED_VALUE"""),254.77)</f>
        <v>254.77</v>
      </c>
      <c r="D188" s="2">
        <f>IFERROR(__xludf.DUMMYFUNCTION("""COMPUTED_VALUE"""),246.35)</f>
        <v>246.35</v>
      </c>
      <c r="E188" s="2">
        <f>IFERROR(__xludf.DUMMYFUNCTION("""COMPUTED_VALUE"""),250.22)</f>
        <v>250.22</v>
      </c>
      <c r="F188" s="2">
        <f>IFERROR(__xludf.DUMMYFUNCTION("""COMPUTED_VALUE"""),1.28522729E8)</f>
        <v>128522729</v>
      </c>
    </row>
    <row r="189">
      <c r="A189" s="3">
        <f>IFERROR(__xludf.DUMMYFUNCTION("""COMPUTED_VALUE"""),45201.66666666667)</f>
        <v>45201.66667</v>
      </c>
      <c r="B189" s="2">
        <f>IFERROR(__xludf.DUMMYFUNCTION("""COMPUTED_VALUE"""),244.81)</f>
        <v>244.81</v>
      </c>
      <c r="C189" s="2">
        <f>IFERROR(__xludf.DUMMYFUNCTION("""COMPUTED_VALUE"""),254.28)</f>
        <v>254.28</v>
      </c>
      <c r="D189" s="2">
        <f>IFERROR(__xludf.DUMMYFUNCTION("""COMPUTED_VALUE"""),242.62)</f>
        <v>242.62</v>
      </c>
      <c r="E189" s="2">
        <f>IFERROR(__xludf.DUMMYFUNCTION("""COMPUTED_VALUE"""),251.6)</f>
        <v>251.6</v>
      </c>
      <c r="F189" s="2">
        <f>IFERROR(__xludf.DUMMYFUNCTION("""COMPUTED_VALUE"""),1.23810402E8)</f>
        <v>123810402</v>
      </c>
    </row>
    <row r="190">
      <c r="A190" s="3">
        <f>IFERROR(__xludf.DUMMYFUNCTION("""COMPUTED_VALUE"""),45202.66666666667)</f>
        <v>45202.66667</v>
      </c>
      <c r="B190" s="2">
        <f>IFERROR(__xludf.DUMMYFUNCTION("""COMPUTED_VALUE"""),248.61)</f>
        <v>248.61</v>
      </c>
      <c r="C190" s="2">
        <f>IFERROR(__xludf.DUMMYFUNCTION("""COMPUTED_VALUE"""),250.02)</f>
        <v>250.02</v>
      </c>
      <c r="D190" s="2">
        <f>IFERROR(__xludf.DUMMYFUNCTION("""COMPUTED_VALUE"""),244.45)</f>
        <v>244.45</v>
      </c>
      <c r="E190" s="2">
        <f>IFERROR(__xludf.DUMMYFUNCTION("""COMPUTED_VALUE"""),246.53)</f>
        <v>246.53</v>
      </c>
      <c r="F190" s="2">
        <f>IFERROR(__xludf.DUMMYFUNCTION("""COMPUTED_VALUE"""),1.01985305E8)</f>
        <v>101985305</v>
      </c>
    </row>
    <row r="191">
      <c r="A191" s="3">
        <f>IFERROR(__xludf.DUMMYFUNCTION("""COMPUTED_VALUE"""),45203.66666666667)</f>
        <v>45203.66667</v>
      </c>
      <c r="B191" s="2">
        <f>IFERROR(__xludf.DUMMYFUNCTION("""COMPUTED_VALUE"""),248.14)</f>
        <v>248.14</v>
      </c>
      <c r="C191" s="2">
        <f>IFERROR(__xludf.DUMMYFUNCTION("""COMPUTED_VALUE"""),261.86)</f>
        <v>261.86</v>
      </c>
      <c r="D191" s="2">
        <f>IFERROR(__xludf.DUMMYFUNCTION("""COMPUTED_VALUE"""),247.6)</f>
        <v>247.6</v>
      </c>
      <c r="E191" s="2">
        <f>IFERROR(__xludf.DUMMYFUNCTION("""COMPUTED_VALUE"""),261.16)</f>
        <v>261.16</v>
      </c>
      <c r="F191" s="2">
        <f>IFERROR(__xludf.DUMMYFUNCTION("""COMPUTED_VALUE"""),1.29721567E8)</f>
        <v>129721567</v>
      </c>
    </row>
    <row r="192">
      <c r="A192" s="3">
        <f>IFERROR(__xludf.DUMMYFUNCTION("""COMPUTED_VALUE"""),45204.66666666667)</f>
        <v>45204.66667</v>
      </c>
      <c r="B192" s="2">
        <f>IFERROR(__xludf.DUMMYFUNCTION("""COMPUTED_VALUE"""),260.0)</f>
        <v>260</v>
      </c>
      <c r="C192" s="2">
        <f>IFERROR(__xludf.DUMMYFUNCTION("""COMPUTED_VALUE"""),263.6)</f>
        <v>263.6</v>
      </c>
      <c r="D192" s="2">
        <f>IFERROR(__xludf.DUMMYFUNCTION("""COMPUTED_VALUE"""),256.25)</f>
        <v>256.25</v>
      </c>
      <c r="E192" s="2">
        <f>IFERROR(__xludf.DUMMYFUNCTION("""COMPUTED_VALUE"""),260.05)</f>
        <v>260.05</v>
      </c>
      <c r="F192" s="2">
        <f>IFERROR(__xludf.DUMMYFUNCTION("""COMPUTED_VALUE"""),1.19159214E8)</f>
        <v>119159214</v>
      </c>
    </row>
    <row r="193">
      <c r="A193" s="3">
        <f>IFERROR(__xludf.DUMMYFUNCTION("""COMPUTED_VALUE"""),45205.66666666667)</f>
        <v>45205.66667</v>
      </c>
      <c r="B193" s="2">
        <f>IFERROR(__xludf.DUMMYFUNCTION("""COMPUTED_VALUE"""),253.98)</f>
        <v>253.98</v>
      </c>
      <c r="C193" s="2">
        <f>IFERROR(__xludf.DUMMYFUNCTION("""COMPUTED_VALUE"""),261.65)</f>
        <v>261.65</v>
      </c>
      <c r="D193" s="2">
        <f>IFERROR(__xludf.DUMMYFUNCTION("""COMPUTED_VALUE"""),250.65)</f>
        <v>250.65</v>
      </c>
      <c r="E193" s="2">
        <f>IFERROR(__xludf.DUMMYFUNCTION("""COMPUTED_VALUE"""),260.53)</f>
        <v>260.53</v>
      </c>
      <c r="F193" s="2">
        <f>IFERROR(__xludf.DUMMYFUNCTION("""COMPUTED_VALUE"""),1.18121812E8)</f>
        <v>118121812</v>
      </c>
    </row>
    <row r="194">
      <c r="A194" s="3">
        <f>IFERROR(__xludf.DUMMYFUNCTION("""COMPUTED_VALUE"""),45208.66666666667)</f>
        <v>45208.66667</v>
      </c>
      <c r="B194" s="2">
        <f>IFERROR(__xludf.DUMMYFUNCTION("""COMPUTED_VALUE"""),255.31)</f>
        <v>255.31</v>
      </c>
      <c r="C194" s="2">
        <f>IFERROR(__xludf.DUMMYFUNCTION("""COMPUTED_VALUE"""),261.36)</f>
        <v>261.36</v>
      </c>
      <c r="D194" s="2">
        <f>IFERROR(__xludf.DUMMYFUNCTION("""COMPUTED_VALUE"""),252.05)</f>
        <v>252.05</v>
      </c>
      <c r="E194" s="2">
        <f>IFERROR(__xludf.DUMMYFUNCTION("""COMPUTED_VALUE"""),259.67)</f>
        <v>259.67</v>
      </c>
      <c r="F194" s="2">
        <f>IFERROR(__xludf.DUMMYFUNCTION("""COMPUTED_VALUE"""),1.01377947E8)</f>
        <v>101377947</v>
      </c>
    </row>
    <row r="195">
      <c r="A195" s="3">
        <f>IFERROR(__xludf.DUMMYFUNCTION("""COMPUTED_VALUE"""),45209.66666666667)</f>
        <v>45209.66667</v>
      </c>
      <c r="B195" s="2">
        <f>IFERROR(__xludf.DUMMYFUNCTION("""COMPUTED_VALUE"""),257.75)</f>
        <v>257.75</v>
      </c>
      <c r="C195" s="2">
        <f>IFERROR(__xludf.DUMMYFUNCTION("""COMPUTED_VALUE"""),268.94)</f>
        <v>268.94</v>
      </c>
      <c r="D195" s="2">
        <f>IFERROR(__xludf.DUMMYFUNCTION("""COMPUTED_VALUE"""),257.65)</f>
        <v>257.65</v>
      </c>
      <c r="E195" s="2">
        <f>IFERROR(__xludf.DUMMYFUNCTION("""COMPUTED_VALUE"""),263.62)</f>
        <v>263.62</v>
      </c>
      <c r="F195" s="2">
        <f>IFERROR(__xludf.DUMMYFUNCTION("""COMPUTED_VALUE"""),1.2265603E8)</f>
        <v>122656030</v>
      </c>
    </row>
    <row r="196">
      <c r="A196" s="3">
        <f>IFERROR(__xludf.DUMMYFUNCTION("""COMPUTED_VALUE"""),45210.66666666667)</f>
        <v>45210.66667</v>
      </c>
      <c r="B196" s="2">
        <f>IFERROR(__xludf.DUMMYFUNCTION("""COMPUTED_VALUE"""),266.2)</f>
        <v>266.2</v>
      </c>
      <c r="C196" s="2">
        <f>IFERROR(__xludf.DUMMYFUNCTION("""COMPUTED_VALUE"""),268.6)</f>
        <v>268.6</v>
      </c>
      <c r="D196" s="2">
        <f>IFERROR(__xludf.DUMMYFUNCTION("""COMPUTED_VALUE"""),260.9)</f>
        <v>260.9</v>
      </c>
      <c r="E196" s="2">
        <f>IFERROR(__xludf.DUMMYFUNCTION("""COMPUTED_VALUE"""),262.99)</f>
        <v>262.99</v>
      </c>
      <c r="F196" s="2">
        <f>IFERROR(__xludf.DUMMYFUNCTION("""COMPUTED_VALUE"""),1.03706266E8)</f>
        <v>103706266</v>
      </c>
    </row>
    <row r="197">
      <c r="A197" s="3">
        <f>IFERROR(__xludf.DUMMYFUNCTION("""COMPUTED_VALUE"""),45211.66666666667)</f>
        <v>45211.66667</v>
      </c>
      <c r="B197" s="2">
        <f>IFERROR(__xludf.DUMMYFUNCTION("""COMPUTED_VALUE"""),262.92)</f>
        <v>262.92</v>
      </c>
      <c r="C197" s="2">
        <f>IFERROR(__xludf.DUMMYFUNCTION("""COMPUTED_VALUE"""),265.41)</f>
        <v>265.41</v>
      </c>
      <c r="D197" s="2">
        <f>IFERROR(__xludf.DUMMYFUNCTION("""COMPUTED_VALUE"""),256.63)</f>
        <v>256.63</v>
      </c>
      <c r="E197" s="2">
        <f>IFERROR(__xludf.DUMMYFUNCTION("""COMPUTED_VALUE"""),258.87)</f>
        <v>258.87</v>
      </c>
      <c r="F197" s="2">
        <f>IFERROR(__xludf.DUMMYFUNCTION("""COMPUTED_VALUE"""),1.11508114E8)</f>
        <v>111508114</v>
      </c>
    </row>
    <row r="198">
      <c r="A198" s="3">
        <f>IFERROR(__xludf.DUMMYFUNCTION("""COMPUTED_VALUE"""),45212.66666666667)</f>
        <v>45212.66667</v>
      </c>
      <c r="B198" s="2">
        <f>IFERROR(__xludf.DUMMYFUNCTION("""COMPUTED_VALUE"""),258.9)</f>
        <v>258.9</v>
      </c>
      <c r="C198" s="2">
        <f>IFERROR(__xludf.DUMMYFUNCTION("""COMPUTED_VALUE"""),259.6)</f>
        <v>259.6</v>
      </c>
      <c r="D198" s="2">
        <f>IFERROR(__xludf.DUMMYFUNCTION("""COMPUTED_VALUE"""),250.22)</f>
        <v>250.22</v>
      </c>
      <c r="E198" s="2">
        <f>IFERROR(__xludf.DUMMYFUNCTION("""COMPUTED_VALUE"""),251.12)</f>
        <v>251.12</v>
      </c>
      <c r="F198" s="2">
        <f>IFERROR(__xludf.DUMMYFUNCTION("""COMPUTED_VALUE"""),1.02296786E8)</f>
        <v>102296786</v>
      </c>
    </row>
    <row r="199">
      <c r="A199" s="3">
        <f>IFERROR(__xludf.DUMMYFUNCTION("""COMPUTED_VALUE"""),45215.66666666667)</f>
        <v>45215.66667</v>
      </c>
      <c r="B199" s="2">
        <f>IFERROR(__xludf.DUMMYFUNCTION("""COMPUTED_VALUE"""),250.05)</f>
        <v>250.05</v>
      </c>
      <c r="C199" s="2">
        <f>IFERROR(__xludf.DUMMYFUNCTION("""COMPUTED_VALUE"""),255.4)</f>
        <v>255.4</v>
      </c>
      <c r="D199" s="2">
        <f>IFERROR(__xludf.DUMMYFUNCTION("""COMPUTED_VALUE"""),248.48)</f>
        <v>248.48</v>
      </c>
      <c r="E199" s="2">
        <f>IFERROR(__xludf.DUMMYFUNCTION("""COMPUTED_VALUE"""),253.92)</f>
        <v>253.92</v>
      </c>
      <c r="F199" s="2">
        <f>IFERROR(__xludf.DUMMYFUNCTION("""COMPUTED_VALUE"""),8.8917176E7)</f>
        <v>88917176</v>
      </c>
    </row>
    <row r="200">
      <c r="A200" s="3">
        <f>IFERROR(__xludf.DUMMYFUNCTION("""COMPUTED_VALUE"""),45216.66666666667)</f>
        <v>45216.66667</v>
      </c>
      <c r="B200" s="2">
        <f>IFERROR(__xludf.DUMMYFUNCTION("""COMPUTED_VALUE"""),250.1)</f>
        <v>250.1</v>
      </c>
      <c r="C200" s="2">
        <f>IFERROR(__xludf.DUMMYFUNCTION("""COMPUTED_VALUE"""),257.18)</f>
        <v>257.18</v>
      </c>
      <c r="D200" s="2">
        <f>IFERROR(__xludf.DUMMYFUNCTION("""COMPUTED_VALUE"""),247.08)</f>
        <v>247.08</v>
      </c>
      <c r="E200" s="2">
        <f>IFERROR(__xludf.DUMMYFUNCTION("""COMPUTED_VALUE"""),254.85)</f>
        <v>254.85</v>
      </c>
      <c r="F200" s="2">
        <f>IFERROR(__xludf.DUMMYFUNCTION("""COMPUTED_VALUE"""),9.3562909E7)</f>
        <v>93562909</v>
      </c>
    </row>
    <row r="201">
      <c r="A201" s="3">
        <f>IFERROR(__xludf.DUMMYFUNCTION("""COMPUTED_VALUE"""),45217.66666666667)</f>
        <v>45217.66667</v>
      </c>
      <c r="B201" s="2">
        <f>IFERROR(__xludf.DUMMYFUNCTION("""COMPUTED_VALUE"""),252.7)</f>
        <v>252.7</v>
      </c>
      <c r="C201" s="2">
        <f>IFERROR(__xludf.DUMMYFUNCTION("""COMPUTED_VALUE"""),254.63)</f>
        <v>254.63</v>
      </c>
      <c r="D201" s="2">
        <f>IFERROR(__xludf.DUMMYFUNCTION("""COMPUTED_VALUE"""),242.08)</f>
        <v>242.08</v>
      </c>
      <c r="E201" s="2">
        <f>IFERROR(__xludf.DUMMYFUNCTION("""COMPUTED_VALUE"""),242.68)</f>
        <v>242.68</v>
      </c>
      <c r="F201" s="2">
        <f>IFERROR(__xludf.DUMMYFUNCTION("""COMPUTED_VALUE"""),1.25147846E8)</f>
        <v>125147846</v>
      </c>
    </row>
    <row r="202">
      <c r="A202" s="3">
        <f>IFERROR(__xludf.DUMMYFUNCTION("""COMPUTED_VALUE"""),45218.66666666667)</f>
        <v>45218.66667</v>
      </c>
      <c r="B202" s="2">
        <f>IFERROR(__xludf.DUMMYFUNCTION("""COMPUTED_VALUE"""),225.95)</f>
        <v>225.95</v>
      </c>
      <c r="C202" s="2">
        <f>IFERROR(__xludf.DUMMYFUNCTION("""COMPUTED_VALUE"""),230.61)</f>
        <v>230.61</v>
      </c>
      <c r="D202" s="2">
        <f>IFERROR(__xludf.DUMMYFUNCTION("""COMPUTED_VALUE"""),216.78)</f>
        <v>216.78</v>
      </c>
      <c r="E202" s="2">
        <f>IFERROR(__xludf.DUMMYFUNCTION("""COMPUTED_VALUE"""),220.11)</f>
        <v>220.11</v>
      </c>
      <c r="F202" s="2">
        <f>IFERROR(__xludf.DUMMYFUNCTION("""COMPUTED_VALUE"""),1.70772713E8)</f>
        <v>170772713</v>
      </c>
    </row>
    <row r="203">
      <c r="A203" s="3">
        <f>IFERROR(__xludf.DUMMYFUNCTION("""COMPUTED_VALUE"""),45219.66666666667)</f>
        <v>45219.66667</v>
      </c>
      <c r="B203" s="2">
        <f>IFERROR(__xludf.DUMMYFUNCTION("""COMPUTED_VALUE"""),217.01)</f>
        <v>217.01</v>
      </c>
      <c r="C203" s="2">
        <f>IFERROR(__xludf.DUMMYFUNCTION("""COMPUTED_VALUE"""),218.86)</f>
        <v>218.86</v>
      </c>
      <c r="D203" s="2">
        <f>IFERROR(__xludf.DUMMYFUNCTION("""COMPUTED_VALUE"""),210.42)</f>
        <v>210.42</v>
      </c>
      <c r="E203" s="2">
        <f>IFERROR(__xludf.DUMMYFUNCTION("""COMPUTED_VALUE"""),211.99)</f>
        <v>211.99</v>
      </c>
      <c r="F203" s="2">
        <f>IFERROR(__xludf.DUMMYFUNCTION("""COMPUTED_VALUE"""),1.38010095E8)</f>
        <v>138010095</v>
      </c>
    </row>
    <row r="204">
      <c r="A204" s="3">
        <f>IFERROR(__xludf.DUMMYFUNCTION("""COMPUTED_VALUE"""),45222.66666666667)</f>
        <v>45222.66667</v>
      </c>
      <c r="B204" s="2">
        <f>IFERROR(__xludf.DUMMYFUNCTION("""COMPUTED_VALUE"""),210.0)</f>
        <v>210</v>
      </c>
      <c r="C204" s="2">
        <f>IFERROR(__xludf.DUMMYFUNCTION("""COMPUTED_VALUE"""),216.98)</f>
        <v>216.98</v>
      </c>
      <c r="D204" s="2">
        <f>IFERROR(__xludf.DUMMYFUNCTION("""COMPUTED_VALUE"""),202.51)</f>
        <v>202.51</v>
      </c>
      <c r="E204" s="2">
        <f>IFERROR(__xludf.DUMMYFUNCTION("""COMPUTED_VALUE"""),212.08)</f>
        <v>212.08</v>
      </c>
      <c r="F204" s="2">
        <f>IFERROR(__xludf.DUMMYFUNCTION("""COMPUTED_VALUE"""),1.50683368E8)</f>
        <v>150683368</v>
      </c>
    </row>
    <row r="205">
      <c r="A205" s="3">
        <f>IFERROR(__xludf.DUMMYFUNCTION("""COMPUTED_VALUE"""),45223.66666666667)</f>
        <v>45223.66667</v>
      </c>
      <c r="B205" s="2">
        <f>IFERROR(__xludf.DUMMYFUNCTION("""COMPUTED_VALUE"""),216.5)</f>
        <v>216.5</v>
      </c>
      <c r="C205" s="2">
        <f>IFERROR(__xludf.DUMMYFUNCTION("""COMPUTED_VALUE"""),222.05)</f>
        <v>222.05</v>
      </c>
      <c r="D205" s="2">
        <f>IFERROR(__xludf.DUMMYFUNCTION("""COMPUTED_VALUE"""),214.11)</f>
        <v>214.11</v>
      </c>
      <c r="E205" s="2">
        <f>IFERROR(__xludf.DUMMYFUNCTION("""COMPUTED_VALUE"""),216.52)</f>
        <v>216.52</v>
      </c>
      <c r="F205" s="2">
        <f>IFERROR(__xludf.DUMMYFUNCTION("""COMPUTED_VALUE"""),1.18231113E8)</f>
        <v>118231113</v>
      </c>
    </row>
    <row r="206">
      <c r="A206" s="3">
        <f>IFERROR(__xludf.DUMMYFUNCTION("""COMPUTED_VALUE"""),45224.66666666667)</f>
        <v>45224.66667</v>
      </c>
      <c r="B206" s="2">
        <f>IFERROR(__xludf.DUMMYFUNCTION("""COMPUTED_VALUE"""),215.88)</f>
        <v>215.88</v>
      </c>
      <c r="C206" s="2">
        <f>IFERROR(__xludf.DUMMYFUNCTION("""COMPUTED_VALUE"""),220.1)</f>
        <v>220.1</v>
      </c>
      <c r="D206" s="2">
        <f>IFERROR(__xludf.DUMMYFUNCTION("""COMPUTED_VALUE"""),212.2)</f>
        <v>212.2</v>
      </c>
      <c r="E206" s="2">
        <f>IFERROR(__xludf.DUMMYFUNCTION("""COMPUTED_VALUE"""),212.42)</f>
        <v>212.42</v>
      </c>
      <c r="F206" s="2">
        <f>IFERROR(__xludf.DUMMYFUNCTION("""COMPUTED_VALUE"""),1.07065087E8)</f>
        <v>107065087</v>
      </c>
    </row>
    <row r="207">
      <c r="A207" s="3">
        <f>IFERROR(__xludf.DUMMYFUNCTION("""COMPUTED_VALUE"""),45225.66666666667)</f>
        <v>45225.66667</v>
      </c>
      <c r="B207" s="2">
        <f>IFERROR(__xludf.DUMMYFUNCTION("""COMPUTED_VALUE"""),211.32)</f>
        <v>211.32</v>
      </c>
      <c r="C207" s="2">
        <f>IFERROR(__xludf.DUMMYFUNCTION("""COMPUTED_VALUE"""),214.8)</f>
        <v>214.8</v>
      </c>
      <c r="D207" s="2">
        <f>IFERROR(__xludf.DUMMYFUNCTION("""COMPUTED_VALUE"""),204.88)</f>
        <v>204.88</v>
      </c>
      <c r="E207" s="2">
        <f>IFERROR(__xludf.DUMMYFUNCTION("""COMPUTED_VALUE"""),205.76)</f>
        <v>205.76</v>
      </c>
      <c r="F207" s="2">
        <f>IFERROR(__xludf.DUMMYFUNCTION("""COMPUTED_VALUE"""),1.15112635E8)</f>
        <v>115112635</v>
      </c>
    </row>
    <row r="208">
      <c r="A208" s="3">
        <f>IFERROR(__xludf.DUMMYFUNCTION("""COMPUTED_VALUE"""),45226.66666666667)</f>
        <v>45226.66667</v>
      </c>
      <c r="B208" s="2">
        <f>IFERROR(__xludf.DUMMYFUNCTION("""COMPUTED_VALUE"""),210.6)</f>
        <v>210.6</v>
      </c>
      <c r="C208" s="2">
        <f>IFERROR(__xludf.DUMMYFUNCTION("""COMPUTED_VALUE"""),212.41)</f>
        <v>212.41</v>
      </c>
      <c r="D208" s="2">
        <f>IFERROR(__xludf.DUMMYFUNCTION("""COMPUTED_VALUE"""),205.77)</f>
        <v>205.77</v>
      </c>
      <c r="E208" s="2">
        <f>IFERROR(__xludf.DUMMYFUNCTION("""COMPUTED_VALUE"""),207.3)</f>
        <v>207.3</v>
      </c>
      <c r="F208" s="2">
        <f>IFERROR(__xludf.DUMMYFUNCTION("""COMPUTED_VALUE"""),9.4881173E7)</f>
        <v>94881173</v>
      </c>
    </row>
    <row r="209">
      <c r="A209" s="3">
        <f>IFERROR(__xludf.DUMMYFUNCTION("""COMPUTED_VALUE"""),45229.66666666667)</f>
        <v>45229.66667</v>
      </c>
      <c r="B209" s="2">
        <f>IFERROR(__xludf.DUMMYFUNCTION("""COMPUTED_VALUE"""),209.28)</f>
        <v>209.28</v>
      </c>
      <c r="C209" s="2">
        <f>IFERROR(__xludf.DUMMYFUNCTION("""COMPUTED_VALUE"""),210.88)</f>
        <v>210.88</v>
      </c>
      <c r="D209" s="2">
        <f>IFERROR(__xludf.DUMMYFUNCTION("""COMPUTED_VALUE"""),194.67)</f>
        <v>194.67</v>
      </c>
      <c r="E209" s="2">
        <f>IFERROR(__xludf.DUMMYFUNCTION("""COMPUTED_VALUE"""),197.36)</f>
        <v>197.36</v>
      </c>
      <c r="F209" s="2">
        <f>IFERROR(__xludf.DUMMYFUNCTION("""COMPUTED_VALUE"""),1.36448167E8)</f>
        <v>136448167</v>
      </c>
    </row>
    <row r="210">
      <c r="A210" s="3">
        <f>IFERROR(__xludf.DUMMYFUNCTION("""COMPUTED_VALUE"""),45230.66666666667)</f>
        <v>45230.66667</v>
      </c>
      <c r="B210" s="2">
        <f>IFERROR(__xludf.DUMMYFUNCTION("""COMPUTED_VALUE"""),196.12)</f>
        <v>196.12</v>
      </c>
      <c r="C210" s="2">
        <f>IFERROR(__xludf.DUMMYFUNCTION("""COMPUTED_VALUE"""),202.8)</f>
        <v>202.8</v>
      </c>
      <c r="D210" s="2">
        <f>IFERROR(__xludf.DUMMYFUNCTION("""COMPUTED_VALUE"""),194.07)</f>
        <v>194.07</v>
      </c>
      <c r="E210" s="2">
        <f>IFERROR(__xludf.DUMMYFUNCTION("""COMPUTED_VALUE"""),200.84)</f>
        <v>200.84</v>
      </c>
      <c r="F210" s="2">
        <f>IFERROR(__xludf.DUMMYFUNCTION("""COMPUTED_VALUE"""),1.18068273E8)</f>
        <v>118068273</v>
      </c>
    </row>
    <row r="211">
      <c r="A211" s="3">
        <f>IFERROR(__xludf.DUMMYFUNCTION("""COMPUTED_VALUE"""),45231.66666666667)</f>
        <v>45231.66667</v>
      </c>
      <c r="B211" s="2">
        <f>IFERROR(__xludf.DUMMYFUNCTION("""COMPUTED_VALUE"""),204.04)</f>
        <v>204.04</v>
      </c>
      <c r="C211" s="2">
        <f>IFERROR(__xludf.DUMMYFUNCTION("""COMPUTED_VALUE"""),205.99)</f>
        <v>205.99</v>
      </c>
      <c r="D211" s="2">
        <f>IFERROR(__xludf.DUMMYFUNCTION("""COMPUTED_VALUE"""),197.85)</f>
        <v>197.85</v>
      </c>
      <c r="E211" s="2">
        <f>IFERROR(__xludf.DUMMYFUNCTION("""COMPUTED_VALUE"""),205.66)</f>
        <v>205.66</v>
      </c>
      <c r="F211" s="2">
        <f>IFERROR(__xludf.DUMMYFUNCTION("""COMPUTED_VALUE"""),1.21661656E8)</f>
        <v>121661656</v>
      </c>
    </row>
    <row r="212">
      <c r="A212" s="3">
        <f>IFERROR(__xludf.DUMMYFUNCTION("""COMPUTED_VALUE"""),45232.66666666667)</f>
        <v>45232.66667</v>
      </c>
      <c r="B212" s="2">
        <f>IFERROR(__xludf.DUMMYFUNCTION("""COMPUTED_VALUE"""),212.97)</f>
        <v>212.97</v>
      </c>
      <c r="C212" s="2">
        <f>IFERROR(__xludf.DUMMYFUNCTION("""COMPUTED_VALUE"""),219.2)</f>
        <v>219.2</v>
      </c>
      <c r="D212" s="2">
        <f>IFERROR(__xludf.DUMMYFUNCTION("""COMPUTED_VALUE"""),211.45)</f>
        <v>211.45</v>
      </c>
      <c r="E212" s="2">
        <f>IFERROR(__xludf.DUMMYFUNCTION("""COMPUTED_VALUE"""),218.51)</f>
        <v>218.51</v>
      </c>
      <c r="F212" s="2">
        <f>IFERROR(__xludf.DUMMYFUNCTION("""COMPUTED_VALUE"""),1.25987621E8)</f>
        <v>125987621</v>
      </c>
    </row>
    <row r="213">
      <c r="A213" s="3">
        <f>IFERROR(__xludf.DUMMYFUNCTION("""COMPUTED_VALUE"""),45233.66666666667)</f>
        <v>45233.66667</v>
      </c>
      <c r="B213" s="2">
        <f>IFERROR(__xludf.DUMMYFUNCTION("""COMPUTED_VALUE"""),221.15)</f>
        <v>221.15</v>
      </c>
      <c r="C213" s="2">
        <f>IFERROR(__xludf.DUMMYFUNCTION("""COMPUTED_VALUE"""),226.37)</f>
        <v>226.37</v>
      </c>
      <c r="D213" s="2">
        <f>IFERROR(__xludf.DUMMYFUNCTION("""COMPUTED_VALUE"""),218.4)</f>
        <v>218.4</v>
      </c>
      <c r="E213" s="2">
        <f>IFERROR(__xludf.DUMMYFUNCTION("""COMPUTED_VALUE"""),219.96)</f>
        <v>219.96</v>
      </c>
      <c r="F213" s="2">
        <f>IFERROR(__xludf.DUMMYFUNCTION("""COMPUTED_VALUE"""),1.1953479E8)</f>
        <v>119534790</v>
      </c>
    </row>
    <row r="214">
      <c r="A214" s="3">
        <f>IFERROR(__xludf.DUMMYFUNCTION("""COMPUTED_VALUE"""),45236.66666666667)</f>
        <v>45236.66667</v>
      </c>
      <c r="B214" s="2">
        <f>IFERROR(__xludf.DUMMYFUNCTION("""COMPUTED_VALUE"""),223.98)</f>
        <v>223.98</v>
      </c>
      <c r="C214" s="2">
        <f>IFERROR(__xludf.DUMMYFUNCTION("""COMPUTED_VALUE"""),226.32)</f>
        <v>226.32</v>
      </c>
      <c r="D214" s="2">
        <f>IFERROR(__xludf.DUMMYFUNCTION("""COMPUTED_VALUE"""),215.0)</f>
        <v>215</v>
      </c>
      <c r="E214" s="2">
        <f>IFERROR(__xludf.DUMMYFUNCTION("""COMPUTED_VALUE"""),219.27)</f>
        <v>219.27</v>
      </c>
      <c r="F214" s="2">
        <f>IFERROR(__xludf.DUMMYFUNCTION("""COMPUTED_VALUE"""),1.1733582E8)</f>
        <v>117335820</v>
      </c>
    </row>
    <row r="215">
      <c r="A215" s="3">
        <f>IFERROR(__xludf.DUMMYFUNCTION("""COMPUTED_VALUE"""),45237.66666666667)</f>
        <v>45237.66667</v>
      </c>
      <c r="B215" s="2">
        <f>IFERROR(__xludf.DUMMYFUNCTION("""COMPUTED_VALUE"""),219.98)</f>
        <v>219.98</v>
      </c>
      <c r="C215" s="2">
        <f>IFERROR(__xludf.DUMMYFUNCTION("""COMPUTED_VALUE"""),223.12)</f>
        <v>223.12</v>
      </c>
      <c r="D215" s="2">
        <f>IFERROR(__xludf.DUMMYFUNCTION("""COMPUTED_VALUE"""),215.72)</f>
        <v>215.72</v>
      </c>
      <c r="E215" s="2">
        <f>IFERROR(__xludf.DUMMYFUNCTION("""COMPUTED_VALUE"""),222.18)</f>
        <v>222.18</v>
      </c>
      <c r="F215" s="2">
        <f>IFERROR(__xludf.DUMMYFUNCTION("""COMPUTED_VALUE"""),1.1690013E8)</f>
        <v>116900130</v>
      </c>
    </row>
    <row r="216">
      <c r="A216" s="3">
        <f>IFERROR(__xludf.DUMMYFUNCTION("""COMPUTED_VALUE"""),45238.66666666667)</f>
        <v>45238.66667</v>
      </c>
      <c r="B216" s="2">
        <f>IFERROR(__xludf.DUMMYFUNCTION("""COMPUTED_VALUE"""),223.15)</f>
        <v>223.15</v>
      </c>
      <c r="C216" s="2">
        <f>IFERROR(__xludf.DUMMYFUNCTION("""COMPUTED_VALUE"""),224.15)</f>
        <v>224.15</v>
      </c>
      <c r="D216" s="2">
        <f>IFERROR(__xludf.DUMMYFUNCTION("""COMPUTED_VALUE"""),217.64)</f>
        <v>217.64</v>
      </c>
      <c r="E216" s="2">
        <f>IFERROR(__xludf.DUMMYFUNCTION("""COMPUTED_VALUE"""),222.11)</f>
        <v>222.11</v>
      </c>
      <c r="F216" s="2">
        <f>IFERROR(__xludf.DUMMYFUNCTION("""COMPUTED_VALUE"""),1.06584841E8)</f>
        <v>106584841</v>
      </c>
    </row>
    <row r="217">
      <c r="A217" s="3">
        <f>IFERROR(__xludf.DUMMYFUNCTION("""COMPUTED_VALUE"""),45239.66666666667)</f>
        <v>45239.66667</v>
      </c>
      <c r="B217" s="2">
        <f>IFERROR(__xludf.DUMMYFUNCTION("""COMPUTED_VALUE"""),219.75)</f>
        <v>219.75</v>
      </c>
      <c r="C217" s="2">
        <f>IFERROR(__xludf.DUMMYFUNCTION("""COMPUTED_VALUE"""),220.8)</f>
        <v>220.8</v>
      </c>
      <c r="D217" s="2">
        <f>IFERROR(__xludf.DUMMYFUNCTION("""COMPUTED_VALUE"""),206.68)</f>
        <v>206.68</v>
      </c>
      <c r="E217" s="2">
        <f>IFERROR(__xludf.DUMMYFUNCTION("""COMPUTED_VALUE"""),209.98)</f>
        <v>209.98</v>
      </c>
      <c r="F217" s="2">
        <f>IFERROR(__xludf.DUMMYFUNCTION("""COMPUTED_VALUE"""),1.42110454E8)</f>
        <v>142110454</v>
      </c>
    </row>
    <row r="218">
      <c r="A218" s="3">
        <f>IFERROR(__xludf.DUMMYFUNCTION("""COMPUTED_VALUE"""),45240.66666666667)</f>
        <v>45240.66667</v>
      </c>
      <c r="B218" s="2">
        <f>IFERROR(__xludf.DUMMYFUNCTION("""COMPUTED_VALUE"""),210.03)</f>
        <v>210.03</v>
      </c>
      <c r="C218" s="2">
        <f>IFERROR(__xludf.DUMMYFUNCTION("""COMPUTED_VALUE"""),215.38)</f>
        <v>215.38</v>
      </c>
      <c r="D218" s="2">
        <f>IFERROR(__xludf.DUMMYFUNCTION("""COMPUTED_VALUE"""),205.69)</f>
        <v>205.69</v>
      </c>
      <c r="E218" s="2">
        <f>IFERROR(__xludf.DUMMYFUNCTION("""COMPUTED_VALUE"""),214.65)</f>
        <v>214.65</v>
      </c>
      <c r="F218" s="2">
        <f>IFERROR(__xludf.DUMMYFUNCTION("""COMPUTED_VALUE"""),1.31310128E8)</f>
        <v>131310128</v>
      </c>
    </row>
    <row r="219">
      <c r="A219" s="3">
        <f>IFERROR(__xludf.DUMMYFUNCTION("""COMPUTED_VALUE"""),45243.66666666667)</f>
        <v>45243.66667</v>
      </c>
      <c r="B219" s="2">
        <f>IFERROR(__xludf.DUMMYFUNCTION("""COMPUTED_VALUE"""),215.6)</f>
        <v>215.6</v>
      </c>
      <c r="C219" s="2">
        <f>IFERROR(__xludf.DUMMYFUNCTION("""COMPUTED_VALUE"""),225.4)</f>
        <v>225.4</v>
      </c>
      <c r="D219" s="2">
        <f>IFERROR(__xludf.DUMMYFUNCTION("""COMPUTED_VALUE"""),211.61)</f>
        <v>211.61</v>
      </c>
      <c r="E219" s="2">
        <f>IFERROR(__xludf.DUMMYFUNCTION("""COMPUTED_VALUE"""),223.71)</f>
        <v>223.71</v>
      </c>
      <c r="F219" s="2">
        <f>IFERROR(__xludf.DUMMYFUNCTION("""COMPUTED_VALUE"""),1.40447569E8)</f>
        <v>140447569</v>
      </c>
    </row>
    <row r="220">
      <c r="A220" s="3">
        <f>IFERROR(__xludf.DUMMYFUNCTION("""COMPUTED_VALUE"""),45244.66666666667)</f>
        <v>45244.66667</v>
      </c>
      <c r="B220" s="2">
        <f>IFERROR(__xludf.DUMMYFUNCTION("""COMPUTED_VALUE"""),235.03)</f>
        <v>235.03</v>
      </c>
      <c r="C220" s="2">
        <f>IFERROR(__xludf.DUMMYFUNCTION("""COMPUTED_VALUE"""),238.14)</f>
        <v>238.14</v>
      </c>
      <c r="D220" s="2">
        <f>IFERROR(__xludf.DUMMYFUNCTION("""COMPUTED_VALUE"""),230.72)</f>
        <v>230.72</v>
      </c>
      <c r="E220" s="2">
        <f>IFERROR(__xludf.DUMMYFUNCTION("""COMPUTED_VALUE"""),237.41)</f>
        <v>237.41</v>
      </c>
      <c r="F220" s="2">
        <f>IFERROR(__xludf.DUMMYFUNCTION("""COMPUTED_VALUE"""),1.49771642E8)</f>
        <v>149771642</v>
      </c>
    </row>
    <row r="221">
      <c r="A221" s="3">
        <f>IFERROR(__xludf.DUMMYFUNCTION("""COMPUTED_VALUE"""),45245.66666666667)</f>
        <v>45245.66667</v>
      </c>
      <c r="B221" s="2">
        <f>IFERROR(__xludf.DUMMYFUNCTION("""COMPUTED_VALUE"""),239.29)</f>
        <v>239.29</v>
      </c>
      <c r="C221" s="2">
        <f>IFERROR(__xludf.DUMMYFUNCTION("""COMPUTED_VALUE"""),246.7)</f>
        <v>246.7</v>
      </c>
      <c r="D221" s="2">
        <f>IFERROR(__xludf.DUMMYFUNCTION("""COMPUTED_VALUE"""),236.45)</f>
        <v>236.45</v>
      </c>
      <c r="E221" s="2">
        <f>IFERROR(__xludf.DUMMYFUNCTION("""COMPUTED_VALUE"""),242.84)</f>
        <v>242.84</v>
      </c>
      <c r="F221" s="2">
        <f>IFERROR(__xludf.DUMMYFUNCTION("""COMPUTED_VALUE"""),1.50353975E8)</f>
        <v>150353975</v>
      </c>
    </row>
    <row r="222">
      <c r="A222" s="3">
        <f>IFERROR(__xludf.DUMMYFUNCTION("""COMPUTED_VALUE"""),45246.66666666667)</f>
        <v>45246.66667</v>
      </c>
      <c r="B222" s="2">
        <f>IFERROR(__xludf.DUMMYFUNCTION("""COMPUTED_VALUE"""),239.49)</f>
        <v>239.49</v>
      </c>
      <c r="C222" s="2">
        <f>IFERROR(__xludf.DUMMYFUNCTION("""COMPUTED_VALUE"""),240.88)</f>
        <v>240.88</v>
      </c>
      <c r="D222" s="2">
        <f>IFERROR(__xludf.DUMMYFUNCTION("""COMPUTED_VALUE"""),230.96)</f>
        <v>230.96</v>
      </c>
      <c r="E222" s="2">
        <f>IFERROR(__xludf.DUMMYFUNCTION("""COMPUTED_VALUE"""),233.59)</f>
        <v>233.59</v>
      </c>
      <c r="F222" s="2">
        <f>IFERROR(__xludf.DUMMYFUNCTION("""COMPUTED_VALUE"""),1.36816819E8)</f>
        <v>136816819</v>
      </c>
    </row>
    <row r="223">
      <c r="A223" s="3">
        <f>IFERROR(__xludf.DUMMYFUNCTION("""COMPUTED_VALUE"""),45247.66666666667)</f>
        <v>45247.66667</v>
      </c>
      <c r="B223" s="2">
        <f>IFERROR(__xludf.DUMMYFUNCTION("""COMPUTED_VALUE"""),232.0)</f>
        <v>232</v>
      </c>
      <c r="C223" s="2">
        <f>IFERROR(__xludf.DUMMYFUNCTION("""COMPUTED_VALUE"""),237.39)</f>
        <v>237.39</v>
      </c>
      <c r="D223" s="2">
        <f>IFERROR(__xludf.DUMMYFUNCTION("""COMPUTED_VALUE"""),226.54)</f>
        <v>226.54</v>
      </c>
      <c r="E223" s="2">
        <f>IFERROR(__xludf.DUMMYFUNCTION("""COMPUTED_VALUE"""),234.3)</f>
        <v>234.3</v>
      </c>
      <c r="F223" s="2">
        <f>IFERROR(__xludf.DUMMYFUNCTION("""COMPUTED_VALUE"""),1.42766234E8)</f>
        <v>142766234</v>
      </c>
    </row>
    <row r="224">
      <c r="A224" s="3">
        <f>IFERROR(__xludf.DUMMYFUNCTION("""COMPUTED_VALUE"""),45250.66666666667)</f>
        <v>45250.66667</v>
      </c>
      <c r="B224" s="2">
        <f>IFERROR(__xludf.DUMMYFUNCTION("""COMPUTED_VALUE"""),234.04)</f>
        <v>234.04</v>
      </c>
      <c r="C224" s="2">
        <f>IFERROR(__xludf.DUMMYFUNCTION("""COMPUTED_VALUE"""),237.1)</f>
        <v>237.1</v>
      </c>
      <c r="D224" s="2">
        <f>IFERROR(__xludf.DUMMYFUNCTION("""COMPUTED_VALUE"""),231.02)</f>
        <v>231.02</v>
      </c>
      <c r="E224" s="2">
        <f>IFERROR(__xludf.DUMMYFUNCTION("""COMPUTED_VALUE"""),235.6)</f>
        <v>235.6</v>
      </c>
      <c r="F224" s="2">
        <f>IFERROR(__xludf.DUMMYFUNCTION("""COMPUTED_VALUE"""),1.16562402E8)</f>
        <v>116562402</v>
      </c>
    </row>
    <row r="225">
      <c r="A225" s="3">
        <f>IFERROR(__xludf.DUMMYFUNCTION("""COMPUTED_VALUE"""),45251.66666666667)</f>
        <v>45251.66667</v>
      </c>
      <c r="B225" s="2">
        <f>IFERROR(__xludf.DUMMYFUNCTION("""COMPUTED_VALUE"""),235.04)</f>
        <v>235.04</v>
      </c>
      <c r="C225" s="2">
        <f>IFERROR(__xludf.DUMMYFUNCTION("""COMPUTED_VALUE"""),243.62)</f>
        <v>243.62</v>
      </c>
      <c r="D225" s="2">
        <f>IFERROR(__xludf.DUMMYFUNCTION("""COMPUTED_VALUE"""),233.34)</f>
        <v>233.34</v>
      </c>
      <c r="E225" s="2">
        <f>IFERROR(__xludf.DUMMYFUNCTION("""COMPUTED_VALUE"""),241.2)</f>
        <v>241.2</v>
      </c>
      <c r="F225" s="2">
        <f>IFERROR(__xludf.DUMMYFUNCTION("""COMPUTED_VALUE"""),1.22288E8)</f>
        <v>122288000</v>
      </c>
    </row>
    <row r="226">
      <c r="A226" s="3">
        <f>IFERROR(__xludf.DUMMYFUNCTION("""COMPUTED_VALUE"""),45252.66666666667)</f>
        <v>45252.66667</v>
      </c>
      <c r="B226" s="2">
        <f>IFERROR(__xludf.DUMMYFUNCTION("""COMPUTED_VALUE"""),242.04)</f>
        <v>242.04</v>
      </c>
      <c r="C226" s="2">
        <f>IFERROR(__xludf.DUMMYFUNCTION("""COMPUTED_VALUE"""),244.01)</f>
        <v>244.01</v>
      </c>
      <c r="D226" s="2">
        <f>IFERROR(__xludf.DUMMYFUNCTION("""COMPUTED_VALUE"""),231.4)</f>
        <v>231.4</v>
      </c>
      <c r="E226" s="2">
        <f>IFERROR(__xludf.DUMMYFUNCTION("""COMPUTED_VALUE"""),234.21)</f>
        <v>234.21</v>
      </c>
      <c r="F226" s="2">
        <f>IFERROR(__xludf.DUMMYFUNCTION("""COMPUTED_VALUE"""),1.18117078E8)</f>
        <v>118117078</v>
      </c>
    </row>
    <row r="227">
      <c r="A227" s="3">
        <f>IFERROR(__xludf.DUMMYFUNCTION("""COMPUTED_VALUE"""),45254.54513888889)</f>
        <v>45254.54514</v>
      </c>
      <c r="B227" s="2">
        <f>IFERROR(__xludf.DUMMYFUNCTION("""COMPUTED_VALUE"""),233.75)</f>
        <v>233.75</v>
      </c>
      <c r="C227" s="2">
        <f>IFERROR(__xludf.DUMMYFUNCTION("""COMPUTED_VALUE"""),238.75)</f>
        <v>238.75</v>
      </c>
      <c r="D227" s="2">
        <f>IFERROR(__xludf.DUMMYFUNCTION("""COMPUTED_VALUE"""),232.33)</f>
        <v>232.33</v>
      </c>
      <c r="E227" s="2">
        <f>IFERROR(__xludf.DUMMYFUNCTION("""COMPUTED_VALUE"""),235.45)</f>
        <v>235.45</v>
      </c>
      <c r="F227" s="2">
        <f>IFERROR(__xludf.DUMMYFUNCTION("""COMPUTED_VALUE"""),6.5125203E7)</f>
        <v>65125203</v>
      </c>
    </row>
    <row r="228">
      <c r="A228" s="3">
        <f>IFERROR(__xludf.DUMMYFUNCTION("""COMPUTED_VALUE"""),45257.66666666667)</f>
        <v>45257.66667</v>
      </c>
      <c r="B228" s="2">
        <f>IFERROR(__xludf.DUMMYFUNCTION("""COMPUTED_VALUE"""),236.89)</f>
        <v>236.89</v>
      </c>
      <c r="C228" s="2">
        <f>IFERROR(__xludf.DUMMYFUNCTION("""COMPUTED_VALUE"""),238.33)</f>
        <v>238.33</v>
      </c>
      <c r="D228" s="2">
        <f>IFERROR(__xludf.DUMMYFUNCTION("""COMPUTED_VALUE"""),232.1)</f>
        <v>232.1</v>
      </c>
      <c r="E228" s="2">
        <f>IFERROR(__xludf.DUMMYFUNCTION("""COMPUTED_VALUE"""),236.08)</f>
        <v>236.08</v>
      </c>
      <c r="F228" s="2">
        <f>IFERROR(__xludf.DUMMYFUNCTION("""COMPUTED_VALUE"""),1.12031763E8)</f>
        <v>112031763</v>
      </c>
    </row>
    <row r="229">
      <c r="A229" s="3">
        <f>IFERROR(__xludf.DUMMYFUNCTION("""COMPUTED_VALUE"""),45258.66666666667)</f>
        <v>45258.66667</v>
      </c>
      <c r="B229" s="2">
        <f>IFERROR(__xludf.DUMMYFUNCTION("""COMPUTED_VALUE"""),236.68)</f>
        <v>236.68</v>
      </c>
      <c r="C229" s="2">
        <f>IFERROR(__xludf.DUMMYFUNCTION("""COMPUTED_VALUE"""),247.0)</f>
        <v>247</v>
      </c>
      <c r="D229" s="2">
        <f>IFERROR(__xludf.DUMMYFUNCTION("""COMPUTED_VALUE"""),234.01)</f>
        <v>234.01</v>
      </c>
      <c r="E229" s="2">
        <f>IFERROR(__xludf.DUMMYFUNCTION("""COMPUTED_VALUE"""),246.72)</f>
        <v>246.72</v>
      </c>
      <c r="F229" s="2">
        <f>IFERROR(__xludf.DUMMYFUNCTION("""COMPUTED_VALUE"""),1.48549913E8)</f>
        <v>148549913</v>
      </c>
    </row>
    <row r="230">
      <c r="A230" s="3">
        <f>IFERROR(__xludf.DUMMYFUNCTION("""COMPUTED_VALUE"""),45259.66666666667)</f>
        <v>45259.66667</v>
      </c>
      <c r="B230" s="2">
        <f>IFERROR(__xludf.DUMMYFUNCTION("""COMPUTED_VALUE"""),249.21)</f>
        <v>249.21</v>
      </c>
      <c r="C230" s="2">
        <f>IFERROR(__xludf.DUMMYFUNCTION("""COMPUTED_VALUE"""),252.75)</f>
        <v>252.75</v>
      </c>
      <c r="D230" s="2">
        <f>IFERROR(__xludf.DUMMYFUNCTION("""COMPUTED_VALUE"""),242.76)</f>
        <v>242.76</v>
      </c>
      <c r="E230" s="2">
        <f>IFERROR(__xludf.DUMMYFUNCTION("""COMPUTED_VALUE"""),244.14)</f>
        <v>244.14</v>
      </c>
      <c r="F230" s="2">
        <f>IFERROR(__xludf.DUMMYFUNCTION("""COMPUTED_VALUE"""),1.35401335E8)</f>
        <v>135401335</v>
      </c>
    </row>
    <row r="231">
      <c r="A231" s="3">
        <f>IFERROR(__xludf.DUMMYFUNCTION("""COMPUTED_VALUE"""),45260.66666666667)</f>
        <v>45260.66667</v>
      </c>
      <c r="B231" s="2">
        <f>IFERROR(__xludf.DUMMYFUNCTION("""COMPUTED_VALUE"""),245.14)</f>
        <v>245.14</v>
      </c>
      <c r="C231" s="2">
        <f>IFERROR(__xludf.DUMMYFUNCTION("""COMPUTED_VALUE"""),245.22)</f>
        <v>245.22</v>
      </c>
      <c r="D231" s="2">
        <f>IFERROR(__xludf.DUMMYFUNCTION("""COMPUTED_VALUE"""),236.91)</f>
        <v>236.91</v>
      </c>
      <c r="E231" s="2">
        <f>IFERROR(__xludf.DUMMYFUNCTION("""COMPUTED_VALUE"""),240.08)</f>
        <v>240.08</v>
      </c>
      <c r="F231" s="2">
        <f>IFERROR(__xludf.DUMMYFUNCTION("""COMPUTED_VALUE"""),1.32353196E8)</f>
        <v>132353196</v>
      </c>
    </row>
    <row r="232">
      <c r="A232" s="3">
        <f>IFERROR(__xludf.DUMMYFUNCTION("""COMPUTED_VALUE"""),45261.66666666667)</f>
        <v>45261.66667</v>
      </c>
      <c r="B232" s="2">
        <f>IFERROR(__xludf.DUMMYFUNCTION("""COMPUTED_VALUE"""),233.14)</f>
        <v>233.14</v>
      </c>
      <c r="C232" s="2">
        <f>IFERROR(__xludf.DUMMYFUNCTION("""COMPUTED_VALUE"""),240.19)</f>
        <v>240.19</v>
      </c>
      <c r="D232" s="2">
        <f>IFERROR(__xludf.DUMMYFUNCTION("""COMPUTED_VALUE"""),231.9)</f>
        <v>231.9</v>
      </c>
      <c r="E232" s="2">
        <f>IFERROR(__xludf.DUMMYFUNCTION("""COMPUTED_VALUE"""),238.83)</f>
        <v>238.83</v>
      </c>
      <c r="F232" s="2">
        <f>IFERROR(__xludf.DUMMYFUNCTION("""COMPUTED_VALUE"""),1.21331709E8)</f>
        <v>121331709</v>
      </c>
    </row>
    <row r="233">
      <c r="A233" s="3">
        <f>IFERROR(__xludf.DUMMYFUNCTION("""COMPUTED_VALUE"""),45264.66666666667)</f>
        <v>45264.66667</v>
      </c>
      <c r="B233" s="2">
        <f>IFERROR(__xludf.DUMMYFUNCTION("""COMPUTED_VALUE"""),235.75)</f>
        <v>235.75</v>
      </c>
      <c r="C233" s="2">
        <f>IFERROR(__xludf.DUMMYFUNCTION("""COMPUTED_VALUE"""),239.37)</f>
        <v>239.37</v>
      </c>
      <c r="D233" s="2">
        <f>IFERROR(__xludf.DUMMYFUNCTION("""COMPUTED_VALUE"""),233.29)</f>
        <v>233.29</v>
      </c>
      <c r="E233" s="2">
        <f>IFERROR(__xludf.DUMMYFUNCTION("""COMPUTED_VALUE"""),235.58)</f>
        <v>235.58</v>
      </c>
      <c r="F233" s="2">
        <f>IFERROR(__xludf.DUMMYFUNCTION("""COMPUTED_VALUE"""),1.04099817E8)</f>
        <v>104099817</v>
      </c>
    </row>
    <row r="234">
      <c r="A234" s="3">
        <f>IFERROR(__xludf.DUMMYFUNCTION("""COMPUTED_VALUE"""),45265.66666666667)</f>
        <v>45265.66667</v>
      </c>
      <c r="B234" s="2">
        <f>IFERROR(__xludf.DUMMYFUNCTION("""COMPUTED_VALUE"""),233.87)</f>
        <v>233.87</v>
      </c>
      <c r="C234" s="2">
        <f>IFERROR(__xludf.DUMMYFUNCTION("""COMPUTED_VALUE"""),246.66)</f>
        <v>246.66</v>
      </c>
      <c r="D234" s="2">
        <f>IFERROR(__xludf.DUMMYFUNCTION("""COMPUTED_VALUE"""),233.7)</f>
        <v>233.7</v>
      </c>
      <c r="E234" s="2">
        <f>IFERROR(__xludf.DUMMYFUNCTION("""COMPUTED_VALUE"""),238.72)</f>
        <v>238.72</v>
      </c>
      <c r="F234" s="2">
        <f>IFERROR(__xludf.DUMMYFUNCTION("""COMPUTED_VALUE"""),1.37971115E8)</f>
        <v>137971115</v>
      </c>
    </row>
    <row r="235">
      <c r="A235" s="3">
        <f>IFERROR(__xludf.DUMMYFUNCTION("""COMPUTED_VALUE"""),45266.66666666667)</f>
        <v>45266.66667</v>
      </c>
      <c r="B235" s="2">
        <f>IFERROR(__xludf.DUMMYFUNCTION("""COMPUTED_VALUE"""),242.92)</f>
        <v>242.92</v>
      </c>
      <c r="C235" s="2">
        <f>IFERROR(__xludf.DUMMYFUNCTION("""COMPUTED_VALUE"""),246.57)</f>
        <v>246.57</v>
      </c>
      <c r="D235" s="2">
        <f>IFERROR(__xludf.DUMMYFUNCTION("""COMPUTED_VALUE"""),239.17)</f>
        <v>239.17</v>
      </c>
      <c r="E235" s="2">
        <f>IFERROR(__xludf.DUMMYFUNCTION("""COMPUTED_VALUE"""),239.37)</f>
        <v>239.37</v>
      </c>
      <c r="F235" s="2">
        <f>IFERROR(__xludf.DUMMYFUNCTION("""COMPUTED_VALUE"""),1.26436179E8)</f>
        <v>126436179</v>
      </c>
    </row>
    <row r="236">
      <c r="A236" s="3">
        <f>IFERROR(__xludf.DUMMYFUNCTION("""COMPUTED_VALUE"""),45267.66666666667)</f>
        <v>45267.66667</v>
      </c>
      <c r="B236" s="2">
        <f>IFERROR(__xludf.DUMMYFUNCTION("""COMPUTED_VALUE"""),241.55)</f>
        <v>241.55</v>
      </c>
      <c r="C236" s="2">
        <f>IFERROR(__xludf.DUMMYFUNCTION("""COMPUTED_VALUE"""),244.08)</f>
        <v>244.08</v>
      </c>
      <c r="D236" s="2">
        <f>IFERROR(__xludf.DUMMYFUNCTION("""COMPUTED_VALUE"""),236.98)</f>
        <v>236.98</v>
      </c>
      <c r="E236" s="2">
        <f>IFERROR(__xludf.DUMMYFUNCTION("""COMPUTED_VALUE"""),242.64)</f>
        <v>242.64</v>
      </c>
      <c r="F236" s="2">
        <f>IFERROR(__xludf.DUMMYFUNCTION("""COMPUTED_VALUE"""),1.07142262E8)</f>
        <v>107142262</v>
      </c>
    </row>
    <row r="237">
      <c r="A237" s="3">
        <f>IFERROR(__xludf.DUMMYFUNCTION("""COMPUTED_VALUE"""),45268.66666666667)</f>
        <v>45268.66667</v>
      </c>
      <c r="B237" s="2">
        <f>IFERROR(__xludf.DUMMYFUNCTION("""COMPUTED_VALUE"""),240.27)</f>
        <v>240.27</v>
      </c>
      <c r="C237" s="2">
        <f>IFERROR(__xludf.DUMMYFUNCTION("""COMPUTED_VALUE"""),245.27)</f>
        <v>245.27</v>
      </c>
      <c r="D237" s="2">
        <f>IFERROR(__xludf.DUMMYFUNCTION("""COMPUTED_VALUE"""),239.27)</f>
        <v>239.27</v>
      </c>
      <c r="E237" s="2">
        <f>IFERROR(__xludf.DUMMYFUNCTION("""COMPUTED_VALUE"""),243.84)</f>
        <v>243.84</v>
      </c>
      <c r="F237" s="2">
        <f>IFERROR(__xludf.DUMMYFUNCTION("""COMPUTED_VALUE"""),1.03126829E8)</f>
        <v>103126829</v>
      </c>
    </row>
    <row r="238">
      <c r="A238" s="3">
        <f>IFERROR(__xludf.DUMMYFUNCTION("""COMPUTED_VALUE"""),45271.66666666667)</f>
        <v>45271.66667</v>
      </c>
      <c r="B238" s="2">
        <f>IFERROR(__xludf.DUMMYFUNCTION("""COMPUTED_VALUE"""),242.74)</f>
        <v>242.74</v>
      </c>
      <c r="C238" s="2">
        <f>IFERROR(__xludf.DUMMYFUNCTION("""COMPUTED_VALUE"""),243.44)</f>
        <v>243.44</v>
      </c>
      <c r="D238" s="2">
        <f>IFERROR(__xludf.DUMMYFUNCTION("""COMPUTED_VALUE"""),237.45)</f>
        <v>237.45</v>
      </c>
      <c r="E238" s="2">
        <f>IFERROR(__xludf.DUMMYFUNCTION("""COMPUTED_VALUE"""),239.74)</f>
        <v>239.74</v>
      </c>
      <c r="F238" s="2">
        <f>IFERROR(__xludf.DUMMYFUNCTION("""COMPUTED_VALUE"""),9.7913888E7)</f>
        <v>97913888</v>
      </c>
    </row>
    <row r="239">
      <c r="A239" s="3">
        <f>IFERROR(__xludf.DUMMYFUNCTION("""COMPUTED_VALUE"""),45272.66666666667)</f>
        <v>45272.66667</v>
      </c>
      <c r="B239" s="2">
        <f>IFERROR(__xludf.DUMMYFUNCTION("""COMPUTED_VALUE"""),238.55)</f>
        <v>238.55</v>
      </c>
      <c r="C239" s="2">
        <f>IFERROR(__xludf.DUMMYFUNCTION("""COMPUTED_VALUE"""),238.99)</f>
        <v>238.99</v>
      </c>
      <c r="D239" s="2">
        <f>IFERROR(__xludf.DUMMYFUNCTION("""COMPUTED_VALUE"""),233.87)</f>
        <v>233.87</v>
      </c>
      <c r="E239" s="2">
        <f>IFERROR(__xludf.DUMMYFUNCTION("""COMPUTED_VALUE"""),237.01)</f>
        <v>237.01</v>
      </c>
      <c r="F239" s="2">
        <f>IFERROR(__xludf.DUMMYFUNCTION("""COMPUTED_VALUE"""),9.5328313E7)</f>
        <v>95328313</v>
      </c>
    </row>
    <row r="240">
      <c r="A240" s="3">
        <f>IFERROR(__xludf.DUMMYFUNCTION("""COMPUTED_VALUE"""),45273.66666666667)</f>
        <v>45273.66667</v>
      </c>
      <c r="B240" s="2">
        <f>IFERROR(__xludf.DUMMYFUNCTION("""COMPUTED_VALUE"""),234.19)</f>
        <v>234.19</v>
      </c>
      <c r="C240" s="2">
        <f>IFERROR(__xludf.DUMMYFUNCTION("""COMPUTED_VALUE"""),240.3)</f>
        <v>240.3</v>
      </c>
      <c r="D240" s="2">
        <f>IFERROR(__xludf.DUMMYFUNCTION("""COMPUTED_VALUE"""),228.2)</f>
        <v>228.2</v>
      </c>
      <c r="E240" s="2">
        <f>IFERROR(__xludf.DUMMYFUNCTION("""COMPUTED_VALUE"""),239.29)</f>
        <v>239.29</v>
      </c>
      <c r="F240" s="2">
        <f>IFERROR(__xludf.DUMMYFUNCTION("""COMPUTED_VALUE"""),1.46286348E8)</f>
        <v>146286348</v>
      </c>
    </row>
    <row r="241">
      <c r="A241" s="3">
        <f>IFERROR(__xludf.DUMMYFUNCTION("""COMPUTED_VALUE"""),45274.66666666667)</f>
        <v>45274.66667</v>
      </c>
      <c r="B241" s="2">
        <f>IFERROR(__xludf.DUMMYFUNCTION("""COMPUTED_VALUE"""),241.22)</f>
        <v>241.22</v>
      </c>
      <c r="C241" s="2">
        <f>IFERROR(__xludf.DUMMYFUNCTION("""COMPUTED_VALUE"""),253.88)</f>
        <v>253.88</v>
      </c>
      <c r="D241" s="2">
        <f>IFERROR(__xludf.DUMMYFUNCTION("""COMPUTED_VALUE"""),240.79)</f>
        <v>240.79</v>
      </c>
      <c r="E241" s="2">
        <f>IFERROR(__xludf.DUMMYFUNCTION("""COMPUTED_VALUE"""),251.05)</f>
        <v>251.05</v>
      </c>
      <c r="F241" s="2">
        <f>IFERROR(__xludf.DUMMYFUNCTION("""COMPUTED_VALUE"""),1.60829239E8)</f>
        <v>160829239</v>
      </c>
    </row>
    <row r="242">
      <c r="A242" s="3">
        <f>IFERROR(__xludf.DUMMYFUNCTION("""COMPUTED_VALUE"""),45275.66666666667)</f>
        <v>45275.66667</v>
      </c>
      <c r="B242" s="2">
        <f>IFERROR(__xludf.DUMMYFUNCTION("""COMPUTED_VALUE"""),251.21)</f>
        <v>251.21</v>
      </c>
      <c r="C242" s="2">
        <f>IFERROR(__xludf.DUMMYFUNCTION("""COMPUTED_VALUE"""),254.13)</f>
        <v>254.13</v>
      </c>
      <c r="D242" s="2">
        <f>IFERROR(__xludf.DUMMYFUNCTION("""COMPUTED_VALUE"""),248.3)</f>
        <v>248.3</v>
      </c>
      <c r="E242" s="2">
        <f>IFERROR(__xludf.DUMMYFUNCTION("""COMPUTED_VALUE"""),253.5)</f>
        <v>253.5</v>
      </c>
      <c r="F242" s="2">
        <f>IFERROR(__xludf.DUMMYFUNCTION("""COMPUTED_VALUE"""),1.35932762E8)</f>
        <v>135932762</v>
      </c>
    </row>
    <row r="243">
      <c r="A243" s="3">
        <f>IFERROR(__xludf.DUMMYFUNCTION("""COMPUTED_VALUE"""),45278.66666666667)</f>
        <v>45278.66667</v>
      </c>
      <c r="B243" s="2">
        <f>IFERROR(__xludf.DUMMYFUNCTION("""COMPUTED_VALUE"""),253.78)</f>
        <v>253.78</v>
      </c>
      <c r="C243" s="2">
        <f>IFERROR(__xludf.DUMMYFUNCTION("""COMPUTED_VALUE"""),258.74)</f>
        <v>258.74</v>
      </c>
      <c r="D243" s="2">
        <f>IFERROR(__xludf.DUMMYFUNCTION("""COMPUTED_VALUE"""),251.36)</f>
        <v>251.36</v>
      </c>
      <c r="E243" s="2">
        <f>IFERROR(__xludf.DUMMYFUNCTION("""COMPUTED_VALUE"""),252.08)</f>
        <v>252.08</v>
      </c>
      <c r="F243" s="2">
        <f>IFERROR(__xludf.DUMMYFUNCTION("""COMPUTED_VALUE"""),1.1641649E8)</f>
        <v>116416490</v>
      </c>
    </row>
    <row r="244">
      <c r="A244" s="3">
        <f>IFERROR(__xludf.DUMMYFUNCTION("""COMPUTED_VALUE"""),45279.66666666667)</f>
        <v>45279.66667</v>
      </c>
      <c r="B244" s="2">
        <f>IFERROR(__xludf.DUMMYFUNCTION("""COMPUTED_VALUE"""),253.48)</f>
        <v>253.48</v>
      </c>
      <c r="C244" s="2">
        <f>IFERROR(__xludf.DUMMYFUNCTION("""COMPUTED_VALUE"""),258.34)</f>
        <v>258.34</v>
      </c>
      <c r="D244" s="2">
        <f>IFERROR(__xludf.DUMMYFUNCTION("""COMPUTED_VALUE"""),253.01)</f>
        <v>253.01</v>
      </c>
      <c r="E244" s="2">
        <f>IFERROR(__xludf.DUMMYFUNCTION("""COMPUTED_VALUE"""),257.22)</f>
        <v>257.22</v>
      </c>
      <c r="F244" s="2">
        <f>IFERROR(__xludf.DUMMYFUNCTION("""COMPUTED_VALUE"""),1.06737369E8)</f>
        <v>106737369</v>
      </c>
    </row>
    <row r="245">
      <c r="A245" s="3">
        <f>IFERROR(__xludf.DUMMYFUNCTION("""COMPUTED_VALUE"""),45280.66666666667)</f>
        <v>45280.66667</v>
      </c>
      <c r="B245" s="2">
        <f>IFERROR(__xludf.DUMMYFUNCTION("""COMPUTED_VALUE"""),256.41)</f>
        <v>256.41</v>
      </c>
      <c r="C245" s="2">
        <f>IFERROR(__xludf.DUMMYFUNCTION("""COMPUTED_VALUE"""),259.84)</f>
        <v>259.84</v>
      </c>
      <c r="D245" s="2">
        <f>IFERROR(__xludf.DUMMYFUNCTION("""COMPUTED_VALUE"""),247.0)</f>
        <v>247</v>
      </c>
      <c r="E245" s="2">
        <f>IFERROR(__xludf.DUMMYFUNCTION("""COMPUTED_VALUE"""),247.14)</f>
        <v>247.14</v>
      </c>
      <c r="F245" s="2">
        <f>IFERROR(__xludf.DUMMYFUNCTION("""COMPUTED_VALUE"""),1.25096987E8)</f>
        <v>125096987</v>
      </c>
    </row>
    <row r="246">
      <c r="A246" s="3">
        <f>IFERROR(__xludf.DUMMYFUNCTION("""COMPUTED_VALUE"""),45281.66666666667)</f>
        <v>45281.66667</v>
      </c>
      <c r="B246" s="2">
        <f>IFERROR(__xludf.DUMMYFUNCTION("""COMPUTED_VALUE"""),251.9)</f>
        <v>251.9</v>
      </c>
      <c r="C246" s="2">
        <f>IFERROR(__xludf.DUMMYFUNCTION("""COMPUTED_VALUE"""),254.8)</f>
        <v>254.8</v>
      </c>
      <c r="D246" s="2">
        <f>IFERROR(__xludf.DUMMYFUNCTION("""COMPUTED_VALUE"""),248.55)</f>
        <v>248.55</v>
      </c>
      <c r="E246" s="2">
        <f>IFERROR(__xludf.DUMMYFUNCTION("""COMPUTED_VALUE"""),254.5)</f>
        <v>254.5</v>
      </c>
      <c r="F246" s="2">
        <f>IFERROR(__xludf.DUMMYFUNCTION("""COMPUTED_VALUE"""),1.09594227E8)</f>
        <v>109594227</v>
      </c>
    </row>
    <row r="247">
      <c r="A247" s="3">
        <f>IFERROR(__xludf.DUMMYFUNCTION("""COMPUTED_VALUE"""),45282.66666666667)</f>
        <v>45282.66667</v>
      </c>
      <c r="B247" s="2">
        <f>IFERROR(__xludf.DUMMYFUNCTION("""COMPUTED_VALUE"""),256.76)</f>
        <v>256.76</v>
      </c>
      <c r="C247" s="2">
        <f>IFERROR(__xludf.DUMMYFUNCTION("""COMPUTED_VALUE"""),258.22)</f>
        <v>258.22</v>
      </c>
      <c r="D247" s="2">
        <f>IFERROR(__xludf.DUMMYFUNCTION("""COMPUTED_VALUE"""),251.37)</f>
        <v>251.37</v>
      </c>
      <c r="E247" s="2">
        <f>IFERROR(__xludf.DUMMYFUNCTION("""COMPUTED_VALUE"""),252.54)</f>
        <v>252.54</v>
      </c>
      <c r="F247" s="2">
        <f>IFERROR(__xludf.DUMMYFUNCTION("""COMPUTED_VALUE"""),9.3370094E7)</f>
        <v>93370094</v>
      </c>
    </row>
    <row r="248">
      <c r="A248" s="3">
        <f>IFERROR(__xludf.DUMMYFUNCTION("""COMPUTED_VALUE"""),45286.66666666667)</f>
        <v>45286.66667</v>
      </c>
      <c r="B248" s="2">
        <f>IFERROR(__xludf.DUMMYFUNCTION("""COMPUTED_VALUE"""),254.49)</f>
        <v>254.49</v>
      </c>
      <c r="C248" s="2">
        <f>IFERROR(__xludf.DUMMYFUNCTION("""COMPUTED_VALUE"""),257.97)</f>
        <v>257.97</v>
      </c>
      <c r="D248" s="2">
        <f>IFERROR(__xludf.DUMMYFUNCTION("""COMPUTED_VALUE"""),252.91)</f>
        <v>252.91</v>
      </c>
      <c r="E248" s="2">
        <f>IFERROR(__xludf.DUMMYFUNCTION("""COMPUTED_VALUE"""),256.61)</f>
        <v>256.61</v>
      </c>
      <c r="F248" s="2">
        <f>IFERROR(__xludf.DUMMYFUNCTION("""COMPUTED_VALUE"""),8.6892382E7)</f>
        <v>86892382</v>
      </c>
    </row>
    <row r="249">
      <c r="A249" s="3">
        <f>IFERROR(__xludf.DUMMYFUNCTION("""COMPUTED_VALUE"""),45287.66666666667)</f>
        <v>45287.66667</v>
      </c>
      <c r="B249" s="2">
        <f>IFERROR(__xludf.DUMMYFUNCTION("""COMPUTED_VALUE"""),258.35)</f>
        <v>258.35</v>
      </c>
      <c r="C249" s="2">
        <f>IFERROR(__xludf.DUMMYFUNCTION("""COMPUTED_VALUE"""),263.34)</f>
        <v>263.34</v>
      </c>
      <c r="D249" s="2">
        <f>IFERROR(__xludf.DUMMYFUNCTION("""COMPUTED_VALUE"""),257.52)</f>
        <v>257.52</v>
      </c>
      <c r="E249" s="2">
        <f>IFERROR(__xludf.DUMMYFUNCTION("""COMPUTED_VALUE"""),261.44)</f>
        <v>261.44</v>
      </c>
      <c r="F249" s="2">
        <f>IFERROR(__xludf.DUMMYFUNCTION("""COMPUTED_VALUE"""),1.06494359E8)</f>
        <v>106494359</v>
      </c>
    </row>
    <row r="250">
      <c r="A250" s="3">
        <f>IFERROR(__xludf.DUMMYFUNCTION("""COMPUTED_VALUE"""),45288.66666666667)</f>
        <v>45288.66667</v>
      </c>
      <c r="B250" s="2">
        <f>IFERROR(__xludf.DUMMYFUNCTION("""COMPUTED_VALUE"""),263.66)</f>
        <v>263.66</v>
      </c>
      <c r="C250" s="2">
        <f>IFERROR(__xludf.DUMMYFUNCTION("""COMPUTED_VALUE"""),265.13)</f>
        <v>265.13</v>
      </c>
      <c r="D250" s="2">
        <f>IFERROR(__xludf.DUMMYFUNCTION("""COMPUTED_VALUE"""),252.71)</f>
        <v>252.71</v>
      </c>
      <c r="E250" s="2">
        <f>IFERROR(__xludf.DUMMYFUNCTION("""COMPUTED_VALUE"""),253.18)</f>
        <v>253.18</v>
      </c>
      <c r="F250" s="2">
        <f>IFERROR(__xludf.DUMMYFUNCTION("""COMPUTED_VALUE"""),1.13619943E8)</f>
        <v>113619943</v>
      </c>
    </row>
    <row r="251">
      <c r="A251" s="3">
        <f>IFERROR(__xludf.DUMMYFUNCTION("""COMPUTED_VALUE"""),45289.66666666667)</f>
        <v>45289.66667</v>
      </c>
      <c r="B251" s="2">
        <f>IFERROR(__xludf.DUMMYFUNCTION("""COMPUTED_VALUE"""),255.1)</f>
        <v>255.1</v>
      </c>
      <c r="C251" s="2">
        <f>IFERROR(__xludf.DUMMYFUNCTION("""COMPUTED_VALUE"""),255.19)</f>
        <v>255.19</v>
      </c>
      <c r="D251" s="2">
        <f>IFERROR(__xludf.DUMMYFUNCTION("""COMPUTED_VALUE"""),247.43)</f>
        <v>247.43</v>
      </c>
      <c r="E251" s="2">
        <f>IFERROR(__xludf.DUMMYFUNCTION("""COMPUTED_VALUE"""),248.48)</f>
        <v>248.48</v>
      </c>
      <c r="F251" s="2">
        <f>IFERROR(__xludf.DUMMYFUNCTION("""COMPUTED_VALUE"""),1.00891578E8)</f>
        <v>100891578</v>
      </c>
    </row>
    <row r="252">
      <c r="A252" s="3">
        <f>IFERROR(__xludf.DUMMYFUNCTION("""COMPUTED_VALUE"""),45293.66666666667)</f>
        <v>45293.66667</v>
      </c>
      <c r="B252" s="2">
        <f>IFERROR(__xludf.DUMMYFUNCTION("""COMPUTED_VALUE"""),250.08)</f>
        <v>250.08</v>
      </c>
      <c r="C252" s="2">
        <f>IFERROR(__xludf.DUMMYFUNCTION("""COMPUTED_VALUE"""),251.25)</f>
        <v>251.25</v>
      </c>
      <c r="D252" s="2">
        <f>IFERROR(__xludf.DUMMYFUNCTION("""COMPUTED_VALUE"""),244.41)</f>
        <v>244.41</v>
      </c>
      <c r="E252" s="2">
        <f>IFERROR(__xludf.DUMMYFUNCTION("""COMPUTED_VALUE"""),248.42)</f>
        <v>248.42</v>
      </c>
      <c r="F252" s="2">
        <f>IFERROR(__xludf.DUMMYFUNCTION("""COMPUTED_VALUE"""),1.04654163E8)</f>
        <v>104654163</v>
      </c>
    </row>
    <row r="253">
      <c r="A253" s="3">
        <f>IFERROR(__xludf.DUMMYFUNCTION("""COMPUTED_VALUE"""),45294.66666666667)</f>
        <v>45294.66667</v>
      </c>
      <c r="B253" s="2">
        <f>IFERROR(__xludf.DUMMYFUNCTION("""COMPUTED_VALUE"""),244.98)</f>
        <v>244.98</v>
      </c>
      <c r="C253" s="2">
        <f>IFERROR(__xludf.DUMMYFUNCTION("""COMPUTED_VALUE"""),245.68)</f>
        <v>245.68</v>
      </c>
      <c r="D253" s="2">
        <f>IFERROR(__xludf.DUMMYFUNCTION("""COMPUTED_VALUE"""),236.32)</f>
        <v>236.32</v>
      </c>
      <c r="E253" s="2">
        <f>IFERROR(__xludf.DUMMYFUNCTION("""COMPUTED_VALUE"""),238.45)</f>
        <v>238.45</v>
      </c>
      <c r="F253" s="2">
        <f>IFERROR(__xludf.DUMMYFUNCTION("""COMPUTED_VALUE"""),1.21082599E8)</f>
        <v>121082599</v>
      </c>
    </row>
    <row r="254">
      <c r="A254" s="3">
        <f>IFERROR(__xludf.DUMMYFUNCTION("""COMPUTED_VALUE"""),45295.66666666667)</f>
        <v>45295.66667</v>
      </c>
      <c r="B254" s="2">
        <f>IFERROR(__xludf.DUMMYFUNCTION("""COMPUTED_VALUE"""),239.25)</f>
        <v>239.25</v>
      </c>
      <c r="C254" s="2">
        <f>IFERROR(__xludf.DUMMYFUNCTION("""COMPUTED_VALUE"""),242.7)</f>
        <v>242.7</v>
      </c>
      <c r="D254" s="2">
        <f>IFERROR(__xludf.DUMMYFUNCTION("""COMPUTED_VALUE"""),237.73)</f>
        <v>237.73</v>
      </c>
      <c r="E254" s="2">
        <f>IFERROR(__xludf.DUMMYFUNCTION("""COMPUTED_VALUE"""),237.93)</f>
        <v>237.93</v>
      </c>
      <c r="F254" s="2">
        <f>IFERROR(__xludf.DUMMYFUNCTION("""COMPUTED_VALUE"""),1.02629283E8)</f>
        <v>102629283</v>
      </c>
    </row>
    <row r="255">
      <c r="A255" s="3">
        <f>IFERROR(__xludf.DUMMYFUNCTION("""COMPUTED_VALUE"""),45296.66666666667)</f>
        <v>45296.66667</v>
      </c>
      <c r="B255" s="2">
        <f>IFERROR(__xludf.DUMMYFUNCTION("""COMPUTED_VALUE"""),236.86)</f>
        <v>236.86</v>
      </c>
      <c r="C255" s="2">
        <f>IFERROR(__xludf.DUMMYFUNCTION("""COMPUTED_VALUE"""),240.12)</f>
        <v>240.12</v>
      </c>
      <c r="D255" s="2">
        <f>IFERROR(__xludf.DUMMYFUNCTION("""COMPUTED_VALUE"""),234.9)</f>
        <v>234.9</v>
      </c>
      <c r="E255" s="2">
        <f>IFERROR(__xludf.DUMMYFUNCTION("""COMPUTED_VALUE"""),237.49)</f>
        <v>237.49</v>
      </c>
      <c r="F255" s="2">
        <f>IFERROR(__xludf.DUMMYFUNCTION("""COMPUTED_VALUE"""),9.2488939E7)</f>
        <v>92488939</v>
      </c>
    </row>
    <row r="256">
      <c r="A256" s="3">
        <f>IFERROR(__xludf.DUMMYFUNCTION("""COMPUTED_VALUE"""),45299.66666666667)</f>
        <v>45299.66667</v>
      </c>
      <c r="B256" s="2">
        <f>IFERROR(__xludf.DUMMYFUNCTION("""COMPUTED_VALUE"""),236.14)</f>
        <v>236.14</v>
      </c>
      <c r="C256" s="2">
        <f>IFERROR(__xludf.DUMMYFUNCTION("""COMPUTED_VALUE"""),241.25)</f>
        <v>241.25</v>
      </c>
      <c r="D256" s="2">
        <f>IFERROR(__xludf.DUMMYFUNCTION("""COMPUTED_VALUE"""),235.3)</f>
        <v>235.3</v>
      </c>
      <c r="E256" s="2">
        <f>IFERROR(__xludf.DUMMYFUNCTION("""COMPUTED_VALUE"""),240.45)</f>
        <v>240.45</v>
      </c>
      <c r="F256" s="2">
        <f>IFERROR(__xludf.DUMMYFUNCTION("""COMPUTED_VALUE"""),8.516658E7)</f>
        <v>85166580</v>
      </c>
    </row>
    <row r="257">
      <c r="A257" s="3">
        <f>IFERROR(__xludf.DUMMYFUNCTION("""COMPUTED_VALUE"""),45300.66666666667)</f>
        <v>45300.66667</v>
      </c>
      <c r="B257" s="2">
        <f>IFERROR(__xludf.DUMMYFUNCTION("""COMPUTED_VALUE"""),238.11)</f>
        <v>238.11</v>
      </c>
      <c r="C257" s="2">
        <f>IFERROR(__xludf.DUMMYFUNCTION("""COMPUTED_VALUE"""),238.96)</f>
        <v>238.96</v>
      </c>
      <c r="D257" s="2">
        <f>IFERROR(__xludf.DUMMYFUNCTION("""COMPUTED_VALUE"""),232.04)</f>
        <v>232.04</v>
      </c>
      <c r="E257" s="2">
        <f>IFERROR(__xludf.DUMMYFUNCTION("""COMPUTED_VALUE"""),234.96)</f>
        <v>234.96</v>
      </c>
      <c r="F257" s="2">
        <f>IFERROR(__xludf.DUMMYFUNCTION("""COMPUTED_VALUE"""),9.6705664E7)</f>
        <v>96705664</v>
      </c>
    </row>
    <row r="258">
      <c r="A258" s="3">
        <f>IFERROR(__xludf.DUMMYFUNCTION("""COMPUTED_VALUE"""),45301.66666666667)</f>
        <v>45301.66667</v>
      </c>
      <c r="B258" s="2">
        <f>IFERROR(__xludf.DUMMYFUNCTION("""COMPUTED_VALUE"""),235.1)</f>
        <v>235.1</v>
      </c>
      <c r="C258" s="2">
        <f>IFERROR(__xludf.DUMMYFUNCTION("""COMPUTED_VALUE"""),235.5)</f>
        <v>235.5</v>
      </c>
      <c r="D258" s="2">
        <f>IFERROR(__xludf.DUMMYFUNCTION("""COMPUTED_VALUE"""),231.29)</f>
        <v>231.29</v>
      </c>
      <c r="E258" s="2">
        <f>IFERROR(__xludf.DUMMYFUNCTION("""COMPUTED_VALUE"""),233.94)</f>
        <v>233.94</v>
      </c>
      <c r="F258" s="2">
        <f>IFERROR(__xludf.DUMMYFUNCTION("""COMPUTED_VALUE"""),9.1628502E7)</f>
        <v>91628502</v>
      </c>
    </row>
    <row r="259">
      <c r="A259" s="3">
        <f>IFERROR(__xludf.DUMMYFUNCTION("""COMPUTED_VALUE"""),45302.66666666667)</f>
        <v>45302.66667</v>
      </c>
      <c r="B259" s="2">
        <f>IFERROR(__xludf.DUMMYFUNCTION("""COMPUTED_VALUE"""),230.57)</f>
        <v>230.57</v>
      </c>
      <c r="C259" s="2">
        <f>IFERROR(__xludf.DUMMYFUNCTION("""COMPUTED_VALUE"""),230.93)</f>
        <v>230.93</v>
      </c>
      <c r="D259" s="2">
        <f>IFERROR(__xludf.DUMMYFUNCTION("""COMPUTED_VALUE"""),225.37)</f>
        <v>225.37</v>
      </c>
      <c r="E259" s="2">
        <f>IFERROR(__xludf.DUMMYFUNCTION("""COMPUTED_VALUE"""),227.22)</f>
        <v>227.22</v>
      </c>
      <c r="F259" s="2">
        <f>IFERROR(__xludf.DUMMYFUNCTION("""COMPUTED_VALUE"""),1.05873612E8)</f>
        <v>105873612</v>
      </c>
    </row>
    <row r="260">
      <c r="A260" s="3">
        <f>IFERROR(__xludf.DUMMYFUNCTION("""COMPUTED_VALUE"""),45303.66666666667)</f>
        <v>45303.66667</v>
      </c>
      <c r="B260" s="2">
        <f>IFERROR(__xludf.DUMMYFUNCTION("""COMPUTED_VALUE"""),220.08)</f>
        <v>220.08</v>
      </c>
      <c r="C260" s="2">
        <f>IFERROR(__xludf.DUMMYFUNCTION("""COMPUTED_VALUE"""),225.34)</f>
        <v>225.34</v>
      </c>
      <c r="D260" s="2">
        <f>IFERROR(__xludf.DUMMYFUNCTION("""COMPUTED_VALUE"""),217.15)</f>
        <v>217.15</v>
      </c>
      <c r="E260" s="2">
        <f>IFERROR(__xludf.DUMMYFUNCTION("""COMPUTED_VALUE"""),218.89)</f>
        <v>218.89</v>
      </c>
      <c r="F260" s="2">
        <f>IFERROR(__xludf.DUMMYFUNCTION("""COMPUTED_VALUE"""),1.23043812E8)</f>
        <v>123043812</v>
      </c>
    </row>
    <row r="261">
      <c r="A261" s="3">
        <f>IFERROR(__xludf.DUMMYFUNCTION("""COMPUTED_VALUE"""),45307.66666666667)</f>
        <v>45307.66667</v>
      </c>
      <c r="B261" s="2">
        <f>IFERROR(__xludf.DUMMYFUNCTION("""COMPUTED_VALUE"""),215.1)</f>
        <v>215.1</v>
      </c>
      <c r="C261" s="2">
        <f>IFERROR(__xludf.DUMMYFUNCTION("""COMPUTED_VALUE"""),223.49)</f>
        <v>223.49</v>
      </c>
      <c r="D261" s="2">
        <f>IFERROR(__xludf.DUMMYFUNCTION("""COMPUTED_VALUE"""),212.18)</f>
        <v>212.18</v>
      </c>
      <c r="E261" s="2">
        <f>IFERROR(__xludf.DUMMYFUNCTION("""COMPUTED_VALUE"""),219.91)</f>
        <v>219.91</v>
      </c>
      <c r="F261" s="2">
        <f>IFERROR(__xludf.DUMMYFUNCTION("""COMPUTED_VALUE"""),1.15355046E8)</f>
        <v>115355046</v>
      </c>
    </row>
    <row r="262">
      <c r="A262" s="3">
        <f>IFERROR(__xludf.DUMMYFUNCTION("""COMPUTED_VALUE"""),45308.66666666667)</f>
        <v>45308.66667</v>
      </c>
      <c r="B262" s="2">
        <f>IFERROR(__xludf.DUMMYFUNCTION("""COMPUTED_VALUE"""),214.86)</f>
        <v>214.86</v>
      </c>
      <c r="C262" s="2">
        <f>IFERROR(__xludf.DUMMYFUNCTION("""COMPUTED_VALUE"""),215.67)</f>
        <v>215.67</v>
      </c>
      <c r="D262" s="2">
        <f>IFERROR(__xludf.DUMMYFUNCTION("""COMPUTED_VALUE"""),212.01)</f>
        <v>212.01</v>
      </c>
      <c r="E262" s="2">
        <f>IFERROR(__xludf.DUMMYFUNCTION("""COMPUTED_VALUE"""),215.55)</f>
        <v>215.55</v>
      </c>
      <c r="F262" s="2">
        <f>IFERROR(__xludf.DUMMYFUNCTION("""COMPUTED_VALUE"""),1.031644E8)</f>
        <v>103164400</v>
      </c>
    </row>
    <row r="263">
      <c r="A263" s="3">
        <f>IFERROR(__xludf.DUMMYFUNCTION("""COMPUTED_VALUE"""),45309.66666666667)</f>
        <v>45309.66667</v>
      </c>
      <c r="B263" s="2">
        <f>IFERROR(__xludf.DUMMYFUNCTION("""COMPUTED_VALUE"""),216.88)</f>
        <v>216.88</v>
      </c>
      <c r="C263" s="2">
        <f>IFERROR(__xludf.DUMMYFUNCTION("""COMPUTED_VALUE"""),217.45)</f>
        <v>217.45</v>
      </c>
      <c r="D263" s="2">
        <f>IFERROR(__xludf.DUMMYFUNCTION("""COMPUTED_VALUE"""),208.74)</f>
        <v>208.74</v>
      </c>
      <c r="E263" s="2">
        <f>IFERROR(__xludf.DUMMYFUNCTION("""COMPUTED_VALUE"""),211.88)</f>
        <v>211.88</v>
      </c>
      <c r="F263" s="2">
        <f>IFERROR(__xludf.DUMMYFUNCTION("""COMPUTED_VALUE"""),1.08595431E8)</f>
        <v>108595431</v>
      </c>
    </row>
    <row r="264">
      <c r="A264" s="3">
        <f>IFERROR(__xludf.DUMMYFUNCTION("""COMPUTED_VALUE"""),45310.66666666667)</f>
        <v>45310.66667</v>
      </c>
      <c r="B264" s="2">
        <f>IFERROR(__xludf.DUMMYFUNCTION("""COMPUTED_VALUE"""),209.99)</f>
        <v>209.99</v>
      </c>
      <c r="C264" s="2">
        <f>IFERROR(__xludf.DUMMYFUNCTION("""COMPUTED_VALUE"""),213.19)</f>
        <v>213.19</v>
      </c>
      <c r="D264" s="2">
        <f>IFERROR(__xludf.DUMMYFUNCTION("""COMPUTED_VALUE"""),207.56)</f>
        <v>207.56</v>
      </c>
      <c r="E264" s="2">
        <f>IFERROR(__xludf.DUMMYFUNCTION("""COMPUTED_VALUE"""),212.19)</f>
        <v>212.19</v>
      </c>
      <c r="F264" s="2">
        <f>IFERROR(__xludf.DUMMYFUNCTION("""COMPUTED_VALUE"""),1.02260343E8)</f>
        <v>102260343</v>
      </c>
    </row>
    <row r="265">
      <c r="A265" s="3">
        <f>IFERROR(__xludf.DUMMYFUNCTION("""COMPUTED_VALUE"""),45313.66666666667)</f>
        <v>45313.66667</v>
      </c>
      <c r="B265" s="2">
        <f>IFERROR(__xludf.DUMMYFUNCTION("""COMPUTED_VALUE"""),212.26)</f>
        <v>212.26</v>
      </c>
      <c r="C265" s="2">
        <f>IFERROR(__xludf.DUMMYFUNCTION("""COMPUTED_VALUE"""),217.8)</f>
        <v>217.8</v>
      </c>
      <c r="D265" s="2">
        <f>IFERROR(__xludf.DUMMYFUNCTION("""COMPUTED_VALUE"""),206.27)</f>
        <v>206.27</v>
      </c>
      <c r="E265" s="2">
        <f>IFERROR(__xludf.DUMMYFUNCTION("""COMPUTED_VALUE"""),208.8)</f>
        <v>208.8</v>
      </c>
      <c r="F265" s="2">
        <f>IFERROR(__xludf.DUMMYFUNCTION("""COMPUTED_VALUE"""),1.17952527E8)</f>
        <v>117952527</v>
      </c>
    </row>
    <row r="266">
      <c r="A266" s="3">
        <f>IFERROR(__xludf.DUMMYFUNCTION("""COMPUTED_VALUE"""),45314.66666666667)</f>
        <v>45314.66667</v>
      </c>
      <c r="B266" s="2">
        <f>IFERROR(__xludf.DUMMYFUNCTION("""COMPUTED_VALUE"""),211.3)</f>
        <v>211.3</v>
      </c>
      <c r="C266" s="2">
        <f>IFERROR(__xludf.DUMMYFUNCTION("""COMPUTED_VALUE"""),215.65)</f>
        <v>215.65</v>
      </c>
      <c r="D266" s="2">
        <f>IFERROR(__xludf.DUMMYFUNCTION("""COMPUTED_VALUE"""),207.75)</f>
        <v>207.75</v>
      </c>
      <c r="E266" s="2">
        <f>IFERROR(__xludf.DUMMYFUNCTION("""COMPUTED_VALUE"""),209.14)</f>
        <v>209.14</v>
      </c>
      <c r="F266" s="2">
        <f>IFERROR(__xludf.DUMMYFUNCTION("""COMPUTED_VALUE"""),1.06605946E8)</f>
        <v>106605946</v>
      </c>
    </row>
    <row r="267">
      <c r="A267" s="3">
        <f>IFERROR(__xludf.DUMMYFUNCTION("""COMPUTED_VALUE"""),45315.66666666667)</f>
        <v>45315.66667</v>
      </c>
      <c r="B267" s="2">
        <f>IFERROR(__xludf.DUMMYFUNCTION("""COMPUTED_VALUE"""),211.88)</f>
        <v>211.88</v>
      </c>
      <c r="C267" s="2">
        <f>IFERROR(__xludf.DUMMYFUNCTION("""COMPUTED_VALUE"""),212.73)</f>
        <v>212.73</v>
      </c>
      <c r="D267" s="2">
        <f>IFERROR(__xludf.DUMMYFUNCTION("""COMPUTED_VALUE"""),206.77)</f>
        <v>206.77</v>
      </c>
      <c r="E267" s="2">
        <f>IFERROR(__xludf.DUMMYFUNCTION("""COMPUTED_VALUE"""),207.83)</f>
        <v>207.83</v>
      </c>
      <c r="F267" s="2">
        <f>IFERROR(__xludf.DUMMYFUNCTION("""COMPUTED_VALUE"""),1.23369932E8)</f>
        <v>123369932</v>
      </c>
    </row>
    <row r="268">
      <c r="A268" s="3">
        <f>IFERROR(__xludf.DUMMYFUNCTION("""COMPUTED_VALUE"""),45316.66666666667)</f>
        <v>45316.66667</v>
      </c>
      <c r="B268" s="2">
        <f>IFERROR(__xludf.DUMMYFUNCTION("""COMPUTED_VALUE"""),189.7)</f>
        <v>189.7</v>
      </c>
      <c r="C268" s="2">
        <f>IFERROR(__xludf.DUMMYFUNCTION("""COMPUTED_VALUE"""),193.0)</f>
        <v>193</v>
      </c>
      <c r="D268" s="2">
        <f>IFERROR(__xludf.DUMMYFUNCTION("""COMPUTED_VALUE"""),180.06)</f>
        <v>180.06</v>
      </c>
      <c r="E268" s="2">
        <f>IFERROR(__xludf.DUMMYFUNCTION("""COMPUTED_VALUE"""),182.63)</f>
        <v>182.63</v>
      </c>
      <c r="F268" s="2">
        <f>IFERROR(__xludf.DUMMYFUNCTION("""COMPUTED_VALUE"""),1.98076787E8)</f>
        <v>198076787</v>
      </c>
    </row>
    <row r="269">
      <c r="A269" s="3">
        <f>IFERROR(__xludf.DUMMYFUNCTION("""COMPUTED_VALUE"""),45317.66666666667)</f>
        <v>45317.66667</v>
      </c>
      <c r="B269" s="2">
        <f>IFERROR(__xludf.DUMMYFUNCTION("""COMPUTED_VALUE"""),185.5)</f>
        <v>185.5</v>
      </c>
      <c r="C269" s="2">
        <f>IFERROR(__xludf.DUMMYFUNCTION("""COMPUTED_VALUE"""),186.78)</f>
        <v>186.78</v>
      </c>
      <c r="D269" s="2">
        <f>IFERROR(__xludf.DUMMYFUNCTION("""COMPUTED_VALUE"""),182.1)</f>
        <v>182.1</v>
      </c>
      <c r="E269" s="2">
        <f>IFERROR(__xludf.DUMMYFUNCTION("""COMPUTED_VALUE"""),183.25)</f>
        <v>183.25</v>
      </c>
      <c r="F269" s="2">
        <f>IFERROR(__xludf.DUMMYFUNCTION("""COMPUTED_VALUE"""),1.07343231E8)</f>
        <v>107343231</v>
      </c>
    </row>
    <row r="270">
      <c r="A270" s="3">
        <f>IFERROR(__xludf.DUMMYFUNCTION("""COMPUTED_VALUE"""),45320.66666666667)</f>
        <v>45320.66667</v>
      </c>
      <c r="B270" s="2">
        <f>IFERROR(__xludf.DUMMYFUNCTION("""COMPUTED_VALUE"""),185.63)</f>
        <v>185.63</v>
      </c>
      <c r="C270" s="2">
        <f>IFERROR(__xludf.DUMMYFUNCTION("""COMPUTED_VALUE"""),191.48)</f>
        <v>191.48</v>
      </c>
      <c r="D270" s="2">
        <f>IFERROR(__xludf.DUMMYFUNCTION("""COMPUTED_VALUE"""),183.67)</f>
        <v>183.67</v>
      </c>
      <c r="E270" s="2">
        <f>IFERROR(__xludf.DUMMYFUNCTION("""COMPUTED_VALUE"""),190.93)</f>
        <v>190.93</v>
      </c>
      <c r="F270" s="2">
        <f>IFERROR(__xludf.DUMMYFUNCTION("""COMPUTED_VALUE"""),1.25013148E8)</f>
        <v>125013148</v>
      </c>
    </row>
    <row r="271">
      <c r="A271" s="3">
        <f>IFERROR(__xludf.DUMMYFUNCTION("""COMPUTED_VALUE"""),45321.66666666667)</f>
        <v>45321.66667</v>
      </c>
      <c r="B271" s="2">
        <f>IFERROR(__xludf.DUMMYFUNCTION("""COMPUTED_VALUE"""),195.33)</f>
        <v>195.33</v>
      </c>
      <c r="C271" s="2">
        <f>IFERROR(__xludf.DUMMYFUNCTION("""COMPUTED_VALUE"""),196.36)</f>
        <v>196.36</v>
      </c>
      <c r="D271" s="2">
        <f>IFERROR(__xludf.DUMMYFUNCTION("""COMPUTED_VALUE"""),190.61)</f>
        <v>190.61</v>
      </c>
      <c r="E271" s="2">
        <f>IFERROR(__xludf.DUMMYFUNCTION("""COMPUTED_VALUE"""),191.59)</f>
        <v>191.59</v>
      </c>
      <c r="F271" s="2">
        <f>IFERROR(__xludf.DUMMYFUNCTION("""COMPUTED_VALUE"""),1.09982327E8)</f>
        <v>109982327</v>
      </c>
    </row>
    <row r="272">
      <c r="A272" s="3">
        <f>IFERROR(__xludf.DUMMYFUNCTION("""COMPUTED_VALUE"""),45322.66666666667)</f>
        <v>45322.66667</v>
      </c>
      <c r="B272" s="2">
        <f>IFERROR(__xludf.DUMMYFUNCTION("""COMPUTED_VALUE"""),187.0)</f>
        <v>187</v>
      </c>
      <c r="C272" s="2">
        <f>IFERROR(__xludf.DUMMYFUNCTION("""COMPUTED_VALUE"""),193.97)</f>
        <v>193.97</v>
      </c>
      <c r="D272" s="2">
        <f>IFERROR(__xludf.DUMMYFUNCTION("""COMPUTED_VALUE"""),185.85)</f>
        <v>185.85</v>
      </c>
      <c r="E272" s="2">
        <f>IFERROR(__xludf.DUMMYFUNCTION("""COMPUTED_VALUE"""),187.29)</f>
        <v>187.29</v>
      </c>
      <c r="F272" s="2">
        <f>IFERROR(__xludf.DUMMYFUNCTION("""COMPUTED_VALUE"""),1.0322143E8)</f>
        <v>103221430</v>
      </c>
    </row>
    <row r="273">
      <c r="A273" s="3">
        <f>IFERROR(__xludf.DUMMYFUNCTION("""COMPUTED_VALUE"""),45323.66666666667)</f>
        <v>45323.66667</v>
      </c>
      <c r="B273" s="2">
        <f>IFERROR(__xludf.DUMMYFUNCTION("""COMPUTED_VALUE"""),188.5)</f>
        <v>188.5</v>
      </c>
      <c r="C273" s="2">
        <f>IFERROR(__xludf.DUMMYFUNCTION("""COMPUTED_VALUE"""),189.88)</f>
        <v>189.88</v>
      </c>
      <c r="D273" s="2">
        <f>IFERROR(__xludf.DUMMYFUNCTION("""COMPUTED_VALUE"""),184.28)</f>
        <v>184.28</v>
      </c>
      <c r="E273" s="2">
        <f>IFERROR(__xludf.DUMMYFUNCTION("""COMPUTED_VALUE"""),188.86)</f>
        <v>188.86</v>
      </c>
      <c r="F273" s="2">
        <f>IFERROR(__xludf.DUMMYFUNCTION("""COMPUTED_VALUE"""),9.1843275E7)</f>
        <v>91843275</v>
      </c>
    </row>
    <row r="274">
      <c r="A274" s="3">
        <f>IFERROR(__xludf.DUMMYFUNCTION("""COMPUTED_VALUE"""),45324.66666666667)</f>
        <v>45324.66667</v>
      </c>
      <c r="B274" s="2">
        <f>IFERROR(__xludf.DUMMYFUNCTION("""COMPUTED_VALUE"""),185.04)</f>
        <v>185.04</v>
      </c>
      <c r="C274" s="2">
        <f>IFERROR(__xludf.DUMMYFUNCTION("""COMPUTED_VALUE"""),188.69)</f>
        <v>188.69</v>
      </c>
      <c r="D274" s="2">
        <f>IFERROR(__xludf.DUMMYFUNCTION("""COMPUTED_VALUE"""),182.0)</f>
        <v>182</v>
      </c>
      <c r="E274" s="2">
        <f>IFERROR(__xludf.DUMMYFUNCTION("""COMPUTED_VALUE"""),187.91)</f>
        <v>187.91</v>
      </c>
      <c r="F274" s="2">
        <f>IFERROR(__xludf.DUMMYFUNCTION("""COMPUTED_VALUE"""),1.10612672E8)</f>
        <v>110612672</v>
      </c>
    </row>
    <row r="275">
      <c r="A275" s="3">
        <f>IFERROR(__xludf.DUMMYFUNCTION("""COMPUTED_VALUE"""),45327.66666666667)</f>
        <v>45327.66667</v>
      </c>
      <c r="B275" s="2">
        <f>IFERROR(__xludf.DUMMYFUNCTION("""COMPUTED_VALUE"""),184.26)</f>
        <v>184.26</v>
      </c>
      <c r="C275" s="2">
        <f>IFERROR(__xludf.DUMMYFUNCTION("""COMPUTED_VALUE"""),184.68)</f>
        <v>184.68</v>
      </c>
      <c r="D275" s="2">
        <f>IFERROR(__xludf.DUMMYFUNCTION("""COMPUTED_VALUE"""),175.01)</f>
        <v>175.01</v>
      </c>
      <c r="E275" s="2">
        <f>IFERROR(__xludf.DUMMYFUNCTION("""COMPUTED_VALUE"""),181.06)</f>
        <v>181.06</v>
      </c>
      <c r="F275" s="2">
        <f>IFERROR(__xludf.DUMMYFUNCTION("""COMPUTED_VALUE"""),1.34294447E8)</f>
        <v>134294447</v>
      </c>
    </row>
    <row r="276">
      <c r="A276" s="3">
        <f>IFERROR(__xludf.DUMMYFUNCTION("""COMPUTED_VALUE"""),45328.66666666667)</f>
        <v>45328.66667</v>
      </c>
      <c r="B276" s="2">
        <f>IFERROR(__xludf.DUMMYFUNCTION("""COMPUTED_VALUE"""),177.21)</f>
        <v>177.21</v>
      </c>
      <c r="C276" s="2">
        <f>IFERROR(__xludf.DUMMYFUNCTION("""COMPUTED_VALUE"""),186.49)</f>
        <v>186.49</v>
      </c>
      <c r="D276" s="2">
        <f>IFERROR(__xludf.DUMMYFUNCTION("""COMPUTED_VALUE"""),177.11)</f>
        <v>177.11</v>
      </c>
      <c r="E276" s="2">
        <f>IFERROR(__xludf.DUMMYFUNCTION("""COMPUTED_VALUE"""),185.1)</f>
        <v>185.1</v>
      </c>
      <c r="F276" s="2">
        <f>IFERROR(__xludf.DUMMYFUNCTION("""COMPUTED_VALUE"""),1.22675954E8)</f>
        <v>122675954</v>
      </c>
    </row>
    <row r="277">
      <c r="A277" s="3">
        <f>IFERROR(__xludf.DUMMYFUNCTION("""COMPUTED_VALUE"""),45329.66666666667)</f>
        <v>45329.66667</v>
      </c>
      <c r="B277" s="2">
        <f>IFERROR(__xludf.DUMMYFUNCTION("""COMPUTED_VALUE"""),188.18)</f>
        <v>188.18</v>
      </c>
      <c r="C277" s="2">
        <f>IFERROR(__xludf.DUMMYFUNCTION("""COMPUTED_VALUE"""),189.79)</f>
        <v>189.79</v>
      </c>
      <c r="D277" s="2">
        <f>IFERROR(__xludf.DUMMYFUNCTION("""COMPUTED_VALUE"""),182.68)</f>
        <v>182.68</v>
      </c>
      <c r="E277" s="2">
        <f>IFERROR(__xludf.DUMMYFUNCTION("""COMPUTED_VALUE"""),187.58)</f>
        <v>187.58</v>
      </c>
      <c r="F277" s="2">
        <f>IFERROR(__xludf.DUMMYFUNCTION("""COMPUTED_VALUE"""),1.11535217E8)</f>
        <v>111535217</v>
      </c>
    </row>
    <row r="278">
      <c r="A278" s="3">
        <f>IFERROR(__xludf.DUMMYFUNCTION("""COMPUTED_VALUE"""),45330.66666666667)</f>
        <v>45330.66667</v>
      </c>
      <c r="B278" s="2">
        <f>IFERROR(__xludf.DUMMYFUNCTION("""COMPUTED_VALUE"""),189.0)</f>
        <v>189</v>
      </c>
      <c r="C278" s="2">
        <f>IFERROR(__xludf.DUMMYFUNCTION("""COMPUTED_VALUE"""),191.62)</f>
        <v>191.62</v>
      </c>
      <c r="D278" s="2">
        <f>IFERROR(__xludf.DUMMYFUNCTION("""COMPUTED_VALUE"""),185.58)</f>
        <v>185.58</v>
      </c>
      <c r="E278" s="2">
        <f>IFERROR(__xludf.DUMMYFUNCTION("""COMPUTED_VALUE"""),189.56)</f>
        <v>189.56</v>
      </c>
      <c r="F278" s="2">
        <f>IFERROR(__xludf.DUMMYFUNCTION("""COMPUTED_VALUE"""),8.3034043E7)</f>
        <v>83034043</v>
      </c>
    </row>
    <row r="279">
      <c r="A279" s="3">
        <f>IFERROR(__xludf.DUMMYFUNCTION("""COMPUTED_VALUE"""),45331.66666666667)</f>
        <v>45331.66667</v>
      </c>
      <c r="B279" s="2">
        <f>IFERROR(__xludf.DUMMYFUNCTION("""COMPUTED_VALUE"""),190.18)</f>
        <v>190.18</v>
      </c>
      <c r="C279" s="2">
        <f>IFERROR(__xludf.DUMMYFUNCTION("""COMPUTED_VALUE"""),194.12)</f>
        <v>194.12</v>
      </c>
      <c r="D279" s="2">
        <f>IFERROR(__xludf.DUMMYFUNCTION("""COMPUTED_VALUE"""),189.48)</f>
        <v>189.48</v>
      </c>
      <c r="E279" s="2">
        <f>IFERROR(__xludf.DUMMYFUNCTION("""COMPUTED_VALUE"""),193.57)</f>
        <v>193.57</v>
      </c>
      <c r="F279" s="2">
        <f>IFERROR(__xludf.DUMMYFUNCTION("""COMPUTED_VALUE"""),8.4476347E7)</f>
        <v>84476347</v>
      </c>
    </row>
    <row r="280">
      <c r="A280" s="3">
        <f>IFERROR(__xludf.DUMMYFUNCTION("""COMPUTED_VALUE"""),45334.66666666667)</f>
        <v>45334.66667</v>
      </c>
      <c r="B280" s="2">
        <f>IFERROR(__xludf.DUMMYFUNCTION("""COMPUTED_VALUE"""),192.11)</f>
        <v>192.11</v>
      </c>
      <c r="C280" s="2">
        <f>IFERROR(__xludf.DUMMYFUNCTION("""COMPUTED_VALUE"""),194.73)</f>
        <v>194.73</v>
      </c>
      <c r="D280" s="2">
        <f>IFERROR(__xludf.DUMMYFUNCTION("""COMPUTED_VALUE"""),187.28)</f>
        <v>187.28</v>
      </c>
      <c r="E280" s="2">
        <f>IFERROR(__xludf.DUMMYFUNCTION("""COMPUTED_VALUE"""),188.13)</f>
        <v>188.13</v>
      </c>
      <c r="F280" s="2">
        <f>IFERROR(__xludf.DUMMYFUNCTION("""COMPUTED_VALUE"""),9.5498597E7)</f>
        <v>95498597</v>
      </c>
    </row>
    <row r="281">
      <c r="A281" s="3">
        <f>IFERROR(__xludf.DUMMYFUNCTION("""COMPUTED_VALUE"""),45335.66666666667)</f>
        <v>45335.66667</v>
      </c>
      <c r="B281" s="2">
        <f>IFERROR(__xludf.DUMMYFUNCTION("""COMPUTED_VALUE"""),183.99)</f>
        <v>183.99</v>
      </c>
      <c r="C281" s="2">
        <f>IFERROR(__xludf.DUMMYFUNCTION("""COMPUTED_VALUE"""),187.26)</f>
        <v>187.26</v>
      </c>
      <c r="D281" s="2">
        <f>IFERROR(__xludf.DUMMYFUNCTION("""COMPUTED_VALUE"""),182.11)</f>
        <v>182.11</v>
      </c>
      <c r="E281" s="2">
        <f>IFERROR(__xludf.DUMMYFUNCTION("""COMPUTED_VALUE"""),184.02)</f>
        <v>184.02</v>
      </c>
      <c r="F281" s="2">
        <f>IFERROR(__xludf.DUMMYFUNCTION("""COMPUTED_VALUE"""),8.6759478E7)</f>
        <v>86759478</v>
      </c>
    </row>
    <row r="282">
      <c r="A282" s="3">
        <f>IFERROR(__xludf.DUMMYFUNCTION("""COMPUTED_VALUE"""),45336.66666666667)</f>
        <v>45336.66667</v>
      </c>
      <c r="B282" s="2">
        <f>IFERROR(__xludf.DUMMYFUNCTION("""COMPUTED_VALUE"""),185.3)</f>
        <v>185.3</v>
      </c>
      <c r="C282" s="2">
        <f>IFERROR(__xludf.DUMMYFUNCTION("""COMPUTED_VALUE"""),188.89)</f>
        <v>188.89</v>
      </c>
      <c r="D282" s="2">
        <f>IFERROR(__xludf.DUMMYFUNCTION("""COMPUTED_VALUE"""),183.35)</f>
        <v>183.35</v>
      </c>
      <c r="E282" s="2">
        <f>IFERROR(__xludf.DUMMYFUNCTION("""COMPUTED_VALUE"""),188.71)</f>
        <v>188.71</v>
      </c>
      <c r="F282" s="2">
        <f>IFERROR(__xludf.DUMMYFUNCTION("""COMPUTED_VALUE"""),8.1202987E7)</f>
        <v>81202987</v>
      </c>
    </row>
    <row r="283">
      <c r="A283" s="3">
        <f>IFERROR(__xludf.DUMMYFUNCTION("""COMPUTED_VALUE"""),45337.66666666667)</f>
        <v>45337.66667</v>
      </c>
      <c r="B283" s="2">
        <f>IFERROR(__xludf.DUMMYFUNCTION("""COMPUTED_VALUE"""),189.16)</f>
        <v>189.16</v>
      </c>
      <c r="C283" s="2">
        <f>IFERROR(__xludf.DUMMYFUNCTION("""COMPUTED_VALUE"""),200.88)</f>
        <v>200.88</v>
      </c>
      <c r="D283" s="2">
        <f>IFERROR(__xludf.DUMMYFUNCTION("""COMPUTED_VALUE"""),188.86)</f>
        <v>188.86</v>
      </c>
      <c r="E283" s="2">
        <f>IFERROR(__xludf.DUMMYFUNCTION("""COMPUTED_VALUE"""),200.45)</f>
        <v>200.45</v>
      </c>
      <c r="F283" s="2">
        <f>IFERROR(__xludf.DUMMYFUNCTION("""COMPUTED_VALUE"""),1.20831762E8)</f>
        <v>120831762</v>
      </c>
    </row>
    <row r="284">
      <c r="A284" s="3">
        <f>IFERROR(__xludf.DUMMYFUNCTION("""COMPUTED_VALUE"""),45338.66666666667)</f>
        <v>45338.66667</v>
      </c>
      <c r="B284" s="2">
        <f>IFERROR(__xludf.DUMMYFUNCTION("""COMPUTED_VALUE"""),202.06)</f>
        <v>202.06</v>
      </c>
      <c r="C284" s="2">
        <f>IFERROR(__xludf.DUMMYFUNCTION("""COMPUTED_VALUE"""),203.17)</f>
        <v>203.17</v>
      </c>
      <c r="D284" s="2">
        <f>IFERROR(__xludf.DUMMYFUNCTION("""COMPUTED_VALUE"""),197.4)</f>
        <v>197.4</v>
      </c>
      <c r="E284" s="2">
        <f>IFERROR(__xludf.DUMMYFUNCTION("""COMPUTED_VALUE"""),199.95)</f>
        <v>199.95</v>
      </c>
      <c r="F284" s="2">
        <f>IFERROR(__xludf.DUMMYFUNCTION("""COMPUTED_VALUE"""),1.11346705E8)</f>
        <v>111346705</v>
      </c>
    </row>
    <row r="285">
      <c r="A285" s="3">
        <f>IFERROR(__xludf.DUMMYFUNCTION("""COMPUTED_VALUE"""),45342.66666666667)</f>
        <v>45342.66667</v>
      </c>
      <c r="B285" s="2">
        <f>IFERROR(__xludf.DUMMYFUNCTION("""COMPUTED_VALUE"""),196.13)</f>
        <v>196.13</v>
      </c>
      <c r="C285" s="2">
        <f>IFERROR(__xludf.DUMMYFUNCTION("""COMPUTED_VALUE"""),198.6)</f>
        <v>198.6</v>
      </c>
      <c r="D285" s="2">
        <f>IFERROR(__xludf.DUMMYFUNCTION("""COMPUTED_VALUE"""),189.13)</f>
        <v>189.13</v>
      </c>
      <c r="E285" s="2">
        <f>IFERROR(__xludf.DUMMYFUNCTION("""COMPUTED_VALUE"""),193.76)</f>
        <v>193.76</v>
      </c>
      <c r="F285" s="2">
        <f>IFERROR(__xludf.DUMMYFUNCTION("""COMPUTED_VALUE"""),1.04545762E8)</f>
        <v>104545762</v>
      </c>
    </row>
    <row r="286">
      <c r="A286" s="3">
        <f>IFERROR(__xludf.DUMMYFUNCTION("""COMPUTED_VALUE"""),45343.66666666667)</f>
        <v>45343.66667</v>
      </c>
      <c r="B286" s="2">
        <f>IFERROR(__xludf.DUMMYFUNCTION("""COMPUTED_VALUE"""),193.36)</f>
        <v>193.36</v>
      </c>
      <c r="C286" s="2">
        <f>IFERROR(__xludf.DUMMYFUNCTION("""COMPUTED_VALUE"""),199.44)</f>
        <v>199.44</v>
      </c>
      <c r="D286" s="2">
        <f>IFERROR(__xludf.DUMMYFUNCTION("""COMPUTED_VALUE"""),191.95)</f>
        <v>191.95</v>
      </c>
      <c r="E286" s="2">
        <f>IFERROR(__xludf.DUMMYFUNCTION("""COMPUTED_VALUE"""),194.77)</f>
        <v>194.77</v>
      </c>
      <c r="F286" s="2">
        <f>IFERROR(__xludf.DUMMYFUNCTION("""COMPUTED_VALUE"""),1.03844008E8)</f>
        <v>103844008</v>
      </c>
    </row>
    <row r="287">
      <c r="A287" s="3">
        <f>IFERROR(__xludf.DUMMYFUNCTION("""COMPUTED_VALUE"""),45344.66666666667)</f>
        <v>45344.66667</v>
      </c>
      <c r="B287" s="2">
        <f>IFERROR(__xludf.DUMMYFUNCTION("""COMPUTED_VALUE"""),194.0)</f>
        <v>194</v>
      </c>
      <c r="C287" s="2">
        <f>IFERROR(__xludf.DUMMYFUNCTION("""COMPUTED_VALUE"""),198.32)</f>
        <v>198.32</v>
      </c>
      <c r="D287" s="2">
        <f>IFERROR(__xludf.DUMMYFUNCTION("""COMPUTED_VALUE"""),191.36)</f>
        <v>191.36</v>
      </c>
      <c r="E287" s="2">
        <f>IFERROR(__xludf.DUMMYFUNCTION("""COMPUTED_VALUE"""),197.41)</f>
        <v>197.41</v>
      </c>
      <c r="F287" s="2">
        <f>IFERROR(__xludf.DUMMYFUNCTION("""COMPUTED_VALUE"""),9.2739461E7)</f>
        <v>92739461</v>
      </c>
    </row>
    <row r="288">
      <c r="A288" s="3">
        <f>IFERROR(__xludf.DUMMYFUNCTION("""COMPUTED_VALUE"""),45345.66666666667)</f>
        <v>45345.66667</v>
      </c>
      <c r="B288" s="2">
        <f>IFERROR(__xludf.DUMMYFUNCTION("""COMPUTED_VALUE"""),195.31)</f>
        <v>195.31</v>
      </c>
      <c r="C288" s="2">
        <f>IFERROR(__xludf.DUMMYFUNCTION("""COMPUTED_VALUE"""),197.57)</f>
        <v>197.57</v>
      </c>
      <c r="D288" s="2">
        <f>IFERROR(__xludf.DUMMYFUNCTION("""COMPUTED_VALUE"""),191.5)</f>
        <v>191.5</v>
      </c>
      <c r="E288" s="2">
        <f>IFERROR(__xludf.DUMMYFUNCTION("""COMPUTED_VALUE"""),191.97)</f>
        <v>191.97</v>
      </c>
      <c r="F288" s="2">
        <f>IFERROR(__xludf.DUMMYFUNCTION("""COMPUTED_VALUE"""),7.8841917E7)</f>
        <v>78841917</v>
      </c>
    </row>
    <row r="289">
      <c r="A289" s="3">
        <f>IFERROR(__xludf.DUMMYFUNCTION("""COMPUTED_VALUE"""),45348.66666666667)</f>
        <v>45348.66667</v>
      </c>
      <c r="B289" s="2">
        <f>IFERROR(__xludf.DUMMYFUNCTION("""COMPUTED_VALUE"""),192.29)</f>
        <v>192.29</v>
      </c>
      <c r="C289" s="2">
        <f>IFERROR(__xludf.DUMMYFUNCTION("""COMPUTED_VALUE"""),201.78)</f>
        <v>201.78</v>
      </c>
      <c r="D289" s="2">
        <f>IFERROR(__xludf.DUMMYFUNCTION("""COMPUTED_VALUE"""),192.0)</f>
        <v>192</v>
      </c>
      <c r="E289" s="2">
        <f>IFERROR(__xludf.DUMMYFUNCTION("""COMPUTED_VALUE"""),199.4)</f>
        <v>199.4</v>
      </c>
      <c r="F289" s="2">
        <f>IFERROR(__xludf.DUMMYFUNCTION("""COMPUTED_VALUE"""),1.11747116E8)</f>
        <v>111747116</v>
      </c>
    </row>
    <row r="290">
      <c r="A290" s="3">
        <f>IFERROR(__xludf.DUMMYFUNCTION("""COMPUTED_VALUE"""),45349.66666666667)</f>
        <v>45349.66667</v>
      </c>
      <c r="B290" s="2">
        <f>IFERROR(__xludf.DUMMYFUNCTION("""COMPUTED_VALUE"""),204.04)</f>
        <v>204.04</v>
      </c>
      <c r="C290" s="2">
        <f>IFERROR(__xludf.DUMMYFUNCTION("""COMPUTED_VALUE"""),205.6)</f>
        <v>205.6</v>
      </c>
      <c r="D290" s="2">
        <f>IFERROR(__xludf.DUMMYFUNCTION("""COMPUTED_VALUE"""),198.26)</f>
        <v>198.26</v>
      </c>
      <c r="E290" s="2">
        <f>IFERROR(__xludf.DUMMYFUNCTION("""COMPUTED_VALUE"""),199.73)</f>
        <v>199.73</v>
      </c>
      <c r="F290" s="2">
        <f>IFERROR(__xludf.DUMMYFUNCTION("""COMPUTED_VALUE"""),1.08645412E8)</f>
        <v>108645412</v>
      </c>
    </row>
    <row r="291">
      <c r="A291" s="3">
        <f>IFERROR(__xludf.DUMMYFUNCTION("""COMPUTED_VALUE"""),45350.66666666667)</f>
        <v>45350.66667</v>
      </c>
      <c r="B291" s="2">
        <f>IFERROR(__xludf.DUMMYFUNCTION("""COMPUTED_VALUE"""),200.42)</f>
        <v>200.42</v>
      </c>
      <c r="C291" s="2">
        <f>IFERROR(__xludf.DUMMYFUNCTION("""COMPUTED_VALUE"""),205.3)</f>
        <v>205.3</v>
      </c>
      <c r="D291" s="2">
        <f>IFERROR(__xludf.DUMMYFUNCTION("""COMPUTED_VALUE"""),198.44)</f>
        <v>198.44</v>
      </c>
      <c r="E291" s="2">
        <f>IFERROR(__xludf.DUMMYFUNCTION("""COMPUTED_VALUE"""),202.04)</f>
        <v>202.04</v>
      </c>
      <c r="F291" s="2">
        <f>IFERROR(__xludf.DUMMYFUNCTION("""COMPUTED_VALUE"""),9.9806173E7)</f>
        <v>99806173</v>
      </c>
    </row>
    <row r="292">
      <c r="A292" s="3">
        <f>IFERROR(__xludf.DUMMYFUNCTION("""COMPUTED_VALUE"""),45351.66666666667)</f>
        <v>45351.66667</v>
      </c>
      <c r="B292" s="2">
        <f>IFERROR(__xludf.DUMMYFUNCTION("""COMPUTED_VALUE"""),204.18)</f>
        <v>204.18</v>
      </c>
      <c r="C292" s="2">
        <f>IFERROR(__xludf.DUMMYFUNCTION("""COMPUTED_VALUE"""),205.28)</f>
        <v>205.28</v>
      </c>
      <c r="D292" s="2">
        <f>IFERROR(__xludf.DUMMYFUNCTION("""COMPUTED_VALUE"""),198.45)</f>
        <v>198.45</v>
      </c>
      <c r="E292" s="2">
        <f>IFERROR(__xludf.DUMMYFUNCTION("""COMPUTED_VALUE"""),201.88)</f>
        <v>201.88</v>
      </c>
      <c r="F292" s="2">
        <f>IFERROR(__xludf.DUMMYFUNCTION("""COMPUTED_VALUE"""),8.5906974E7)</f>
        <v>85906974</v>
      </c>
    </row>
    <row r="293">
      <c r="A293" s="3">
        <f>IFERROR(__xludf.DUMMYFUNCTION("""COMPUTED_VALUE"""),45352.66666666667)</f>
        <v>45352.66667</v>
      </c>
      <c r="B293" s="2">
        <f>IFERROR(__xludf.DUMMYFUNCTION("""COMPUTED_VALUE"""),200.52)</f>
        <v>200.52</v>
      </c>
      <c r="C293" s="2">
        <f>IFERROR(__xludf.DUMMYFUNCTION("""COMPUTED_VALUE"""),204.52)</f>
        <v>204.52</v>
      </c>
      <c r="D293" s="2">
        <f>IFERROR(__xludf.DUMMYFUNCTION("""COMPUTED_VALUE"""),198.5)</f>
        <v>198.5</v>
      </c>
      <c r="E293" s="2">
        <f>IFERROR(__xludf.DUMMYFUNCTION("""COMPUTED_VALUE"""),202.64)</f>
        <v>202.64</v>
      </c>
      <c r="F293" s="2">
        <f>IFERROR(__xludf.DUMMYFUNCTION("""COMPUTED_VALUE"""),8.2243119E7)</f>
        <v>82243119</v>
      </c>
    </row>
    <row r="294">
      <c r="A294" s="3">
        <f>IFERROR(__xludf.DUMMYFUNCTION("""COMPUTED_VALUE"""),45355.66666666667)</f>
        <v>45355.66667</v>
      </c>
      <c r="B294" s="2">
        <f>IFERROR(__xludf.DUMMYFUNCTION("""COMPUTED_VALUE"""),198.73)</f>
        <v>198.73</v>
      </c>
      <c r="C294" s="2">
        <f>IFERROR(__xludf.DUMMYFUNCTION("""COMPUTED_VALUE"""),199.75)</f>
        <v>199.75</v>
      </c>
      <c r="D294" s="2">
        <f>IFERROR(__xludf.DUMMYFUNCTION("""COMPUTED_VALUE"""),186.72)</f>
        <v>186.72</v>
      </c>
      <c r="E294" s="2">
        <f>IFERROR(__xludf.DUMMYFUNCTION("""COMPUTED_VALUE"""),188.14)</f>
        <v>188.14</v>
      </c>
      <c r="F294" s="2">
        <f>IFERROR(__xludf.DUMMYFUNCTION("""COMPUTED_VALUE"""),1.34334869E8)</f>
        <v>134334869</v>
      </c>
    </row>
    <row r="295">
      <c r="A295" s="3">
        <f>IFERROR(__xludf.DUMMYFUNCTION("""COMPUTED_VALUE"""),45356.66666666667)</f>
        <v>45356.66667</v>
      </c>
      <c r="B295" s="2">
        <f>IFERROR(__xludf.DUMMYFUNCTION("""COMPUTED_VALUE"""),183.05)</f>
        <v>183.05</v>
      </c>
      <c r="C295" s="2">
        <f>IFERROR(__xludf.DUMMYFUNCTION("""COMPUTED_VALUE"""),184.59)</f>
        <v>184.59</v>
      </c>
      <c r="D295" s="2">
        <f>IFERROR(__xludf.DUMMYFUNCTION("""COMPUTED_VALUE"""),177.57)</f>
        <v>177.57</v>
      </c>
      <c r="E295" s="2">
        <f>IFERROR(__xludf.DUMMYFUNCTION("""COMPUTED_VALUE"""),180.74)</f>
        <v>180.74</v>
      </c>
      <c r="F295" s="2">
        <f>IFERROR(__xludf.DUMMYFUNCTION("""COMPUTED_VALUE"""),1.19660758E8)</f>
        <v>119660758</v>
      </c>
    </row>
    <row r="296">
      <c r="A296" s="3">
        <f>IFERROR(__xludf.DUMMYFUNCTION("""COMPUTED_VALUE"""),45357.66666666667)</f>
        <v>45357.66667</v>
      </c>
      <c r="B296" s="2">
        <f>IFERROR(__xludf.DUMMYFUNCTION("""COMPUTED_VALUE"""),179.99)</f>
        <v>179.99</v>
      </c>
      <c r="C296" s="2">
        <f>IFERROR(__xludf.DUMMYFUNCTION("""COMPUTED_VALUE"""),181.58)</f>
        <v>181.58</v>
      </c>
      <c r="D296" s="2">
        <f>IFERROR(__xludf.DUMMYFUNCTION("""COMPUTED_VALUE"""),173.7)</f>
        <v>173.7</v>
      </c>
      <c r="E296" s="2">
        <f>IFERROR(__xludf.DUMMYFUNCTION("""COMPUTED_VALUE"""),176.54)</f>
        <v>176.54</v>
      </c>
      <c r="F296" s="2">
        <f>IFERROR(__xludf.DUMMYFUNCTION("""COMPUTED_VALUE"""),1.07920944E8)</f>
        <v>107920944</v>
      </c>
    </row>
    <row r="297">
      <c r="A297" s="3">
        <f>IFERROR(__xludf.DUMMYFUNCTION("""COMPUTED_VALUE"""),45358.66666666667)</f>
        <v>45358.66667</v>
      </c>
      <c r="B297" s="2">
        <f>IFERROR(__xludf.DUMMYFUNCTION("""COMPUTED_VALUE"""),174.35)</f>
        <v>174.35</v>
      </c>
      <c r="C297" s="2">
        <f>IFERROR(__xludf.DUMMYFUNCTION("""COMPUTED_VALUE"""),180.04)</f>
        <v>180.04</v>
      </c>
      <c r="D297" s="2">
        <f>IFERROR(__xludf.DUMMYFUNCTION("""COMPUTED_VALUE"""),173.7)</f>
        <v>173.7</v>
      </c>
      <c r="E297" s="2">
        <f>IFERROR(__xludf.DUMMYFUNCTION("""COMPUTED_VALUE"""),178.65)</f>
        <v>178.65</v>
      </c>
      <c r="F297" s="2">
        <f>IFERROR(__xludf.DUMMYFUNCTION("""COMPUTED_VALUE"""),1.02129004E8)</f>
        <v>102129004</v>
      </c>
    </row>
    <row r="298">
      <c r="A298" s="3">
        <f>IFERROR(__xludf.DUMMYFUNCTION("""COMPUTED_VALUE"""),45359.66666666667)</f>
        <v>45359.66667</v>
      </c>
      <c r="B298" s="2">
        <f>IFERROR(__xludf.DUMMYFUNCTION("""COMPUTED_VALUE"""),181.5)</f>
        <v>181.5</v>
      </c>
      <c r="C298" s="2">
        <f>IFERROR(__xludf.DUMMYFUNCTION("""COMPUTED_VALUE"""),182.73)</f>
        <v>182.73</v>
      </c>
      <c r="D298" s="2">
        <f>IFERROR(__xludf.DUMMYFUNCTION("""COMPUTED_VALUE"""),174.7)</f>
        <v>174.7</v>
      </c>
      <c r="E298" s="2">
        <f>IFERROR(__xludf.DUMMYFUNCTION("""COMPUTED_VALUE"""),175.34)</f>
        <v>175.34</v>
      </c>
      <c r="F298" s="2">
        <f>IFERROR(__xludf.DUMMYFUNCTION("""COMPUTED_VALUE"""),8.5544644E7)</f>
        <v>85544644</v>
      </c>
    </row>
    <row r="299">
      <c r="A299" s="3">
        <f>IFERROR(__xludf.DUMMYFUNCTION("""COMPUTED_VALUE"""),45362.66666666667)</f>
        <v>45362.66667</v>
      </c>
      <c r="B299" s="2">
        <f>IFERROR(__xludf.DUMMYFUNCTION("""COMPUTED_VALUE"""),175.45)</f>
        <v>175.45</v>
      </c>
      <c r="C299" s="2">
        <f>IFERROR(__xludf.DUMMYFUNCTION("""COMPUTED_VALUE"""),182.87)</f>
        <v>182.87</v>
      </c>
      <c r="D299" s="2">
        <f>IFERROR(__xludf.DUMMYFUNCTION("""COMPUTED_VALUE"""),174.8)</f>
        <v>174.8</v>
      </c>
      <c r="E299" s="2">
        <f>IFERROR(__xludf.DUMMYFUNCTION("""COMPUTED_VALUE"""),177.77)</f>
        <v>177.77</v>
      </c>
      <c r="F299" s="2">
        <f>IFERROR(__xludf.DUMMYFUNCTION("""COMPUTED_VALUE"""),8.5391528E7)</f>
        <v>85391528</v>
      </c>
    </row>
    <row r="300">
      <c r="A300" s="3">
        <f>IFERROR(__xludf.DUMMYFUNCTION("""COMPUTED_VALUE"""),45363.66666666667)</f>
        <v>45363.66667</v>
      </c>
      <c r="B300" s="2">
        <f>IFERROR(__xludf.DUMMYFUNCTION("""COMPUTED_VALUE"""),177.77)</f>
        <v>177.77</v>
      </c>
      <c r="C300" s="2">
        <f>IFERROR(__xludf.DUMMYFUNCTION("""COMPUTED_VALUE"""),179.43)</f>
        <v>179.43</v>
      </c>
      <c r="D300" s="2">
        <f>IFERROR(__xludf.DUMMYFUNCTION("""COMPUTED_VALUE"""),172.41)</f>
        <v>172.41</v>
      </c>
      <c r="E300" s="2">
        <f>IFERROR(__xludf.DUMMYFUNCTION("""COMPUTED_VALUE"""),177.54)</f>
        <v>177.54</v>
      </c>
      <c r="F300" s="2">
        <f>IFERROR(__xludf.DUMMYFUNCTION("""COMPUTED_VALUE"""),8.7391684E7)</f>
        <v>87391684</v>
      </c>
    </row>
    <row r="301">
      <c r="A301" s="3">
        <f>IFERROR(__xludf.DUMMYFUNCTION("""COMPUTED_VALUE"""),45364.66666666667)</f>
        <v>45364.66667</v>
      </c>
      <c r="B301" s="2">
        <f>IFERROR(__xludf.DUMMYFUNCTION("""COMPUTED_VALUE"""),173.05)</f>
        <v>173.05</v>
      </c>
      <c r="C301" s="2">
        <f>IFERROR(__xludf.DUMMYFUNCTION("""COMPUTED_VALUE"""),176.05)</f>
        <v>176.05</v>
      </c>
      <c r="D301" s="2">
        <f>IFERROR(__xludf.DUMMYFUNCTION("""COMPUTED_VALUE"""),169.15)</f>
        <v>169.15</v>
      </c>
      <c r="E301" s="2">
        <f>IFERROR(__xludf.DUMMYFUNCTION("""COMPUTED_VALUE"""),169.48)</f>
        <v>169.48</v>
      </c>
      <c r="F301" s="2">
        <f>IFERROR(__xludf.DUMMYFUNCTION("""COMPUTED_VALUE"""),1.06524518E8)</f>
        <v>106524518</v>
      </c>
    </row>
    <row r="302">
      <c r="A302" s="3">
        <f>IFERROR(__xludf.DUMMYFUNCTION("""COMPUTED_VALUE"""),45365.66666666667)</f>
        <v>45365.66667</v>
      </c>
      <c r="B302" s="2">
        <f>IFERROR(__xludf.DUMMYFUNCTION("""COMPUTED_VALUE"""),167.77)</f>
        <v>167.77</v>
      </c>
      <c r="C302" s="2">
        <f>IFERROR(__xludf.DUMMYFUNCTION("""COMPUTED_VALUE"""),171.17)</f>
        <v>171.17</v>
      </c>
      <c r="D302" s="2">
        <f>IFERROR(__xludf.DUMMYFUNCTION("""COMPUTED_VALUE"""),160.51)</f>
        <v>160.51</v>
      </c>
      <c r="E302" s="2">
        <f>IFERROR(__xludf.DUMMYFUNCTION("""COMPUTED_VALUE"""),162.5)</f>
        <v>162.5</v>
      </c>
      <c r="F302" s="2">
        <f>IFERROR(__xludf.DUMMYFUNCTION("""COMPUTED_VALUE"""),1.26325696E8)</f>
        <v>126325696</v>
      </c>
    </row>
    <row r="303">
      <c r="A303" s="3">
        <f>IFERROR(__xludf.DUMMYFUNCTION("""COMPUTED_VALUE"""),45366.66666666667)</f>
        <v>45366.66667</v>
      </c>
      <c r="B303" s="2">
        <f>IFERROR(__xludf.DUMMYFUNCTION("""COMPUTED_VALUE"""),163.16)</f>
        <v>163.16</v>
      </c>
      <c r="C303" s="2">
        <f>IFERROR(__xludf.DUMMYFUNCTION("""COMPUTED_VALUE"""),165.18)</f>
        <v>165.18</v>
      </c>
      <c r="D303" s="2">
        <f>IFERROR(__xludf.DUMMYFUNCTION("""COMPUTED_VALUE"""),160.76)</f>
        <v>160.76</v>
      </c>
      <c r="E303" s="2">
        <f>IFERROR(__xludf.DUMMYFUNCTION("""COMPUTED_VALUE"""),163.57)</f>
        <v>163.57</v>
      </c>
      <c r="F303" s="2">
        <f>IFERROR(__xludf.DUMMYFUNCTION("""COMPUTED_VALUE"""),9.7146832E7)</f>
        <v>97146832</v>
      </c>
    </row>
    <row r="304">
      <c r="A304" s="3">
        <f>IFERROR(__xludf.DUMMYFUNCTION("""COMPUTED_VALUE"""),45369.66666666667)</f>
        <v>45369.66667</v>
      </c>
      <c r="B304" s="2">
        <f>IFERROR(__xludf.DUMMYFUNCTION("""COMPUTED_VALUE"""),170.02)</f>
        <v>170.02</v>
      </c>
      <c r="C304" s="2">
        <f>IFERROR(__xludf.DUMMYFUNCTION("""COMPUTED_VALUE"""),174.72)</f>
        <v>174.72</v>
      </c>
      <c r="D304" s="2">
        <f>IFERROR(__xludf.DUMMYFUNCTION("""COMPUTED_VALUE"""),165.9)</f>
        <v>165.9</v>
      </c>
      <c r="E304" s="2">
        <f>IFERROR(__xludf.DUMMYFUNCTION("""COMPUTED_VALUE"""),173.8)</f>
        <v>173.8</v>
      </c>
      <c r="F304" s="2">
        <f>IFERROR(__xludf.DUMMYFUNCTION("""COMPUTED_VALUE"""),1.08214358E8)</f>
        <v>108214358</v>
      </c>
    </row>
    <row r="305">
      <c r="A305" s="3">
        <f>IFERROR(__xludf.DUMMYFUNCTION("""COMPUTED_VALUE"""),45370.66666666667)</f>
        <v>45370.66667</v>
      </c>
      <c r="B305" s="2">
        <f>IFERROR(__xludf.DUMMYFUNCTION("""COMPUTED_VALUE"""),172.36)</f>
        <v>172.36</v>
      </c>
      <c r="C305" s="2">
        <f>IFERROR(__xludf.DUMMYFUNCTION("""COMPUTED_VALUE"""),172.82)</f>
        <v>172.82</v>
      </c>
      <c r="D305" s="2">
        <f>IFERROR(__xludf.DUMMYFUNCTION("""COMPUTED_VALUE"""),167.42)</f>
        <v>167.42</v>
      </c>
      <c r="E305" s="2">
        <f>IFERROR(__xludf.DUMMYFUNCTION("""COMPUTED_VALUE"""),171.32)</f>
        <v>171.32</v>
      </c>
      <c r="F305" s="2">
        <f>IFERROR(__xludf.DUMMYFUNCTION("""COMPUTED_VALUE"""),7.7271428E7)</f>
        <v>77271428</v>
      </c>
    </row>
    <row r="306">
      <c r="A306" s="3">
        <f>IFERROR(__xludf.DUMMYFUNCTION("""COMPUTED_VALUE"""),45371.66666666667)</f>
        <v>45371.66667</v>
      </c>
      <c r="B306" s="2">
        <f>IFERROR(__xludf.DUMMYFUNCTION("""COMPUTED_VALUE"""),173.0)</f>
        <v>173</v>
      </c>
      <c r="C306" s="2">
        <f>IFERROR(__xludf.DUMMYFUNCTION("""COMPUTED_VALUE"""),176.25)</f>
        <v>176.25</v>
      </c>
      <c r="D306" s="2">
        <f>IFERROR(__xludf.DUMMYFUNCTION("""COMPUTED_VALUE"""),170.82)</f>
        <v>170.82</v>
      </c>
      <c r="E306" s="2">
        <f>IFERROR(__xludf.DUMMYFUNCTION("""COMPUTED_VALUE"""),175.66)</f>
        <v>175.66</v>
      </c>
      <c r="F306" s="2">
        <f>IFERROR(__xludf.DUMMYFUNCTION("""COMPUTED_VALUE"""),8.3846726E7)</f>
        <v>83846726</v>
      </c>
    </row>
    <row r="307">
      <c r="A307" s="3">
        <f>IFERROR(__xludf.DUMMYFUNCTION("""COMPUTED_VALUE"""),45372.66666666667)</f>
        <v>45372.66667</v>
      </c>
      <c r="B307" s="2">
        <f>IFERROR(__xludf.DUMMYFUNCTION("""COMPUTED_VALUE"""),176.39)</f>
        <v>176.39</v>
      </c>
      <c r="C307" s="2">
        <f>IFERROR(__xludf.DUMMYFUNCTION("""COMPUTED_VALUE"""),178.18)</f>
        <v>178.18</v>
      </c>
      <c r="D307" s="2">
        <f>IFERROR(__xludf.DUMMYFUNCTION("""COMPUTED_VALUE"""),171.8)</f>
        <v>171.8</v>
      </c>
      <c r="E307" s="2">
        <f>IFERROR(__xludf.DUMMYFUNCTION("""COMPUTED_VALUE"""),172.82)</f>
        <v>172.82</v>
      </c>
      <c r="F307" s="2">
        <f>IFERROR(__xludf.DUMMYFUNCTION("""COMPUTED_VALUE"""),7.3178014E7)</f>
        <v>73178014</v>
      </c>
    </row>
    <row r="308">
      <c r="A308" s="3">
        <f>IFERROR(__xludf.DUMMYFUNCTION("""COMPUTED_VALUE"""),45373.66666666667)</f>
        <v>45373.66667</v>
      </c>
      <c r="B308" s="2">
        <f>IFERROR(__xludf.DUMMYFUNCTION("""COMPUTED_VALUE"""),166.69)</f>
        <v>166.69</v>
      </c>
      <c r="C308" s="2">
        <f>IFERROR(__xludf.DUMMYFUNCTION("""COMPUTED_VALUE"""),171.2)</f>
        <v>171.2</v>
      </c>
      <c r="D308" s="2">
        <f>IFERROR(__xludf.DUMMYFUNCTION("""COMPUTED_VALUE"""),166.3)</f>
        <v>166.3</v>
      </c>
      <c r="E308" s="2">
        <f>IFERROR(__xludf.DUMMYFUNCTION("""COMPUTED_VALUE"""),170.83)</f>
        <v>170.83</v>
      </c>
      <c r="F308" s="2">
        <f>IFERROR(__xludf.DUMMYFUNCTION("""COMPUTED_VALUE"""),7.5580637E7)</f>
        <v>75580637</v>
      </c>
    </row>
    <row r="309">
      <c r="A309" s="3">
        <f>IFERROR(__xludf.DUMMYFUNCTION("""COMPUTED_VALUE"""),45376.66666666667)</f>
        <v>45376.66667</v>
      </c>
      <c r="B309" s="2">
        <f>IFERROR(__xludf.DUMMYFUNCTION("""COMPUTED_VALUE"""),168.76)</f>
        <v>168.76</v>
      </c>
      <c r="C309" s="2">
        <f>IFERROR(__xludf.DUMMYFUNCTION("""COMPUTED_VALUE"""),175.24)</f>
        <v>175.24</v>
      </c>
      <c r="D309" s="2">
        <f>IFERROR(__xludf.DUMMYFUNCTION("""COMPUTED_VALUE"""),168.73)</f>
        <v>168.73</v>
      </c>
      <c r="E309" s="2">
        <f>IFERROR(__xludf.DUMMYFUNCTION("""COMPUTED_VALUE"""),172.63)</f>
        <v>172.63</v>
      </c>
      <c r="F309" s="2">
        <f>IFERROR(__xludf.DUMMYFUNCTION("""COMPUTED_VALUE"""),7.4228615E7)</f>
        <v>74228615</v>
      </c>
    </row>
    <row r="310">
      <c r="A310" s="3">
        <f>IFERROR(__xludf.DUMMYFUNCTION("""COMPUTED_VALUE"""),45377.66666666667)</f>
        <v>45377.66667</v>
      </c>
      <c r="B310" s="2">
        <f>IFERROR(__xludf.DUMMYFUNCTION("""COMPUTED_VALUE"""),178.58)</f>
        <v>178.58</v>
      </c>
      <c r="C310" s="2">
        <f>IFERROR(__xludf.DUMMYFUNCTION("""COMPUTED_VALUE"""),184.25)</f>
        <v>184.25</v>
      </c>
      <c r="D310" s="2">
        <f>IFERROR(__xludf.DUMMYFUNCTION("""COMPUTED_VALUE"""),177.38)</f>
        <v>177.38</v>
      </c>
      <c r="E310" s="2">
        <f>IFERROR(__xludf.DUMMYFUNCTION("""COMPUTED_VALUE"""),177.67)</f>
        <v>177.67</v>
      </c>
      <c r="F310" s="2">
        <f>IFERROR(__xludf.DUMMYFUNCTION("""COMPUTED_VALUE"""),1.13186227E8)</f>
        <v>113186227</v>
      </c>
    </row>
    <row r="311">
      <c r="A311" s="3">
        <f>IFERROR(__xludf.DUMMYFUNCTION("""COMPUTED_VALUE"""),45378.66666666667)</f>
        <v>45378.66667</v>
      </c>
      <c r="B311" s="2">
        <f>IFERROR(__xludf.DUMMYFUNCTION("""COMPUTED_VALUE"""),181.41)</f>
        <v>181.41</v>
      </c>
      <c r="C311" s="2">
        <f>IFERROR(__xludf.DUMMYFUNCTION("""COMPUTED_VALUE"""),181.91)</f>
        <v>181.91</v>
      </c>
      <c r="D311" s="2">
        <f>IFERROR(__xludf.DUMMYFUNCTION("""COMPUTED_VALUE"""),176.0)</f>
        <v>176</v>
      </c>
      <c r="E311" s="2">
        <f>IFERROR(__xludf.DUMMYFUNCTION("""COMPUTED_VALUE"""),179.83)</f>
        <v>179.83</v>
      </c>
      <c r="F311" s="2">
        <f>IFERROR(__xludf.DUMMYFUNCTION("""COMPUTED_VALUE"""),8.1804043E7)</f>
        <v>81804043</v>
      </c>
    </row>
    <row r="312">
      <c r="A312" s="3">
        <f>IFERROR(__xludf.DUMMYFUNCTION("""COMPUTED_VALUE"""),45379.66666666667)</f>
        <v>45379.66667</v>
      </c>
      <c r="B312" s="2">
        <f>IFERROR(__xludf.DUMMYFUNCTION("""COMPUTED_VALUE"""),177.45)</f>
        <v>177.45</v>
      </c>
      <c r="C312" s="2">
        <f>IFERROR(__xludf.DUMMYFUNCTION("""COMPUTED_VALUE"""),179.57)</f>
        <v>179.57</v>
      </c>
      <c r="D312" s="2">
        <f>IFERROR(__xludf.DUMMYFUNCTION("""COMPUTED_VALUE"""),175.3)</f>
        <v>175.3</v>
      </c>
      <c r="E312" s="2">
        <f>IFERROR(__xludf.DUMMYFUNCTION("""COMPUTED_VALUE"""),175.79)</f>
        <v>175.79</v>
      </c>
      <c r="F312" s="2">
        <f>IFERROR(__xludf.DUMMYFUNCTION("""COMPUTED_VALUE"""),7.7654838E7)</f>
        <v>77654838</v>
      </c>
    </row>
    <row r="313">
      <c r="A313" s="3">
        <f>IFERROR(__xludf.DUMMYFUNCTION("""COMPUTED_VALUE"""),45383.66666666667)</f>
        <v>45383.66667</v>
      </c>
      <c r="B313" s="2">
        <f>IFERROR(__xludf.DUMMYFUNCTION("""COMPUTED_VALUE"""),176.17)</f>
        <v>176.17</v>
      </c>
      <c r="C313" s="2">
        <f>IFERROR(__xludf.DUMMYFUNCTION("""COMPUTED_VALUE"""),176.75)</f>
        <v>176.75</v>
      </c>
      <c r="D313" s="2">
        <f>IFERROR(__xludf.DUMMYFUNCTION("""COMPUTED_VALUE"""),170.21)</f>
        <v>170.21</v>
      </c>
      <c r="E313" s="2">
        <f>IFERROR(__xludf.DUMMYFUNCTION("""COMPUTED_VALUE"""),175.22)</f>
        <v>175.22</v>
      </c>
      <c r="F313" s="2">
        <f>IFERROR(__xludf.DUMMYFUNCTION("""COMPUTED_VALUE"""),8.1562127E7)</f>
        <v>81562127</v>
      </c>
    </row>
    <row r="314">
      <c r="A314" s="3">
        <f>IFERROR(__xludf.DUMMYFUNCTION("""COMPUTED_VALUE"""),45384.66666666667)</f>
        <v>45384.66667</v>
      </c>
      <c r="B314" s="2">
        <f>IFERROR(__xludf.DUMMYFUNCTION("""COMPUTED_VALUE"""),164.75)</f>
        <v>164.75</v>
      </c>
      <c r="C314" s="2">
        <f>IFERROR(__xludf.DUMMYFUNCTION("""COMPUTED_VALUE"""),167.69)</f>
        <v>167.69</v>
      </c>
      <c r="D314" s="2">
        <f>IFERROR(__xludf.DUMMYFUNCTION("""COMPUTED_VALUE"""),163.43)</f>
        <v>163.43</v>
      </c>
      <c r="E314" s="2">
        <f>IFERROR(__xludf.DUMMYFUNCTION("""COMPUTED_VALUE"""),166.63)</f>
        <v>166.63</v>
      </c>
      <c r="F314" s="2">
        <f>IFERROR(__xludf.DUMMYFUNCTION("""COMPUTED_VALUE"""),1.16650594E8)</f>
        <v>116650594</v>
      </c>
    </row>
    <row r="315">
      <c r="A315" s="3">
        <f>IFERROR(__xludf.DUMMYFUNCTION("""COMPUTED_VALUE"""),45385.66666666667)</f>
        <v>45385.66667</v>
      </c>
      <c r="B315" s="2">
        <f>IFERROR(__xludf.DUMMYFUNCTION("""COMPUTED_VALUE"""),164.02)</f>
        <v>164.02</v>
      </c>
      <c r="C315" s="2">
        <f>IFERROR(__xludf.DUMMYFUNCTION("""COMPUTED_VALUE"""),168.82)</f>
        <v>168.82</v>
      </c>
      <c r="D315" s="2">
        <f>IFERROR(__xludf.DUMMYFUNCTION("""COMPUTED_VALUE"""),163.28)</f>
        <v>163.28</v>
      </c>
      <c r="E315" s="2">
        <f>IFERROR(__xludf.DUMMYFUNCTION("""COMPUTED_VALUE"""),168.38)</f>
        <v>168.38</v>
      </c>
      <c r="F315" s="2">
        <f>IFERROR(__xludf.DUMMYFUNCTION("""COMPUTED_VALUE"""),8.2950141E7)</f>
        <v>82950141</v>
      </c>
    </row>
    <row r="316">
      <c r="A316" s="3">
        <f>IFERROR(__xludf.DUMMYFUNCTION("""COMPUTED_VALUE"""),45386.66666666667)</f>
        <v>45386.66667</v>
      </c>
      <c r="B316" s="2">
        <f>IFERROR(__xludf.DUMMYFUNCTION("""COMPUTED_VALUE"""),170.07)</f>
        <v>170.07</v>
      </c>
      <c r="C316" s="2">
        <f>IFERROR(__xludf.DUMMYFUNCTION("""COMPUTED_VALUE"""),177.19)</f>
        <v>177.19</v>
      </c>
      <c r="D316" s="2">
        <f>IFERROR(__xludf.DUMMYFUNCTION("""COMPUTED_VALUE"""),168.01)</f>
        <v>168.01</v>
      </c>
      <c r="E316" s="2">
        <f>IFERROR(__xludf.DUMMYFUNCTION("""COMPUTED_VALUE"""),171.11)</f>
        <v>171.11</v>
      </c>
      <c r="F316" s="2">
        <f>IFERROR(__xludf.DUMMYFUNCTION("""COMPUTED_VALUE"""),1.2316196E8)</f>
        <v>123161960</v>
      </c>
    </row>
    <row r="317">
      <c r="A317" s="3">
        <f>IFERROR(__xludf.DUMMYFUNCTION("""COMPUTED_VALUE"""),45387.66666666667)</f>
        <v>45387.66667</v>
      </c>
      <c r="B317" s="2">
        <f>IFERROR(__xludf.DUMMYFUNCTION("""COMPUTED_VALUE"""),169.08)</f>
        <v>169.08</v>
      </c>
      <c r="C317" s="2">
        <f>IFERROR(__xludf.DUMMYFUNCTION("""COMPUTED_VALUE"""),170.86)</f>
        <v>170.86</v>
      </c>
      <c r="D317" s="2">
        <f>IFERROR(__xludf.DUMMYFUNCTION("""COMPUTED_VALUE"""),160.51)</f>
        <v>160.51</v>
      </c>
      <c r="E317" s="2">
        <f>IFERROR(__xludf.DUMMYFUNCTION("""COMPUTED_VALUE"""),164.9)</f>
        <v>164.9</v>
      </c>
      <c r="F317" s="2">
        <f>IFERROR(__xludf.DUMMYFUNCTION("""COMPUTED_VALUE"""),1.43157603E8)</f>
        <v>143157603</v>
      </c>
    </row>
    <row r="318">
      <c r="A318" s="3">
        <f>IFERROR(__xludf.DUMMYFUNCTION("""COMPUTED_VALUE"""),45390.66666666667)</f>
        <v>45390.66667</v>
      </c>
      <c r="B318" s="2">
        <f>IFERROR(__xludf.DUMMYFUNCTION("""COMPUTED_VALUE"""),169.34)</f>
        <v>169.34</v>
      </c>
      <c r="C318" s="2">
        <f>IFERROR(__xludf.DUMMYFUNCTION("""COMPUTED_VALUE"""),174.5)</f>
        <v>174.5</v>
      </c>
      <c r="D318" s="2">
        <f>IFERROR(__xludf.DUMMYFUNCTION("""COMPUTED_VALUE"""),167.79)</f>
        <v>167.79</v>
      </c>
      <c r="E318" s="2">
        <f>IFERROR(__xludf.DUMMYFUNCTION("""COMPUTED_VALUE"""),172.98)</f>
        <v>172.98</v>
      </c>
      <c r="F318" s="2">
        <f>IFERROR(__xludf.DUMMYFUNCTION("""COMPUTED_VALUE"""),1.0442332E8)</f>
        <v>104423320</v>
      </c>
    </row>
    <row r="319">
      <c r="A319" s="3">
        <f>IFERROR(__xludf.DUMMYFUNCTION("""COMPUTED_VALUE"""),45391.66666666667)</f>
        <v>45391.66667</v>
      </c>
      <c r="B319" s="2">
        <f>IFERROR(__xludf.DUMMYFUNCTION("""COMPUTED_VALUE"""),172.91)</f>
        <v>172.91</v>
      </c>
      <c r="C319" s="2">
        <f>IFERROR(__xludf.DUMMYFUNCTION("""COMPUTED_VALUE"""),179.22)</f>
        <v>179.22</v>
      </c>
      <c r="D319" s="2">
        <f>IFERROR(__xludf.DUMMYFUNCTION("""COMPUTED_VALUE"""),171.92)</f>
        <v>171.92</v>
      </c>
      <c r="E319" s="2">
        <f>IFERROR(__xludf.DUMMYFUNCTION("""COMPUTED_VALUE"""),176.88)</f>
        <v>176.88</v>
      </c>
      <c r="F319" s="2">
        <f>IFERROR(__xludf.DUMMYFUNCTION("""COMPUTED_VALUE"""),1.03232675E8)</f>
        <v>103232675</v>
      </c>
    </row>
    <row r="320">
      <c r="A320" s="3">
        <f>IFERROR(__xludf.DUMMYFUNCTION("""COMPUTED_VALUE"""),45392.66666666667)</f>
        <v>45392.66667</v>
      </c>
      <c r="B320" s="2">
        <f>IFERROR(__xludf.DUMMYFUNCTION("""COMPUTED_VALUE"""),173.04)</f>
        <v>173.04</v>
      </c>
      <c r="C320" s="2">
        <f>IFERROR(__xludf.DUMMYFUNCTION("""COMPUTED_VALUE"""),174.93)</f>
        <v>174.93</v>
      </c>
      <c r="D320" s="2">
        <f>IFERROR(__xludf.DUMMYFUNCTION("""COMPUTED_VALUE"""),170.01)</f>
        <v>170.01</v>
      </c>
      <c r="E320" s="2">
        <f>IFERROR(__xludf.DUMMYFUNCTION("""COMPUTED_VALUE"""),171.76)</f>
        <v>171.76</v>
      </c>
      <c r="F320" s="2">
        <f>IFERROR(__xludf.DUMMYFUNCTION("""COMPUTED_VALUE"""),8.4532407E7)</f>
        <v>84532407</v>
      </c>
    </row>
    <row r="321">
      <c r="A321" s="3">
        <f>IFERROR(__xludf.DUMMYFUNCTION("""COMPUTED_VALUE"""),45393.66666666667)</f>
        <v>45393.66667</v>
      </c>
      <c r="B321" s="2">
        <f>IFERROR(__xludf.DUMMYFUNCTION("""COMPUTED_VALUE"""),172.55)</f>
        <v>172.55</v>
      </c>
      <c r="C321" s="2">
        <f>IFERROR(__xludf.DUMMYFUNCTION("""COMPUTED_VALUE"""),175.88)</f>
        <v>175.88</v>
      </c>
      <c r="D321" s="2">
        <f>IFERROR(__xludf.DUMMYFUNCTION("""COMPUTED_VALUE"""),168.51)</f>
        <v>168.51</v>
      </c>
      <c r="E321" s="2">
        <f>IFERROR(__xludf.DUMMYFUNCTION("""COMPUTED_VALUE"""),174.6)</f>
        <v>174.6</v>
      </c>
      <c r="F321" s="2">
        <f>IFERROR(__xludf.DUMMYFUNCTION("""COMPUTED_VALUE"""),9.4515987E7)</f>
        <v>94515987</v>
      </c>
    </row>
    <row r="322">
      <c r="A322" s="3">
        <f>IFERROR(__xludf.DUMMYFUNCTION("""COMPUTED_VALUE"""),45394.66666666667)</f>
        <v>45394.66667</v>
      </c>
      <c r="B322" s="2">
        <f>IFERROR(__xludf.DUMMYFUNCTION("""COMPUTED_VALUE"""),172.34)</f>
        <v>172.34</v>
      </c>
      <c r="C322" s="2">
        <f>IFERROR(__xludf.DUMMYFUNCTION("""COMPUTED_VALUE"""),173.81)</f>
        <v>173.81</v>
      </c>
      <c r="D322" s="2">
        <f>IFERROR(__xludf.DUMMYFUNCTION("""COMPUTED_VALUE"""),170.36)</f>
        <v>170.36</v>
      </c>
      <c r="E322" s="2">
        <f>IFERROR(__xludf.DUMMYFUNCTION("""COMPUTED_VALUE"""),171.05)</f>
        <v>171.05</v>
      </c>
      <c r="F322" s="2">
        <f>IFERROR(__xludf.DUMMYFUNCTION("""COMPUTED_VALUE"""),6.4722669E7)</f>
        <v>64722669</v>
      </c>
    </row>
    <row r="323">
      <c r="A323" s="3">
        <f>IFERROR(__xludf.DUMMYFUNCTION("""COMPUTED_VALUE"""),45397.66666666667)</f>
        <v>45397.66667</v>
      </c>
      <c r="B323" s="2">
        <f>IFERROR(__xludf.DUMMYFUNCTION("""COMPUTED_VALUE"""),170.24)</f>
        <v>170.24</v>
      </c>
      <c r="C323" s="2">
        <f>IFERROR(__xludf.DUMMYFUNCTION("""COMPUTED_VALUE"""),170.69)</f>
        <v>170.69</v>
      </c>
      <c r="D323" s="2">
        <f>IFERROR(__xludf.DUMMYFUNCTION("""COMPUTED_VALUE"""),161.38)</f>
        <v>161.38</v>
      </c>
      <c r="E323" s="2">
        <f>IFERROR(__xludf.DUMMYFUNCTION("""COMPUTED_VALUE"""),161.48)</f>
        <v>161.48</v>
      </c>
      <c r="F323" s="2">
        <f>IFERROR(__xludf.DUMMYFUNCTION("""COMPUTED_VALUE"""),1.0024531E8)</f>
        <v>100245310</v>
      </c>
    </row>
    <row r="324">
      <c r="A324" s="3">
        <f>IFERROR(__xludf.DUMMYFUNCTION("""COMPUTED_VALUE"""),45398.66666666667)</f>
        <v>45398.66667</v>
      </c>
      <c r="B324" s="2">
        <f>IFERROR(__xludf.DUMMYFUNCTION("""COMPUTED_VALUE"""),156.74)</f>
        <v>156.74</v>
      </c>
      <c r="C324" s="2">
        <f>IFERROR(__xludf.DUMMYFUNCTION("""COMPUTED_VALUE"""),158.19)</f>
        <v>158.19</v>
      </c>
      <c r="D324" s="2">
        <f>IFERROR(__xludf.DUMMYFUNCTION("""COMPUTED_VALUE"""),153.75)</f>
        <v>153.75</v>
      </c>
      <c r="E324" s="2">
        <f>IFERROR(__xludf.DUMMYFUNCTION("""COMPUTED_VALUE"""),157.11)</f>
        <v>157.11</v>
      </c>
      <c r="F324" s="2">
        <f>IFERROR(__xludf.DUMMYFUNCTION("""COMPUTED_VALUE"""),9.6999956E7)</f>
        <v>96999956</v>
      </c>
    </row>
    <row r="325">
      <c r="A325" s="3">
        <f>IFERROR(__xludf.DUMMYFUNCTION("""COMPUTED_VALUE"""),45399.66666666667)</f>
        <v>45399.66667</v>
      </c>
      <c r="B325" s="2">
        <f>IFERROR(__xludf.DUMMYFUNCTION("""COMPUTED_VALUE"""),157.64)</f>
        <v>157.64</v>
      </c>
      <c r="C325" s="2">
        <f>IFERROR(__xludf.DUMMYFUNCTION("""COMPUTED_VALUE"""),158.33)</f>
        <v>158.33</v>
      </c>
      <c r="D325" s="2">
        <f>IFERROR(__xludf.DUMMYFUNCTION("""COMPUTED_VALUE"""),153.78)</f>
        <v>153.78</v>
      </c>
      <c r="E325" s="2">
        <f>IFERROR(__xludf.DUMMYFUNCTION("""COMPUTED_VALUE"""),155.45)</f>
        <v>155.45</v>
      </c>
      <c r="F325" s="2">
        <f>IFERROR(__xludf.DUMMYFUNCTION("""COMPUTED_VALUE"""),8.2439718E7)</f>
        <v>82439718</v>
      </c>
    </row>
    <row r="326">
      <c r="A326" s="3">
        <f>IFERROR(__xludf.DUMMYFUNCTION("""COMPUTED_VALUE"""),45400.66666666667)</f>
        <v>45400.66667</v>
      </c>
      <c r="B326" s="2">
        <f>IFERROR(__xludf.DUMMYFUNCTION("""COMPUTED_VALUE"""),151.25)</f>
        <v>151.25</v>
      </c>
      <c r="C326" s="2">
        <f>IFERROR(__xludf.DUMMYFUNCTION("""COMPUTED_VALUE"""),152.2)</f>
        <v>152.2</v>
      </c>
      <c r="D326" s="2">
        <f>IFERROR(__xludf.DUMMYFUNCTION("""COMPUTED_VALUE"""),148.7)</f>
        <v>148.7</v>
      </c>
      <c r="E326" s="2">
        <f>IFERROR(__xludf.DUMMYFUNCTION("""COMPUTED_VALUE"""),149.93)</f>
        <v>149.93</v>
      </c>
      <c r="F326" s="2">
        <f>IFERROR(__xludf.DUMMYFUNCTION("""COMPUTED_VALUE"""),9.609883E7)</f>
        <v>96098830</v>
      </c>
    </row>
    <row r="327">
      <c r="A327" s="3">
        <f>IFERROR(__xludf.DUMMYFUNCTION("""COMPUTED_VALUE"""),45401.66666666667)</f>
        <v>45401.66667</v>
      </c>
      <c r="B327" s="2">
        <f>IFERROR(__xludf.DUMMYFUNCTION("""COMPUTED_VALUE"""),148.97)</f>
        <v>148.97</v>
      </c>
      <c r="C327" s="2">
        <f>IFERROR(__xludf.DUMMYFUNCTION("""COMPUTED_VALUE"""),150.94)</f>
        <v>150.94</v>
      </c>
      <c r="D327" s="2">
        <f>IFERROR(__xludf.DUMMYFUNCTION("""COMPUTED_VALUE"""),146.22)</f>
        <v>146.22</v>
      </c>
      <c r="E327" s="2">
        <f>IFERROR(__xludf.DUMMYFUNCTION("""COMPUTED_VALUE"""),147.05)</f>
        <v>147.05</v>
      </c>
      <c r="F327" s="2">
        <f>IFERROR(__xludf.DUMMYFUNCTION("""COMPUTED_VALUE"""),8.70745E7)</f>
        <v>87074500</v>
      </c>
    </row>
    <row r="328">
      <c r="A328" s="3">
        <f>IFERROR(__xludf.DUMMYFUNCTION("""COMPUTED_VALUE"""),45404.66666666667)</f>
        <v>45404.66667</v>
      </c>
      <c r="B328" s="2">
        <f>IFERROR(__xludf.DUMMYFUNCTION("""COMPUTED_VALUE"""),140.56)</f>
        <v>140.56</v>
      </c>
      <c r="C328" s="2">
        <f>IFERROR(__xludf.DUMMYFUNCTION("""COMPUTED_VALUE"""),144.44)</f>
        <v>144.44</v>
      </c>
      <c r="D328" s="2">
        <f>IFERROR(__xludf.DUMMYFUNCTION("""COMPUTED_VALUE"""),138.8)</f>
        <v>138.8</v>
      </c>
      <c r="E328" s="2">
        <f>IFERROR(__xludf.DUMMYFUNCTION("""COMPUTED_VALUE"""),142.05)</f>
        <v>142.05</v>
      </c>
      <c r="F328" s="2">
        <f>IFERROR(__xludf.DUMMYFUNCTION("""COMPUTED_VALUE"""),1.07097564E8)</f>
        <v>107097564</v>
      </c>
    </row>
    <row r="329">
      <c r="A329" s="3">
        <f>IFERROR(__xludf.DUMMYFUNCTION("""COMPUTED_VALUE"""),45405.66666666667)</f>
        <v>45405.66667</v>
      </c>
      <c r="B329" s="2">
        <f>IFERROR(__xludf.DUMMYFUNCTION("""COMPUTED_VALUE"""),143.33)</f>
        <v>143.33</v>
      </c>
      <c r="C329" s="2">
        <f>IFERROR(__xludf.DUMMYFUNCTION("""COMPUTED_VALUE"""),147.26)</f>
        <v>147.26</v>
      </c>
      <c r="D329" s="2">
        <f>IFERROR(__xludf.DUMMYFUNCTION("""COMPUTED_VALUE"""),141.11)</f>
        <v>141.11</v>
      </c>
      <c r="E329" s="2">
        <f>IFERROR(__xludf.DUMMYFUNCTION("""COMPUTED_VALUE"""),144.68)</f>
        <v>144.68</v>
      </c>
      <c r="F329" s="2">
        <f>IFERROR(__xludf.DUMMYFUNCTION("""COMPUTED_VALUE"""),1.24545104E8)</f>
        <v>124545104</v>
      </c>
    </row>
    <row r="330">
      <c r="A330" s="3">
        <f>IFERROR(__xludf.DUMMYFUNCTION("""COMPUTED_VALUE"""),45406.66666666667)</f>
        <v>45406.66667</v>
      </c>
      <c r="B330" s="2">
        <f>IFERROR(__xludf.DUMMYFUNCTION("""COMPUTED_VALUE"""),162.84)</f>
        <v>162.84</v>
      </c>
      <c r="C330" s="2">
        <f>IFERROR(__xludf.DUMMYFUNCTION("""COMPUTED_VALUE"""),167.97)</f>
        <v>167.97</v>
      </c>
      <c r="D330" s="2">
        <f>IFERROR(__xludf.DUMMYFUNCTION("""COMPUTED_VALUE"""),157.51)</f>
        <v>157.51</v>
      </c>
      <c r="E330" s="2">
        <f>IFERROR(__xludf.DUMMYFUNCTION("""COMPUTED_VALUE"""),162.13)</f>
        <v>162.13</v>
      </c>
      <c r="F330" s="2">
        <f>IFERROR(__xludf.DUMMYFUNCTION("""COMPUTED_VALUE"""),1.8117802E8)</f>
        <v>181178020</v>
      </c>
    </row>
    <row r="331">
      <c r="A331" s="3">
        <f>IFERROR(__xludf.DUMMYFUNCTION("""COMPUTED_VALUE"""),45407.66666666667)</f>
        <v>45407.66667</v>
      </c>
      <c r="B331" s="2">
        <f>IFERROR(__xludf.DUMMYFUNCTION("""COMPUTED_VALUE"""),158.96)</f>
        <v>158.96</v>
      </c>
      <c r="C331" s="2">
        <f>IFERROR(__xludf.DUMMYFUNCTION("""COMPUTED_VALUE"""),170.88)</f>
        <v>170.88</v>
      </c>
      <c r="D331" s="2">
        <f>IFERROR(__xludf.DUMMYFUNCTION("""COMPUTED_VALUE"""),158.36)</f>
        <v>158.36</v>
      </c>
      <c r="E331" s="2">
        <f>IFERROR(__xludf.DUMMYFUNCTION("""COMPUTED_VALUE"""),170.18)</f>
        <v>170.18</v>
      </c>
      <c r="F331" s="2">
        <f>IFERROR(__xludf.DUMMYFUNCTION("""COMPUTED_VALUE"""),1.26427521E8)</f>
        <v>126427521</v>
      </c>
    </row>
    <row r="332">
      <c r="A332" s="3">
        <f>IFERROR(__xludf.DUMMYFUNCTION("""COMPUTED_VALUE"""),45408.66666666667)</f>
        <v>45408.66667</v>
      </c>
      <c r="B332" s="2">
        <f>IFERROR(__xludf.DUMMYFUNCTION("""COMPUTED_VALUE"""),168.85)</f>
        <v>168.85</v>
      </c>
      <c r="C332" s="2">
        <f>IFERROR(__xludf.DUMMYFUNCTION("""COMPUTED_VALUE"""),172.12)</f>
        <v>172.12</v>
      </c>
      <c r="D332" s="2">
        <f>IFERROR(__xludf.DUMMYFUNCTION("""COMPUTED_VALUE"""),166.37)</f>
        <v>166.37</v>
      </c>
      <c r="E332" s="2">
        <f>IFERROR(__xludf.DUMMYFUNCTION("""COMPUTED_VALUE"""),168.29)</f>
        <v>168.29</v>
      </c>
      <c r="F332" s="2">
        <f>IFERROR(__xludf.DUMMYFUNCTION("""COMPUTED_VALUE"""),1.09815725E8)</f>
        <v>109815725</v>
      </c>
    </row>
    <row r="333">
      <c r="A333" s="3">
        <f>IFERROR(__xludf.DUMMYFUNCTION("""COMPUTED_VALUE"""),45411.66666666667)</f>
        <v>45411.66667</v>
      </c>
      <c r="B333" s="2">
        <f>IFERROR(__xludf.DUMMYFUNCTION("""COMPUTED_VALUE"""),188.42)</f>
        <v>188.42</v>
      </c>
      <c r="C333" s="2">
        <f>IFERROR(__xludf.DUMMYFUNCTION("""COMPUTED_VALUE"""),198.87)</f>
        <v>198.87</v>
      </c>
      <c r="D333" s="2">
        <f>IFERROR(__xludf.DUMMYFUNCTION("""COMPUTED_VALUE"""),184.54)</f>
        <v>184.54</v>
      </c>
      <c r="E333" s="2">
        <f>IFERROR(__xludf.DUMMYFUNCTION("""COMPUTED_VALUE"""),194.05)</f>
        <v>194.05</v>
      </c>
      <c r="F333" s="2">
        <f>IFERROR(__xludf.DUMMYFUNCTION("""COMPUTED_VALUE"""),2.43869678E8)</f>
        <v>243869678</v>
      </c>
    </row>
    <row r="334">
      <c r="A334" s="3">
        <f>IFERROR(__xludf.DUMMYFUNCTION("""COMPUTED_VALUE"""),45412.66666666667)</f>
        <v>45412.66667</v>
      </c>
      <c r="B334" s="2">
        <f>IFERROR(__xludf.DUMMYFUNCTION("""COMPUTED_VALUE"""),186.98)</f>
        <v>186.98</v>
      </c>
      <c r="C334" s="2">
        <f>IFERROR(__xludf.DUMMYFUNCTION("""COMPUTED_VALUE"""),190.95)</f>
        <v>190.95</v>
      </c>
      <c r="D334" s="2">
        <f>IFERROR(__xludf.DUMMYFUNCTION("""COMPUTED_VALUE"""),182.84)</f>
        <v>182.84</v>
      </c>
      <c r="E334" s="2">
        <f>IFERROR(__xludf.DUMMYFUNCTION("""COMPUTED_VALUE"""),183.28)</f>
        <v>183.28</v>
      </c>
      <c r="F334" s="2">
        <f>IFERROR(__xludf.DUMMYFUNCTION("""COMPUTED_VALUE"""),1.27031787E8)</f>
        <v>127031787</v>
      </c>
    </row>
    <row r="335">
      <c r="A335" s="3">
        <f>IFERROR(__xludf.DUMMYFUNCTION("""COMPUTED_VALUE"""),45413.66666666667)</f>
        <v>45413.66667</v>
      </c>
      <c r="B335" s="2">
        <f>IFERROR(__xludf.DUMMYFUNCTION("""COMPUTED_VALUE"""),182.0)</f>
        <v>182</v>
      </c>
      <c r="C335" s="2">
        <f>IFERROR(__xludf.DUMMYFUNCTION("""COMPUTED_VALUE"""),185.86)</f>
        <v>185.86</v>
      </c>
      <c r="D335" s="2">
        <f>IFERROR(__xludf.DUMMYFUNCTION("""COMPUTED_VALUE"""),179.01)</f>
        <v>179.01</v>
      </c>
      <c r="E335" s="2">
        <f>IFERROR(__xludf.DUMMYFUNCTION("""COMPUTED_VALUE"""),179.99)</f>
        <v>179.99</v>
      </c>
      <c r="F335" s="2">
        <f>IFERROR(__xludf.DUMMYFUNCTION("""COMPUTED_VALUE"""),9.2829719E7)</f>
        <v>92829719</v>
      </c>
    </row>
    <row r="336">
      <c r="A336" s="3">
        <f>IFERROR(__xludf.DUMMYFUNCTION("""COMPUTED_VALUE"""),45414.66666666667)</f>
        <v>45414.66667</v>
      </c>
      <c r="B336" s="2">
        <f>IFERROR(__xludf.DUMMYFUNCTION("""COMPUTED_VALUE"""),182.86)</f>
        <v>182.86</v>
      </c>
      <c r="C336" s="2">
        <f>IFERROR(__xludf.DUMMYFUNCTION("""COMPUTED_VALUE"""),184.6)</f>
        <v>184.6</v>
      </c>
      <c r="D336" s="2">
        <f>IFERROR(__xludf.DUMMYFUNCTION("""COMPUTED_VALUE"""),176.02)</f>
        <v>176.02</v>
      </c>
      <c r="E336" s="2">
        <f>IFERROR(__xludf.DUMMYFUNCTION("""COMPUTED_VALUE"""),180.01)</f>
        <v>180.01</v>
      </c>
      <c r="F336" s="2">
        <f>IFERROR(__xludf.DUMMYFUNCTION("""COMPUTED_VALUE"""),8.9148041E7)</f>
        <v>89148041</v>
      </c>
    </row>
    <row r="337">
      <c r="A337" s="3">
        <f>IFERROR(__xludf.DUMMYFUNCTION("""COMPUTED_VALUE"""),45415.66666666667)</f>
        <v>45415.66667</v>
      </c>
      <c r="B337" s="2">
        <f>IFERROR(__xludf.DUMMYFUNCTION("""COMPUTED_VALUE"""),182.1)</f>
        <v>182.1</v>
      </c>
      <c r="C337" s="2">
        <f>IFERROR(__xludf.DUMMYFUNCTION("""COMPUTED_VALUE"""),184.78)</f>
        <v>184.78</v>
      </c>
      <c r="D337" s="2">
        <f>IFERROR(__xludf.DUMMYFUNCTION("""COMPUTED_VALUE"""),178.42)</f>
        <v>178.42</v>
      </c>
      <c r="E337" s="2">
        <f>IFERROR(__xludf.DUMMYFUNCTION("""COMPUTED_VALUE"""),181.19)</f>
        <v>181.19</v>
      </c>
      <c r="F337" s="2">
        <f>IFERROR(__xludf.DUMMYFUNCTION("""COMPUTED_VALUE"""),7.5491539E7)</f>
        <v>75491539</v>
      </c>
    </row>
    <row r="338">
      <c r="A338" s="3">
        <f>IFERROR(__xludf.DUMMYFUNCTION("""COMPUTED_VALUE"""),45418.66666666667)</f>
        <v>45418.66667</v>
      </c>
      <c r="B338" s="2">
        <f>IFERROR(__xludf.DUMMYFUNCTION("""COMPUTED_VALUE"""),183.8)</f>
        <v>183.8</v>
      </c>
      <c r="C338" s="2">
        <f>IFERROR(__xludf.DUMMYFUNCTION("""COMPUTED_VALUE"""),187.56)</f>
        <v>187.56</v>
      </c>
      <c r="D338" s="2">
        <f>IFERROR(__xludf.DUMMYFUNCTION("""COMPUTED_VALUE"""),182.2)</f>
        <v>182.2</v>
      </c>
      <c r="E338" s="2">
        <f>IFERROR(__xludf.DUMMYFUNCTION("""COMPUTED_VALUE"""),184.76)</f>
        <v>184.76</v>
      </c>
      <c r="F338" s="2">
        <f>IFERROR(__xludf.DUMMYFUNCTION("""COMPUTED_VALUE"""),8.4390253E7)</f>
        <v>84390253</v>
      </c>
    </row>
    <row r="339">
      <c r="A339" s="3">
        <f>IFERROR(__xludf.DUMMYFUNCTION("""COMPUTED_VALUE"""),45419.66666666667)</f>
        <v>45419.66667</v>
      </c>
      <c r="B339" s="2">
        <f>IFERROR(__xludf.DUMMYFUNCTION("""COMPUTED_VALUE"""),182.4)</f>
        <v>182.4</v>
      </c>
      <c r="C339" s="2">
        <f>IFERROR(__xludf.DUMMYFUNCTION("""COMPUTED_VALUE"""),183.26)</f>
        <v>183.26</v>
      </c>
      <c r="D339" s="2">
        <f>IFERROR(__xludf.DUMMYFUNCTION("""COMPUTED_VALUE"""),177.4)</f>
        <v>177.4</v>
      </c>
      <c r="E339" s="2">
        <f>IFERROR(__xludf.DUMMYFUNCTION("""COMPUTED_VALUE"""),177.81)</f>
        <v>177.81</v>
      </c>
      <c r="F339" s="2">
        <f>IFERROR(__xludf.DUMMYFUNCTION("""COMPUTED_VALUE"""),7.5045854E7)</f>
        <v>75045854</v>
      </c>
    </row>
    <row r="340">
      <c r="A340" s="3">
        <f>IFERROR(__xludf.DUMMYFUNCTION("""COMPUTED_VALUE"""),45420.66666666667)</f>
        <v>45420.66667</v>
      </c>
      <c r="B340" s="2">
        <f>IFERROR(__xludf.DUMMYFUNCTION("""COMPUTED_VALUE"""),171.59)</f>
        <v>171.59</v>
      </c>
      <c r="C340" s="2">
        <f>IFERROR(__xludf.DUMMYFUNCTION("""COMPUTED_VALUE"""),176.06)</f>
        <v>176.06</v>
      </c>
      <c r="D340" s="2">
        <f>IFERROR(__xludf.DUMMYFUNCTION("""COMPUTED_VALUE"""),170.15)</f>
        <v>170.15</v>
      </c>
      <c r="E340" s="2">
        <f>IFERROR(__xludf.DUMMYFUNCTION("""COMPUTED_VALUE"""),174.72)</f>
        <v>174.72</v>
      </c>
      <c r="F340" s="2">
        <f>IFERROR(__xludf.DUMMYFUNCTION("""COMPUTED_VALUE"""),7.9969488E7)</f>
        <v>79969488</v>
      </c>
    </row>
    <row r="341">
      <c r="A341" s="3">
        <f>IFERROR(__xludf.DUMMYFUNCTION("""COMPUTED_VALUE"""),45421.66666666667)</f>
        <v>45421.66667</v>
      </c>
      <c r="B341" s="2">
        <f>IFERROR(__xludf.DUMMYFUNCTION("""COMPUTED_VALUE"""),175.01)</f>
        <v>175.01</v>
      </c>
      <c r="C341" s="2">
        <f>IFERROR(__xludf.DUMMYFUNCTION("""COMPUTED_VALUE"""),175.62)</f>
        <v>175.62</v>
      </c>
      <c r="D341" s="2">
        <f>IFERROR(__xludf.DUMMYFUNCTION("""COMPUTED_VALUE"""),171.37)</f>
        <v>171.37</v>
      </c>
      <c r="E341" s="2">
        <f>IFERROR(__xludf.DUMMYFUNCTION("""COMPUTED_VALUE"""),171.97)</f>
        <v>171.97</v>
      </c>
      <c r="F341" s="2">
        <f>IFERROR(__xludf.DUMMYFUNCTION("""COMPUTED_VALUE"""),6.5950292E7)</f>
        <v>65950292</v>
      </c>
    </row>
    <row r="342">
      <c r="A342" s="3">
        <f>IFERROR(__xludf.DUMMYFUNCTION("""COMPUTED_VALUE"""),45422.66666666667)</f>
        <v>45422.66667</v>
      </c>
      <c r="B342" s="2">
        <f>IFERROR(__xludf.DUMMYFUNCTION("""COMPUTED_VALUE"""),173.05)</f>
        <v>173.05</v>
      </c>
      <c r="C342" s="2">
        <f>IFERROR(__xludf.DUMMYFUNCTION("""COMPUTED_VALUE"""),173.06)</f>
        <v>173.06</v>
      </c>
      <c r="D342" s="2">
        <f>IFERROR(__xludf.DUMMYFUNCTION("""COMPUTED_VALUE"""),167.75)</f>
        <v>167.75</v>
      </c>
      <c r="E342" s="2">
        <f>IFERROR(__xludf.DUMMYFUNCTION("""COMPUTED_VALUE"""),168.47)</f>
        <v>168.47</v>
      </c>
      <c r="F342" s="2">
        <f>IFERROR(__xludf.DUMMYFUNCTION("""COMPUTED_VALUE"""),7.2627178E7)</f>
        <v>72627178</v>
      </c>
    </row>
    <row r="343">
      <c r="A343" s="3">
        <f>IFERROR(__xludf.DUMMYFUNCTION("""COMPUTED_VALUE"""),45425.66666666667)</f>
        <v>45425.66667</v>
      </c>
      <c r="B343" s="2">
        <f>IFERROR(__xludf.DUMMYFUNCTION("""COMPUTED_VALUE"""),170.0)</f>
        <v>170</v>
      </c>
      <c r="C343" s="2">
        <f>IFERROR(__xludf.DUMMYFUNCTION("""COMPUTED_VALUE"""),175.4)</f>
        <v>175.4</v>
      </c>
      <c r="D343" s="2">
        <f>IFERROR(__xludf.DUMMYFUNCTION("""COMPUTED_VALUE"""),169.0)</f>
        <v>169</v>
      </c>
      <c r="E343" s="2">
        <f>IFERROR(__xludf.DUMMYFUNCTION("""COMPUTED_VALUE"""),171.89)</f>
        <v>171.89</v>
      </c>
      <c r="F343" s="2">
        <f>IFERROR(__xludf.DUMMYFUNCTION("""COMPUTED_VALUE"""),6.7018903E7)</f>
        <v>67018903</v>
      </c>
    </row>
    <row r="344">
      <c r="A344" s="3">
        <f>IFERROR(__xludf.DUMMYFUNCTION("""COMPUTED_VALUE"""),45426.66666666667)</f>
        <v>45426.66667</v>
      </c>
      <c r="B344" s="2">
        <f>IFERROR(__xludf.DUMMYFUNCTION("""COMPUTED_VALUE"""),174.5)</f>
        <v>174.5</v>
      </c>
      <c r="C344" s="2">
        <f>IFERROR(__xludf.DUMMYFUNCTION("""COMPUTED_VALUE"""),179.49)</f>
        <v>179.49</v>
      </c>
      <c r="D344" s="2">
        <f>IFERROR(__xludf.DUMMYFUNCTION("""COMPUTED_VALUE"""),174.07)</f>
        <v>174.07</v>
      </c>
      <c r="E344" s="2">
        <f>IFERROR(__xludf.DUMMYFUNCTION("""COMPUTED_VALUE"""),177.55)</f>
        <v>177.55</v>
      </c>
      <c r="F344" s="2">
        <f>IFERROR(__xludf.DUMMYFUNCTION("""COMPUTED_VALUE"""),8.6407422E7)</f>
        <v>86407422</v>
      </c>
    </row>
    <row r="345">
      <c r="A345" s="3">
        <f>IFERROR(__xludf.DUMMYFUNCTION("""COMPUTED_VALUE"""),45427.66666666667)</f>
        <v>45427.66667</v>
      </c>
      <c r="B345" s="2">
        <f>IFERROR(__xludf.DUMMYFUNCTION("""COMPUTED_VALUE"""),179.9)</f>
        <v>179.9</v>
      </c>
      <c r="C345" s="2">
        <f>IFERROR(__xludf.DUMMYFUNCTION("""COMPUTED_VALUE"""),180.0)</f>
        <v>180</v>
      </c>
      <c r="D345" s="2">
        <f>IFERROR(__xludf.DUMMYFUNCTION("""COMPUTED_VALUE"""),173.11)</f>
        <v>173.11</v>
      </c>
      <c r="E345" s="2">
        <f>IFERROR(__xludf.DUMMYFUNCTION("""COMPUTED_VALUE"""),173.99)</f>
        <v>173.99</v>
      </c>
      <c r="F345" s="2">
        <f>IFERROR(__xludf.DUMMYFUNCTION("""COMPUTED_VALUE"""),7.9662993E7)</f>
        <v>79662993</v>
      </c>
    </row>
    <row r="346">
      <c r="A346" s="3">
        <f>IFERROR(__xludf.DUMMYFUNCTION("""COMPUTED_VALUE"""),45428.66666666667)</f>
        <v>45428.66667</v>
      </c>
      <c r="B346" s="2">
        <f>IFERROR(__xludf.DUMMYFUNCTION("""COMPUTED_VALUE"""),174.1)</f>
        <v>174.1</v>
      </c>
      <c r="C346" s="2">
        <f>IFERROR(__xludf.DUMMYFUNCTION("""COMPUTED_VALUE"""),175.79)</f>
        <v>175.79</v>
      </c>
      <c r="D346" s="2">
        <f>IFERROR(__xludf.DUMMYFUNCTION("""COMPUTED_VALUE"""),171.43)</f>
        <v>171.43</v>
      </c>
      <c r="E346" s="2">
        <f>IFERROR(__xludf.DUMMYFUNCTION("""COMPUTED_VALUE"""),174.84)</f>
        <v>174.84</v>
      </c>
      <c r="F346" s="2">
        <f>IFERROR(__xludf.DUMMYFUNCTION("""COMPUTED_VALUE"""),5.981222E7)</f>
        <v>59812220</v>
      </c>
    </row>
    <row r="347">
      <c r="A347" s="3">
        <f>IFERROR(__xludf.DUMMYFUNCTION("""COMPUTED_VALUE"""),45429.66666666667)</f>
        <v>45429.66667</v>
      </c>
      <c r="B347" s="2">
        <f>IFERROR(__xludf.DUMMYFUNCTION("""COMPUTED_VALUE"""),173.55)</f>
        <v>173.55</v>
      </c>
      <c r="C347" s="2">
        <f>IFERROR(__xludf.DUMMYFUNCTION("""COMPUTED_VALUE"""),179.63)</f>
        <v>179.63</v>
      </c>
      <c r="D347" s="2">
        <f>IFERROR(__xludf.DUMMYFUNCTION("""COMPUTED_VALUE"""),172.75)</f>
        <v>172.75</v>
      </c>
      <c r="E347" s="2">
        <f>IFERROR(__xludf.DUMMYFUNCTION("""COMPUTED_VALUE"""),177.46)</f>
        <v>177.46</v>
      </c>
      <c r="F347" s="2">
        <f>IFERROR(__xludf.DUMMYFUNCTION("""COMPUTED_VALUE"""),7.7445845E7)</f>
        <v>77445845</v>
      </c>
    </row>
    <row r="348">
      <c r="A348" s="3">
        <f>IFERROR(__xludf.DUMMYFUNCTION("""COMPUTED_VALUE"""),45432.66666666667)</f>
        <v>45432.66667</v>
      </c>
      <c r="B348" s="2">
        <f>IFERROR(__xludf.DUMMYFUNCTION("""COMPUTED_VALUE"""),177.56)</f>
        <v>177.56</v>
      </c>
      <c r="C348" s="2">
        <f>IFERROR(__xludf.DUMMYFUNCTION("""COMPUTED_VALUE"""),177.75)</f>
        <v>177.75</v>
      </c>
      <c r="D348" s="2">
        <f>IFERROR(__xludf.DUMMYFUNCTION("""COMPUTED_VALUE"""),173.52)</f>
        <v>173.52</v>
      </c>
      <c r="E348" s="2">
        <f>IFERROR(__xludf.DUMMYFUNCTION("""COMPUTED_VALUE"""),174.95)</f>
        <v>174.95</v>
      </c>
      <c r="F348" s="2">
        <f>IFERROR(__xludf.DUMMYFUNCTION("""COMPUTED_VALUE"""),6.1727425E7)</f>
        <v>61727425</v>
      </c>
    </row>
    <row r="349">
      <c r="A349" s="3">
        <f>IFERROR(__xludf.DUMMYFUNCTION("""COMPUTED_VALUE"""),45433.66666666667)</f>
        <v>45433.66667</v>
      </c>
      <c r="B349" s="2">
        <f>IFERROR(__xludf.DUMMYFUNCTION("""COMPUTED_VALUE"""),175.51)</f>
        <v>175.51</v>
      </c>
      <c r="C349" s="2">
        <f>IFERROR(__xludf.DUMMYFUNCTION("""COMPUTED_VALUE"""),186.88)</f>
        <v>186.88</v>
      </c>
      <c r="D349" s="2">
        <f>IFERROR(__xludf.DUMMYFUNCTION("""COMPUTED_VALUE"""),174.71)</f>
        <v>174.71</v>
      </c>
      <c r="E349" s="2">
        <f>IFERROR(__xludf.DUMMYFUNCTION("""COMPUTED_VALUE"""),186.6)</f>
        <v>186.6</v>
      </c>
      <c r="F349" s="2">
        <f>IFERROR(__xludf.DUMMYFUNCTION("""COMPUTED_VALUE"""),1.15266512E8)</f>
        <v>115266512</v>
      </c>
    </row>
    <row r="350">
      <c r="A350" s="3">
        <f>IFERROR(__xludf.DUMMYFUNCTION("""COMPUTED_VALUE"""),45434.66666666667)</f>
        <v>45434.66667</v>
      </c>
      <c r="B350" s="2">
        <f>IFERROR(__xludf.DUMMYFUNCTION("""COMPUTED_VALUE"""),182.85)</f>
        <v>182.85</v>
      </c>
      <c r="C350" s="2">
        <f>IFERROR(__xludf.DUMMYFUNCTION("""COMPUTED_VALUE"""),183.8)</f>
        <v>183.8</v>
      </c>
      <c r="D350" s="2">
        <f>IFERROR(__xludf.DUMMYFUNCTION("""COMPUTED_VALUE"""),178.12)</f>
        <v>178.12</v>
      </c>
      <c r="E350" s="2">
        <f>IFERROR(__xludf.DUMMYFUNCTION("""COMPUTED_VALUE"""),180.11)</f>
        <v>180.11</v>
      </c>
      <c r="F350" s="2">
        <f>IFERROR(__xludf.DUMMYFUNCTION("""COMPUTED_VALUE"""),8.8313477E7)</f>
        <v>88313477</v>
      </c>
    </row>
    <row r="351">
      <c r="A351" s="3">
        <f>IFERROR(__xludf.DUMMYFUNCTION("""COMPUTED_VALUE"""),45435.66666666667)</f>
        <v>45435.66667</v>
      </c>
      <c r="B351" s="2">
        <f>IFERROR(__xludf.DUMMYFUNCTION("""COMPUTED_VALUE"""),181.8)</f>
        <v>181.8</v>
      </c>
      <c r="C351" s="2">
        <f>IFERROR(__xludf.DUMMYFUNCTION("""COMPUTED_VALUE"""),181.9)</f>
        <v>181.9</v>
      </c>
      <c r="D351" s="2">
        <f>IFERROR(__xludf.DUMMYFUNCTION("""COMPUTED_VALUE"""),173.26)</f>
        <v>173.26</v>
      </c>
      <c r="E351" s="2">
        <f>IFERROR(__xludf.DUMMYFUNCTION("""COMPUTED_VALUE"""),173.74)</f>
        <v>173.74</v>
      </c>
      <c r="F351" s="2">
        <f>IFERROR(__xludf.DUMMYFUNCTION("""COMPUTED_VALUE"""),7.1975496E7)</f>
        <v>71975496</v>
      </c>
    </row>
    <row r="352">
      <c r="A352" s="3">
        <f>IFERROR(__xludf.DUMMYFUNCTION("""COMPUTED_VALUE"""),45436.66666666667)</f>
        <v>45436.66667</v>
      </c>
      <c r="B352" s="2">
        <f>IFERROR(__xludf.DUMMYFUNCTION("""COMPUTED_VALUE"""),174.84)</f>
        <v>174.84</v>
      </c>
      <c r="C352" s="2">
        <f>IFERROR(__xludf.DUMMYFUNCTION("""COMPUTED_VALUE"""),180.08)</f>
        <v>180.08</v>
      </c>
      <c r="D352" s="2">
        <f>IFERROR(__xludf.DUMMYFUNCTION("""COMPUTED_VALUE"""),173.73)</f>
        <v>173.73</v>
      </c>
      <c r="E352" s="2">
        <f>IFERROR(__xludf.DUMMYFUNCTION("""COMPUTED_VALUE"""),179.24)</f>
        <v>179.24</v>
      </c>
      <c r="F352" s="2">
        <f>IFERROR(__xludf.DUMMYFUNCTION("""COMPUTED_VALUE"""),6.5584478E7)</f>
        <v>65584478</v>
      </c>
    </row>
    <row r="353">
      <c r="A353" s="3">
        <f>IFERROR(__xludf.DUMMYFUNCTION("""COMPUTED_VALUE"""),45440.66666666667)</f>
        <v>45440.66667</v>
      </c>
      <c r="B353" s="2">
        <f>IFERROR(__xludf.DUMMYFUNCTION("""COMPUTED_VALUE"""),176.4)</f>
        <v>176.4</v>
      </c>
      <c r="C353" s="2">
        <f>IFERROR(__xludf.DUMMYFUNCTION("""COMPUTED_VALUE"""),178.25)</f>
        <v>178.25</v>
      </c>
      <c r="D353" s="2">
        <f>IFERROR(__xludf.DUMMYFUNCTION("""COMPUTED_VALUE"""),173.16)</f>
        <v>173.16</v>
      </c>
      <c r="E353" s="2">
        <f>IFERROR(__xludf.DUMMYFUNCTION("""COMPUTED_VALUE"""),176.75)</f>
        <v>176.75</v>
      </c>
      <c r="F353" s="2">
        <f>IFERROR(__xludf.DUMMYFUNCTION("""COMPUTED_VALUE"""),5.973662E7)</f>
        <v>59736620</v>
      </c>
    </row>
    <row r="354">
      <c r="A354" s="3">
        <f>IFERROR(__xludf.DUMMYFUNCTION("""COMPUTED_VALUE"""),45441.66666666667)</f>
        <v>45441.66667</v>
      </c>
      <c r="B354" s="2">
        <f>IFERROR(__xludf.DUMMYFUNCTION("""COMPUTED_VALUE"""),174.19)</f>
        <v>174.19</v>
      </c>
      <c r="C354" s="2">
        <f>IFERROR(__xludf.DUMMYFUNCTION("""COMPUTED_VALUE"""),178.15)</f>
        <v>178.15</v>
      </c>
      <c r="D354" s="2">
        <f>IFERROR(__xludf.DUMMYFUNCTION("""COMPUTED_VALUE"""),173.93)</f>
        <v>173.93</v>
      </c>
      <c r="E354" s="2">
        <f>IFERROR(__xludf.DUMMYFUNCTION("""COMPUTED_VALUE"""),176.19)</f>
        <v>176.19</v>
      </c>
      <c r="F354" s="2">
        <f>IFERROR(__xludf.DUMMYFUNCTION("""COMPUTED_VALUE"""),5.4782649E7)</f>
        <v>54782649</v>
      </c>
    </row>
    <row r="355">
      <c r="A355" s="3">
        <f>IFERROR(__xludf.DUMMYFUNCTION("""COMPUTED_VALUE"""),45442.66666666667)</f>
        <v>45442.66667</v>
      </c>
      <c r="B355" s="2">
        <f>IFERROR(__xludf.DUMMYFUNCTION("""COMPUTED_VALUE"""),178.58)</f>
        <v>178.58</v>
      </c>
      <c r="C355" s="2">
        <f>IFERROR(__xludf.DUMMYFUNCTION("""COMPUTED_VALUE"""),182.67)</f>
        <v>182.67</v>
      </c>
      <c r="D355" s="2">
        <f>IFERROR(__xludf.DUMMYFUNCTION("""COMPUTED_VALUE"""),175.38)</f>
        <v>175.38</v>
      </c>
      <c r="E355" s="2">
        <f>IFERROR(__xludf.DUMMYFUNCTION("""COMPUTED_VALUE"""),178.79)</f>
        <v>178.79</v>
      </c>
      <c r="F355" s="2">
        <f>IFERROR(__xludf.DUMMYFUNCTION("""COMPUTED_VALUE"""),7.7784755E7)</f>
        <v>77784755</v>
      </c>
    </row>
    <row r="356">
      <c r="A356" s="3">
        <f>IFERROR(__xludf.DUMMYFUNCTION("""COMPUTED_VALUE"""),45443.66666666667)</f>
        <v>45443.66667</v>
      </c>
      <c r="B356" s="2">
        <f>IFERROR(__xludf.DUMMYFUNCTION("""COMPUTED_VALUE"""),178.5)</f>
        <v>178.5</v>
      </c>
      <c r="C356" s="2">
        <f>IFERROR(__xludf.DUMMYFUNCTION("""COMPUTED_VALUE"""),180.32)</f>
        <v>180.32</v>
      </c>
      <c r="D356" s="2">
        <f>IFERROR(__xludf.DUMMYFUNCTION("""COMPUTED_VALUE"""),173.82)</f>
        <v>173.82</v>
      </c>
      <c r="E356" s="2">
        <f>IFERROR(__xludf.DUMMYFUNCTION("""COMPUTED_VALUE"""),178.08)</f>
        <v>178.08</v>
      </c>
      <c r="F356" s="2">
        <f>IFERROR(__xludf.DUMMYFUNCTION("""COMPUTED_VALUE"""),6.7314602E7)</f>
        <v>67314602</v>
      </c>
    </row>
    <row r="357">
      <c r="A357" s="3">
        <f>IFERROR(__xludf.DUMMYFUNCTION("""COMPUTED_VALUE"""),45446.66666666667)</f>
        <v>45446.66667</v>
      </c>
      <c r="B357" s="2">
        <f>IFERROR(__xludf.DUMMYFUNCTION("""COMPUTED_VALUE"""),178.13)</f>
        <v>178.13</v>
      </c>
      <c r="C357" s="2">
        <f>IFERROR(__xludf.DUMMYFUNCTION("""COMPUTED_VALUE"""),182.64)</f>
        <v>182.64</v>
      </c>
      <c r="D357" s="2">
        <f>IFERROR(__xludf.DUMMYFUNCTION("""COMPUTED_VALUE"""),174.49)</f>
        <v>174.49</v>
      </c>
      <c r="E357" s="2">
        <f>IFERROR(__xludf.DUMMYFUNCTION("""COMPUTED_VALUE"""),176.29)</f>
        <v>176.29</v>
      </c>
      <c r="F357" s="2">
        <f>IFERROR(__xludf.DUMMYFUNCTION("""COMPUTED_VALUE"""),6.856892E7)</f>
        <v>68568920</v>
      </c>
    </row>
    <row r="358">
      <c r="A358" s="3">
        <f>IFERROR(__xludf.DUMMYFUNCTION("""COMPUTED_VALUE"""),45447.66666666667)</f>
        <v>45447.66667</v>
      </c>
      <c r="B358" s="2">
        <f>IFERROR(__xludf.DUMMYFUNCTION("""COMPUTED_VALUE"""),174.78)</f>
        <v>174.78</v>
      </c>
      <c r="C358" s="2">
        <f>IFERROR(__xludf.DUMMYFUNCTION("""COMPUTED_VALUE"""),177.76)</f>
        <v>177.76</v>
      </c>
      <c r="D358" s="2">
        <f>IFERROR(__xludf.DUMMYFUNCTION("""COMPUTED_VALUE"""),174.0)</f>
        <v>174</v>
      </c>
      <c r="E358" s="2">
        <f>IFERROR(__xludf.DUMMYFUNCTION("""COMPUTED_VALUE"""),174.77)</f>
        <v>174.77</v>
      </c>
      <c r="F358" s="2">
        <f>IFERROR(__xludf.DUMMYFUNCTION("""COMPUTED_VALUE"""),6.005634E7)</f>
        <v>60056340</v>
      </c>
    </row>
    <row r="359">
      <c r="A359" s="3">
        <f>IFERROR(__xludf.DUMMYFUNCTION("""COMPUTED_VALUE"""),45448.66666666667)</f>
        <v>45448.66667</v>
      </c>
      <c r="B359" s="2">
        <f>IFERROR(__xludf.DUMMYFUNCTION("""COMPUTED_VALUE"""),175.35)</f>
        <v>175.35</v>
      </c>
      <c r="C359" s="2">
        <f>IFERROR(__xludf.DUMMYFUNCTION("""COMPUTED_VALUE"""),176.15)</f>
        <v>176.15</v>
      </c>
      <c r="D359" s="2">
        <f>IFERROR(__xludf.DUMMYFUNCTION("""COMPUTED_VALUE"""),172.13)</f>
        <v>172.13</v>
      </c>
      <c r="E359" s="2">
        <f>IFERROR(__xludf.DUMMYFUNCTION("""COMPUTED_VALUE"""),175.0)</f>
        <v>175</v>
      </c>
      <c r="F359" s="2">
        <f>IFERROR(__xludf.DUMMYFUNCTION("""COMPUTED_VALUE"""),5.7953756E7)</f>
        <v>57953756</v>
      </c>
    </row>
    <row r="360">
      <c r="A360" s="3">
        <f>IFERROR(__xludf.DUMMYFUNCTION("""COMPUTED_VALUE"""),45449.66666666667)</f>
        <v>45449.66667</v>
      </c>
      <c r="B360" s="2">
        <f>IFERROR(__xludf.DUMMYFUNCTION("""COMPUTED_VALUE"""),174.6)</f>
        <v>174.6</v>
      </c>
      <c r="C360" s="2">
        <f>IFERROR(__xludf.DUMMYFUNCTION("""COMPUTED_VALUE"""),179.73)</f>
        <v>179.73</v>
      </c>
      <c r="D360" s="2">
        <f>IFERROR(__xludf.DUMMYFUNCTION("""COMPUTED_VALUE"""),172.73)</f>
        <v>172.73</v>
      </c>
      <c r="E360" s="2">
        <f>IFERROR(__xludf.DUMMYFUNCTION("""COMPUTED_VALUE"""),177.94)</f>
        <v>177.94</v>
      </c>
      <c r="F360" s="2">
        <f>IFERROR(__xludf.DUMMYFUNCTION("""COMPUTED_VALUE"""),6.9887024E7)</f>
        <v>69887024</v>
      </c>
    </row>
    <row r="361">
      <c r="A361" s="3">
        <f>IFERROR(__xludf.DUMMYFUNCTION("""COMPUTED_VALUE"""),45450.66666666667)</f>
        <v>45450.66667</v>
      </c>
      <c r="B361" s="2">
        <f>IFERROR(__xludf.DUMMYFUNCTION("""COMPUTED_VALUE"""),176.13)</f>
        <v>176.13</v>
      </c>
      <c r="C361" s="2">
        <f>IFERROR(__xludf.DUMMYFUNCTION("""COMPUTED_VALUE"""),179.35)</f>
        <v>179.35</v>
      </c>
      <c r="D361" s="2">
        <f>IFERROR(__xludf.DUMMYFUNCTION("""COMPUTED_VALUE"""),175.58)</f>
        <v>175.58</v>
      </c>
      <c r="E361" s="2">
        <f>IFERROR(__xludf.DUMMYFUNCTION("""COMPUTED_VALUE"""),177.48)</f>
        <v>177.48</v>
      </c>
      <c r="F361" s="2">
        <f>IFERROR(__xludf.DUMMYFUNCTION("""COMPUTED_VALUE"""),5.6244932E7)</f>
        <v>56244932</v>
      </c>
    </row>
    <row r="362">
      <c r="A362" s="3">
        <f>IFERROR(__xludf.DUMMYFUNCTION("""COMPUTED_VALUE"""),45453.66666666667)</f>
        <v>45453.66667</v>
      </c>
      <c r="B362" s="2">
        <f>IFERROR(__xludf.DUMMYFUNCTION("""COMPUTED_VALUE"""),176.06)</f>
        <v>176.06</v>
      </c>
      <c r="C362" s="2">
        <f>IFERROR(__xludf.DUMMYFUNCTION("""COMPUTED_VALUE"""),178.57)</f>
        <v>178.57</v>
      </c>
      <c r="D362" s="2">
        <f>IFERROR(__xludf.DUMMYFUNCTION("""COMPUTED_VALUE"""),173.17)</f>
        <v>173.17</v>
      </c>
      <c r="E362" s="2">
        <f>IFERROR(__xludf.DUMMYFUNCTION("""COMPUTED_VALUE"""),173.79)</f>
        <v>173.79</v>
      </c>
      <c r="F362" s="2">
        <f>IFERROR(__xludf.DUMMYFUNCTION("""COMPUTED_VALUE"""),5.0869682E7)</f>
        <v>50869682</v>
      </c>
    </row>
    <row r="363">
      <c r="A363" s="3">
        <f>IFERROR(__xludf.DUMMYFUNCTION("""COMPUTED_VALUE"""),45454.66666666667)</f>
        <v>45454.66667</v>
      </c>
      <c r="B363" s="2">
        <f>IFERROR(__xludf.DUMMYFUNCTION("""COMPUTED_VALUE"""),173.92)</f>
        <v>173.92</v>
      </c>
      <c r="C363" s="2">
        <f>IFERROR(__xludf.DUMMYFUNCTION("""COMPUTED_VALUE"""),174.75)</f>
        <v>174.75</v>
      </c>
      <c r="D363" s="2">
        <f>IFERROR(__xludf.DUMMYFUNCTION("""COMPUTED_VALUE"""),167.41)</f>
        <v>167.41</v>
      </c>
      <c r="E363" s="2">
        <f>IFERROR(__xludf.DUMMYFUNCTION("""COMPUTED_VALUE"""),170.66)</f>
        <v>170.66</v>
      </c>
      <c r="F363" s="2">
        <f>IFERROR(__xludf.DUMMYFUNCTION("""COMPUTED_VALUE"""),6.4761928E7)</f>
        <v>64761928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tr">
        <f>IFERROR(__xludf.DUMMYFUNCTION("(GOOGLEFINANCE(""UNH"", ""all"", DATE(2023, 1, 1), today()))"),"Date")</f>
        <v>Date</v>
      </c>
      <c r="B1" s="2" t="str">
        <f>IFERROR(__xludf.DUMMYFUNCTION("""COMPUTED_VALUE"""),"Open")</f>
        <v>Open</v>
      </c>
      <c r="C1" s="2" t="str">
        <f>IFERROR(__xludf.DUMMYFUNCTION("""COMPUTED_VALUE"""),"High")</f>
        <v>High</v>
      </c>
      <c r="D1" s="2" t="str">
        <f>IFERROR(__xludf.DUMMYFUNCTION("""COMPUTED_VALUE"""),"Low")</f>
        <v>Low</v>
      </c>
      <c r="E1" s="2" t="str">
        <f>IFERROR(__xludf.DUMMYFUNCTION("""COMPUTED_VALUE"""),"Close")</f>
        <v>Close</v>
      </c>
      <c r="F1" s="2" t="str">
        <f>IFERROR(__xludf.DUMMYFUNCTION("""COMPUTED_VALUE"""),"Volume")</f>
        <v>Volume</v>
      </c>
    </row>
    <row r="2">
      <c r="A2" s="3">
        <f>IFERROR(__xludf.DUMMYFUNCTION("""COMPUTED_VALUE"""),44929.66666666667)</f>
        <v>44929.66667</v>
      </c>
      <c r="B2" s="2">
        <f>IFERROR(__xludf.DUMMYFUNCTION("""COMPUTED_VALUE"""),525.13)</f>
        <v>525.13</v>
      </c>
      <c r="C2" s="2">
        <f>IFERROR(__xludf.DUMMYFUNCTION("""COMPUTED_VALUE"""),525.63)</f>
        <v>525.63</v>
      </c>
      <c r="D2" s="2">
        <f>IFERROR(__xludf.DUMMYFUNCTION("""COMPUTED_VALUE"""),512.16)</f>
        <v>512.16</v>
      </c>
      <c r="E2" s="2">
        <f>IFERROR(__xludf.DUMMYFUNCTION("""COMPUTED_VALUE"""),518.64)</f>
        <v>518.64</v>
      </c>
      <c r="F2" s="2">
        <f>IFERROR(__xludf.DUMMYFUNCTION("""COMPUTED_VALUE"""),3525627.0)</f>
        <v>3525627</v>
      </c>
    </row>
    <row r="3">
      <c r="A3" s="3">
        <f>IFERROR(__xludf.DUMMYFUNCTION("""COMPUTED_VALUE"""),44930.66666666667)</f>
        <v>44930.66667</v>
      </c>
      <c r="B3" s="2">
        <f>IFERROR(__xludf.DUMMYFUNCTION("""COMPUTED_VALUE"""),518.64)</f>
        <v>518.64</v>
      </c>
      <c r="C3" s="2">
        <f>IFERROR(__xludf.DUMMYFUNCTION("""COMPUTED_VALUE"""),518.64)</f>
        <v>518.64</v>
      </c>
      <c r="D3" s="2">
        <f>IFERROR(__xludf.DUMMYFUNCTION("""COMPUTED_VALUE"""),500.6)</f>
        <v>500.6</v>
      </c>
      <c r="E3" s="2">
        <f>IFERROR(__xludf.DUMMYFUNCTION("""COMPUTED_VALUE"""),504.5)</f>
        <v>504.5</v>
      </c>
      <c r="F3" s="2">
        <f>IFERROR(__xludf.DUMMYFUNCTION("""COMPUTED_VALUE"""),5070439.0)</f>
        <v>5070439</v>
      </c>
    </row>
    <row r="4">
      <c r="A4" s="3">
        <f>IFERROR(__xludf.DUMMYFUNCTION("""COMPUTED_VALUE"""),44931.66666666667)</f>
        <v>44931.66667</v>
      </c>
      <c r="B4" s="2">
        <f>IFERROR(__xludf.DUMMYFUNCTION("""COMPUTED_VALUE"""),501.01)</f>
        <v>501.01</v>
      </c>
      <c r="C4" s="2">
        <f>IFERROR(__xludf.DUMMYFUNCTION("""COMPUTED_VALUE"""),502.09)</f>
        <v>502.09</v>
      </c>
      <c r="D4" s="2">
        <f>IFERROR(__xludf.DUMMYFUNCTION("""COMPUTED_VALUE"""),488.5)</f>
        <v>488.5</v>
      </c>
      <c r="E4" s="2">
        <f>IFERROR(__xludf.DUMMYFUNCTION("""COMPUTED_VALUE"""),489.96)</f>
        <v>489.96</v>
      </c>
      <c r="F4" s="2">
        <f>IFERROR(__xludf.DUMMYFUNCTION("""COMPUTED_VALUE"""),5497123.0)</f>
        <v>5497123</v>
      </c>
    </row>
    <row r="5">
      <c r="A5" s="3">
        <f>IFERROR(__xludf.DUMMYFUNCTION("""COMPUTED_VALUE"""),44932.66666666667)</f>
        <v>44932.66667</v>
      </c>
      <c r="B5" s="2">
        <f>IFERROR(__xludf.DUMMYFUNCTION("""COMPUTED_VALUE"""),491.59)</f>
        <v>491.59</v>
      </c>
      <c r="C5" s="2">
        <f>IFERROR(__xludf.DUMMYFUNCTION("""COMPUTED_VALUE"""),492.87)</f>
        <v>492.87</v>
      </c>
      <c r="D5" s="2">
        <f>IFERROR(__xludf.DUMMYFUNCTION("""COMPUTED_VALUE"""),487.54)</f>
        <v>487.54</v>
      </c>
      <c r="E5" s="2">
        <f>IFERROR(__xludf.DUMMYFUNCTION("""COMPUTED_VALUE"""),490.0)</f>
        <v>490</v>
      </c>
      <c r="F5" s="2">
        <f>IFERROR(__xludf.DUMMYFUNCTION("""COMPUTED_VALUE"""),4841278.0)</f>
        <v>4841278</v>
      </c>
    </row>
    <row r="6">
      <c r="A6" s="3">
        <f>IFERROR(__xludf.DUMMYFUNCTION("""COMPUTED_VALUE"""),44935.66666666667)</f>
        <v>44935.66667</v>
      </c>
      <c r="B6" s="2">
        <f>IFERROR(__xludf.DUMMYFUNCTION("""COMPUTED_VALUE"""),492.41)</f>
        <v>492.41</v>
      </c>
      <c r="C6" s="2">
        <f>IFERROR(__xludf.DUMMYFUNCTION("""COMPUTED_VALUE"""),499.99)</f>
        <v>499.99</v>
      </c>
      <c r="D6" s="2">
        <f>IFERROR(__xludf.DUMMYFUNCTION("""COMPUTED_VALUE"""),488.54)</f>
        <v>488.54</v>
      </c>
      <c r="E6" s="2">
        <f>IFERROR(__xludf.DUMMYFUNCTION("""COMPUTED_VALUE"""),490.06)</f>
        <v>490.06</v>
      </c>
      <c r="F6" s="2">
        <f>IFERROR(__xludf.DUMMYFUNCTION("""COMPUTED_VALUE"""),3702782.0)</f>
        <v>3702782</v>
      </c>
    </row>
    <row r="7">
      <c r="A7" s="3">
        <f>IFERROR(__xludf.DUMMYFUNCTION("""COMPUTED_VALUE"""),44936.66666666667)</f>
        <v>44936.66667</v>
      </c>
      <c r="B7" s="2">
        <f>IFERROR(__xludf.DUMMYFUNCTION("""COMPUTED_VALUE"""),488.85)</f>
        <v>488.85</v>
      </c>
      <c r="C7" s="2">
        <f>IFERROR(__xludf.DUMMYFUNCTION("""COMPUTED_VALUE"""),490.47)</f>
        <v>490.47</v>
      </c>
      <c r="D7" s="2">
        <f>IFERROR(__xludf.DUMMYFUNCTION("""COMPUTED_VALUE"""),482.68)</f>
        <v>482.68</v>
      </c>
      <c r="E7" s="2">
        <f>IFERROR(__xludf.DUMMYFUNCTION("""COMPUTED_VALUE"""),486.0)</f>
        <v>486</v>
      </c>
      <c r="F7" s="2">
        <f>IFERROR(__xludf.DUMMYFUNCTION("""COMPUTED_VALUE"""),3164038.0)</f>
        <v>3164038</v>
      </c>
    </row>
    <row r="8">
      <c r="A8" s="3">
        <f>IFERROR(__xludf.DUMMYFUNCTION("""COMPUTED_VALUE"""),44937.66666666667)</f>
        <v>44937.66667</v>
      </c>
      <c r="B8" s="2">
        <f>IFERROR(__xludf.DUMMYFUNCTION("""COMPUTED_VALUE"""),485.29)</f>
        <v>485.29</v>
      </c>
      <c r="C8" s="2">
        <f>IFERROR(__xludf.DUMMYFUNCTION("""COMPUTED_VALUE"""),495.6)</f>
        <v>495.6</v>
      </c>
      <c r="D8" s="2">
        <f>IFERROR(__xludf.DUMMYFUNCTION("""COMPUTED_VALUE"""),485.0)</f>
        <v>485</v>
      </c>
      <c r="E8" s="2">
        <f>IFERROR(__xludf.DUMMYFUNCTION("""COMPUTED_VALUE"""),493.4)</f>
        <v>493.4</v>
      </c>
      <c r="F8" s="2">
        <f>IFERROR(__xludf.DUMMYFUNCTION("""COMPUTED_VALUE"""),4274212.0)</f>
        <v>4274212</v>
      </c>
    </row>
    <row r="9">
      <c r="A9" s="3">
        <f>IFERROR(__xludf.DUMMYFUNCTION("""COMPUTED_VALUE"""),44938.66666666667)</f>
        <v>44938.66667</v>
      </c>
      <c r="B9" s="2">
        <f>IFERROR(__xludf.DUMMYFUNCTION("""COMPUTED_VALUE"""),490.0)</f>
        <v>490</v>
      </c>
      <c r="C9" s="2">
        <f>IFERROR(__xludf.DUMMYFUNCTION("""COMPUTED_VALUE"""),498.73)</f>
        <v>498.73</v>
      </c>
      <c r="D9" s="2">
        <f>IFERROR(__xludf.DUMMYFUNCTION("""COMPUTED_VALUE"""),485.22)</f>
        <v>485.22</v>
      </c>
      <c r="E9" s="2">
        <f>IFERROR(__xludf.DUMMYFUNCTION("""COMPUTED_VALUE"""),495.67)</f>
        <v>495.67</v>
      </c>
      <c r="F9" s="2">
        <f>IFERROR(__xludf.DUMMYFUNCTION("""COMPUTED_VALUE"""),3726800.0)</f>
        <v>3726800</v>
      </c>
    </row>
    <row r="10">
      <c r="A10" s="3">
        <f>IFERROR(__xludf.DUMMYFUNCTION("""COMPUTED_VALUE"""),44939.66666666667)</f>
        <v>44939.66667</v>
      </c>
      <c r="B10" s="2">
        <f>IFERROR(__xludf.DUMMYFUNCTION("""COMPUTED_VALUE"""),486.11)</f>
        <v>486.11</v>
      </c>
      <c r="C10" s="2">
        <f>IFERROR(__xludf.DUMMYFUNCTION("""COMPUTED_VALUE"""),509.5)</f>
        <v>509.5</v>
      </c>
      <c r="D10" s="2">
        <f>IFERROR(__xludf.DUMMYFUNCTION("""COMPUTED_VALUE"""),486.0)</f>
        <v>486</v>
      </c>
      <c r="E10" s="2">
        <f>IFERROR(__xludf.DUMMYFUNCTION("""COMPUTED_VALUE"""),489.57)</f>
        <v>489.57</v>
      </c>
      <c r="F10" s="2">
        <f>IFERROR(__xludf.DUMMYFUNCTION("""COMPUTED_VALUE"""),5390067.0)</f>
        <v>5390067</v>
      </c>
    </row>
    <row r="11">
      <c r="A11" s="3">
        <f>IFERROR(__xludf.DUMMYFUNCTION("""COMPUTED_VALUE"""),44943.66666666667)</f>
        <v>44943.66667</v>
      </c>
      <c r="B11" s="2">
        <f>IFERROR(__xludf.DUMMYFUNCTION("""COMPUTED_VALUE"""),491.2)</f>
        <v>491.2</v>
      </c>
      <c r="C11" s="2">
        <f>IFERROR(__xludf.DUMMYFUNCTION("""COMPUTED_VALUE"""),492.94)</f>
        <v>492.94</v>
      </c>
      <c r="D11" s="2">
        <f>IFERROR(__xludf.DUMMYFUNCTION("""COMPUTED_VALUE"""),483.78)</f>
        <v>483.78</v>
      </c>
      <c r="E11" s="2">
        <f>IFERROR(__xludf.DUMMYFUNCTION("""COMPUTED_VALUE"""),485.08)</f>
        <v>485.08</v>
      </c>
      <c r="F11" s="2">
        <f>IFERROR(__xludf.DUMMYFUNCTION("""COMPUTED_VALUE"""),4495565.0)</f>
        <v>4495565</v>
      </c>
    </row>
    <row r="12">
      <c r="A12" s="3">
        <f>IFERROR(__xludf.DUMMYFUNCTION("""COMPUTED_VALUE"""),44944.66666666667)</f>
        <v>44944.66667</v>
      </c>
      <c r="B12" s="2">
        <f>IFERROR(__xludf.DUMMYFUNCTION("""COMPUTED_VALUE"""),488.05)</f>
        <v>488.05</v>
      </c>
      <c r="C12" s="2">
        <f>IFERROR(__xludf.DUMMYFUNCTION("""COMPUTED_VALUE"""),489.5)</f>
        <v>489.5</v>
      </c>
      <c r="D12" s="2">
        <f>IFERROR(__xludf.DUMMYFUNCTION("""COMPUTED_VALUE"""),474.75)</f>
        <v>474.75</v>
      </c>
      <c r="E12" s="2">
        <f>IFERROR(__xludf.DUMMYFUNCTION("""COMPUTED_VALUE"""),476.24)</f>
        <v>476.24</v>
      </c>
      <c r="F12" s="2">
        <f>IFERROR(__xludf.DUMMYFUNCTION("""COMPUTED_VALUE"""),4398196.0)</f>
        <v>4398196</v>
      </c>
    </row>
    <row r="13">
      <c r="A13" s="3">
        <f>IFERROR(__xludf.DUMMYFUNCTION("""COMPUTED_VALUE"""),44945.66666666667)</f>
        <v>44945.66667</v>
      </c>
      <c r="B13" s="2">
        <f>IFERROR(__xludf.DUMMYFUNCTION("""COMPUTED_VALUE"""),477.87)</f>
        <v>477.87</v>
      </c>
      <c r="C13" s="2">
        <f>IFERROR(__xludf.DUMMYFUNCTION("""COMPUTED_VALUE"""),486.39)</f>
        <v>486.39</v>
      </c>
      <c r="D13" s="2">
        <f>IFERROR(__xludf.DUMMYFUNCTION("""COMPUTED_VALUE"""),477.39)</f>
        <v>477.39</v>
      </c>
      <c r="E13" s="2">
        <f>IFERROR(__xludf.DUMMYFUNCTION("""COMPUTED_VALUE"""),484.36)</f>
        <v>484.36</v>
      </c>
      <c r="F13" s="2">
        <f>IFERROR(__xludf.DUMMYFUNCTION("""COMPUTED_VALUE"""),4549554.0)</f>
        <v>4549554</v>
      </c>
    </row>
    <row r="14">
      <c r="A14" s="3">
        <f>IFERROR(__xludf.DUMMYFUNCTION("""COMPUTED_VALUE"""),44946.66666666667)</f>
        <v>44946.66667</v>
      </c>
      <c r="B14" s="2">
        <f>IFERROR(__xludf.DUMMYFUNCTION("""COMPUTED_VALUE"""),485.53)</f>
        <v>485.53</v>
      </c>
      <c r="C14" s="2">
        <f>IFERROR(__xludf.DUMMYFUNCTION("""COMPUTED_VALUE"""),486.99)</f>
        <v>486.99</v>
      </c>
      <c r="D14" s="2">
        <f>IFERROR(__xludf.DUMMYFUNCTION("""COMPUTED_VALUE"""),479.0)</f>
        <v>479</v>
      </c>
      <c r="E14" s="2">
        <f>IFERROR(__xludf.DUMMYFUNCTION("""COMPUTED_VALUE"""),486.72)</f>
        <v>486.72</v>
      </c>
      <c r="F14" s="2">
        <f>IFERROR(__xludf.DUMMYFUNCTION("""COMPUTED_VALUE"""),3525905.0)</f>
        <v>3525905</v>
      </c>
    </row>
    <row r="15">
      <c r="A15" s="3">
        <f>IFERROR(__xludf.DUMMYFUNCTION("""COMPUTED_VALUE"""),44949.66666666667)</f>
        <v>44949.66667</v>
      </c>
      <c r="B15" s="2">
        <f>IFERROR(__xludf.DUMMYFUNCTION("""COMPUTED_VALUE"""),486.68)</f>
        <v>486.68</v>
      </c>
      <c r="C15" s="2">
        <f>IFERROR(__xludf.DUMMYFUNCTION("""COMPUTED_VALUE"""),490.1)</f>
        <v>490.1</v>
      </c>
      <c r="D15" s="2">
        <f>IFERROR(__xludf.DUMMYFUNCTION("""COMPUTED_VALUE"""),481.39)</f>
        <v>481.39</v>
      </c>
      <c r="E15" s="2">
        <f>IFERROR(__xludf.DUMMYFUNCTION("""COMPUTED_VALUE"""),485.81)</f>
        <v>485.81</v>
      </c>
      <c r="F15" s="2">
        <f>IFERROR(__xludf.DUMMYFUNCTION("""COMPUTED_VALUE"""),3418670.0)</f>
        <v>3418670</v>
      </c>
    </row>
    <row r="16">
      <c r="A16" s="3">
        <f>IFERROR(__xludf.DUMMYFUNCTION("""COMPUTED_VALUE"""),44950.66666666667)</f>
        <v>44950.66667</v>
      </c>
      <c r="B16" s="2">
        <f>IFERROR(__xludf.DUMMYFUNCTION("""COMPUTED_VALUE"""),500.26)</f>
        <v>500.26</v>
      </c>
      <c r="C16" s="2">
        <f>IFERROR(__xludf.DUMMYFUNCTION("""COMPUTED_VALUE"""),500.26)</f>
        <v>500.26</v>
      </c>
      <c r="D16" s="2">
        <f>IFERROR(__xludf.DUMMYFUNCTION("""COMPUTED_VALUE"""),480.0)</f>
        <v>480</v>
      </c>
      <c r="E16" s="2">
        <f>IFERROR(__xludf.DUMMYFUNCTION("""COMPUTED_VALUE"""),491.6)</f>
        <v>491.6</v>
      </c>
      <c r="F16" s="2">
        <f>IFERROR(__xludf.DUMMYFUNCTION("""COMPUTED_VALUE"""),3036295.0)</f>
        <v>3036295</v>
      </c>
    </row>
    <row r="17">
      <c r="A17" s="3">
        <f>IFERROR(__xludf.DUMMYFUNCTION("""COMPUTED_VALUE"""),44951.66666666667)</f>
        <v>44951.66667</v>
      </c>
      <c r="B17" s="2">
        <f>IFERROR(__xludf.DUMMYFUNCTION("""COMPUTED_VALUE"""),489.28)</f>
        <v>489.28</v>
      </c>
      <c r="C17" s="2">
        <f>IFERROR(__xludf.DUMMYFUNCTION("""COMPUTED_VALUE"""),495.36)</f>
        <v>495.36</v>
      </c>
      <c r="D17" s="2">
        <f>IFERROR(__xludf.DUMMYFUNCTION("""COMPUTED_VALUE"""),485.73)</f>
        <v>485.73</v>
      </c>
      <c r="E17" s="2">
        <f>IFERROR(__xludf.DUMMYFUNCTION("""COMPUTED_VALUE"""),492.5)</f>
        <v>492.5</v>
      </c>
      <c r="F17" s="2">
        <f>IFERROR(__xludf.DUMMYFUNCTION("""COMPUTED_VALUE"""),3037315.0)</f>
        <v>3037315</v>
      </c>
    </row>
    <row r="18">
      <c r="A18" s="3">
        <f>IFERROR(__xludf.DUMMYFUNCTION("""COMPUTED_VALUE"""),44952.66666666667)</f>
        <v>44952.66667</v>
      </c>
      <c r="B18" s="2">
        <f>IFERROR(__xludf.DUMMYFUNCTION("""COMPUTED_VALUE"""),492.5)</f>
        <v>492.5</v>
      </c>
      <c r="C18" s="2">
        <f>IFERROR(__xludf.DUMMYFUNCTION("""COMPUTED_VALUE"""),496.45)</f>
        <v>496.45</v>
      </c>
      <c r="D18" s="2">
        <f>IFERROR(__xludf.DUMMYFUNCTION("""COMPUTED_VALUE"""),490.58)</f>
        <v>490.58</v>
      </c>
      <c r="E18" s="2">
        <f>IFERROR(__xludf.DUMMYFUNCTION("""COMPUTED_VALUE"""),492.48)</f>
        <v>492.48</v>
      </c>
      <c r="F18" s="2">
        <f>IFERROR(__xludf.DUMMYFUNCTION("""COMPUTED_VALUE"""),3004962.0)</f>
        <v>3004962</v>
      </c>
    </row>
    <row r="19">
      <c r="A19" s="3">
        <f>IFERROR(__xludf.DUMMYFUNCTION("""COMPUTED_VALUE"""),44953.66666666667)</f>
        <v>44953.66667</v>
      </c>
      <c r="B19" s="2">
        <f>IFERROR(__xludf.DUMMYFUNCTION("""COMPUTED_VALUE"""),493.37)</f>
        <v>493.37</v>
      </c>
      <c r="C19" s="2">
        <f>IFERROR(__xludf.DUMMYFUNCTION("""COMPUTED_VALUE"""),493.37)</f>
        <v>493.37</v>
      </c>
      <c r="D19" s="2">
        <f>IFERROR(__xludf.DUMMYFUNCTION("""COMPUTED_VALUE"""),484.47)</f>
        <v>484.47</v>
      </c>
      <c r="E19" s="2">
        <f>IFERROR(__xludf.DUMMYFUNCTION("""COMPUTED_VALUE"""),486.05)</f>
        <v>486.05</v>
      </c>
      <c r="F19" s="2">
        <f>IFERROR(__xludf.DUMMYFUNCTION("""COMPUTED_VALUE"""),3177132.0)</f>
        <v>3177132</v>
      </c>
    </row>
    <row r="20">
      <c r="A20" s="3">
        <f>IFERROR(__xludf.DUMMYFUNCTION("""COMPUTED_VALUE"""),44956.66666666667)</f>
        <v>44956.66667</v>
      </c>
      <c r="B20" s="2">
        <f>IFERROR(__xludf.DUMMYFUNCTION("""COMPUTED_VALUE"""),487.81)</f>
        <v>487.81</v>
      </c>
      <c r="C20" s="2">
        <f>IFERROR(__xludf.DUMMYFUNCTION("""COMPUTED_VALUE"""),495.25)</f>
        <v>495.25</v>
      </c>
      <c r="D20" s="2">
        <f>IFERROR(__xludf.DUMMYFUNCTION("""COMPUTED_VALUE"""),484.8)</f>
        <v>484.8</v>
      </c>
      <c r="E20" s="2">
        <f>IFERROR(__xludf.DUMMYFUNCTION("""COMPUTED_VALUE"""),485.79)</f>
        <v>485.79</v>
      </c>
      <c r="F20" s="2">
        <f>IFERROR(__xludf.DUMMYFUNCTION("""COMPUTED_VALUE"""),3606855.0)</f>
        <v>3606855</v>
      </c>
    </row>
    <row r="21">
      <c r="A21" s="3">
        <f>IFERROR(__xludf.DUMMYFUNCTION("""COMPUTED_VALUE"""),44957.66666666667)</f>
        <v>44957.66667</v>
      </c>
      <c r="B21" s="2">
        <f>IFERROR(__xludf.DUMMYFUNCTION("""COMPUTED_VALUE"""),498.0)</f>
        <v>498</v>
      </c>
      <c r="C21" s="2">
        <f>IFERROR(__xludf.DUMMYFUNCTION("""COMPUTED_VALUE"""),505.5)</f>
        <v>505.5</v>
      </c>
      <c r="D21" s="2">
        <f>IFERROR(__xludf.DUMMYFUNCTION("""COMPUTED_VALUE"""),493.13)</f>
        <v>493.13</v>
      </c>
      <c r="E21" s="2">
        <f>IFERROR(__xludf.DUMMYFUNCTION("""COMPUTED_VALUE"""),499.19)</f>
        <v>499.19</v>
      </c>
      <c r="F21" s="2">
        <f>IFERROR(__xludf.DUMMYFUNCTION("""COMPUTED_VALUE"""),5567038.0)</f>
        <v>5567038</v>
      </c>
    </row>
    <row r="22">
      <c r="A22" s="3">
        <f>IFERROR(__xludf.DUMMYFUNCTION("""COMPUTED_VALUE"""),44958.66666666667)</f>
        <v>44958.66667</v>
      </c>
      <c r="B22" s="2">
        <f>IFERROR(__xludf.DUMMYFUNCTION("""COMPUTED_VALUE"""),499.95)</f>
        <v>499.95</v>
      </c>
      <c r="C22" s="2">
        <f>IFERROR(__xludf.DUMMYFUNCTION("""COMPUTED_VALUE"""),504.38)</f>
        <v>504.38</v>
      </c>
      <c r="D22" s="2">
        <f>IFERROR(__xludf.DUMMYFUNCTION("""COMPUTED_VALUE"""),495.67)</f>
        <v>495.67</v>
      </c>
      <c r="E22" s="2">
        <f>IFERROR(__xludf.DUMMYFUNCTION("""COMPUTED_VALUE"""),497.0)</f>
        <v>497</v>
      </c>
      <c r="F22" s="2">
        <f>IFERROR(__xludf.DUMMYFUNCTION("""COMPUTED_VALUE"""),3451202.0)</f>
        <v>3451202</v>
      </c>
    </row>
    <row r="23">
      <c r="A23" s="3">
        <f>IFERROR(__xludf.DUMMYFUNCTION("""COMPUTED_VALUE"""),44959.66666666667)</f>
        <v>44959.66667</v>
      </c>
      <c r="B23" s="2">
        <f>IFERROR(__xludf.DUMMYFUNCTION("""COMPUTED_VALUE"""),494.26)</f>
        <v>494.26</v>
      </c>
      <c r="C23" s="2">
        <f>IFERROR(__xludf.DUMMYFUNCTION("""COMPUTED_VALUE"""),495.0)</f>
        <v>495</v>
      </c>
      <c r="D23" s="2">
        <f>IFERROR(__xludf.DUMMYFUNCTION("""COMPUTED_VALUE"""),463.89)</f>
        <v>463.89</v>
      </c>
      <c r="E23" s="2">
        <f>IFERROR(__xludf.DUMMYFUNCTION("""COMPUTED_VALUE"""),470.83)</f>
        <v>470.83</v>
      </c>
      <c r="F23" s="2">
        <f>IFERROR(__xludf.DUMMYFUNCTION("""COMPUTED_VALUE"""),1.1169877E7)</f>
        <v>11169877</v>
      </c>
    </row>
    <row r="24">
      <c r="A24" s="3">
        <f>IFERROR(__xludf.DUMMYFUNCTION("""COMPUTED_VALUE"""),44960.66666666667)</f>
        <v>44960.66667</v>
      </c>
      <c r="B24" s="2">
        <f>IFERROR(__xludf.DUMMYFUNCTION("""COMPUTED_VALUE"""),475.23)</f>
        <v>475.23</v>
      </c>
      <c r="C24" s="2">
        <f>IFERROR(__xludf.DUMMYFUNCTION("""COMPUTED_VALUE"""),478.78)</f>
        <v>478.78</v>
      </c>
      <c r="D24" s="2">
        <f>IFERROR(__xludf.DUMMYFUNCTION("""COMPUTED_VALUE"""),469.75)</f>
        <v>469.75</v>
      </c>
      <c r="E24" s="2">
        <f>IFERROR(__xludf.DUMMYFUNCTION("""COMPUTED_VALUE"""),472.02)</f>
        <v>472.02</v>
      </c>
      <c r="F24" s="2">
        <f>IFERROR(__xludf.DUMMYFUNCTION("""COMPUTED_VALUE"""),5440070.0)</f>
        <v>5440070</v>
      </c>
    </row>
    <row r="25">
      <c r="A25" s="3">
        <f>IFERROR(__xludf.DUMMYFUNCTION("""COMPUTED_VALUE"""),44963.66666666667)</f>
        <v>44963.66667</v>
      </c>
      <c r="B25" s="2">
        <f>IFERROR(__xludf.DUMMYFUNCTION("""COMPUTED_VALUE"""),472.0)</f>
        <v>472</v>
      </c>
      <c r="C25" s="2">
        <f>IFERROR(__xludf.DUMMYFUNCTION("""COMPUTED_VALUE"""),478.97)</f>
        <v>478.97</v>
      </c>
      <c r="D25" s="2">
        <f>IFERROR(__xludf.DUMMYFUNCTION("""COMPUTED_VALUE"""),471.01)</f>
        <v>471.01</v>
      </c>
      <c r="E25" s="2">
        <f>IFERROR(__xludf.DUMMYFUNCTION("""COMPUTED_VALUE"""),475.24)</f>
        <v>475.24</v>
      </c>
      <c r="F25" s="2">
        <f>IFERROR(__xludf.DUMMYFUNCTION("""COMPUTED_VALUE"""),4174173.0)</f>
        <v>4174173</v>
      </c>
    </row>
    <row r="26">
      <c r="A26" s="3">
        <f>IFERROR(__xludf.DUMMYFUNCTION("""COMPUTED_VALUE"""),44964.66666666667)</f>
        <v>44964.66667</v>
      </c>
      <c r="B26" s="2">
        <f>IFERROR(__xludf.DUMMYFUNCTION("""COMPUTED_VALUE"""),471.04)</f>
        <v>471.04</v>
      </c>
      <c r="C26" s="2">
        <f>IFERROR(__xludf.DUMMYFUNCTION("""COMPUTED_VALUE"""),478.08)</f>
        <v>478.08</v>
      </c>
      <c r="D26" s="2">
        <f>IFERROR(__xludf.DUMMYFUNCTION("""COMPUTED_VALUE"""),469.03)</f>
        <v>469.03</v>
      </c>
      <c r="E26" s="2">
        <f>IFERROR(__xludf.DUMMYFUNCTION("""COMPUTED_VALUE"""),476.88)</f>
        <v>476.88</v>
      </c>
      <c r="F26" s="2">
        <f>IFERROR(__xludf.DUMMYFUNCTION("""COMPUTED_VALUE"""),3394630.0)</f>
        <v>3394630</v>
      </c>
    </row>
    <row r="27">
      <c r="A27" s="3">
        <f>IFERROR(__xludf.DUMMYFUNCTION("""COMPUTED_VALUE"""),44965.66666666667)</f>
        <v>44965.66667</v>
      </c>
      <c r="B27" s="2">
        <f>IFERROR(__xludf.DUMMYFUNCTION("""COMPUTED_VALUE"""),475.47)</f>
        <v>475.47</v>
      </c>
      <c r="C27" s="2">
        <f>IFERROR(__xludf.DUMMYFUNCTION("""COMPUTED_VALUE"""),485.04)</f>
        <v>485.04</v>
      </c>
      <c r="D27" s="2">
        <f>IFERROR(__xludf.DUMMYFUNCTION("""COMPUTED_VALUE"""),475.11)</f>
        <v>475.11</v>
      </c>
      <c r="E27" s="2">
        <f>IFERROR(__xludf.DUMMYFUNCTION("""COMPUTED_VALUE"""),483.22)</f>
        <v>483.22</v>
      </c>
      <c r="F27" s="2">
        <f>IFERROR(__xludf.DUMMYFUNCTION("""COMPUTED_VALUE"""),3466399.0)</f>
        <v>3466399</v>
      </c>
    </row>
    <row r="28">
      <c r="A28" s="3">
        <f>IFERROR(__xludf.DUMMYFUNCTION("""COMPUTED_VALUE"""),44966.66666666667)</f>
        <v>44966.66667</v>
      </c>
      <c r="B28" s="2">
        <f>IFERROR(__xludf.DUMMYFUNCTION("""COMPUTED_VALUE"""),485.63)</f>
        <v>485.63</v>
      </c>
      <c r="C28" s="2">
        <f>IFERROR(__xludf.DUMMYFUNCTION("""COMPUTED_VALUE"""),489.7)</f>
        <v>489.7</v>
      </c>
      <c r="D28" s="2">
        <f>IFERROR(__xludf.DUMMYFUNCTION("""COMPUTED_VALUE"""),482.4)</f>
        <v>482.4</v>
      </c>
      <c r="E28" s="2">
        <f>IFERROR(__xludf.DUMMYFUNCTION("""COMPUTED_VALUE"""),485.73)</f>
        <v>485.73</v>
      </c>
      <c r="F28" s="2">
        <f>IFERROR(__xludf.DUMMYFUNCTION("""COMPUTED_VALUE"""),3664633.0)</f>
        <v>3664633</v>
      </c>
    </row>
    <row r="29">
      <c r="A29" s="3">
        <f>IFERROR(__xludf.DUMMYFUNCTION("""COMPUTED_VALUE"""),44967.66666666667)</f>
        <v>44967.66667</v>
      </c>
      <c r="B29" s="2">
        <f>IFERROR(__xludf.DUMMYFUNCTION("""COMPUTED_VALUE"""),489.13)</f>
        <v>489.13</v>
      </c>
      <c r="C29" s="2">
        <f>IFERROR(__xludf.DUMMYFUNCTION("""COMPUTED_VALUE"""),495.66)</f>
        <v>495.66</v>
      </c>
      <c r="D29" s="2">
        <f>IFERROR(__xludf.DUMMYFUNCTION("""COMPUTED_VALUE"""),488.75)</f>
        <v>488.75</v>
      </c>
      <c r="E29" s="2">
        <f>IFERROR(__xludf.DUMMYFUNCTION("""COMPUTED_VALUE"""),494.25)</f>
        <v>494.25</v>
      </c>
      <c r="F29" s="2">
        <f>IFERROR(__xludf.DUMMYFUNCTION("""COMPUTED_VALUE"""),3418087.0)</f>
        <v>3418087</v>
      </c>
    </row>
    <row r="30">
      <c r="A30" s="3">
        <f>IFERROR(__xludf.DUMMYFUNCTION("""COMPUTED_VALUE"""),44970.66666666667)</f>
        <v>44970.66667</v>
      </c>
      <c r="B30" s="2">
        <f>IFERROR(__xludf.DUMMYFUNCTION("""COMPUTED_VALUE"""),494.0)</f>
        <v>494</v>
      </c>
      <c r="C30" s="2">
        <f>IFERROR(__xludf.DUMMYFUNCTION("""COMPUTED_VALUE"""),499.87)</f>
        <v>499.87</v>
      </c>
      <c r="D30" s="2">
        <f>IFERROR(__xludf.DUMMYFUNCTION("""COMPUTED_VALUE"""),491.76)</f>
        <v>491.76</v>
      </c>
      <c r="E30" s="2">
        <f>IFERROR(__xludf.DUMMYFUNCTION("""COMPUTED_VALUE"""),495.35)</f>
        <v>495.35</v>
      </c>
      <c r="F30" s="2">
        <f>IFERROR(__xludf.DUMMYFUNCTION("""COMPUTED_VALUE"""),2589104.0)</f>
        <v>2589104</v>
      </c>
    </row>
    <row r="31">
      <c r="A31" s="3">
        <f>IFERROR(__xludf.DUMMYFUNCTION("""COMPUTED_VALUE"""),44971.66666666667)</f>
        <v>44971.66667</v>
      </c>
      <c r="B31" s="2">
        <f>IFERROR(__xludf.DUMMYFUNCTION("""COMPUTED_VALUE"""),494.29)</f>
        <v>494.29</v>
      </c>
      <c r="C31" s="2">
        <f>IFERROR(__xludf.DUMMYFUNCTION("""COMPUTED_VALUE"""),497.95)</f>
        <v>497.95</v>
      </c>
      <c r="D31" s="2">
        <f>IFERROR(__xludf.DUMMYFUNCTION("""COMPUTED_VALUE"""),489.09)</f>
        <v>489.09</v>
      </c>
      <c r="E31" s="2">
        <f>IFERROR(__xludf.DUMMYFUNCTION("""COMPUTED_VALUE"""),492.83)</f>
        <v>492.83</v>
      </c>
      <c r="F31" s="2">
        <f>IFERROR(__xludf.DUMMYFUNCTION("""COMPUTED_VALUE"""),2072571.0)</f>
        <v>2072571</v>
      </c>
    </row>
    <row r="32">
      <c r="A32" s="3">
        <f>IFERROR(__xludf.DUMMYFUNCTION("""COMPUTED_VALUE"""),44972.66666666667)</f>
        <v>44972.66667</v>
      </c>
      <c r="B32" s="2">
        <f>IFERROR(__xludf.DUMMYFUNCTION("""COMPUTED_VALUE"""),489.65)</f>
        <v>489.65</v>
      </c>
      <c r="C32" s="2">
        <f>IFERROR(__xludf.DUMMYFUNCTION("""COMPUTED_VALUE"""),491.83)</f>
        <v>491.83</v>
      </c>
      <c r="D32" s="2">
        <f>IFERROR(__xludf.DUMMYFUNCTION("""COMPUTED_VALUE"""),488.39)</f>
        <v>488.39</v>
      </c>
      <c r="E32" s="2">
        <f>IFERROR(__xludf.DUMMYFUNCTION("""COMPUTED_VALUE"""),491.25)</f>
        <v>491.25</v>
      </c>
      <c r="F32" s="2">
        <f>IFERROR(__xludf.DUMMYFUNCTION("""COMPUTED_VALUE"""),2243051.0)</f>
        <v>2243051</v>
      </c>
    </row>
    <row r="33">
      <c r="A33" s="3">
        <f>IFERROR(__xludf.DUMMYFUNCTION("""COMPUTED_VALUE"""),44973.66666666667)</f>
        <v>44973.66667</v>
      </c>
      <c r="B33" s="2">
        <f>IFERROR(__xludf.DUMMYFUNCTION("""COMPUTED_VALUE"""),491.15)</f>
        <v>491.15</v>
      </c>
      <c r="C33" s="2">
        <f>IFERROR(__xludf.DUMMYFUNCTION("""COMPUTED_VALUE"""),494.0)</f>
        <v>494</v>
      </c>
      <c r="D33" s="2">
        <f>IFERROR(__xludf.DUMMYFUNCTION("""COMPUTED_VALUE"""),487.27)</f>
        <v>487.27</v>
      </c>
      <c r="E33" s="2">
        <f>IFERROR(__xludf.DUMMYFUNCTION("""COMPUTED_VALUE"""),487.35)</f>
        <v>487.35</v>
      </c>
      <c r="F33" s="2">
        <f>IFERROR(__xludf.DUMMYFUNCTION("""COMPUTED_VALUE"""),2611457.0)</f>
        <v>2611457</v>
      </c>
    </row>
    <row r="34">
      <c r="A34" s="3">
        <f>IFERROR(__xludf.DUMMYFUNCTION("""COMPUTED_VALUE"""),44974.66666666667)</f>
        <v>44974.66667</v>
      </c>
      <c r="B34" s="2">
        <f>IFERROR(__xludf.DUMMYFUNCTION("""COMPUTED_VALUE"""),487.38)</f>
        <v>487.38</v>
      </c>
      <c r="C34" s="2">
        <f>IFERROR(__xludf.DUMMYFUNCTION("""COMPUTED_VALUE"""),499.46)</f>
        <v>499.46</v>
      </c>
      <c r="D34" s="2">
        <f>IFERROR(__xludf.DUMMYFUNCTION("""COMPUTED_VALUE"""),487.35)</f>
        <v>487.35</v>
      </c>
      <c r="E34" s="2">
        <f>IFERROR(__xludf.DUMMYFUNCTION("""COMPUTED_VALUE"""),499.08)</f>
        <v>499.08</v>
      </c>
      <c r="F34" s="2">
        <f>IFERROR(__xludf.DUMMYFUNCTION("""COMPUTED_VALUE"""),3891503.0)</f>
        <v>3891503</v>
      </c>
    </row>
    <row r="35">
      <c r="A35" s="3">
        <f>IFERROR(__xludf.DUMMYFUNCTION("""COMPUTED_VALUE"""),44978.66666666667)</f>
        <v>44978.66667</v>
      </c>
      <c r="B35" s="2">
        <f>IFERROR(__xludf.DUMMYFUNCTION("""COMPUTED_VALUE"""),496.7)</f>
        <v>496.7</v>
      </c>
      <c r="C35" s="2">
        <f>IFERROR(__xludf.DUMMYFUNCTION("""COMPUTED_VALUE"""),501.4)</f>
        <v>501.4</v>
      </c>
      <c r="D35" s="2">
        <f>IFERROR(__xludf.DUMMYFUNCTION("""COMPUTED_VALUE"""),490.5)</f>
        <v>490.5</v>
      </c>
      <c r="E35" s="2">
        <f>IFERROR(__xludf.DUMMYFUNCTION("""COMPUTED_VALUE"""),491.31)</f>
        <v>491.31</v>
      </c>
      <c r="F35" s="2">
        <f>IFERROR(__xludf.DUMMYFUNCTION("""COMPUTED_VALUE"""),2877341.0)</f>
        <v>2877341</v>
      </c>
    </row>
    <row r="36">
      <c r="A36" s="3">
        <f>IFERROR(__xludf.DUMMYFUNCTION("""COMPUTED_VALUE"""),44979.66666666667)</f>
        <v>44979.66667</v>
      </c>
      <c r="B36" s="2">
        <f>IFERROR(__xludf.DUMMYFUNCTION("""COMPUTED_VALUE"""),492.81)</f>
        <v>492.81</v>
      </c>
      <c r="C36" s="2">
        <f>IFERROR(__xludf.DUMMYFUNCTION("""COMPUTED_VALUE"""),493.89)</f>
        <v>493.89</v>
      </c>
      <c r="D36" s="2">
        <f>IFERROR(__xludf.DUMMYFUNCTION("""COMPUTED_VALUE"""),488.67)</f>
        <v>488.67</v>
      </c>
      <c r="E36" s="2">
        <f>IFERROR(__xludf.DUMMYFUNCTION("""COMPUTED_VALUE"""),488.89)</f>
        <v>488.89</v>
      </c>
      <c r="F36" s="2">
        <f>IFERROR(__xludf.DUMMYFUNCTION("""COMPUTED_VALUE"""),2982761.0)</f>
        <v>2982761</v>
      </c>
    </row>
    <row r="37">
      <c r="A37" s="3">
        <f>IFERROR(__xludf.DUMMYFUNCTION("""COMPUTED_VALUE"""),44980.66666666667)</f>
        <v>44980.66667</v>
      </c>
      <c r="B37" s="2">
        <f>IFERROR(__xludf.DUMMYFUNCTION("""COMPUTED_VALUE"""),486.66)</f>
        <v>486.66</v>
      </c>
      <c r="C37" s="2">
        <f>IFERROR(__xludf.DUMMYFUNCTION("""COMPUTED_VALUE"""),493.33)</f>
        <v>493.33</v>
      </c>
      <c r="D37" s="2">
        <f>IFERROR(__xludf.DUMMYFUNCTION("""COMPUTED_VALUE"""),485.87)</f>
        <v>485.87</v>
      </c>
      <c r="E37" s="2">
        <f>IFERROR(__xludf.DUMMYFUNCTION("""COMPUTED_VALUE"""),491.69)</f>
        <v>491.69</v>
      </c>
      <c r="F37" s="2">
        <f>IFERROR(__xludf.DUMMYFUNCTION("""COMPUTED_VALUE"""),2511809.0)</f>
        <v>2511809</v>
      </c>
    </row>
    <row r="38">
      <c r="A38" s="3">
        <f>IFERROR(__xludf.DUMMYFUNCTION("""COMPUTED_VALUE"""),44981.66666666667)</f>
        <v>44981.66667</v>
      </c>
      <c r="B38" s="2">
        <f>IFERROR(__xludf.DUMMYFUNCTION("""COMPUTED_VALUE"""),489.58)</f>
        <v>489.58</v>
      </c>
      <c r="C38" s="2">
        <f>IFERROR(__xludf.DUMMYFUNCTION("""COMPUTED_VALUE"""),492.51)</f>
        <v>492.51</v>
      </c>
      <c r="D38" s="2">
        <f>IFERROR(__xludf.DUMMYFUNCTION("""COMPUTED_VALUE"""),483.01)</f>
        <v>483.01</v>
      </c>
      <c r="E38" s="2">
        <f>IFERROR(__xludf.DUMMYFUNCTION("""COMPUTED_VALUE"""),484.33)</f>
        <v>484.33</v>
      </c>
      <c r="F38" s="2">
        <f>IFERROR(__xludf.DUMMYFUNCTION("""COMPUTED_VALUE"""),2940610.0)</f>
        <v>2940610</v>
      </c>
    </row>
    <row r="39">
      <c r="A39" s="3">
        <f>IFERROR(__xludf.DUMMYFUNCTION("""COMPUTED_VALUE"""),44984.66666666667)</f>
        <v>44984.66667</v>
      </c>
      <c r="B39" s="2">
        <f>IFERROR(__xludf.DUMMYFUNCTION("""COMPUTED_VALUE"""),488.77)</f>
        <v>488.77</v>
      </c>
      <c r="C39" s="2">
        <f>IFERROR(__xludf.DUMMYFUNCTION("""COMPUTED_VALUE"""),490.94)</f>
        <v>490.94</v>
      </c>
      <c r="D39" s="2">
        <f>IFERROR(__xludf.DUMMYFUNCTION("""COMPUTED_VALUE"""),481.96)</f>
        <v>481.96</v>
      </c>
      <c r="E39" s="2">
        <f>IFERROR(__xludf.DUMMYFUNCTION("""COMPUTED_VALUE"""),483.32)</f>
        <v>483.32</v>
      </c>
      <c r="F39" s="2">
        <f>IFERROR(__xludf.DUMMYFUNCTION("""COMPUTED_VALUE"""),3006212.0)</f>
        <v>3006212</v>
      </c>
    </row>
    <row r="40">
      <c r="A40" s="3">
        <f>IFERROR(__xludf.DUMMYFUNCTION("""COMPUTED_VALUE"""),44985.66666666667)</f>
        <v>44985.66667</v>
      </c>
      <c r="B40" s="2">
        <f>IFERROR(__xludf.DUMMYFUNCTION("""COMPUTED_VALUE"""),482.67)</f>
        <v>482.67</v>
      </c>
      <c r="C40" s="2">
        <f>IFERROR(__xludf.DUMMYFUNCTION("""COMPUTED_VALUE"""),483.36)</f>
        <v>483.36</v>
      </c>
      <c r="D40" s="2">
        <f>IFERROR(__xludf.DUMMYFUNCTION("""COMPUTED_VALUE"""),473.92)</f>
        <v>473.92</v>
      </c>
      <c r="E40" s="2">
        <f>IFERROR(__xludf.DUMMYFUNCTION("""COMPUTED_VALUE"""),475.94)</f>
        <v>475.94</v>
      </c>
      <c r="F40" s="2">
        <f>IFERROR(__xludf.DUMMYFUNCTION("""COMPUTED_VALUE"""),3902052.0)</f>
        <v>3902052</v>
      </c>
    </row>
    <row r="41">
      <c r="A41" s="3">
        <f>IFERROR(__xludf.DUMMYFUNCTION("""COMPUTED_VALUE"""),44986.66666666667)</f>
        <v>44986.66667</v>
      </c>
      <c r="B41" s="2">
        <f>IFERROR(__xludf.DUMMYFUNCTION("""COMPUTED_VALUE"""),473.61)</f>
        <v>473.61</v>
      </c>
      <c r="C41" s="2">
        <f>IFERROR(__xludf.DUMMYFUNCTION("""COMPUTED_VALUE"""),478.41)</f>
        <v>478.41</v>
      </c>
      <c r="D41" s="2">
        <f>IFERROR(__xludf.DUMMYFUNCTION("""COMPUTED_VALUE"""),472.0)</f>
        <v>472</v>
      </c>
      <c r="E41" s="2">
        <f>IFERROR(__xludf.DUMMYFUNCTION("""COMPUTED_VALUE"""),475.22)</f>
        <v>475.22</v>
      </c>
      <c r="F41" s="2">
        <f>IFERROR(__xludf.DUMMYFUNCTION("""COMPUTED_VALUE"""),2996913.0)</f>
        <v>2996913</v>
      </c>
    </row>
    <row r="42">
      <c r="A42" s="3">
        <f>IFERROR(__xludf.DUMMYFUNCTION("""COMPUTED_VALUE"""),44987.66666666667)</f>
        <v>44987.66667</v>
      </c>
      <c r="B42" s="2">
        <f>IFERROR(__xludf.DUMMYFUNCTION("""COMPUTED_VALUE"""),475.21)</f>
        <v>475.21</v>
      </c>
      <c r="C42" s="2">
        <f>IFERROR(__xludf.DUMMYFUNCTION("""COMPUTED_VALUE"""),480.43)</f>
        <v>480.43</v>
      </c>
      <c r="D42" s="2">
        <f>IFERROR(__xludf.DUMMYFUNCTION("""COMPUTED_VALUE"""),473.25)</f>
        <v>473.25</v>
      </c>
      <c r="E42" s="2">
        <f>IFERROR(__xludf.DUMMYFUNCTION("""COMPUTED_VALUE"""),477.7)</f>
        <v>477.7</v>
      </c>
      <c r="F42" s="2">
        <f>IFERROR(__xludf.DUMMYFUNCTION("""COMPUTED_VALUE"""),2189176.0)</f>
        <v>2189176</v>
      </c>
    </row>
    <row r="43">
      <c r="A43" s="3">
        <f>IFERROR(__xludf.DUMMYFUNCTION("""COMPUTED_VALUE"""),44988.66666666667)</f>
        <v>44988.66667</v>
      </c>
      <c r="B43" s="2">
        <f>IFERROR(__xludf.DUMMYFUNCTION("""COMPUTED_VALUE"""),477.94)</f>
        <v>477.94</v>
      </c>
      <c r="C43" s="2">
        <f>IFERROR(__xludf.DUMMYFUNCTION("""COMPUTED_VALUE"""),479.1)</f>
        <v>479.1</v>
      </c>
      <c r="D43" s="2">
        <f>IFERROR(__xludf.DUMMYFUNCTION("""COMPUTED_VALUE"""),474.22)</f>
        <v>474.22</v>
      </c>
      <c r="E43" s="2">
        <f>IFERROR(__xludf.DUMMYFUNCTION("""COMPUTED_VALUE"""),478.56)</f>
        <v>478.56</v>
      </c>
      <c r="F43" s="2">
        <f>IFERROR(__xludf.DUMMYFUNCTION("""COMPUTED_VALUE"""),2863285.0)</f>
        <v>2863285</v>
      </c>
    </row>
    <row r="44">
      <c r="A44" s="3">
        <f>IFERROR(__xludf.DUMMYFUNCTION("""COMPUTED_VALUE"""),44991.66666666667)</f>
        <v>44991.66667</v>
      </c>
      <c r="B44" s="2">
        <f>IFERROR(__xludf.DUMMYFUNCTION("""COMPUTED_VALUE"""),481.37)</f>
        <v>481.37</v>
      </c>
      <c r="C44" s="2">
        <f>IFERROR(__xludf.DUMMYFUNCTION("""COMPUTED_VALUE"""),484.35)</f>
        <v>484.35</v>
      </c>
      <c r="D44" s="2">
        <f>IFERROR(__xludf.DUMMYFUNCTION("""COMPUTED_VALUE"""),479.0)</f>
        <v>479</v>
      </c>
      <c r="E44" s="2">
        <f>IFERROR(__xludf.DUMMYFUNCTION("""COMPUTED_VALUE"""),480.78)</f>
        <v>480.78</v>
      </c>
      <c r="F44" s="2">
        <f>IFERROR(__xludf.DUMMYFUNCTION("""COMPUTED_VALUE"""),3812682.0)</f>
        <v>3812682</v>
      </c>
    </row>
    <row r="45">
      <c r="A45" s="3">
        <f>IFERROR(__xludf.DUMMYFUNCTION("""COMPUTED_VALUE"""),44992.66666666667)</f>
        <v>44992.66667</v>
      </c>
      <c r="B45" s="2">
        <f>IFERROR(__xludf.DUMMYFUNCTION("""COMPUTED_VALUE"""),482.98)</f>
        <v>482.98</v>
      </c>
      <c r="C45" s="2">
        <f>IFERROR(__xludf.DUMMYFUNCTION("""COMPUTED_VALUE"""),483.82)</f>
        <v>483.82</v>
      </c>
      <c r="D45" s="2">
        <f>IFERROR(__xludf.DUMMYFUNCTION("""COMPUTED_VALUE"""),472.56)</f>
        <v>472.56</v>
      </c>
      <c r="E45" s="2">
        <f>IFERROR(__xludf.DUMMYFUNCTION("""COMPUTED_VALUE"""),473.88)</f>
        <v>473.88</v>
      </c>
      <c r="F45" s="2">
        <f>IFERROR(__xludf.DUMMYFUNCTION("""COMPUTED_VALUE"""),2589219.0)</f>
        <v>2589219</v>
      </c>
    </row>
    <row r="46">
      <c r="A46" s="3">
        <f>IFERROR(__xludf.DUMMYFUNCTION("""COMPUTED_VALUE"""),44993.66666666667)</f>
        <v>44993.66667</v>
      </c>
      <c r="B46" s="2">
        <f>IFERROR(__xludf.DUMMYFUNCTION("""COMPUTED_VALUE"""),471.75)</f>
        <v>471.75</v>
      </c>
      <c r="C46" s="2">
        <f>IFERROR(__xludf.DUMMYFUNCTION("""COMPUTED_VALUE"""),475.39)</f>
        <v>475.39</v>
      </c>
      <c r="D46" s="2">
        <f>IFERROR(__xludf.DUMMYFUNCTION("""COMPUTED_VALUE"""),466.76)</f>
        <v>466.76</v>
      </c>
      <c r="E46" s="2">
        <f>IFERROR(__xludf.DUMMYFUNCTION("""COMPUTED_VALUE"""),470.6)</f>
        <v>470.6</v>
      </c>
      <c r="F46" s="2">
        <f>IFERROR(__xludf.DUMMYFUNCTION("""COMPUTED_VALUE"""),3036582.0)</f>
        <v>3036582</v>
      </c>
    </row>
    <row r="47">
      <c r="A47" s="3">
        <f>IFERROR(__xludf.DUMMYFUNCTION("""COMPUTED_VALUE"""),44994.66666666667)</f>
        <v>44994.66667</v>
      </c>
      <c r="B47" s="2">
        <f>IFERROR(__xludf.DUMMYFUNCTION("""COMPUTED_VALUE"""),473.95)</f>
        <v>473.95</v>
      </c>
      <c r="C47" s="2">
        <f>IFERROR(__xludf.DUMMYFUNCTION("""COMPUTED_VALUE"""),473.95)</f>
        <v>473.95</v>
      </c>
      <c r="D47" s="2">
        <f>IFERROR(__xludf.DUMMYFUNCTION("""COMPUTED_VALUE"""),463.75)</f>
        <v>463.75</v>
      </c>
      <c r="E47" s="2">
        <f>IFERROR(__xludf.DUMMYFUNCTION("""COMPUTED_VALUE"""),464.91)</f>
        <v>464.91</v>
      </c>
      <c r="F47" s="2">
        <f>IFERROR(__xludf.DUMMYFUNCTION("""COMPUTED_VALUE"""),2780394.0)</f>
        <v>2780394</v>
      </c>
    </row>
    <row r="48">
      <c r="A48" s="3">
        <f>IFERROR(__xludf.DUMMYFUNCTION("""COMPUTED_VALUE"""),44995.66666666667)</f>
        <v>44995.66667</v>
      </c>
      <c r="B48" s="2">
        <f>IFERROR(__xludf.DUMMYFUNCTION("""COMPUTED_VALUE"""),462.77)</f>
        <v>462.77</v>
      </c>
      <c r="C48" s="2">
        <f>IFERROR(__xludf.DUMMYFUNCTION("""COMPUTED_VALUE"""),468.86)</f>
        <v>468.86</v>
      </c>
      <c r="D48" s="2">
        <f>IFERROR(__xludf.DUMMYFUNCTION("""COMPUTED_VALUE"""),457.59)</f>
        <v>457.59</v>
      </c>
      <c r="E48" s="2">
        <f>IFERROR(__xludf.DUMMYFUNCTION("""COMPUTED_VALUE"""),460.33)</f>
        <v>460.33</v>
      </c>
      <c r="F48" s="2">
        <f>IFERROR(__xludf.DUMMYFUNCTION("""COMPUTED_VALUE"""),3787451.0)</f>
        <v>3787451</v>
      </c>
    </row>
    <row r="49">
      <c r="A49" s="3">
        <f>IFERROR(__xludf.DUMMYFUNCTION("""COMPUTED_VALUE"""),44998.66666666667)</f>
        <v>44998.66667</v>
      </c>
      <c r="B49" s="2">
        <f>IFERROR(__xludf.DUMMYFUNCTION("""COMPUTED_VALUE"""),458.65)</f>
        <v>458.65</v>
      </c>
      <c r="C49" s="2">
        <f>IFERROR(__xludf.DUMMYFUNCTION("""COMPUTED_VALUE"""),470.37)</f>
        <v>470.37</v>
      </c>
      <c r="D49" s="2">
        <f>IFERROR(__xludf.DUMMYFUNCTION("""COMPUTED_VALUE"""),458.65)</f>
        <v>458.65</v>
      </c>
      <c r="E49" s="2">
        <f>IFERROR(__xludf.DUMMYFUNCTION("""COMPUTED_VALUE"""),463.68)</f>
        <v>463.68</v>
      </c>
      <c r="F49" s="2">
        <f>IFERROR(__xludf.DUMMYFUNCTION("""COMPUTED_VALUE"""),2971643.0)</f>
        <v>2971643</v>
      </c>
    </row>
    <row r="50">
      <c r="A50" s="3">
        <f>IFERROR(__xludf.DUMMYFUNCTION("""COMPUTED_VALUE"""),44999.66666666667)</f>
        <v>44999.66667</v>
      </c>
      <c r="B50" s="2">
        <f>IFERROR(__xludf.DUMMYFUNCTION("""COMPUTED_VALUE"""),464.65)</f>
        <v>464.65</v>
      </c>
      <c r="C50" s="2">
        <f>IFERROR(__xludf.DUMMYFUNCTION("""COMPUTED_VALUE"""),469.84)</f>
        <v>469.84</v>
      </c>
      <c r="D50" s="2">
        <f>IFERROR(__xludf.DUMMYFUNCTION("""COMPUTED_VALUE"""),459.05)</f>
        <v>459.05</v>
      </c>
      <c r="E50" s="2">
        <f>IFERROR(__xludf.DUMMYFUNCTION("""COMPUTED_VALUE"""),464.58)</f>
        <v>464.58</v>
      </c>
      <c r="F50" s="2">
        <f>IFERROR(__xludf.DUMMYFUNCTION("""COMPUTED_VALUE"""),3258220.0)</f>
        <v>3258220</v>
      </c>
    </row>
    <row r="51">
      <c r="A51" s="3">
        <f>IFERROR(__xludf.DUMMYFUNCTION("""COMPUTED_VALUE"""),45000.66666666667)</f>
        <v>45000.66667</v>
      </c>
      <c r="B51" s="2">
        <f>IFERROR(__xludf.DUMMYFUNCTION("""COMPUTED_VALUE"""),460.99)</f>
        <v>460.99</v>
      </c>
      <c r="C51" s="2">
        <f>IFERROR(__xludf.DUMMYFUNCTION("""COMPUTED_VALUE"""),468.88)</f>
        <v>468.88</v>
      </c>
      <c r="D51" s="2">
        <f>IFERROR(__xludf.DUMMYFUNCTION("""COMPUTED_VALUE"""),459.24)</f>
        <v>459.24</v>
      </c>
      <c r="E51" s="2">
        <f>IFERROR(__xludf.DUMMYFUNCTION("""COMPUTED_VALUE"""),465.43)</f>
        <v>465.43</v>
      </c>
      <c r="F51" s="2">
        <f>IFERROR(__xludf.DUMMYFUNCTION("""COMPUTED_VALUE"""),3770207.0)</f>
        <v>3770207</v>
      </c>
    </row>
    <row r="52">
      <c r="A52" s="3">
        <f>IFERROR(__xludf.DUMMYFUNCTION("""COMPUTED_VALUE"""),45001.66666666667)</f>
        <v>45001.66667</v>
      </c>
      <c r="B52" s="2">
        <f>IFERROR(__xludf.DUMMYFUNCTION("""COMPUTED_VALUE"""),464.71)</f>
        <v>464.71</v>
      </c>
      <c r="C52" s="2">
        <f>IFERROR(__xludf.DUMMYFUNCTION("""COMPUTED_VALUE"""),473.39)</f>
        <v>473.39</v>
      </c>
      <c r="D52" s="2">
        <f>IFERROR(__xludf.DUMMYFUNCTION("""COMPUTED_VALUE"""),463.1)</f>
        <v>463.1</v>
      </c>
      <c r="E52" s="2">
        <f>IFERROR(__xludf.DUMMYFUNCTION("""COMPUTED_VALUE"""),472.02)</f>
        <v>472.02</v>
      </c>
      <c r="F52" s="2">
        <f>IFERROR(__xludf.DUMMYFUNCTION("""COMPUTED_VALUE"""),2941004.0)</f>
        <v>2941004</v>
      </c>
    </row>
    <row r="53">
      <c r="A53" s="3">
        <f>IFERROR(__xludf.DUMMYFUNCTION("""COMPUTED_VALUE"""),45002.66666666667)</f>
        <v>45002.66667</v>
      </c>
      <c r="B53" s="2">
        <f>IFERROR(__xludf.DUMMYFUNCTION("""COMPUTED_VALUE"""),471.39)</f>
        <v>471.39</v>
      </c>
      <c r="C53" s="2">
        <f>IFERROR(__xludf.DUMMYFUNCTION("""COMPUTED_VALUE"""),472.01)</f>
        <v>472.01</v>
      </c>
      <c r="D53" s="2">
        <f>IFERROR(__xludf.DUMMYFUNCTION("""COMPUTED_VALUE"""),466.3)</f>
        <v>466.3</v>
      </c>
      <c r="E53" s="2">
        <f>IFERROR(__xludf.DUMMYFUNCTION("""COMPUTED_VALUE"""),469.5)</f>
        <v>469.5</v>
      </c>
      <c r="F53" s="2">
        <f>IFERROR(__xludf.DUMMYFUNCTION("""COMPUTED_VALUE"""),5289996.0)</f>
        <v>5289996</v>
      </c>
    </row>
    <row r="54">
      <c r="A54" s="3">
        <f>IFERROR(__xludf.DUMMYFUNCTION("""COMPUTED_VALUE"""),45005.66666666667)</f>
        <v>45005.66667</v>
      </c>
      <c r="B54" s="2">
        <f>IFERROR(__xludf.DUMMYFUNCTION("""COMPUTED_VALUE"""),470.0)</f>
        <v>470</v>
      </c>
      <c r="C54" s="2">
        <f>IFERROR(__xludf.DUMMYFUNCTION("""COMPUTED_VALUE"""),479.82)</f>
        <v>479.82</v>
      </c>
      <c r="D54" s="2">
        <f>IFERROR(__xludf.DUMMYFUNCTION("""COMPUTED_VALUE"""),470.0)</f>
        <v>470</v>
      </c>
      <c r="E54" s="2">
        <f>IFERROR(__xludf.DUMMYFUNCTION("""COMPUTED_VALUE"""),476.96)</f>
        <v>476.96</v>
      </c>
      <c r="F54" s="2">
        <f>IFERROR(__xludf.DUMMYFUNCTION("""COMPUTED_VALUE"""),3119552.0)</f>
        <v>3119552</v>
      </c>
    </row>
    <row r="55">
      <c r="A55" s="3">
        <f>IFERROR(__xludf.DUMMYFUNCTION("""COMPUTED_VALUE"""),45006.66666666667)</f>
        <v>45006.66667</v>
      </c>
      <c r="B55" s="2">
        <f>IFERROR(__xludf.DUMMYFUNCTION("""COMPUTED_VALUE"""),478.39)</f>
        <v>478.39</v>
      </c>
      <c r="C55" s="2">
        <f>IFERROR(__xludf.DUMMYFUNCTION("""COMPUTED_VALUE"""),481.45)</f>
        <v>481.45</v>
      </c>
      <c r="D55" s="2">
        <f>IFERROR(__xludf.DUMMYFUNCTION("""COMPUTED_VALUE"""),475.72)</f>
        <v>475.72</v>
      </c>
      <c r="E55" s="2">
        <f>IFERROR(__xludf.DUMMYFUNCTION("""COMPUTED_VALUE"""),480.1)</f>
        <v>480.1</v>
      </c>
      <c r="F55" s="2">
        <f>IFERROR(__xludf.DUMMYFUNCTION("""COMPUTED_VALUE"""),3163424.0)</f>
        <v>3163424</v>
      </c>
    </row>
    <row r="56">
      <c r="A56" s="3">
        <f>IFERROR(__xludf.DUMMYFUNCTION("""COMPUTED_VALUE"""),45007.66666666667)</f>
        <v>45007.66667</v>
      </c>
      <c r="B56" s="2">
        <f>IFERROR(__xludf.DUMMYFUNCTION("""COMPUTED_VALUE"""),481.95)</f>
        <v>481.95</v>
      </c>
      <c r="C56" s="2">
        <f>IFERROR(__xludf.DUMMYFUNCTION("""COMPUTED_VALUE"""),485.74)</f>
        <v>485.74</v>
      </c>
      <c r="D56" s="2">
        <f>IFERROR(__xludf.DUMMYFUNCTION("""COMPUTED_VALUE"""),474.82)</f>
        <v>474.82</v>
      </c>
      <c r="E56" s="2">
        <f>IFERROR(__xludf.DUMMYFUNCTION("""COMPUTED_VALUE"""),475.52)</f>
        <v>475.52</v>
      </c>
      <c r="F56" s="2">
        <f>IFERROR(__xludf.DUMMYFUNCTION("""COMPUTED_VALUE"""),2632211.0)</f>
        <v>2632211</v>
      </c>
    </row>
    <row r="57">
      <c r="A57" s="3">
        <f>IFERROR(__xludf.DUMMYFUNCTION("""COMPUTED_VALUE"""),45008.66666666667)</f>
        <v>45008.66667</v>
      </c>
      <c r="B57" s="2">
        <f>IFERROR(__xludf.DUMMYFUNCTION("""COMPUTED_VALUE"""),477.41)</f>
        <v>477.41</v>
      </c>
      <c r="C57" s="2">
        <f>IFERROR(__xludf.DUMMYFUNCTION("""COMPUTED_VALUE"""),480.67)</f>
        <v>480.67</v>
      </c>
      <c r="D57" s="2">
        <f>IFERROR(__xludf.DUMMYFUNCTION("""COMPUTED_VALUE"""),466.67)</f>
        <v>466.67</v>
      </c>
      <c r="E57" s="2">
        <f>IFERROR(__xludf.DUMMYFUNCTION("""COMPUTED_VALUE"""),469.91)</f>
        <v>469.91</v>
      </c>
      <c r="F57" s="2">
        <f>IFERROR(__xludf.DUMMYFUNCTION("""COMPUTED_VALUE"""),3284884.0)</f>
        <v>3284884</v>
      </c>
    </row>
    <row r="58">
      <c r="A58" s="3">
        <f>IFERROR(__xludf.DUMMYFUNCTION("""COMPUTED_VALUE"""),45009.66666666667)</f>
        <v>45009.66667</v>
      </c>
      <c r="B58" s="2">
        <f>IFERROR(__xludf.DUMMYFUNCTION("""COMPUTED_VALUE"""),468.98)</f>
        <v>468.98</v>
      </c>
      <c r="C58" s="2">
        <f>IFERROR(__xludf.DUMMYFUNCTION("""COMPUTED_VALUE"""),476.88)</f>
        <v>476.88</v>
      </c>
      <c r="D58" s="2">
        <f>IFERROR(__xludf.DUMMYFUNCTION("""COMPUTED_VALUE"""),467.59)</f>
        <v>467.59</v>
      </c>
      <c r="E58" s="2">
        <f>IFERROR(__xludf.DUMMYFUNCTION("""COMPUTED_VALUE"""),475.99)</f>
        <v>475.99</v>
      </c>
      <c r="F58" s="2">
        <f>IFERROR(__xludf.DUMMYFUNCTION("""COMPUTED_VALUE"""),2533418.0)</f>
        <v>2533418</v>
      </c>
    </row>
    <row r="59">
      <c r="A59" s="3">
        <f>IFERROR(__xludf.DUMMYFUNCTION("""COMPUTED_VALUE"""),45012.66666666667)</f>
        <v>45012.66667</v>
      </c>
      <c r="B59" s="2">
        <f>IFERROR(__xludf.DUMMYFUNCTION("""COMPUTED_VALUE"""),485.55)</f>
        <v>485.55</v>
      </c>
      <c r="C59" s="2">
        <f>IFERROR(__xludf.DUMMYFUNCTION("""COMPUTED_VALUE"""),486.29)</f>
        <v>486.29</v>
      </c>
      <c r="D59" s="2">
        <f>IFERROR(__xludf.DUMMYFUNCTION("""COMPUTED_VALUE"""),478.59)</f>
        <v>478.59</v>
      </c>
      <c r="E59" s="2">
        <f>IFERROR(__xludf.DUMMYFUNCTION("""COMPUTED_VALUE"""),481.9)</f>
        <v>481.9</v>
      </c>
      <c r="F59" s="2">
        <f>IFERROR(__xludf.DUMMYFUNCTION("""COMPUTED_VALUE"""),2271779.0)</f>
        <v>2271779</v>
      </c>
    </row>
    <row r="60">
      <c r="A60" s="3">
        <f>IFERROR(__xludf.DUMMYFUNCTION("""COMPUTED_VALUE"""),45013.66666666667)</f>
        <v>45013.66667</v>
      </c>
      <c r="B60" s="2">
        <f>IFERROR(__xludf.DUMMYFUNCTION("""COMPUTED_VALUE"""),482.0)</f>
        <v>482</v>
      </c>
      <c r="C60" s="2">
        <f>IFERROR(__xludf.DUMMYFUNCTION("""COMPUTED_VALUE"""),483.79)</f>
        <v>483.79</v>
      </c>
      <c r="D60" s="2">
        <f>IFERROR(__xludf.DUMMYFUNCTION("""COMPUTED_VALUE"""),470.69)</f>
        <v>470.69</v>
      </c>
      <c r="E60" s="2">
        <f>IFERROR(__xludf.DUMMYFUNCTION("""COMPUTED_VALUE"""),472.58)</f>
        <v>472.58</v>
      </c>
      <c r="F60" s="2">
        <f>IFERROR(__xludf.DUMMYFUNCTION("""COMPUTED_VALUE"""),2369491.0)</f>
        <v>2369491</v>
      </c>
    </row>
    <row r="61">
      <c r="A61" s="3">
        <f>IFERROR(__xludf.DUMMYFUNCTION("""COMPUTED_VALUE"""),45014.66666666667)</f>
        <v>45014.66667</v>
      </c>
      <c r="B61" s="2">
        <f>IFERROR(__xludf.DUMMYFUNCTION("""COMPUTED_VALUE"""),475.11)</f>
        <v>475.11</v>
      </c>
      <c r="C61" s="2">
        <f>IFERROR(__xludf.DUMMYFUNCTION("""COMPUTED_VALUE"""),475.88)</f>
        <v>475.88</v>
      </c>
      <c r="D61" s="2">
        <f>IFERROR(__xludf.DUMMYFUNCTION("""COMPUTED_VALUE"""),464.95)</f>
        <v>464.95</v>
      </c>
      <c r="E61" s="2">
        <f>IFERROR(__xludf.DUMMYFUNCTION("""COMPUTED_VALUE"""),466.59)</f>
        <v>466.59</v>
      </c>
      <c r="F61" s="2">
        <f>IFERROR(__xludf.DUMMYFUNCTION("""COMPUTED_VALUE"""),3733210.0)</f>
        <v>3733210</v>
      </c>
    </row>
    <row r="62">
      <c r="A62" s="3">
        <f>IFERROR(__xludf.DUMMYFUNCTION("""COMPUTED_VALUE"""),45015.66666666667)</f>
        <v>45015.66667</v>
      </c>
      <c r="B62" s="2">
        <f>IFERROR(__xludf.DUMMYFUNCTION("""COMPUTED_VALUE"""),466.57)</f>
        <v>466.57</v>
      </c>
      <c r="C62" s="2">
        <f>IFERROR(__xludf.DUMMYFUNCTION("""COMPUTED_VALUE"""),470.41)</f>
        <v>470.41</v>
      </c>
      <c r="D62" s="2">
        <f>IFERROR(__xludf.DUMMYFUNCTION("""COMPUTED_VALUE"""),461.08)</f>
        <v>461.08</v>
      </c>
      <c r="E62" s="2">
        <f>IFERROR(__xludf.DUMMYFUNCTION("""COMPUTED_VALUE"""),470.06)</f>
        <v>470.06</v>
      </c>
      <c r="F62" s="2">
        <f>IFERROR(__xludf.DUMMYFUNCTION("""COMPUTED_VALUE"""),3324845.0)</f>
        <v>3324845</v>
      </c>
    </row>
    <row r="63">
      <c r="A63" s="3">
        <f>IFERROR(__xludf.DUMMYFUNCTION("""COMPUTED_VALUE"""),45016.66666666667)</f>
        <v>45016.66667</v>
      </c>
      <c r="B63" s="2">
        <f>IFERROR(__xludf.DUMMYFUNCTION("""COMPUTED_VALUE"""),471.52)</f>
        <v>471.52</v>
      </c>
      <c r="C63" s="2">
        <f>IFERROR(__xludf.DUMMYFUNCTION("""COMPUTED_VALUE"""),476.0)</f>
        <v>476</v>
      </c>
      <c r="D63" s="2">
        <f>IFERROR(__xludf.DUMMYFUNCTION("""COMPUTED_VALUE"""),470.1)</f>
        <v>470.1</v>
      </c>
      <c r="E63" s="2">
        <f>IFERROR(__xludf.DUMMYFUNCTION("""COMPUTED_VALUE"""),472.59)</f>
        <v>472.59</v>
      </c>
      <c r="F63" s="2">
        <f>IFERROR(__xludf.DUMMYFUNCTION("""COMPUTED_VALUE"""),3996695.0)</f>
        <v>3996695</v>
      </c>
    </row>
    <row r="64">
      <c r="A64" s="3">
        <f>IFERROR(__xludf.DUMMYFUNCTION("""COMPUTED_VALUE"""),45019.66666666667)</f>
        <v>45019.66667</v>
      </c>
      <c r="B64" s="2">
        <f>IFERROR(__xludf.DUMMYFUNCTION("""COMPUTED_VALUE"""),485.2)</f>
        <v>485.2</v>
      </c>
      <c r="C64" s="2">
        <f>IFERROR(__xludf.DUMMYFUNCTION("""COMPUTED_VALUE"""),496.13)</f>
        <v>496.13</v>
      </c>
      <c r="D64" s="2">
        <f>IFERROR(__xludf.DUMMYFUNCTION("""COMPUTED_VALUE"""),483.49)</f>
        <v>483.49</v>
      </c>
      <c r="E64" s="2">
        <f>IFERROR(__xludf.DUMMYFUNCTION("""COMPUTED_VALUE"""),494.19)</f>
        <v>494.19</v>
      </c>
      <c r="F64" s="2">
        <f>IFERROR(__xludf.DUMMYFUNCTION("""COMPUTED_VALUE"""),4729089.0)</f>
        <v>4729089</v>
      </c>
    </row>
    <row r="65">
      <c r="A65" s="3">
        <f>IFERROR(__xludf.DUMMYFUNCTION("""COMPUTED_VALUE"""),45020.66666666667)</f>
        <v>45020.66667</v>
      </c>
      <c r="B65" s="2">
        <f>IFERROR(__xludf.DUMMYFUNCTION("""COMPUTED_VALUE"""),493.03)</f>
        <v>493.03</v>
      </c>
      <c r="C65" s="2">
        <f>IFERROR(__xludf.DUMMYFUNCTION("""COMPUTED_VALUE"""),496.1)</f>
        <v>496.1</v>
      </c>
      <c r="D65" s="2">
        <f>IFERROR(__xludf.DUMMYFUNCTION("""COMPUTED_VALUE"""),491.84)</f>
        <v>491.84</v>
      </c>
      <c r="E65" s="2">
        <f>IFERROR(__xludf.DUMMYFUNCTION("""COMPUTED_VALUE"""),493.25)</f>
        <v>493.25</v>
      </c>
      <c r="F65" s="2">
        <f>IFERROR(__xludf.DUMMYFUNCTION("""COMPUTED_VALUE"""),2624755.0)</f>
        <v>2624755</v>
      </c>
    </row>
    <row r="66">
      <c r="A66" s="3">
        <f>IFERROR(__xludf.DUMMYFUNCTION("""COMPUTED_VALUE"""),45021.66666666667)</f>
        <v>45021.66667</v>
      </c>
      <c r="B66" s="2">
        <f>IFERROR(__xludf.DUMMYFUNCTION("""COMPUTED_VALUE"""),497.39)</f>
        <v>497.39</v>
      </c>
      <c r="C66" s="2">
        <f>IFERROR(__xludf.DUMMYFUNCTION("""COMPUTED_VALUE"""),511.74)</f>
        <v>511.74</v>
      </c>
      <c r="D66" s="2">
        <f>IFERROR(__xludf.DUMMYFUNCTION("""COMPUTED_VALUE"""),496.1)</f>
        <v>496.1</v>
      </c>
      <c r="E66" s="2">
        <f>IFERROR(__xludf.DUMMYFUNCTION("""COMPUTED_VALUE"""),509.23)</f>
        <v>509.23</v>
      </c>
      <c r="F66" s="2">
        <f>IFERROR(__xludf.DUMMYFUNCTION("""COMPUTED_VALUE"""),4964776.0)</f>
        <v>4964776</v>
      </c>
    </row>
    <row r="67">
      <c r="A67" s="3">
        <f>IFERROR(__xludf.DUMMYFUNCTION("""COMPUTED_VALUE"""),45022.66666666667)</f>
        <v>45022.66667</v>
      </c>
      <c r="B67" s="2">
        <f>IFERROR(__xludf.DUMMYFUNCTION("""COMPUTED_VALUE"""),511.0)</f>
        <v>511</v>
      </c>
      <c r="C67" s="2">
        <f>IFERROR(__xludf.DUMMYFUNCTION("""COMPUTED_VALUE"""),514.24)</f>
        <v>514.24</v>
      </c>
      <c r="D67" s="2">
        <f>IFERROR(__xludf.DUMMYFUNCTION("""COMPUTED_VALUE"""),507.15)</f>
        <v>507.15</v>
      </c>
      <c r="E67" s="2">
        <f>IFERROR(__xludf.DUMMYFUNCTION("""COMPUTED_VALUE"""),512.81)</f>
        <v>512.81</v>
      </c>
      <c r="F67" s="2">
        <f>IFERROR(__xludf.DUMMYFUNCTION("""COMPUTED_VALUE"""),3472551.0)</f>
        <v>3472551</v>
      </c>
    </row>
    <row r="68">
      <c r="A68" s="3">
        <f>IFERROR(__xludf.DUMMYFUNCTION("""COMPUTED_VALUE"""),45026.66666666667)</f>
        <v>45026.66667</v>
      </c>
      <c r="B68" s="2">
        <f>IFERROR(__xludf.DUMMYFUNCTION("""COMPUTED_VALUE"""),510.81)</f>
        <v>510.81</v>
      </c>
      <c r="C68" s="2">
        <f>IFERROR(__xludf.DUMMYFUNCTION("""COMPUTED_VALUE"""),515.39)</f>
        <v>515.39</v>
      </c>
      <c r="D68" s="2">
        <f>IFERROR(__xludf.DUMMYFUNCTION("""COMPUTED_VALUE"""),508.09)</f>
        <v>508.09</v>
      </c>
      <c r="E68" s="2">
        <f>IFERROR(__xludf.DUMMYFUNCTION("""COMPUTED_VALUE"""),515.18)</f>
        <v>515.18</v>
      </c>
      <c r="F68" s="2">
        <f>IFERROR(__xludf.DUMMYFUNCTION("""COMPUTED_VALUE"""),2714548.0)</f>
        <v>2714548</v>
      </c>
    </row>
    <row r="69">
      <c r="A69" s="3">
        <f>IFERROR(__xludf.DUMMYFUNCTION("""COMPUTED_VALUE"""),45027.66666666667)</f>
        <v>45027.66667</v>
      </c>
      <c r="B69" s="2">
        <f>IFERROR(__xludf.DUMMYFUNCTION("""COMPUTED_VALUE"""),516.14)</f>
        <v>516.14</v>
      </c>
      <c r="C69" s="2">
        <f>IFERROR(__xludf.DUMMYFUNCTION("""COMPUTED_VALUE"""),522.22)</f>
        <v>522.22</v>
      </c>
      <c r="D69" s="2">
        <f>IFERROR(__xludf.DUMMYFUNCTION("""COMPUTED_VALUE"""),515.22)</f>
        <v>515.22</v>
      </c>
      <c r="E69" s="2">
        <f>IFERROR(__xludf.DUMMYFUNCTION("""COMPUTED_VALUE"""),520.97)</f>
        <v>520.97</v>
      </c>
      <c r="F69" s="2">
        <f>IFERROR(__xludf.DUMMYFUNCTION("""COMPUTED_VALUE"""),3065335.0)</f>
        <v>3065335</v>
      </c>
    </row>
    <row r="70">
      <c r="A70" s="3">
        <f>IFERROR(__xludf.DUMMYFUNCTION("""COMPUTED_VALUE"""),45028.66666666667)</f>
        <v>45028.66667</v>
      </c>
      <c r="B70" s="2">
        <f>IFERROR(__xludf.DUMMYFUNCTION("""COMPUTED_VALUE"""),524.98)</f>
        <v>524.98</v>
      </c>
      <c r="C70" s="2">
        <f>IFERROR(__xludf.DUMMYFUNCTION("""COMPUTED_VALUE"""),526.7)</f>
        <v>526.7</v>
      </c>
      <c r="D70" s="2">
        <f>IFERROR(__xludf.DUMMYFUNCTION("""COMPUTED_VALUE"""),520.04)</f>
        <v>520.04</v>
      </c>
      <c r="E70" s="2">
        <f>IFERROR(__xludf.DUMMYFUNCTION("""COMPUTED_VALUE"""),521.19)</f>
        <v>521.19</v>
      </c>
      <c r="F70" s="2">
        <f>IFERROR(__xludf.DUMMYFUNCTION("""COMPUTED_VALUE"""),3422561.0)</f>
        <v>3422561</v>
      </c>
    </row>
    <row r="71">
      <c r="A71" s="3">
        <f>IFERROR(__xludf.DUMMYFUNCTION("""COMPUTED_VALUE"""),45029.66666666667)</f>
        <v>45029.66667</v>
      </c>
      <c r="B71" s="2">
        <f>IFERROR(__xludf.DUMMYFUNCTION("""COMPUTED_VALUE"""),523.91)</f>
        <v>523.91</v>
      </c>
      <c r="C71" s="2">
        <f>IFERROR(__xludf.DUMMYFUNCTION("""COMPUTED_VALUE"""),530.45)</f>
        <v>530.45</v>
      </c>
      <c r="D71" s="2">
        <f>IFERROR(__xludf.DUMMYFUNCTION("""COMPUTED_VALUE"""),520.5)</f>
        <v>520.5</v>
      </c>
      <c r="E71" s="2">
        <f>IFERROR(__xludf.DUMMYFUNCTION("""COMPUTED_VALUE"""),526.23)</f>
        <v>526.23</v>
      </c>
      <c r="F71" s="2">
        <f>IFERROR(__xludf.DUMMYFUNCTION("""COMPUTED_VALUE"""),4224353.0)</f>
        <v>4224353</v>
      </c>
    </row>
    <row r="72">
      <c r="A72" s="3">
        <f>IFERROR(__xludf.DUMMYFUNCTION("""COMPUTED_VALUE"""),45030.66666666667)</f>
        <v>45030.66667</v>
      </c>
      <c r="B72" s="2">
        <f>IFERROR(__xludf.DUMMYFUNCTION("""COMPUTED_VALUE"""),522.0)</f>
        <v>522</v>
      </c>
      <c r="C72" s="2">
        <f>IFERROR(__xludf.DUMMYFUNCTION("""COMPUTED_VALUE"""),527.24)</f>
        <v>527.24</v>
      </c>
      <c r="D72" s="2">
        <f>IFERROR(__xludf.DUMMYFUNCTION("""COMPUTED_VALUE"""),508.5)</f>
        <v>508.5</v>
      </c>
      <c r="E72" s="2">
        <f>IFERROR(__xludf.DUMMYFUNCTION("""COMPUTED_VALUE"""),511.79)</f>
        <v>511.79</v>
      </c>
      <c r="F72" s="2">
        <f>IFERROR(__xludf.DUMMYFUNCTION("""COMPUTED_VALUE"""),4871970.0)</f>
        <v>4871970</v>
      </c>
    </row>
    <row r="73">
      <c r="A73" s="3">
        <f>IFERROR(__xludf.DUMMYFUNCTION("""COMPUTED_VALUE"""),45033.66666666667)</f>
        <v>45033.66667</v>
      </c>
      <c r="B73" s="2">
        <f>IFERROR(__xludf.DUMMYFUNCTION("""COMPUTED_VALUE"""),508.72)</f>
        <v>508.72</v>
      </c>
      <c r="C73" s="2">
        <f>IFERROR(__xludf.DUMMYFUNCTION("""COMPUTED_VALUE"""),509.59)</f>
        <v>509.59</v>
      </c>
      <c r="D73" s="2">
        <f>IFERROR(__xludf.DUMMYFUNCTION("""COMPUTED_VALUE"""),502.75)</f>
        <v>502.75</v>
      </c>
      <c r="E73" s="2">
        <f>IFERROR(__xludf.DUMMYFUNCTION("""COMPUTED_VALUE"""),505.35)</f>
        <v>505.35</v>
      </c>
      <c r="F73" s="2">
        <f>IFERROR(__xludf.DUMMYFUNCTION("""COMPUTED_VALUE"""),3660940.0)</f>
        <v>3660940</v>
      </c>
    </row>
    <row r="74">
      <c r="A74" s="3">
        <f>IFERROR(__xludf.DUMMYFUNCTION("""COMPUTED_VALUE"""),45034.66666666667)</f>
        <v>45034.66667</v>
      </c>
      <c r="B74" s="2">
        <f>IFERROR(__xludf.DUMMYFUNCTION("""COMPUTED_VALUE"""),503.67)</f>
        <v>503.67</v>
      </c>
      <c r="C74" s="2">
        <f>IFERROR(__xludf.DUMMYFUNCTION("""COMPUTED_VALUE"""),506.99)</f>
        <v>506.99</v>
      </c>
      <c r="D74" s="2">
        <f>IFERROR(__xludf.DUMMYFUNCTION("""COMPUTED_VALUE"""),498.14)</f>
        <v>498.14</v>
      </c>
      <c r="E74" s="2">
        <f>IFERROR(__xludf.DUMMYFUNCTION("""COMPUTED_VALUE"""),504.48)</f>
        <v>504.48</v>
      </c>
      <c r="F74" s="2">
        <f>IFERROR(__xludf.DUMMYFUNCTION("""COMPUTED_VALUE"""),3232033.0)</f>
        <v>3232033</v>
      </c>
    </row>
    <row r="75">
      <c r="A75" s="3">
        <f>IFERROR(__xludf.DUMMYFUNCTION("""COMPUTED_VALUE"""),45035.66666666667)</f>
        <v>45035.66667</v>
      </c>
      <c r="B75" s="2">
        <f>IFERROR(__xludf.DUMMYFUNCTION("""COMPUTED_VALUE"""),500.65)</f>
        <v>500.65</v>
      </c>
      <c r="C75" s="2">
        <f>IFERROR(__xludf.DUMMYFUNCTION("""COMPUTED_VALUE"""),501.97)</f>
        <v>501.97</v>
      </c>
      <c r="D75" s="2">
        <f>IFERROR(__xludf.DUMMYFUNCTION("""COMPUTED_VALUE"""),483.63)</f>
        <v>483.63</v>
      </c>
      <c r="E75" s="2">
        <f>IFERROR(__xludf.DUMMYFUNCTION("""COMPUTED_VALUE"""),486.2)</f>
        <v>486.2</v>
      </c>
      <c r="F75" s="2">
        <f>IFERROR(__xludf.DUMMYFUNCTION("""COMPUTED_VALUE"""),5809078.0)</f>
        <v>5809078</v>
      </c>
    </row>
    <row r="76">
      <c r="A76" s="3">
        <f>IFERROR(__xludf.DUMMYFUNCTION("""COMPUTED_VALUE"""),45036.66666666667)</f>
        <v>45036.66667</v>
      </c>
      <c r="B76" s="2">
        <f>IFERROR(__xludf.DUMMYFUNCTION("""COMPUTED_VALUE"""),485.47)</f>
        <v>485.47</v>
      </c>
      <c r="C76" s="2">
        <f>IFERROR(__xludf.DUMMYFUNCTION("""COMPUTED_VALUE"""),489.65)</f>
        <v>489.65</v>
      </c>
      <c r="D76" s="2">
        <f>IFERROR(__xludf.DUMMYFUNCTION("""COMPUTED_VALUE"""),483.26)</f>
        <v>483.26</v>
      </c>
      <c r="E76" s="2">
        <f>IFERROR(__xludf.DUMMYFUNCTION("""COMPUTED_VALUE"""),487.46)</f>
        <v>487.46</v>
      </c>
      <c r="F76" s="2">
        <f>IFERROR(__xludf.DUMMYFUNCTION("""COMPUTED_VALUE"""),3283234.0)</f>
        <v>3283234</v>
      </c>
    </row>
    <row r="77">
      <c r="A77" s="3">
        <f>IFERROR(__xludf.DUMMYFUNCTION("""COMPUTED_VALUE"""),45037.66666666667)</f>
        <v>45037.66667</v>
      </c>
      <c r="B77" s="2">
        <f>IFERROR(__xludf.DUMMYFUNCTION("""COMPUTED_VALUE"""),490.04)</f>
        <v>490.04</v>
      </c>
      <c r="C77" s="2">
        <f>IFERROR(__xludf.DUMMYFUNCTION("""COMPUTED_VALUE"""),490.73)</f>
        <v>490.73</v>
      </c>
      <c r="D77" s="2">
        <f>IFERROR(__xludf.DUMMYFUNCTION("""COMPUTED_VALUE"""),482.14)</f>
        <v>482.14</v>
      </c>
      <c r="E77" s="2">
        <f>IFERROR(__xludf.DUMMYFUNCTION("""COMPUTED_VALUE"""),483.82)</f>
        <v>483.82</v>
      </c>
      <c r="F77" s="2">
        <f>IFERROR(__xludf.DUMMYFUNCTION("""COMPUTED_VALUE"""),3165280.0)</f>
        <v>3165280</v>
      </c>
    </row>
    <row r="78">
      <c r="A78" s="3">
        <f>IFERROR(__xludf.DUMMYFUNCTION("""COMPUTED_VALUE"""),45040.66666666667)</f>
        <v>45040.66667</v>
      </c>
      <c r="B78" s="2">
        <f>IFERROR(__xludf.DUMMYFUNCTION("""COMPUTED_VALUE"""),483.41)</f>
        <v>483.41</v>
      </c>
      <c r="C78" s="2">
        <f>IFERROR(__xludf.DUMMYFUNCTION("""COMPUTED_VALUE"""),490.22)</f>
        <v>490.22</v>
      </c>
      <c r="D78" s="2">
        <f>IFERROR(__xludf.DUMMYFUNCTION("""COMPUTED_VALUE"""),482.65)</f>
        <v>482.65</v>
      </c>
      <c r="E78" s="2">
        <f>IFERROR(__xludf.DUMMYFUNCTION("""COMPUTED_VALUE"""),488.94)</f>
        <v>488.94</v>
      </c>
      <c r="F78" s="2">
        <f>IFERROR(__xludf.DUMMYFUNCTION("""COMPUTED_VALUE"""),2322433.0)</f>
        <v>2322433</v>
      </c>
    </row>
    <row r="79">
      <c r="A79" s="3">
        <f>IFERROR(__xludf.DUMMYFUNCTION("""COMPUTED_VALUE"""),45041.66666666667)</f>
        <v>45041.66667</v>
      </c>
      <c r="B79" s="2">
        <f>IFERROR(__xludf.DUMMYFUNCTION("""COMPUTED_VALUE"""),492.68)</f>
        <v>492.68</v>
      </c>
      <c r="C79" s="2">
        <f>IFERROR(__xludf.DUMMYFUNCTION("""COMPUTED_VALUE"""),498.5)</f>
        <v>498.5</v>
      </c>
      <c r="D79" s="2">
        <f>IFERROR(__xludf.DUMMYFUNCTION("""COMPUTED_VALUE"""),490.58)</f>
        <v>490.58</v>
      </c>
      <c r="E79" s="2">
        <f>IFERROR(__xludf.DUMMYFUNCTION("""COMPUTED_VALUE"""),491.92)</f>
        <v>491.92</v>
      </c>
      <c r="F79" s="2">
        <f>IFERROR(__xludf.DUMMYFUNCTION("""COMPUTED_VALUE"""),2937292.0)</f>
        <v>2937292</v>
      </c>
    </row>
    <row r="80">
      <c r="A80" s="3">
        <f>IFERROR(__xludf.DUMMYFUNCTION("""COMPUTED_VALUE"""),45042.66666666667)</f>
        <v>45042.66667</v>
      </c>
      <c r="B80" s="2">
        <f>IFERROR(__xludf.DUMMYFUNCTION("""COMPUTED_VALUE"""),485.87)</f>
        <v>485.87</v>
      </c>
      <c r="C80" s="2">
        <f>IFERROR(__xludf.DUMMYFUNCTION("""COMPUTED_VALUE"""),487.7)</f>
        <v>487.7</v>
      </c>
      <c r="D80" s="2">
        <f>IFERROR(__xludf.DUMMYFUNCTION("""COMPUTED_VALUE"""),478.36)</f>
        <v>478.36</v>
      </c>
      <c r="E80" s="2">
        <f>IFERROR(__xludf.DUMMYFUNCTION("""COMPUTED_VALUE"""),482.95)</f>
        <v>482.95</v>
      </c>
      <c r="F80" s="2">
        <f>IFERROR(__xludf.DUMMYFUNCTION("""COMPUTED_VALUE"""),2929969.0)</f>
        <v>2929969</v>
      </c>
    </row>
    <row r="81">
      <c r="A81" s="3">
        <f>IFERROR(__xludf.DUMMYFUNCTION("""COMPUTED_VALUE"""),45043.66666666667)</f>
        <v>45043.66667</v>
      </c>
      <c r="B81" s="2">
        <f>IFERROR(__xludf.DUMMYFUNCTION("""COMPUTED_VALUE"""),482.2)</f>
        <v>482.2</v>
      </c>
      <c r="C81" s="2">
        <f>IFERROR(__xludf.DUMMYFUNCTION("""COMPUTED_VALUE"""),490.98)</f>
        <v>490.98</v>
      </c>
      <c r="D81" s="2">
        <f>IFERROR(__xludf.DUMMYFUNCTION("""COMPUTED_VALUE"""),482.2)</f>
        <v>482.2</v>
      </c>
      <c r="E81" s="2">
        <f>IFERROR(__xludf.DUMMYFUNCTION("""COMPUTED_VALUE"""),490.47)</f>
        <v>490.47</v>
      </c>
      <c r="F81" s="2">
        <f>IFERROR(__xludf.DUMMYFUNCTION("""COMPUTED_VALUE"""),2473223.0)</f>
        <v>2473223</v>
      </c>
    </row>
    <row r="82">
      <c r="A82" s="3">
        <f>IFERROR(__xludf.DUMMYFUNCTION("""COMPUTED_VALUE"""),45044.66666666667)</f>
        <v>45044.66667</v>
      </c>
      <c r="B82" s="2">
        <f>IFERROR(__xludf.DUMMYFUNCTION("""COMPUTED_VALUE"""),488.69)</f>
        <v>488.69</v>
      </c>
      <c r="C82" s="2">
        <f>IFERROR(__xludf.DUMMYFUNCTION("""COMPUTED_VALUE"""),493.96)</f>
        <v>493.96</v>
      </c>
      <c r="D82" s="2">
        <f>IFERROR(__xludf.DUMMYFUNCTION("""COMPUTED_VALUE"""),488.12)</f>
        <v>488.12</v>
      </c>
      <c r="E82" s="2">
        <f>IFERROR(__xludf.DUMMYFUNCTION("""COMPUTED_VALUE"""),492.09)</f>
        <v>492.09</v>
      </c>
      <c r="F82" s="2">
        <f>IFERROR(__xludf.DUMMYFUNCTION("""COMPUTED_VALUE"""),2398914.0)</f>
        <v>2398914</v>
      </c>
    </row>
    <row r="83">
      <c r="A83" s="3">
        <f>IFERROR(__xludf.DUMMYFUNCTION("""COMPUTED_VALUE"""),45047.66666666667)</f>
        <v>45047.66667</v>
      </c>
      <c r="B83" s="2">
        <f>IFERROR(__xludf.DUMMYFUNCTION("""COMPUTED_VALUE"""),494.59)</f>
        <v>494.59</v>
      </c>
      <c r="C83" s="2">
        <f>IFERROR(__xludf.DUMMYFUNCTION("""COMPUTED_VALUE"""),499.39)</f>
        <v>499.39</v>
      </c>
      <c r="D83" s="2">
        <f>IFERROR(__xludf.DUMMYFUNCTION("""COMPUTED_VALUE"""),491.81)</f>
        <v>491.81</v>
      </c>
      <c r="E83" s="2">
        <f>IFERROR(__xludf.DUMMYFUNCTION("""COMPUTED_VALUE"""),495.7)</f>
        <v>495.7</v>
      </c>
      <c r="F83" s="2">
        <f>IFERROR(__xludf.DUMMYFUNCTION("""COMPUTED_VALUE"""),2105592.0)</f>
        <v>2105592</v>
      </c>
    </row>
    <row r="84">
      <c r="A84" s="3">
        <f>IFERROR(__xludf.DUMMYFUNCTION("""COMPUTED_VALUE"""),45048.66666666667)</f>
        <v>45048.66667</v>
      </c>
      <c r="B84" s="2">
        <f>IFERROR(__xludf.DUMMYFUNCTION("""COMPUTED_VALUE"""),495.25)</f>
        <v>495.25</v>
      </c>
      <c r="C84" s="2">
        <f>IFERROR(__xludf.DUMMYFUNCTION("""COMPUTED_VALUE"""),496.71)</f>
        <v>496.71</v>
      </c>
      <c r="D84" s="2">
        <f>IFERROR(__xludf.DUMMYFUNCTION("""COMPUTED_VALUE"""),489.27)</f>
        <v>489.27</v>
      </c>
      <c r="E84" s="2">
        <f>IFERROR(__xludf.DUMMYFUNCTION("""COMPUTED_VALUE"""),493.39)</f>
        <v>493.39</v>
      </c>
      <c r="F84" s="2">
        <f>IFERROR(__xludf.DUMMYFUNCTION("""COMPUTED_VALUE"""),2152342.0)</f>
        <v>2152342</v>
      </c>
    </row>
    <row r="85">
      <c r="A85" s="3">
        <f>IFERROR(__xludf.DUMMYFUNCTION("""COMPUTED_VALUE"""),45049.66666666667)</f>
        <v>45049.66667</v>
      </c>
      <c r="B85" s="2">
        <f>IFERROR(__xludf.DUMMYFUNCTION("""COMPUTED_VALUE"""),494.4)</f>
        <v>494.4</v>
      </c>
      <c r="C85" s="2">
        <f>IFERROR(__xludf.DUMMYFUNCTION("""COMPUTED_VALUE"""),495.45)</f>
        <v>495.45</v>
      </c>
      <c r="D85" s="2">
        <f>IFERROR(__xludf.DUMMYFUNCTION("""COMPUTED_VALUE"""),488.03)</f>
        <v>488.03</v>
      </c>
      <c r="E85" s="2">
        <f>IFERROR(__xludf.DUMMYFUNCTION("""COMPUTED_VALUE"""),489.44)</f>
        <v>489.44</v>
      </c>
      <c r="F85" s="2">
        <f>IFERROR(__xludf.DUMMYFUNCTION("""COMPUTED_VALUE"""),1749709.0)</f>
        <v>1749709</v>
      </c>
    </row>
    <row r="86">
      <c r="A86" s="3">
        <f>IFERROR(__xludf.DUMMYFUNCTION("""COMPUTED_VALUE"""),45050.66666666667)</f>
        <v>45050.66667</v>
      </c>
      <c r="B86" s="2">
        <f>IFERROR(__xludf.DUMMYFUNCTION("""COMPUTED_VALUE"""),487.05)</f>
        <v>487.05</v>
      </c>
      <c r="C86" s="2">
        <f>IFERROR(__xludf.DUMMYFUNCTION("""COMPUTED_VALUE"""),489.69)</f>
        <v>489.69</v>
      </c>
      <c r="D86" s="2">
        <f>IFERROR(__xludf.DUMMYFUNCTION("""COMPUTED_VALUE"""),481.95)</f>
        <v>481.95</v>
      </c>
      <c r="E86" s="2">
        <f>IFERROR(__xludf.DUMMYFUNCTION("""COMPUTED_VALUE"""),487.28)</f>
        <v>487.28</v>
      </c>
      <c r="F86" s="2">
        <f>IFERROR(__xludf.DUMMYFUNCTION("""COMPUTED_VALUE"""),2555690.0)</f>
        <v>2555690</v>
      </c>
    </row>
    <row r="87">
      <c r="A87" s="3">
        <f>IFERROR(__xludf.DUMMYFUNCTION("""COMPUTED_VALUE"""),45051.66666666667)</f>
        <v>45051.66667</v>
      </c>
      <c r="B87" s="2">
        <f>IFERROR(__xludf.DUMMYFUNCTION("""COMPUTED_VALUE"""),494.06)</f>
        <v>494.06</v>
      </c>
      <c r="C87" s="2">
        <f>IFERROR(__xludf.DUMMYFUNCTION("""COMPUTED_VALUE"""),500.85)</f>
        <v>500.85</v>
      </c>
      <c r="D87" s="2">
        <f>IFERROR(__xludf.DUMMYFUNCTION("""COMPUTED_VALUE"""),492.03)</f>
        <v>492.03</v>
      </c>
      <c r="E87" s="2">
        <f>IFERROR(__xludf.DUMMYFUNCTION("""COMPUTED_VALUE"""),494.28)</f>
        <v>494.28</v>
      </c>
      <c r="F87" s="2">
        <f>IFERROR(__xludf.DUMMYFUNCTION("""COMPUTED_VALUE"""),2329402.0)</f>
        <v>2329402</v>
      </c>
    </row>
    <row r="88">
      <c r="A88" s="3">
        <f>IFERROR(__xludf.DUMMYFUNCTION("""COMPUTED_VALUE"""),45054.66666666667)</f>
        <v>45054.66667</v>
      </c>
      <c r="B88" s="2">
        <f>IFERROR(__xludf.DUMMYFUNCTION("""COMPUTED_VALUE"""),492.04)</f>
        <v>492.04</v>
      </c>
      <c r="C88" s="2">
        <f>IFERROR(__xludf.DUMMYFUNCTION("""COMPUTED_VALUE"""),494.35)</f>
        <v>494.35</v>
      </c>
      <c r="D88" s="2">
        <f>IFERROR(__xludf.DUMMYFUNCTION("""COMPUTED_VALUE"""),488.32)</f>
        <v>488.32</v>
      </c>
      <c r="E88" s="2">
        <f>IFERROR(__xludf.DUMMYFUNCTION("""COMPUTED_VALUE"""),492.62)</f>
        <v>492.62</v>
      </c>
      <c r="F88" s="2">
        <f>IFERROR(__xludf.DUMMYFUNCTION("""COMPUTED_VALUE"""),1738461.0)</f>
        <v>1738461</v>
      </c>
    </row>
    <row r="89">
      <c r="A89" s="3">
        <f>IFERROR(__xludf.DUMMYFUNCTION("""COMPUTED_VALUE"""),45055.66666666667)</f>
        <v>45055.66667</v>
      </c>
      <c r="B89" s="2">
        <f>IFERROR(__xludf.DUMMYFUNCTION("""COMPUTED_VALUE"""),492.84)</f>
        <v>492.84</v>
      </c>
      <c r="C89" s="2">
        <f>IFERROR(__xludf.DUMMYFUNCTION("""COMPUTED_VALUE"""),499.4)</f>
        <v>499.4</v>
      </c>
      <c r="D89" s="2">
        <f>IFERROR(__xludf.DUMMYFUNCTION("""COMPUTED_VALUE"""),490.3)</f>
        <v>490.3</v>
      </c>
      <c r="E89" s="2">
        <f>IFERROR(__xludf.DUMMYFUNCTION("""COMPUTED_VALUE"""),490.38)</f>
        <v>490.38</v>
      </c>
      <c r="F89" s="2">
        <f>IFERROR(__xludf.DUMMYFUNCTION("""COMPUTED_VALUE"""),2038644.0)</f>
        <v>2038644</v>
      </c>
    </row>
    <row r="90">
      <c r="A90" s="3">
        <f>IFERROR(__xludf.DUMMYFUNCTION("""COMPUTED_VALUE"""),45056.66666666667)</f>
        <v>45056.66667</v>
      </c>
      <c r="B90" s="2">
        <f>IFERROR(__xludf.DUMMYFUNCTION("""COMPUTED_VALUE"""),489.4)</f>
        <v>489.4</v>
      </c>
      <c r="C90" s="2">
        <f>IFERROR(__xludf.DUMMYFUNCTION("""COMPUTED_VALUE"""),493.47)</f>
        <v>493.47</v>
      </c>
      <c r="D90" s="2">
        <f>IFERROR(__xludf.DUMMYFUNCTION("""COMPUTED_VALUE"""),487.64)</f>
        <v>487.64</v>
      </c>
      <c r="E90" s="2">
        <f>IFERROR(__xludf.DUMMYFUNCTION("""COMPUTED_VALUE"""),490.07)</f>
        <v>490.07</v>
      </c>
      <c r="F90" s="2">
        <f>IFERROR(__xludf.DUMMYFUNCTION("""COMPUTED_VALUE"""),2018899.0)</f>
        <v>2018899</v>
      </c>
    </row>
    <row r="91">
      <c r="A91" s="3">
        <f>IFERROR(__xludf.DUMMYFUNCTION("""COMPUTED_VALUE"""),45057.66666666667)</f>
        <v>45057.66667</v>
      </c>
      <c r="B91" s="2">
        <f>IFERROR(__xludf.DUMMYFUNCTION("""COMPUTED_VALUE"""),488.0)</f>
        <v>488</v>
      </c>
      <c r="C91" s="2">
        <f>IFERROR(__xludf.DUMMYFUNCTION("""COMPUTED_VALUE"""),490.12)</f>
        <v>490.12</v>
      </c>
      <c r="D91" s="2">
        <f>IFERROR(__xludf.DUMMYFUNCTION("""COMPUTED_VALUE"""),485.66)</f>
        <v>485.66</v>
      </c>
      <c r="E91" s="2">
        <f>IFERROR(__xludf.DUMMYFUNCTION("""COMPUTED_VALUE"""),488.76)</f>
        <v>488.76</v>
      </c>
      <c r="F91" s="2">
        <f>IFERROR(__xludf.DUMMYFUNCTION("""COMPUTED_VALUE"""),2384419.0)</f>
        <v>2384419</v>
      </c>
    </row>
    <row r="92">
      <c r="A92" s="3">
        <f>IFERROR(__xludf.DUMMYFUNCTION("""COMPUTED_VALUE"""),45058.66666666667)</f>
        <v>45058.66667</v>
      </c>
      <c r="B92" s="2">
        <f>IFERROR(__xludf.DUMMYFUNCTION("""COMPUTED_VALUE"""),488.76)</f>
        <v>488.76</v>
      </c>
      <c r="C92" s="2">
        <f>IFERROR(__xludf.DUMMYFUNCTION("""COMPUTED_VALUE"""),492.9)</f>
        <v>492.9</v>
      </c>
      <c r="D92" s="2">
        <f>IFERROR(__xludf.DUMMYFUNCTION("""COMPUTED_VALUE"""),487.75)</f>
        <v>487.75</v>
      </c>
      <c r="E92" s="2">
        <f>IFERROR(__xludf.DUMMYFUNCTION("""COMPUTED_VALUE"""),491.23)</f>
        <v>491.23</v>
      </c>
      <c r="F92" s="2">
        <f>IFERROR(__xludf.DUMMYFUNCTION("""COMPUTED_VALUE"""),1536748.0)</f>
        <v>1536748</v>
      </c>
    </row>
    <row r="93">
      <c r="A93" s="3">
        <f>IFERROR(__xludf.DUMMYFUNCTION("""COMPUTED_VALUE"""),45061.66666666667)</f>
        <v>45061.66667</v>
      </c>
      <c r="B93" s="2">
        <f>IFERROR(__xludf.DUMMYFUNCTION("""COMPUTED_VALUE"""),491.4)</f>
        <v>491.4</v>
      </c>
      <c r="C93" s="2">
        <f>IFERROR(__xludf.DUMMYFUNCTION("""COMPUTED_VALUE"""),491.79)</f>
        <v>491.79</v>
      </c>
      <c r="D93" s="2">
        <f>IFERROR(__xludf.DUMMYFUNCTION("""COMPUTED_VALUE"""),483.7)</f>
        <v>483.7</v>
      </c>
      <c r="E93" s="2">
        <f>IFERROR(__xludf.DUMMYFUNCTION("""COMPUTED_VALUE"""),486.86)</f>
        <v>486.86</v>
      </c>
      <c r="F93" s="2">
        <f>IFERROR(__xludf.DUMMYFUNCTION("""COMPUTED_VALUE"""),2169713.0)</f>
        <v>2169713</v>
      </c>
    </row>
    <row r="94">
      <c r="A94" s="3">
        <f>IFERROR(__xludf.DUMMYFUNCTION("""COMPUTED_VALUE"""),45062.66666666667)</f>
        <v>45062.66667</v>
      </c>
      <c r="B94" s="2">
        <f>IFERROR(__xludf.DUMMYFUNCTION("""COMPUTED_VALUE"""),487.62)</f>
        <v>487.62</v>
      </c>
      <c r="C94" s="2">
        <f>IFERROR(__xludf.DUMMYFUNCTION("""COMPUTED_VALUE"""),489.21)</f>
        <v>489.21</v>
      </c>
      <c r="D94" s="2">
        <f>IFERROR(__xludf.DUMMYFUNCTION("""COMPUTED_VALUE"""),479.01)</f>
        <v>479.01</v>
      </c>
      <c r="E94" s="2">
        <f>IFERROR(__xludf.DUMMYFUNCTION("""COMPUTED_VALUE"""),479.72)</f>
        <v>479.72</v>
      </c>
      <c r="F94" s="2">
        <f>IFERROR(__xludf.DUMMYFUNCTION("""COMPUTED_VALUE"""),2179518.0)</f>
        <v>2179518</v>
      </c>
    </row>
    <row r="95">
      <c r="A95" s="3">
        <f>IFERROR(__xludf.DUMMYFUNCTION("""COMPUTED_VALUE"""),45063.66666666667)</f>
        <v>45063.66667</v>
      </c>
      <c r="B95" s="2">
        <f>IFERROR(__xludf.DUMMYFUNCTION("""COMPUTED_VALUE"""),480.0)</f>
        <v>480</v>
      </c>
      <c r="C95" s="2">
        <f>IFERROR(__xludf.DUMMYFUNCTION("""COMPUTED_VALUE"""),485.4)</f>
        <v>485.4</v>
      </c>
      <c r="D95" s="2">
        <f>IFERROR(__xludf.DUMMYFUNCTION("""COMPUTED_VALUE"""),477.54)</f>
        <v>477.54</v>
      </c>
      <c r="E95" s="2">
        <f>IFERROR(__xludf.DUMMYFUNCTION("""COMPUTED_VALUE"""),484.81)</f>
        <v>484.81</v>
      </c>
      <c r="F95" s="2">
        <f>IFERROR(__xludf.DUMMYFUNCTION("""COMPUTED_VALUE"""),2682082.0)</f>
        <v>2682082</v>
      </c>
    </row>
    <row r="96">
      <c r="A96" s="3">
        <f>IFERROR(__xludf.DUMMYFUNCTION("""COMPUTED_VALUE"""),45064.66666666667)</f>
        <v>45064.66667</v>
      </c>
      <c r="B96" s="2">
        <f>IFERROR(__xludf.DUMMYFUNCTION("""COMPUTED_VALUE"""),482.05)</f>
        <v>482.05</v>
      </c>
      <c r="C96" s="2">
        <f>IFERROR(__xludf.DUMMYFUNCTION("""COMPUTED_VALUE"""),482.55)</f>
        <v>482.55</v>
      </c>
      <c r="D96" s="2">
        <f>IFERROR(__xludf.DUMMYFUNCTION("""COMPUTED_VALUE"""),473.89)</f>
        <v>473.89</v>
      </c>
      <c r="E96" s="2">
        <f>IFERROR(__xludf.DUMMYFUNCTION("""COMPUTED_VALUE"""),479.23)</f>
        <v>479.23</v>
      </c>
      <c r="F96" s="2">
        <f>IFERROR(__xludf.DUMMYFUNCTION("""COMPUTED_VALUE"""),3040115.0)</f>
        <v>3040115</v>
      </c>
    </row>
    <row r="97">
      <c r="A97" s="3">
        <f>IFERROR(__xludf.DUMMYFUNCTION("""COMPUTED_VALUE"""),45065.66666666667)</f>
        <v>45065.66667</v>
      </c>
      <c r="B97" s="2">
        <f>IFERROR(__xludf.DUMMYFUNCTION("""COMPUTED_VALUE"""),479.58)</f>
        <v>479.58</v>
      </c>
      <c r="C97" s="2">
        <f>IFERROR(__xludf.DUMMYFUNCTION("""COMPUTED_VALUE"""),484.8)</f>
        <v>484.8</v>
      </c>
      <c r="D97" s="2">
        <f>IFERROR(__xludf.DUMMYFUNCTION("""COMPUTED_VALUE"""),477.81)</f>
        <v>477.81</v>
      </c>
      <c r="E97" s="2">
        <f>IFERROR(__xludf.DUMMYFUNCTION("""COMPUTED_VALUE"""),478.82)</f>
        <v>478.82</v>
      </c>
      <c r="F97" s="2">
        <f>IFERROR(__xludf.DUMMYFUNCTION("""COMPUTED_VALUE"""),2318047.0)</f>
        <v>2318047</v>
      </c>
    </row>
    <row r="98">
      <c r="A98" s="3">
        <f>IFERROR(__xludf.DUMMYFUNCTION("""COMPUTED_VALUE"""),45068.66666666667)</f>
        <v>45068.66667</v>
      </c>
      <c r="B98" s="2">
        <f>IFERROR(__xludf.DUMMYFUNCTION("""COMPUTED_VALUE"""),480.44)</f>
        <v>480.44</v>
      </c>
      <c r="C98" s="2">
        <f>IFERROR(__xludf.DUMMYFUNCTION("""COMPUTED_VALUE"""),482.2)</f>
        <v>482.2</v>
      </c>
      <c r="D98" s="2">
        <f>IFERROR(__xludf.DUMMYFUNCTION("""COMPUTED_VALUE"""),477.91)</f>
        <v>477.91</v>
      </c>
      <c r="E98" s="2">
        <f>IFERROR(__xludf.DUMMYFUNCTION("""COMPUTED_VALUE"""),480.62)</f>
        <v>480.62</v>
      </c>
      <c r="F98" s="2">
        <f>IFERROR(__xludf.DUMMYFUNCTION("""COMPUTED_VALUE"""),2242831.0)</f>
        <v>2242831</v>
      </c>
    </row>
    <row r="99">
      <c r="A99" s="3">
        <f>IFERROR(__xludf.DUMMYFUNCTION("""COMPUTED_VALUE"""),45069.66666666667)</f>
        <v>45069.66667</v>
      </c>
      <c r="B99" s="2">
        <f>IFERROR(__xludf.DUMMYFUNCTION("""COMPUTED_VALUE"""),476.18)</f>
        <v>476.18</v>
      </c>
      <c r="C99" s="2">
        <f>IFERROR(__xludf.DUMMYFUNCTION("""COMPUTED_VALUE"""),483.39)</f>
        <v>483.39</v>
      </c>
      <c r="D99" s="2">
        <f>IFERROR(__xludf.DUMMYFUNCTION("""COMPUTED_VALUE"""),472.54)</f>
        <v>472.54</v>
      </c>
      <c r="E99" s="2">
        <f>IFERROR(__xludf.DUMMYFUNCTION("""COMPUTED_VALUE"""),479.44)</f>
        <v>479.44</v>
      </c>
      <c r="F99" s="2">
        <f>IFERROR(__xludf.DUMMYFUNCTION("""COMPUTED_VALUE"""),2874407.0)</f>
        <v>2874407</v>
      </c>
    </row>
    <row r="100">
      <c r="A100" s="3">
        <f>IFERROR(__xludf.DUMMYFUNCTION("""COMPUTED_VALUE"""),45070.66666666667)</f>
        <v>45070.66667</v>
      </c>
      <c r="B100" s="2">
        <f>IFERROR(__xludf.DUMMYFUNCTION("""COMPUTED_VALUE"""),480.61)</f>
        <v>480.61</v>
      </c>
      <c r="C100" s="2">
        <f>IFERROR(__xludf.DUMMYFUNCTION("""COMPUTED_VALUE"""),483.28)</f>
        <v>483.28</v>
      </c>
      <c r="D100" s="2">
        <f>IFERROR(__xludf.DUMMYFUNCTION("""COMPUTED_VALUE"""),478.89)</f>
        <v>478.89</v>
      </c>
      <c r="E100" s="2">
        <f>IFERROR(__xludf.DUMMYFUNCTION("""COMPUTED_VALUE"""),480.83)</f>
        <v>480.83</v>
      </c>
      <c r="F100" s="2">
        <f>IFERROR(__xludf.DUMMYFUNCTION("""COMPUTED_VALUE"""),1904673.0)</f>
        <v>1904673</v>
      </c>
    </row>
    <row r="101">
      <c r="A101" s="3">
        <f>IFERROR(__xludf.DUMMYFUNCTION("""COMPUTED_VALUE"""),45071.66666666667)</f>
        <v>45071.66667</v>
      </c>
      <c r="B101" s="2">
        <f>IFERROR(__xludf.DUMMYFUNCTION("""COMPUTED_VALUE"""),477.63)</f>
        <v>477.63</v>
      </c>
      <c r="C101" s="2">
        <f>IFERROR(__xludf.DUMMYFUNCTION("""COMPUTED_VALUE"""),481.77)</f>
        <v>481.77</v>
      </c>
      <c r="D101" s="2">
        <f>IFERROR(__xludf.DUMMYFUNCTION("""COMPUTED_VALUE"""),474.3)</f>
        <v>474.3</v>
      </c>
      <c r="E101" s="2">
        <f>IFERROR(__xludf.DUMMYFUNCTION("""COMPUTED_VALUE"""),477.7)</f>
        <v>477.7</v>
      </c>
      <c r="F101" s="2">
        <f>IFERROR(__xludf.DUMMYFUNCTION("""COMPUTED_VALUE"""),2684136.0)</f>
        <v>2684136</v>
      </c>
    </row>
    <row r="102">
      <c r="A102" s="3">
        <f>IFERROR(__xludf.DUMMYFUNCTION("""COMPUTED_VALUE"""),45072.66666666667)</f>
        <v>45072.66667</v>
      </c>
      <c r="B102" s="2">
        <f>IFERROR(__xludf.DUMMYFUNCTION("""COMPUTED_VALUE"""),478.06)</f>
        <v>478.06</v>
      </c>
      <c r="C102" s="2">
        <f>IFERROR(__xludf.DUMMYFUNCTION("""COMPUTED_VALUE"""),488.39)</f>
        <v>488.39</v>
      </c>
      <c r="D102" s="2">
        <f>IFERROR(__xludf.DUMMYFUNCTION("""COMPUTED_VALUE"""),478.0)</f>
        <v>478</v>
      </c>
      <c r="E102" s="2">
        <f>IFERROR(__xludf.DUMMYFUNCTION("""COMPUTED_VALUE"""),481.52)</f>
        <v>481.52</v>
      </c>
      <c r="F102" s="2">
        <f>IFERROR(__xludf.DUMMYFUNCTION("""COMPUTED_VALUE"""),3135257.0)</f>
        <v>3135257</v>
      </c>
    </row>
    <row r="103">
      <c r="A103" s="3">
        <f>IFERROR(__xludf.DUMMYFUNCTION("""COMPUTED_VALUE"""),45076.66666666667)</f>
        <v>45076.66667</v>
      </c>
      <c r="B103" s="2">
        <f>IFERROR(__xludf.DUMMYFUNCTION("""COMPUTED_VALUE"""),476.68)</f>
        <v>476.68</v>
      </c>
      <c r="C103" s="2">
        <f>IFERROR(__xludf.DUMMYFUNCTION("""COMPUTED_VALUE"""),485.87)</f>
        <v>485.87</v>
      </c>
      <c r="D103" s="2">
        <f>IFERROR(__xludf.DUMMYFUNCTION("""COMPUTED_VALUE"""),476.03)</f>
        <v>476.03</v>
      </c>
      <c r="E103" s="2">
        <f>IFERROR(__xludf.DUMMYFUNCTION("""COMPUTED_VALUE"""),479.85)</f>
        <v>479.85</v>
      </c>
      <c r="F103" s="2">
        <f>IFERROR(__xludf.DUMMYFUNCTION("""COMPUTED_VALUE"""),3180817.0)</f>
        <v>3180817</v>
      </c>
    </row>
    <row r="104">
      <c r="A104" s="3">
        <f>IFERROR(__xludf.DUMMYFUNCTION("""COMPUTED_VALUE"""),45077.66666666667)</f>
        <v>45077.66667</v>
      </c>
      <c r="B104" s="2">
        <f>IFERROR(__xludf.DUMMYFUNCTION("""COMPUTED_VALUE"""),478.12)</f>
        <v>478.12</v>
      </c>
      <c r="C104" s="2">
        <f>IFERROR(__xludf.DUMMYFUNCTION("""COMPUTED_VALUE"""),487.4)</f>
        <v>487.4</v>
      </c>
      <c r="D104" s="2">
        <f>IFERROR(__xludf.DUMMYFUNCTION("""COMPUTED_VALUE"""),477.11)</f>
        <v>477.11</v>
      </c>
      <c r="E104" s="2">
        <f>IFERROR(__xludf.DUMMYFUNCTION("""COMPUTED_VALUE"""),487.24)</f>
        <v>487.24</v>
      </c>
      <c r="F104" s="2">
        <f>IFERROR(__xludf.DUMMYFUNCTION("""COMPUTED_VALUE"""),4944096.0)</f>
        <v>4944096</v>
      </c>
    </row>
    <row r="105">
      <c r="A105" s="3">
        <f>IFERROR(__xludf.DUMMYFUNCTION("""COMPUTED_VALUE"""),45078.66666666667)</f>
        <v>45078.66667</v>
      </c>
      <c r="B105" s="2">
        <f>IFERROR(__xludf.DUMMYFUNCTION("""COMPUTED_VALUE"""),487.79)</f>
        <v>487.79</v>
      </c>
      <c r="C105" s="2">
        <f>IFERROR(__xludf.DUMMYFUNCTION("""COMPUTED_VALUE"""),498.78)</f>
        <v>498.78</v>
      </c>
      <c r="D105" s="2">
        <f>IFERROR(__xludf.DUMMYFUNCTION("""COMPUTED_VALUE"""),486.11)</f>
        <v>486.11</v>
      </c>
      <c r="E105" s="2">
        <f>IFERROR(__xludf.DUMMYFUNCTION("""COMPUTED_VALUE"""),493.63)</f>
        <v>493.63</v>
      </c>
      <c r="F105" s="2">
        <f>IFERROR(__xludf.DUMMYFUNCTION("""COMPUTED_VALUE"""),3376556.0)</f>
        <v>3376556</v>
      </c>
    </row>
    <row r="106">
      <c r="A106" s="3">
        <f>IFERROR(__xludf.DUMMYFUNCTION("""COMPUTED_VALUE"""),45079.66666666667)</f>
        <v>45079.66667</v>
      </c>
      <c r="B106" s="2">
        <f>IFERROR(__xludf.DUMMYFUNCTION("""COMPUTED_VALUE"""),492.0)</f>
        <v>492</v>
      </c>
      <c r="C106" s="2">
        <f>IFERROR(__xludf.DUMMYFUNCTION("""COMPUTED_VALUE"""),501.02)</f>
        <v>501.02</v>
      </c>
      <c r="D106" s="2">
        <f>IFERROR(__xludf.DUMMYFUNCTION("""COMPUTED_VALUE"""),490.36)</f>
        <v>490.36</v>
      </c>
      <c r="E106" s="2">
        <f>IFERROR(__xludf.DUMMYFUNCTION("""COMPUTED_VALUE"""),499.58)</f>
        <v>499.58</v>
      </c>
      <c r="F106" s="2">
        <f>IFERROR(__xludf.DUMMYFUNCTION("""COMPUTED_VALUE"""),3064711.0)</f>
        <v>3064711</v>
      </c>
    </row>
    <row r="107">
      <c r="A107" s="3">
        <f>IFERROR(__xludf.DUMMYFUNCTION("""COMPUTED_VALUE"""),45082.66666666667)</f>
        <v>45082.66667</v>
      </c>
      <c r="B107" s="2">
        <f>IFERROR(__xludf.DUMMYFUNCTION("""COMPUTED_VALUE"""),500.7)</f>
        <v>500.7</v>
      </c>
      <c r="C107" s="2">
        <f>IFERROR(__xludf.DUMMYFUNCTION("""COMPUTED_VALUE"""),502.9)</f>
        <v>502.9</v>
      </c>
      <c r="D107" s="2">
        <f>IFERROR(__xludf.DUMMYFUNCTION("""COMPUTED_VALUE"""),497.42)</f>
        <v>497.42</v>
      </c>
      <c r="E107" s="2">
        <f>IFERROR(__xludf.DUMMYFUNCTION("""COMPUTED_VALUE"""),498.19)</f>
        <v>498.19</v>
      </c>
      <c r="F107" s="2">
        <f>IFERROR(__xludf.DUMMYFUNCTION("""COMPUTED_VALUE"""),2688805.0)</f>
        <v>2688805</v>
      </c>
    </row>
    <row r="108">
      <c r="A108" s="3">
        <f>IFERROR(__xludf.DUMMYFUNCTION("""COMPUTED_VALUE"""),45083.66666666667)</f>
        <v>45083.66667</v>
      </c>
      <c r="B108" s="2">
        <f>IFERROR(__xludf.DUMMYFUNCTION("""COMPUTED_VALUE"""),499.9)</f>
        <v>499.9</v>
      </c>
      <c r="C108" s="2">
        <f>IFERROR(__xludf.DUMMYFUNCTION("""COMPUTED_VALUE"""),499.9)</f>
        <v>499.9</v>
      </c>
      <c r="D108" s="2">
        <f>IFERROR(__xludf.DUMMYFUNCTION("""COMPUTED_VALUE"""),483.67)</f>
        <v>483.67</v>
      </c>
      <c r="E108" s="2">
        <f>IFERROR(__xludf.DUMMYFUNCTION("""COMPUTED_VALUE"""),487.57)</f>
        <v>487.57</v>
      </c>
      <c r="F108" s="2">
        <f>IFERROR(__xludf.DUMMYFUNCTION("""COMPUTED_VALUE"""),3816607.0)</f>
        <v>3816607</v>
      </c>
    </row>
    <row r="109">
      <c r="A109" s="3">
        <f>IFERROR(__xludf.DUMMYFUNCTION("""COMPUTED_VALUE"""),45084.66666666667)</f>
        <v>45084.66667</v>
      </c>
      <c r="B109" s="2">
        <f>IFERROR(__xludf.DUMMYFUNCTION("""COMPUTED_VALUE"""),489.95)</f>
        <v>489.95</v>
      </c>
      <c r="C109" s="2">
        <f>IFERROR(__xludf.DUMMYFUNCTION("""COMPUTED_VALUE"""),490.44)</f>
        <v>490.44</v>
      </c>
      <c r="D109" s="2">
        <f>IFERROR(__xludf.DUMMYFUNCTION("""COMPUTED_VALUE"""),481.6)</f>
        <v>481.6</v>
      </c>
      <c r="E109" s="2">
        <f>IFERROR(__xludf.DUMMYFUNCTION("""COMPUTED_VALUE"""),482.13)</f>
        <v>482.13</v>
      </c>
      <c r="F109" s="2">
        <f>IFERROR(__xludf.DUMMYFUNCTION("""COMPUTED_VALUE"""),4381722.0)</f>
        <v>4381722</v>
      </c>
    </row>
    <row r="110">
      <c r="A110" s="3">
        <f>IFERROR(__xludf.DUMMYFUNCTION("""COMPUTED_VALUE"""),45085.66666666667)</f>
        <v>45085.66667</v>
      </c>
      <c r="B110" s="2">
        <f>IFERROR(__xludf.DUMMYFUNCTION("""COMPUTED_VALUE"""),484.39)</f>
        <v>484.39</v>
      </c>
      <c r="C110" s="2">
        <f>IFERROR(__xludf.DUMMYFUNCTION("""COMPUTED_VALUE"""),491.82)</f>
        <v>491.82</v>
      </c>
      <c r="D110" s="2">
        <f>IFERROR(__xludf.DUMMYFUNCTION("""COMPUTED_VALUE"""),482.43)</f>
        <v>482.43</v>
      </c>
      <c r="E110" s="2">
        <f>IFERROR(__xludf.DUMMYFUNCTION("""COMPUTED_VALUE"""),490.23)</f>
        <v>490.23</v>
      </c>
      <c r="F110" s="2">
        <f>IFERROR(__xludf.DUMMYFUNCTION("""COMPUTED_VALUE"""),2726055.0)</f>
        <v>2726055</v>
      </c>
    </row>
    <row r="111">
      <c r="A111" s="3">
        <f>IFERROR(__xludf.DUMMYFUNCTION("""COMPUTED_VALUE"""),45086.66666666667)</f>
        <v>45086.66667</v>
      </c>
      <c r="B111" s="2">
        <f>IFERROR(__xludf.DUMMYFUNCTION("""COMPUTED_VALUE"""),489.99)</f>
        <v>489.99</v>
      </c>
      <c r="C111" s="2">
        <f>IFERROR(__xludf.DUMMYFUNCTION("""COMPUTED_VALUE"""),498.22)</f>
        <v>498.22</v>
      </c>
      <c r="D111" s="2">
        <f>IFERROR(__xludf.DUMMYFUNCTION("""COMPUTED_VALUE"""),487.23)</f>
        <v>487.23</v>
      </c>
      <c r="E111" s="2">
        <f>IFERROR(__xludf.DUMMYFUNCTION("""COMPUTED_VALUE"""),493.62)</f>
        <v>493.62</v>
      </c>
      <c r="F111" s="2">
        <f>IFERROR(__xludf.DUMMYFUNCTION("""COMPUTED_VALUE"""),3174372.0)</f>
        <v>3174372</v>
      </c>
    </row>
    <row r="112">
      <c r="A112" s="3">
        <f>IFERROR(__xludf.DUMMYFUNCTION("""COMPUTED_VALUE"""),45089.66666666667)</f>
        <v>45089.66667</v>
      </c>
      <c r="B112" s="2">
        <f>IFERROR(__xludf.DUMMYFUNCTION("""COMPUTED_VALUE"""),492.3)</f>
        <v>492.3</v>
      </c>
      <c r="C112" s="2">
        <f>IFERROR(__xludf.DUMMYFUNCTION("""COMPUTED_VALUE"""),494.45)</f>
        <v>494.45</v>
      </c>
      <c r="D112" s="2">
        <f>IFERROR(__xludf.DUMMYFUNCTION("""COMPUTED_VALUE"""),488.72)</f>
        <v>488.72</v>
      </c>
      <c r="E112" s="2">
        <f>IFERROR(__xludf.DUMMYFUNCTION("""COMPUTED_VALUE"""),492.59)</f>
        <v>492.59</v>
      </c>
      <c r="F112" s="2">
        <f>IFERROR(__xludf.DUMMYFUNCTION("""COMPUTED_VALUE"""),2207832.0)</f>
        <v>2207832</v>
      </c>
    </row>
    <row r="113">
      <c r="A113" s="3">
        <f>IFERROR(__xludf.DUMMYFUNCTION("""COMPUTED_VALUE"""),45090.66666666667)</f>
        <v>45090.66667</v>
      </c>
      <c r="B113" s="2">
        <f>IFERROR(__xludf.DUMMYFUNCTION("""COMPUTED_VALUE"""),490.87)</f>
        <v>490.87</v>
      </c>
      <c r="C113" s="2">
        <f>IFERROR(__xludf.DUMMYFUNCTION("""COMPUTED_VALUE"""),494.66)</f>
        <v>494.66</v>
      </c>
      <c r="D113" s="2">
        <f>IFERROR(__xludf.DUMMYFUNCTION("""COMPUTED_VALUE"""),488.66)</f>
        <v>488.66</v>
      </c>
      <c r="E113" s="2">
        <f>IFERROR(__xludf.DUMMYFUNCTION("""COMPUTED_VALUE"""),491.31)</f>
        <v>491.31</v>
      </c>
      <c r="F113" s="2">
        <f>IFERROR(__xludf.DUMMYFUNCTION("""COMPUTED_VALUE"""),3016633.0)</f>
        <v>3016633</v>
      </c>
    </row>
    <row r="114">
      <c r="A114" s="3">
        <f>IFERROR(__xludf.DUMMYFUNCTION("""COMPUTED_VALUE"""),45091.66666666667)</f>
        <v>45091.66667</v>
      </c>
      <c r="B114" s="2">
        <f>IFERROR(__xludf.DUMMYFUNCTION("""COMPUTED_VALUE"""),454.64)</f>
        <v>454.64</v>
      </c>
      <c r="C114" s="2">
        <f>IFERROR(__xludf.DUMMYFUNCTION("""COMPUTED_VALUE"""),460.63)</f>
        <v>460.63</v>
      </c>
      <c r="D114" s="2">
        <f>IFERROR(__xludf.DUMMYFUNCTION("""COMPUTED_VALUE"""),445.68)</f>
        <v>445.68</v>
      </c>
      <c r="E114" s="2">
        <f>IFERROR(__xludf.DUMMYFUNCTION("""COMPUTED_VALUE"""),459.86)</f>
        <v>459.86</v>
      </c>
      <c r="F114" s="2">
        <f>IFERROR(__xludf.DUMMYFUNCTION("""COMPUTED_VALUE"""),1.4672357E7)</f>
        <v>14672357</v>
      </c>
    </row>
    <row r="115">
      <c r="A115" s="3">
        <f>IFERROR(__xludf.DUMMYFUNCTION("""COMPUTED_VALUE"""),45092.66666666667)</f>
        <v>45092.66667</v>
      </c>
      <c r="B115" s="2">
        <f>IFERROR(__xludf.DUMMYFUNCTION("""COMPUTED_VALUE"""),461.99)</f>
        <v>461.99</v>
      </c>
      <c r="C115" s="2">
        <f>IFERROR(__xludf.DUMMYFUNCTION("""COMPUTED_VALUE"""),472.0)</f>
        <v>472</v>
      </c>
      <c r="D115" s="2">
        <f>IFERROR(__xludf.DUMMYFUNCTION("""COMPUTED_VALUE"""),460.91)</f>
        <v>460.91</v>
      </c>
      <c r="E115" s="2">
        <f>IFERROR(__xludf.DUMMYFUNCTION("""COMPUTED_VALUE"""),465.89)</f>
        <v>465.89</v>
      </c>
      <c r="F115" s="2">
        <f>IFERROR(__xludf.DUMMYFUNCTION("""COMPUTED_VALUE"""),6798125.0)</f>
        <v>6798125</v>
      </c>
    </row>
    <row r="116">
      <c r="A116" s="3">
        <f>IFERROR(__xludf.DUMMYFUNCTION("""COMPUTED_VALUE"""),45093.66666666667)</f>
        <v>45093.66667</v>
      </c>
      <c r="B116" s="2">
        <f>IFERROR(__xludf.DUMMYFUNCTION("""COMPUTED_VALUE"""),466.14)</f>
        <v>466.14</v>
      </c>
      <c r="C116" s="2">
        <f>IFERROR(__xludf.DUMMYFUNCTION("""COMPUTED_VALUE"""),468.52)</f>
        <v>468.52</v>
      </c>
      <c r="D116" s="2">
        <f>IFERROR(__xludf.DUMMYFUNCTION("""COMPUTED_VALUE"""),457.93)</f>
        <v>457.93</v>
      </c>
      <c r="E116" s="2">
        <f>IFERROR(__xludf.DUMMYFUNCTION("""COMPUTED_VALUE"""),458.49)</f>
        <v>458.49</v>
      </c>
      <c r="F116" s="2">
        <f>IFERROR(__xludf.DUMMYFUNCTION("""COMPUTED_VALUE"""),7699120.0)</f>
        <v>7699120</v>
      </c>
    </row>
    <row r="117">
      <c r="A117" s="3">
        <f>IFERROR(__xludf.DUMMYFUNCTION("""COMPUTED_VALUE"""),45097.66666666667)</f>
        <v>45097.66667</v>
      </c>
      <c r="B117" s="2">
        <f>IFERROR(__xludf.DUMMYFUNCTION("""COMPUTED_VALUE"""),456.75)</f>
        <v>456.75</v>
      </c>
      <c r="C117" s="2">
        <f>IFERROR(__xludf.DUMMYFUNCTION("""COMPUTED_VALUE"""),470.49)</f>
        <v>470.49</v>
      </c>
      <c r="D117" s="2">
        <f>IFERROR(__xludf.DUMMYFUNCTION("""COMPUTED_VALUE"""),456.75)</f>
        <v>456.75</v>
      </c>
      <c r="E117" s="2">
        <f>IFERROR(__xludf.DUMMYFUNCTION("""COMPUTED_VALUE"""),469.39)</f>
        <v>469.39</v>
      </c>
      <c r="F117" s="2">
        <f>IFERROR(__xludf.DUMMYFUNCTION("""COMPUTED_VALUE"""),4598303.0)</f>
        <v>4598303</v>
      </c>
    </row>
    <row r="118">
      <c r="A118" s="3">
        <f>IFERROR(__xludf.DUMMYFUNCTION("""COMPUTED_VALUE"""),45098.66666666667)</f>
        <v>45098.66667</v>
      </c>
      <c r="B118" s="2">
        <f>IFERROR(__xludf.DUMMYFUNCTION("""COMPUTED_VALUE"""),468.95)</f>
        <v>468.95</v>
      </c>
      <c r="C118" s="2">
        <f>IFERROR(__xludf.DUMMYFUNCTION("""COMPUTED_VALUE"""),479.37)</f>
        <v>479.37</v>
      </c>
      <c r="D118" s="2">
        <f>IFERROR(__xludf.DUMMYFUNCTION("""COMPUTED_VALUE"""),467.19)</f>
        <v>467.19</v>
      </c>
      <c r="E118" s="2">
        <f>IFERROR(__xludf.DUMMYFUNCTION("""COMPUTED_VALUE"""),476.75)</f>
        <v>476.75</v>
      </c>
      <c r="F118" s="2">
        <f>IFERROR(__xludf.DUMMYFUNCTION("""COMPUTED_VALUE"""),4886662.0)</f>
        <v>4886662</v>
      </c>
    </row>
    <row r="119">
      <c r="A119" s="3">
        <f>IFERROR(__xludf.DUMMYFUNCTION("""COMPUTED_VALUE"""),45099.66666666667)</f>
        <v>45099.66667</v>
      </c>
      <c r="B119" s="2">
        <f>IFERROR(__xludf.DUMMYFUNCTION("""COMPUTED_VALUE"""),478.18)</f>
        <v>478.18</v>
      </c>
      <c r="C119" s="2">
        <f>IFERROR(__xludf.DUMMYFUNCTION("""COMPUTED_VALUE"""),483.18)</f>
        <v>483.18</v>
      </c>
      <c r="D119" s="2">
        <f>IFERROR(__xludf.DUMMYFUNCTION("""COMPUTED_VALUE"""),478.0)</f>
        <v>478</v>
      </c>
      <c r="E119" s="2">
        <f>IFERROR(__xludf.DUMMYFUNCTION("""COMPUTED_VALUE"""),479.05)</f>
        <v>479.05</v>
      </c>
      <c r="F119" s="2">
        <f>IFERROR(__xludf.DUMMYFUNCTION("""COMPUTED_VALUE"""),3179488.0)</f>
        <v>3179488</v>
      </c>
    </row>
    <row r="120">
      <c r="A120" s="3">
        <f>IFERROR(__xludf.DUMMYFUNCTION("""COMPUTED_VALUE"""),45100.66666666667)</f>
        <v>45100.66667</v>
      </c>
      <c r="B120" s="2">
        <f>IFERROR(__xludf.DUMMYFUNCTION("""COMPUTED_VALUE"""),478.33)</f>
        <v>478.33</v>
      </c>
      <c r="C120" s="2">
        <f>IFERROR(__xludf.DUMMYFUNCTION("""COMPUTED_VALUE"""),482.28)</f>
        <v>482.28</v>
      </c>
      <c r="D120" s="2">
        <f>IFERROR(__xludf.DUMMYFUNCTION("""COMPUTED_VALUE"""),476.55)</f>
        <v>476.55</v>
      </c>
      <c r="E120" s="2">
        <f>IFERROR(__xludf.DUMMYFUNCTION("""COMPUTED_VALUE"""),477.0)</f>
        <v>477</v>
      </c>
      <c r="F120" s="2">
        <f>IFERROR(__xludf.DUMMYFUNCTION("""COMPUTED_VALUE"""),4862584.0)</f>
        <v>4862584</v>
      </c>
    </row>
    <row r="121">
      <c r="A121" s="3">
        <f>IFERROR(__xludf.DUMMYFUNCTION("""COMPUTED_VALUE"""),45103.66666666667)</f>
        <v>45103.66667</v>
      </c>
      <c r="B121" s="2">
        <f>IFERROR(__xludf.DUMMYFUNCTION("""COMPUTED_VALUE"""),478.14)</f>
        <v>478.14</v>
      </c>
      <c r="C121" s="2">
        <f>IFERROR(__xludf.DUMMYFUNCTION("""COMPUTED_VALUE"""),481.31)</f>
        <v>481.31</v>
      </c>
      <c r="D121" s="2">
        <f>IFERROR(__xludf.DUMMYFUNCTION("""COMPUTED_VALUE"""),473.0)</f>
        <v>473</v>
      </c>
      <c r="E121" s="2">
        <f>IFERROR(__xludf.DUMMYFUNCTION("""COMPUTED_VALUE"""),479.06)</f>
        <v>479.06</v>
      </c>
      <c r="F121" s="2">
        <f>IFERROR(__xludf.DUMMYFUNCTION("""COMPUTED_VALUE"""),2968328.0)</f>
        <v>2968328</v>
      </c>
    </row>
    <row r="122">
      <c r="A122" s="3">
        <f>IFERROR(__xludf.DUMMYFUNCTION("""COMPUTED_VALUE"""),45104.66666666667)</f>
        <v>45104.66667</v>
      </c>
      <c r="B122" s="2">
        <f>IFERROR(__xludf.DUMMYFUNCTION("""COMPUTED_VALUE"""),478.13)</f>
        <v>478.13</v>
      </c>
      <c r="C122" s="2">
        <f>IFERROR(__xludf.DUMMYFUNCTION("""COMPUTED_VALUE"""),483.18)</f>
        <v>483.18</v>
      </c>
      <c r="D122" s="2">
        <f>IFERROR(__xludf.DUMMYFUNCTION("""COMPUTED_VALUE"""),477.77)</f>
        <v>477.77</v>
      </c>
      <c r="E122" s="2">
        <f>IFERROR(__xludf.DUMMYFUNCTION("""COMPUTED_VALUE"""),482.56)</f>
        <v>482.56</v>
      </c>
      <c r="F122" s="2">
        <f>IFERROR(__xludf.DUMMYFUNCTION("""COMPUTED_VALUE"""),3693167.0)</f>
        <v>3693167</v>
      </c>
    </row>
    <row r="123">
      <c r="A123" s="3">
        <f>IFERROR(__xludf.DUMMYFUNCTION("""COMPUTED_VALUE"""),45105.66666666667)</f>
        <v>45105.66667</v>
      </c>
      <c r="B123" s="2">
        <f>IFERROR(__xludf.DUMMYFUNCTION("""COMPUTED_VALUE"""),481.96)</f>
        <v>481.96</v>
      </c>
      <c r="C123" s="2">
        <f>IFERROR(__xludf.DUMMYFUNCTION("""COMPUTED_VALUE"""),482.12)</f>
        <v>482.12</v>
      </c>
      <c r="D123" s="2">
        <f>IFERROR(__xludf.DUMMYFUNCTION("""COMPUTED_VALUE"""),473.98)</f>
        <v>473.98</v>
      </c>
      <c r="E123" s="2">
        <f>IFERROR(__xludf.DUMMYFUNCTION("""COMPUTED_VALUE"""),474.45)</f>
        <v>474.45</v>
      </c>
      <c r="F123" s="2">
        <f>IFERROR(__xludf.DUMMYFUNCTION("""COMPUTED_VALUE"""),3670111.0)</f>
        <v>3670111</v>
      </c>
    </row>
    <row r="124">
      <c r="A124" s="3">
        <f>IFERROR(__xludf.DUMMYFUNCTION("""COMPUTED_VALUE"""),45106.66666666667)</f>
        <v>45106.66667</v>
      </c>
      <c r="B124" s="2">
        <f>IFERROR(__xludf.DUMMYFUNCTION("""COMPUTED_VALUE"""),475.08)</f>
        <v>475.08</v>
      </c>
      <c r="C124" s="2">
        <f>IFERROR(__xludf.DUMMYFUNCTION("""COMPUTED_VALUE"""),479.71)</f>
        <v>479.71</v>
      </c>
      <c r="D124" s="2">
        <f>IFERROR(__xludf.DUMMYFUNCTION("""COMPUTED_VALUE"""),473.08)</f>
        <v>473.08</v>
      </c>
      <c r="E124" s="2">
        <f>IFERROR(__xludf.DUMMYFUNCTION("""COMPUTED_VALUE"""),476.44)</f>
        <v>476.44</v>
      </c>
      <c r="F124" s="2">
        <f>IFERROR(__xludf.DUMMYFUNCTION("""COMPUTED_VALUE"""),2979403.0)</f>
        <v>2979403</v>
      </c>
    </row>
    <row r="125">
      <c r="A125" s="3">
        <f>IFERROR(__xludf.DUMMYFUNCTION("""COMPUTED_VALUE"""),45107.66666666667)</f>
        <v>45107.66667</v>
      </c>
      <c r="B125" s="2">
        <f>IFERROR(__xludf.DUMMYFUNCTION("""COMPUTED_VALUE"""),478.0)</f>
        <v>478</v>
      </c>
      <c r="C125" s="2">
        <f>IFERROR(__xludf.DUMMYFUNCTION("""COMPUTED_VALUE"""),482.1)</f>
        <v>482.1</v>
      </c>
      <c r="D125" s="2">
        <f>IFERROR(__xludf.DUMMYFUNCTION("""COMPUTED_VALUE"""),475.12)</f>
        <v>475.12</v>
      </c>
      <c r="E125" s="2">
        <f>IFERROR(__xludf.DUMMYFUNCTION("""COMPUTED_VALUE"""),480.64)</f>
        <v>480.64</v>
      </c>
      <c r="F125" s="2">
        <f>IFERROR(__xludf.DUMMYFUNCTION("""COMPUTED_VALUE"""),3970398.0)</f>
        <v>3970398</v>
      </c>
    </row>
    <row r="126">
      <c r="A126" s="3">
        <f>IFERROR(__xludf.DUMMYFUNCTION("""COMPUTED_VALUE"""),45110.54166666667)</f>
        <v>45110.54167</v>
      </c>
      <c r="B126" s="2">
        <f>IFERROR(__xludf.DUMMYFUNCTION("""COMPUTED_VALUE"""),478.1)</f>
        <v>478.1</v>
      </c>
      <c r="C126" s="2">
        <f>IFERROR(__xludf.DUMMYFUNCTION("""COMPUTED_VALUE"""),480.21)</f>
        <v>480.21</v>
      </c>
      <c r="D126" s="2">
        <f>IFERROR(__xludf.DUMMYFUNCTION("""COMPUTED_VALUE"""),476.3)</f>
        <v>476.3</v>
      </c>
      <c r="E126" s="2">
        <f>IFERROR(__xludf.DUMMYFUNCTION("""COMPUTED_VALUE"""),477.88)</f>
        <v>477.88</v>
      </c>
      <c r="F126" s="2">
        <f>IFERROR(__xludf.DUMMYFUNCTION("""COMPUTED_VALUE"""),1915740.0)</f>
        <v>1915740</v>
      </c>
    </row>
    <row r="127">
      <c r="A127" s="3">
        <f>IFERROR(__xludf.DUMMYFUNCTION("""COMPUTED_VALUE"""),45112.66666666667)</f>
        <v>45112.66667</v>
      </c>
      <c r="B127" s="2">
        <f>IFERROR(__xludf.DUMMYFUNCTION("""COMPUTED_VALUE"""),476.03)</f>
        <v>476.03</v>
      </c>
      <c r="C127" s="2">
        <f>IFERROR(__xludf.DUMMYFUNCTION("""COMPUTED_VALUE"""),477.29)</f>
        <v>477.29</v>
      </c>
      <c r="D127" s="2">
        <f>IFERROR(__xludf.DUMMYFUNCTION("""COMPUTED_VALUE"""),470.59)</f>
        <v>470.59</v>
      </c>
      <c r="E127" s="2">
        <f>IFERROR(__xludf.DUMMYFUNCTION("""COMPUTED_VALUE"""),471.22)</f>
        <v>471.22</v>
      </c>
      <c r="F127" s="2">
        <f>IFERROR(__xludf.DUMMYFUNCTION("""COMPUTED_VALUE"""),5053717.0)</f>
        <v>5053717</v>
      </c>
    </row>
    <row r="128">
      <c r="A128" s="3">
        <f>IFERROR(__xludf.DUMMYFUNCTION("""COMPUTED_VALUE"""),45113.66666666667)</f>
        <v>45113.66667</v>
      </c>
      <c r="B128" s="2">
        <f>IFERROR(__xludf.DUMMYFUNCTION("""COMPUTED_VALUE"""),469.35)</f>
        <v>469.35</v>
      </c>
      <c r="C128" s="2">
        <f>IFERROR(__xludf.DUMMYFUNCTION("""COMPUTED_VALUE"""),472.4)</f>
        <v>472.4</v>
      </c>
      <c r="D128" s="2">
        <f>IFERROR(__xludf.DUMMYFUNCTION("""COMPUTED_VALUE"""),466.65)</f>
        <v>466.65</v>
      </c>
      <c r="E128" s="2">
        <f>IFERROR(__xludf.DUMMYFUNCTION("""COMPUTED_VALUE"""),469.36)</f>
        <v>469.36</v>
      </c>
      <c r="F128" s="2">
        <f>IFERROR(__xludf.DUMMYFUNCTION("""COMPUTED_VALUE"""),3914139.0)</f>
        <v>3914139</v>
      </c>
    </row>
    <row r="129">
      <c r="A129" s="3">
        <f>IFERROR(__xludf.DUMMYFUNCTION("""COMPUTED_VALUE"""),45114.66666666667)</f>
        <v>45114.66667</v>
      </c>
      <c r="B129" s="2">
        <f>IFERROR(__xludf.DUMMYFUNCTION("""COMPUTED_VALUE"""),465.0)</f>
        <v>465</v>
      </c>
      <c r="C129" s="2">
        <f>IFERROR(__xludf.DUMMYFUNCTION("""COMPUTED_VALUE"""),468.61)</f>
        <v>468.61</v>
      </c>
      <c r="D129" s="2">
        <f>IFERROR(__xludf.DUMMYFUNCTION("""COMPUTED_VALUE"""),460.82)</f>
        <v>460.82</v>
      </c>
      <c r="E129" s="2">
        <f>IFERROR(__xludf.DUMMYFUNCTION("""COMPUTED_VALUE"""),461.58)</f>
        <v>461.58</v>
      </c>
      <c r="F129" s="2">
        <f>IFERROR(__xludf.DUMMYFUNCTION("""COMPUTED_VALUE"""),4131582.0)</f>
        <v>4131582</v>
      </c>
    </row>
    <row r="130">
      <c r="A130" s="3">
        <f>IFERROR(__xludf.DUMMYFUNCTION("""COMPUTED_VALUE"""),45117.66666666667)</f>
        <v>45117.66667</v>
      </c>
      <c r="B130" s="2">
        <f>IFERROR(__xludf.DUMMYFUNCTION("""COMPUTED_VALUE"""),460.0)</f>
        <v>460</v>
      </c>
      <c r="C130" s="2">
        <f>IFERROR(__xludf.DUMMYFUNCTION("""COMPUTED_VALUE"""),463.1)</f>
        <v>463.1</v>
      </c>
      <c r="D130" s="2">
        <f>IFERROR(__xludf.DUMMYFUNCTION("""COMPUTED_VALUE"""),459.16)</f>
        <v>459.16</v>
      </c>
      <c r="E130" s="2">
        <f>IFERROR(__xludf.DUMMYFUNCTION("""COMPUTED_VALUE"""),463.05)</f>
        <v>463.05</v>
      </c>
      <c r="F130" s="2">
        <f>IFERROR(__xludf.DUMMYFUNCTION("""COMPUTED_VALUE"""),4339421.0)</f>
        <v>4339421</v>
      </c>
    </row>
    <row r="131">
      <c r="A131" s="3">
        <f>IFERROR(__xludf.DUMMYFUNCTION("""COMPUTED_VALUE"""),45118.66666666667)</f>
        <v>45118.66667</v>
      </c>
      <c r="B131" s="2">
        <f>IFERROR(__xludf.DUMMYFUNCTION("""COMPUTED_VALUE"""),462.37)</f>
        <v>462.37</v>
      </c>
      <c r="C131" s="2">
        <f>IFERROR(__xludf.DUMMYFUNCTION("""COMPUTED_VALUE"""),466.49)</f>
        <v>466.49</v>
      </c>
      <c r="D131" s="2">
        <f>IFERROR(__xludf.DUMMYFUNCTION("""COMPUTED_VALUE"""),461.14)</f>
        <v>461.14</v>
      </c>
      <c r="E131" s="2">
        <f>IFERROR(__xludf.DUMMYFUNCTION("""COMPUTED_VALUE"""),462.89)</f>
        <v>462.89</v>
      </c>
      <c r="F131" s="2">
        <f>IFERROR(__xludf.DUMMYFUNCTION("""COMPUTED_VALUE"""),3087467.0)</f>
        <v>3087467</v>
      </c>
    </row>
    <row r="132">
      <c r="A132" s="3">
        <f>IFERROR(__xludf.DUMMYFUNCTION("""COMPUTED_VALUE"""),45119.66666666667)</f>
        <v>45119.66667</v>
      </c>
      <c r="B132" s="2">
        <f>IFERROR(__xludf.DUMMYFUNCTION("""COMPUTED_VALUE"""),463.0)</f>
        <v>463</v>
      </c>
      <c r="C132" s="2">
        <f>IFERROR(__xludf.DUMMYFUNCTION("""COMPUTED_VALUE"""),464.82)</f>
        <v>464.82</v>
      </c>
      <c r="D132" s="2">
        <f>IFERROR(__xludf.DUMMYFUNCTION("""COMPUTED_VALUE"""),451.25)</f>
        <v>451.25</v>
      </c>
      <c r="E132" s="2">
        <f>IFERROR(__xludf.DUMMYFUNCTION("""COMPUTED_VALUE"""),451.7)</f>
        <v>451.7</v>
      </c>
      <c r="F132" s="2">
        <f>IFERROR(__xludf.DUMMYFUNCTION("""COMPUTED_VALUE"""),7287591.0)</f>
        <v>7287591</v>
      </c>
    </row>
    <row r="133">
      <c r="A133" s="3">
        <f>IFERROR(__xludf.DUMMYFUNCTION("""COMPUTED_VALUE"""),45120.66666666667)</f>
        <v>45120.66667</v>
      </c>
      <c r="B133" s="2">
        <f>IFERROR(__xludf.DUMMYFUNCTION("""COMPUTED_VALUE"""),452.0)</f>
        <v>452</v>
      </c>
      <c r="C133" s="2">
        <f>IFERROR(__xludf.DUMMYFUNCTION("""COMPUTED_VALUE"""),454.9)</f>
        <v>454.9</v>
      </c>
      <c r="D133" s="2">
        <f>IFERROR(__xludf.DUMMYFUNCTION("""COMPUTED_VALUE"""),447.18)</f>
        <v>447.18</v>
      </c>
      <c r="E133" s="2">
        <f>IFERROR(__xludf.DUMMYFUNCTION("""COMPUTED_VALUE"""),447.75)</f>
        <v>447.75</v>
      </c>
      <c r="F133" s="2">
        <f>IFERROR(__xludf.DUMMYFUNCTION("""COMPUTED_VALUE"""),7276840.0)</f>
        <v>7276840</v>
      </c>
    </row>
    <row r="134">
      <c r="A134" s="3">
        <f>IFERROR(__xludf.DUMMYFUNCTION("""COMPUTED_VALUE"""),45121.66666666667)</f>
        <v>45121.66667</v>
      </c>
      <c r="B134" s="2">
        <f>IFERROR(__xludf.DUMMYFUNCTION("""COMPUTED_VALUE"""),462.55)</f>
        <v>462.55</v>
      </c>
      <c r="C134" s="2">
        <f>IFERROR(__xludf.DUMMYFUNCTION("""COMPUTED_VALUE"""),485.0)</f>
        <v>485</v>
      </c>
      <c r="D134" s="2">
        <f>IFERROR(__xludf.DUMMYFUNCTION("""COMPUTED_VALUE"""),460.11)</f>
        <v>460.11</v>
      </c>
      <c r="E134" s="2">
        <f>IFERROR(__xludf.DUMMYFUNCTION("""COMPUTED_VALUE"""),480.17)</f>
        <v>480.17</v>
      </c>
      <c r="F134" s="2">
        <f>IFERROR(__xludf.DUMMYFUNCTION("""COMPUTED_VALUE"""),1.1379333E7)</f>
        <v>11379333</v>
      </c>
    </row>
    <row r="135">
      <c r="A135" s="3">
        <f>IFERROR(__xludf.DUMMYFUNCTION("""COMPUTED_VALUE"""),45124.66666666667)</f>
        <v>45124.66667</v>
      </c>
      <c r="B135" s="2">
        <f>IFERROR(__xludf.DUMMYFUNCTION("""COMPUTED_VALUE"""),481.11)</f>
        <v>481.11</v>
      </c>
      <c r="C135" s="2">
        <f>IFERROR(__xludf.DUMMYFUNCTION("""COMPUTED_VALUE"""),484.6)</f>
        <v>484.6</v>
      </c>
      <c r="D135" s="2">
        <f>IFERROR(__xludf.DUMMYFUNCTION("""COMPUTED_VALUE"""),478.3)</f>
        <v>478.3</v>
      </c>
      <c r="E135" s="2">
        <f>IFERROR(__xludf.DUMMYFUNCTION("""COMPUTED_VALUE"""),484.08)</f>
        <v>484.08</v>
      </c>
      <c r="F135" s="2">
        <f>IFERROR(__xludf.DUMMYFUNCTION("""COMPUTED_VALUE"""),4582703.0)</f>
        <v>4582703</v>
      </c>
    </row>
    <row r="136">
      <c r="A136" s="3">
        <f>IFERROR(__xludf.DUMMYFUNCTION("""COMPUTED_VALUE"""),45125.66666666667)</f>
        <v>45125.66667</v>
      </c>
      <c r="B136" s="2">
        <f>IFERROR(__xludf.DUMMYFUNCTION("""COMPUTED_VALUE"""),489.33)</f>
        <v>489.33</v>
      </c>
      <c r="C136" s="2">
        <f>IFERROR(__xludf.DUMMYFUNCTION("""COMPUTED_VALUE"""),504.42)</f>
        <v>504.42</v>
      </c>
      <c r="D136" s="2">
        <f>IFERROR(__xludf.DUMMYFUNCTION("""COMPUTED_VALUE"""),487.5)</f>
        <v>487.5</v>
      </c>
      <c r="E136" s="2">
        <f>IFERROR(__xludf.DUMMYFUNCTION("""COMPUTED_VALUE"""),500.0)</f>
        <v>500</v>
      </c>
      <c r="F136" s="2">
        <f>IFERROR(__xludf.DUMMYFUNCTION("""COMPUTED_VALUE"""),8817931.0)</f>
        <v>8817931</v>
      </c>
    </row>
    <row r="137">
      <c r="A137" s="3">
        <f>IFERROR(__xludf.DUMMYFUNCTION("""COMPUTED_VALUE"""),45126.66666666667)</f>
        <v>45126.66667</v>
      </c>
      <c r="B137" s="2">
        <f>IFERROR(__xludf.DUMMYFUNCTION("""COMPUTED_VALUE"""),507.54)</f>
        <v>507.54</v>
      </c>
      <c r="C137" s="2">
        <f>IFERROR(__xludf.DUMMYFUNCTION("""COMPUTED_VALUE"""),514.66)</f>
        <v>514.66</v>
      </c>
      <c r="D137" s="2">
        <f>IFERROR(__xludf.DUMMYFUNCTION("""COMPUTED_VALUE"""),502.48)</f>
        <v>502.48</v>
      </c>
      <c r="E137" s="2">
        <f>IFERROR(__xludf.DUMMYFUNCTION("""COMPUTED_VALUE"""),503.7)</f>
        <v>503.7</v>
      </c>
      <c r="F137" s="2">
        <f>IFERROR(__xludf.DUMMYFUNCTION("""COMPUTED_VALUE"""),4956477.0)</f>
        <v>4956477</v>
      </c>
    </row>
    <row r="138">
      <c r="A138" s="3">
        <f>IFERROR(__xludf.DUMMYFUNCTION("""COMPUTED_VALUE"""),45127.66666666667)</f>
        <v>45127.66667</v>
      </c>
      <c r="B138" s="2">
        <f>IFERROR(__xludf.DUMMYFUNCTION("""COMPUTED_VALUE"""),506.66)</f>
        <v>506.66</v>
      </c>
      <c r="C138" s="2">
        <f>IFERROR(__xludf.DUMMYFUNCTION("""COMPUTED_VALUE"""),508.68)</f>
        <v>508.68</v>
      </c>
      <c r="D138" s="2">
        <f>IFERROR(__xludf.DUMMYFUNCTION("""COMPUTED_VALUE"""),500.53)</f>
        <v>500.53</v>
      </c>
      <c r="E138" s="2">
        <f>IFERROR(__xludf.DUMMYFUNCTION("""COMPUTED_VALUE"""),504.24)</f>
        <v>504.24</v>
      </c>
      <c r="F138" s="2">
        <f>IFERROR(__xludf.DUMMYFUNCTION("""COMPUTED_VALUE"""),2963123.0)</f>
        <v>2963123</v>
      </c>
    </row>
    <row r="139">
      <c r="A139" s="3">
        <f>IFERROR(__xludf.DUMMYFUNCTION("""COMPUTED_VALUE"""),45128.66666666667)</f>
        <v>45128.66667</v>
      </c>
      <c r="B139" s="2">
        <f>IFERROR(__xludf.DUMMYFUNCTION("""COMPUTED_VALUE"""),505.05)</f>
        <v>505.05</v>
      </c>
      <c r="C139" s="2">
        <f>IFERROR(__xludf.DUMMYFUNCTION("""COMPUTED_VALUE"""),510.41)</f>
        <v>510.41</v>
      </c>
      <c r="D139" s="2">
        <f>IFERROR(__xludf.DUMMYFUNCTION("""COMPUTED_VALUE"""),504.52)</f>
        <v>504.52</v>
      </c>
      <c r="E139" s="2">
        <f>IFERROR(__xludf.DUMMYFUNCTION("""COMPUTED_VALUE"""),506.53)</f>
        <v>506.53</v>
      </c>
      <c r="F139" s="2">
        <f>IFERROR(__xludf.DUMMYFUNCTION("""COMPUTED_VALUE"""),2887339.0)</f>
        <v>2887339</v>
      </c>
    </row>
    <row r="140">
      <c r="A140" s="3">
        <f>IFERROR(__xludf.DUMMYFUNCTION("""COMPUTED_VALUE"""),45131.66666666667)</f>
        <v>45131.66667</v>
      </c>
      <c r="B140" s="2">
        <f>IFERROR(__xludf.DUMMYFUNCTION("""COMPUTED_VALUE"""),505.33)</f>
        <v>505.33</v>
      </c>
      <c r="C140" s="2">
        <f>IFERROR(__xludf.DUMMYFUNCTION("""COMPUTED_VALUE"""),509.78)</f>
        <v>509.78</v>
      </c>
      <c r="D140" s="2">
        <f>IFERROR(__xludf.DUMMYFUNCTION("""COMPUTED_VALUE"""),504.57)</f>
        <v>504.57</v>
      </c>
      <c r="E140" s="2">
        <f>IFERROR(__xludf.DUMMYFUNCTION("""COMPUTED_VALUE"""),508.68)</f>
        <v>508.68</v>
      </c>
      <c r="F140" s="2">
        <f>IFERROR(__xludf.DUMMYFUNCTION("""COMPUTED_VALUE"""),2278967.0)</f>
        <v>2278967</v>
      </c>
    </row>
    <row r="141">
      <c r="A141" s="3">
        <f>IFERROR(__xludf.DUMMYFUNCTION("""COMPUTED_VALUE"""),45132.66666666667)</f>
        <v>45132.66667</v>
      </c>
      <c r="B141" s="2">
        <f>IFERROR(__xludf.DUMMYFUNCTION("""COMPUTED_VALUE"""),510.0)</f>
        <v>510</v>
      </c>
      <c r="C141" s="2">
        <f>IFERROR(__xludf.DUMMYFUNCTION("""COMPUTED_VALUE"""),512.5)</f>
        <v>512.5</v>
      </c>
      <c r="D141" s="2">
        <f>IFERROR(__xludf.DUMMYFUNCTION("""COMPUTED_VALUE"""),507.28)</f>
        <v>507.28</v>
      </c>
      <c r="E141" s="2">
        <f>IFERROR(__xludf.DUMMYFUNCTION("""COMPUTED_VALUE"""),510.93)</f>
        <v>510.93</v>
      </c>
      <c r="F141" s="2">
        <f>IFERROR(__xludf.DUMMYFUNCTION("""COMPUTED_VALUE"""),2730622.0)</f>
        <v>2730622</v>
      </c>
    </row>
    <row r="142">
      <c r="A142" s="3">
        <f>IFERROR(__xludf.DUMMYFUNCTION("""COMPUTED_VALUE"""),45133.66666666667)</f>
        <v>45133.66667</v>
      </c>
      <c r="B142" s="2">
        <f>IFERROR(__xludf.DUMMYFUNCTION("""COMPUTED_VALUE"""),511.54)</f>
        <v>511.54</v>
      </c>
      <c r="C142" s="2">
        <f>IFERROR(__xludf.DUMMYFUNCTION("""COMPUTED_VALUE"""),515.86)</f>
        <v>515.86</v>
      </c>
      <c r="D142" s="2">
        <f>IFERROR(__xludf.DUMMYFUNCTION("""COMPUTED_VALUE"""),506.63)</f>
        <v>506.63</v>
      </c>
      <c r="E142" s="2">
        <f>IFERROR(__xludf.DUMMYFUNCTION("""COMPUTED_VALUE"""),508.0)</f>
        <v>508</v>
      </c>
      <c r="F142" s="2">
        <f>IFERROR(__xludf.DUMMYFUNCTION("""COMPUTED_VALUE"""),3697182.0)</f>
        <v>3697182</v>
      </c>
    </row>
    <row r="143">
      <c r="A143" s="3">
        <f>IFERROR(__xludf.DUMMYFUNCTION("""COMPUTED_VALUE"""),45134.66666666667)</f>
        <v>45134.66667</v>
      </c>
      <c r="B143" s="2">
        <f>IFERROR(__xludf.DUMMYFUNCTION("""COMPUTED_VALUE"""),508.57)</f>
        <v>508.57</v>
      </c>
      <c r="C143" s="2">
        <f>IFERROR(__xludf.DUMMYFUNCTION("""COMPUTED_VALUE"""),510.5)</f>
        <v>510.5</v>
      </c>
      <c r="D143" s="2">
        <f>IFERROR(__xludf.DUMMYFUNCTION("""COMPUTED_VALUE"""),503.13)</f>
        <v>503.13</v>
      </c>
      <c r="E143" s="2">
        <f>IFERROR(__xludf.DUMMYFUNCTION("""COMPUTED_VALUE"""),505.23)</f>
        <v>505.23</v>
      </c>
      <c r="F143" s="2">
        <f>IFERROR(__xludf.DUMMYFUNCTION("""COMPUTED_VALUE"""),3028276.0)</f>
        <v>3028276</v>
      </c>
    </row>
    <row r="144">
      <c r="A144" s="3">
        <f>IFERROR(__xludf.DUMMYFUNCTION("""COMPUTED_VALUE"""),45135.66666666667)</f>
        <v>45135.66667</v>
      </c>
      <c r="B144" s="2">
        <f>IFERROR(__xludf.DUMMYFUNCTION("""COMPUTED_VALUE"""),505.21)</f>
        <v>505.21</v>
      </c>
      <c r="C144" s="2">
        <f>IFERROR(__xludf.DUMMYFUNCTION("""COMPUTED_VALUE"""),507.48)</f>
        <v>507.48</v>
      </c>
      <c r="D144" s="2">
        <f>IFERROR(__xludf.DUMMYFUNCTION("""COMPUTED_VALUE"""),497.28)</f>
        <v>497.28</v>
      </c>
      <c r="E144" s="2">
        <f>IFERROR(__xludf.DUMMYFUNCTION("""COMPUTED_VALUE"""),502.91)</f>
        <v>502.91</v>
      </c>
      <c r="F144" s="2">
        <f>IFERROR(__xludf.DUMMYFUNCTION("""COMPUTED_VALUE"""),2930900.0)</f>
        <v>2930900</v>
      </c>
    </row>
    <row r="145">
      <c r="A145" s="3">
        <f>IFERROR(__xludf.DUMMYFUNCTION("""COMPUTED_VALUE"""),45138.66666666667)</f>
        <v>45138.66667</v>
      </c>
      <c r="B145" s="2">
        <f>IFERROR(__xludf.DUMMYFUNCTION("""COMPUTED_VALUE"""),503.0)</f>
        <v>503</v>
      </c>
      <c r="C145" s="2">
        <f>IFERROR(__xludf.DUMMYFUNCTION("""COMPUTED_VALUE"""),507.88)</f>
        <v>507.88</v>
      </c>
      <c r="D145" s="2">
        <f>IFERROR(__xludf.DUMMYFUNCTION("""COMPUTED_VALUE"""),499.06)</f>
        <v>499.06</v>
      </c>
      <c r="E145" s="2">
        <f>IFERROR(__xludf.DUMMYFUNCTION("""COMPUTED_VALUE"""),506.37)</f>
        <v>506.37</v>
      </c>
      <c r="F145" s="2">
        <f>IFERROR(__xludf.DUMMYFUNCTION("""COMPUTED_VALUE"""),2441688.0)</f>
        <v>2441688</v>
      </c>
    </row>
    <row r="146">
      <c r="A146" s="3">
        <f>IFERROR(__xludf.DUMMYFUNCTION("""COMPUTED_VALUE"""),45139.66666666667)</f>
        <v>45139.66667</v>
      </c>
      <c r="B146" s="2">
        <f>IFERROR(__xludf.DUMMYFUNCTION("""COMPUTED_VALUE"""),507.5)</f>
        <v>507.5</v>
      </c>
      <c r="C146" s="2">
        <f>IFERROR(__xludf.DUMMYFUNCTION("""COMPUTED_VALUE"""),510.04)</f>
        <v>510.04</v>
      </c>
      <c r="D146" s="2">
        <f>IFERROR(__xludf.DUMMYFUNCTION("""COMPUTED_VALUE"""),502.49)</f>
        <v>502.49</v>
      </c>
      <c r="E146" s="2">
        <f>IFERROR(__xludf.DUMMYFUNCTION("""COMPUTED_VALUE"""),504.74)</f>
        <v>504.74</v>
      </c>
      <c r="F146" s="2">
        <f>IFERROR(__xludf.DUMMYFUNCTION("""COMPUTED_VALUE"""),2161660.0)</f>
        <v>2161660</v>
      </c>
    </row>
    <row r="147">
      <c r="A147" s="3">
        <f>IFERROR(__xludf.DUMMYFUNCTION("""COMPUTED_VALUE"""),45140.66666666667)</f>
        <v>45140.66667</v>
      </c>
      <c r="B147" s="2">
        <f>IFERROR(__xludf.DUMMYFUNCTION("""COMPUTED_VALUE"""),509.69)</f>
        <v>509.69</v>
      </c>
      <c r="C147" s="2">
        <f>IFERROR(__xludf.DUMMYFUNCTION("""COMPUTED_VALUE"""),510.47)</f>
        <v>510.47</v>
      </c>
      <c r="D147" s="2">
        <f>IFERROR(__xludf.DUMMYFUNCTION("""COMPUTED_VALUE"""),502.99)</f>
        <v>502.99</v>
      </c>
      <c r="E147" s="2">
        <f>IFERROR(__xludf.DUMMYFUNCTION("""COMPUTED_VALUE"""),504.8)</f>
        <v>504.8</v>
      </c>
      <c r="F147" s="2">
        <f>IFERROR(__xludf.DUMMYFUNCTION("""COMPUTED_VALUE"""),3221607.0)</f>
        <v>3221607</v>
      </c>
    </row>
    <row r="148">
      <c r="A148" s="3">
        <f>IFERROR(__xludf.DUMMYFUNCTION("""COMPUTED_VALUE"""),45141.66666666667)</f>
        <v>45141.66667</v>
      </c>
      <c r="B148" s="2">
        <f>IFERROR(__xludf.DUMMYFUNCTION("""COMPUTED_VALUE"""),502.89)</f>
        <v>502.89</v>
      </c>
      <c r="C148" s="2">
        <f>IFERROR(__xludf.DUMMYFUNCTION("""COMPUTED_VALUE"""),506.0)</f>
        <v>506</v>
      </c>
      <c r="D148" s="2">
        <f>IFERROR(__xludf.DUMMYFUNCTION("""COMPUTED_VALUE"""),501.04)</f>
        <v>501.04</v>
      </c>
      <c r="E148" s="2">
        <f>IFERROR(__xludf.DUMMYFUNCTION("""COMPUTED_VALUE"""),504.86)</f>
        <v>504.86</v>
      </c>
      <c r="F148" s="2">
        <f>IFERROR(__xludf.DUMMYFUNCTION("""COMPUTED_VALUE"""),2443050.0)</f>
        <v>2443050</v>
      </c>
    </row>
    <row r="149">
      <c r="A149" s="3">
        <f>IFERROR(__xludf.DUMMYFUNCTION("""COMPUTED_VALUE"""),45142.66666666667)</f>
        <v>45142.66667</v>
      </c>
      <c r="B149" s="2">
        <f>IFERROR(__xludf.DUMMYFUNCTION("""COMPUTED_VALUE"""),510.0)</f>
        <v>510</v>
      </c>
      <c r="C149" s="2">
        <f>IFERROR(__xludf.DUMMYFUNCTION("""COMPUTED_VALUE"""),510.9)</f>
        <v>510.9</v>
      </c>
      <c r="D149" s="2">
        <f>IFERROR(__xludf.DUMMYFUNCTION("""COMPUTED_VALUE"""),501.75)</f>
        <v>501.75</v>
      </c>
      <c r="E149" s="2">
        <f>IFERROR(__xludf.DUMMYFUNCTION("""COMPUTED_VALUE"""),502.73)</f>
        <v>502.73</v>
      </c>
      <c r="F149" s="2">
        <f>IFERROR(__xludf.DUMMYFUNCTION("""COMPUTED_VALUE"""),2411227.0)</f>
        <v>2411227</v>
      </c>
    </row>
    <row r="150">
      <c r="A150" s="3">
        <f>IFERROR(__xludf.DUMMYFUNCTION("""COMPUTED_VALUE"""),45145.66666666667)</f>
        <v>45145.66667</v>
      </c>
      <c r="B150" s="2">
        <f>IFERROR(__xludf.DUMMYFUNCTION("""COMPUTED_VALUE"""),505.74)</f>
        <v>505.74</v>
      </c>
      <c r="C150" s="2">
        <f>IFERROR(__xludf.DUMMYFUNCTION("""COMPUTED_VALUE"""),513.6)</f>
        <v>513.6</v>
      </c>
      <c r="D150" s="2">
        <f>IFERROR(__xludf.DUMMYFUNCTION("""COMPUTED_VALUE"""),504.65)</f>
        <v>504.65</v>
      </c>
      <c r="E150" s="2">
        <f>IFERROR(__xludf.DUMMYFUNCTION("""COMPUTED_VALUE"""),510.74)</f>
        <v>510.74</v>
      </c>
      <c r="F150" s="2">
        <f>IFERROR(__xludf.DUMMYFUNCTION("""COMPUTED_VALUE"""),2430910.0)</f>
        <v>2430910</v>
      </c>
    </row>
    <row r="151">
      <c r="A151" s="3">
        <f>IFERROR(__xludf.DUMMYFUNCTION("""COMPUTED_VALUE"""),45146.66666666667)</f>
        <v>45146.66667</v>
      </c>
      <c r="B151" s="2">
        <f>IFERROR(__xludf.DUMMYFUNCTION("""COMPUTED_VALUE"""),503.0)</f>
        <v>503</v>
      </c>
      <c r="C151" s="2">
        <f>IFERROR(__xludf.DUMMYFUNCTION("""COMPUTED_VALUE"""),508.17)</f>
        <v>508.17</v>
      </c>
      <c r="D151" s="2">
        <f>IFERROR(__xludf.DUMMYFUNCTION("""COMPUTED_VALUE"""),500.02)</f>
        <v>500.02</v>
      </c>
      <c r="E151" s="2">
        <f>IFERROR(__xludf.DUMMYFUNCTION("""COMPUTED_VALUE"""),505.86)</f>
        <v>505.86</v>
      </c>
      <c r="F151" s="2">
        <f>IFERROR(__xludf.DUMMYFUNCTION("""COMPUTED_VALUE"""),2422671.0)</f>
        <v>2422671</v>
      </c>
    </row>
    <row r="152">
      <c r="A152" s="3">
        <f>IFERROR(__xludf.DUMMYFUNCTION("""COMPUTED_VALUE"""),45147.66666666667)</f>
        <v>45147.66667</v>
      </c>
      <c r="B152" s="2">
        <f>IFERROR(__xludf.DUMMYFUNCTION("""COMPUTED_VALUE"""),504.0)</f>
        <v>504</v>
      </c>
      <c r="C152" s="2">
        <f>IFERROR(__xludf.DUMMYFUNCTION("""COMPUTED_VALUE"""),505.73)</f>
        <v>505.73</v>
      </c>
      <c r="D152" s="2">
        <f>IFERROR(__xludf.DUMMYFUNCTION("""COMPUTED_VALUE"""),500.88)</f>
        <v>500.88</v>
      </c>
      <c r="E152" s="2">
        <f>IFERROR(__xludf.DUMMYFUNCTION("""COMPUTED_VALUE"""),502.11)</f>
        <v>502.11</v>
      </c>
      <c r="F152" s="2">
        <f>IFERROR(__xludf.DUMMYFUNCTION("""COMPUTED_VALUE"""),1917137.0)</f>
        <v>1917137</v>
      </c>
    </row>
    <row r="153">
      <c r="A153" s="3">
        <f>IFERROR(__xludf.DUMMYFUNCTION("""COMPUTED_VALUE"""),45148.66666666667)</f>
        <v>45148.66667</v>
      </c>
      <c r="B153" s="2">
        <f>IFERROR(__xludf.DUMMYFUNCTION("""COMPUTED_VALUE"""),504.47)</f>
        <v>504.47</v>
      </c>
      <c r="C153" s="2">
        <f>IFERROR(__xludf.DUMMYFUNCTION("""COMPUTED_VALUE"""),512.04)</f>
        <v>512.04</v>
      </c>
      <c r="D153" s="2">
        <f>IFERROR(__xludf.DUMMYFUNCTION("""COMPUTED_VALUE"""),502.78)</f>
        <v>502.78</v>
      </c>
      <c r="E153" s="2">
        <f>IFERROR(__xludf.DUMMYFUNCTION("""COMPUTED_VALUE"""),503.48)</f>
        <v>503.48</v>
      </c>
      <c r="F153" s="2">
        <f>IFERROR(__xludf.DUMMYFUNCTION("""COMPUTED_VALUE"""),2179754.0)</f>
        <v>2179754</v>
      </c>
    </row>
    <row r="154">
      <c r="A154" s="3">
        <f>IFERROR(__xludf.DUMMYFUNCTION("""COMPUTED_VALUE"""),45149.66666666667)</f>
        <v>45149.66667</v>
      </c>
      <c r="B154" s="2">
        <f>IFERROR(__xludf.DUMMYFUNCTION("""COMPUTED_VALUE"""),505.63)</f>
        <v>505.63</v>
      </c>
      <c r="C154" s="2">
        <f>IFERROR(__xludf.DUMMYFUNCTION("""COMPUTED_VALUE"""),510.67)</f>
        <v>510.67</v>
      </c>
      <c r="D154" s="2">
        <f>IFERROR(__xludf.DUMMYFUNCTION("""COMPUTED_VALUE"""),504.25)</f>
        <v>504.25</v>
      </c>
      <c r="E154" s="2">
        <f>IFERROR(__xludf.DUMMYFUNCTION("""COMPUTED_VALUE"""),508.01)</f>
        <v>508.01</v>
      </c>
      <c r="F154" s="2">
        <f>IFERROR(__xludf.DUMMYFUNCTION("""COMPUTED_VALUE"""),2029635.0)</f>
        <v>2029635</v>
      </c>
    </row>
    <row r="155">
      <c r="A155" s="3">
        <f>IFERROR(__xludf.DUMMYFUNCTION("""COMPUTED_VALUE"""),45152.66666666667)</f>
        <v>45152.66667</v>
      </c>
      <c r="B155" s="2">
        <f>IFERROR(__xludf.DUMMYFUNCTION("""COMPUTED_VALUE"""),509.15)</f>
        <v>509.15</v>
      </c>
      <c r="C155" s="2">
        <f>IFERROR(__xludf.DUMMYFUNCTION("""COMPUTED_VALUE"""),513.5)</f>
        <v>513.5</v>
      </c>
      <c r="D155" s="2">
        <f>IFERROR(__xludf.DUMMYFUNCTION("""COMPUTED_VALUE"""),508.25)</f>
        <v>508.25</v>
      </c>
      <c r="E155" s="2">
        <f>IFERROR(__xludf.DUMMYFUNCTION("""COMPUTED_VALUE"""),510.93)</f>
        <v>510.93</v>
      </c>
      <c r="F155" s="2">
        <f>IFERROR(__xludf.DUMMYFUNCTION("""COMPUTED_VALUE"""),2127417.0)</f>
        <v>2127417</v>
      </c>
    </row>
    <row r="156">
      <c r="A156" s="3">
        <f>IFERROR(__xludf.DUMMYFUNCTION("""COMPUTED_VALUE"""),45153.66666666667)</f>
        <v>45153.66667</v>
      </c>
      <c r="B156" s="2">
        <f>IFERROR(__xludf.DUMMYFUNCTION("""COMPUTED_VALUE"""),511.58)</f>
        <v>511.58</v>
      </c>
      <c r="C156" s="2">
        <f>IFERROR(__xludf.DUMMYFUNCTION("""COMPUTED_VALUE"""),513.65)</f>
        <v>513.65</v>
      </c>
      <c r="D156" s="2">
        <f>IFERROR(__xludf.DUMMYFUNCTION("""COMPUTED_VALUE"""),506.27)</f>
        <v>506.27</v>
      </c>
      <c r="E156" s="2">
        <f>IFERROR(__xludf.DUMMYFUNCTION("""COMPUTED_VALUE"""),506.69)</f>
        <v>506.69</v>
      </c>
      <c r="F156" s="2">
        <f>IFERROR(__xludf.DUMMYFUNCTION("""COMPUTED_VALUE"""),1817631.0)</f>
        <v>1817631</v>
      </c>
    </row>
    <row r="157">
      <c r="A157" s="3">
        <f>IFERROR(__xludf.DUMMYFUNCTION("""COMPUTED_VALUE"""),45154.66666666667)</f>
        <v>45154.66667</v>
      </c>
      <c r="B157" s="2">
        <f>IFERROR(__xludf.DUMMYFUNCTION("""COMPUTED_VALUE"""),508.0)</f>
        <v>508</v>
      </c>
      <c r="C157" s="2">
        <f>IFERROR(__xludf.DUMMYFUNCTION("""COMPUTED_VALUE"""),510.5)</f>
        <v>510.5</v>
      </c>
      <c r="D157" s="2">
        <f>IFERROR(__xludf.DUMMYFUNCTION("""COMPUTED_VALUE"""),502.83)</f>
        <v>502.83</v>
      </c>
      <c r="E157" s="2">
        <f>IFERROR(__xludf.DUMMYFUNCTION("""COMPUTED_VALUE"""),503.56)</f>
        <v>503.56</v>
      </c>
      <c r="F157" s="2">
        <f>IFERROR(__xludf.DUMMYFUNCTION("""COMPUTED_VALUE"""),1454137.0)</f>
        <v>1454137</v>
      </c>
    </row>
    <row r="158">
      <c r="A158" s="3">
        <f>IFERROR(__xludf.DUMMYFUNCTION("""COMPUTED_VALUE"""),45155.66666666667)</f>
        <v>45155.66667</v>
      </c>
      <c r="B158" s="2">
        <f>IFERROR(__xludf.DUMMYFUNCTION("""COMPUTED_VALUE"""),495.48)</f>
        <v>495.48</v>
      </c>
      <c r="C158" s="2">
        <f>IFERROR(__xludf.DUMMYFUNCTION("""COMPUTED_VALUE"""),501.23)</f>
        <v>501.23</v>
      </c>
      <c r="D158" s="2">
        <f>IFERROR(__xludf.DUMMYFUNCTION("""COMPUTED_VALUE"""),491.82)</f>
        <v>491.82</v>
      </c>
      <c r="E158" s="2">
        <f>IFERROR(__xludf.DUMMYFUNCTION("""COMPUTED_VALUE"""),493.96)</f>
        <v>493.96</v>
      </c>
      <c r="F158" s="2">
        <f>IFERROR(__xludf.DUMMYFUNCTION("""COMPUTED_VALUE"""),3009465.0)</f>
        <v>3009465</v>
      </c>
    </row>
    <row r="159">
      <c r="A159" s="3">
        <f>IFERROR(__xludf.DUMMYFUNCTION("""COMPUTED_VALUE"""),45156.66666666667)</f>
        <v>45156.66667</v>
      </c>
      <c r="B159" s="2">
        <f>IFERROR(__xludf.DUMMYFUNCTION("""COMPUTED_VALUE"""),494.78)</f>
        <v>494.78</v>
      </c>
      <c r="C159" s="2">
        <f>IFERROR(__xludf.DUMMYFUNCTION("""COMPUTED_VALUE"""),500.94)</f>
        <v>500.94</v>
      </c>
      <c r="D159" s="2">
        <f>IFERROR(__xludf.DUMMYFUNCTION("""COMPUTED_VALUE"""),493.5)</f>
        <v>493.5</v>
      </c>
      <c r="E159" s="2">
        <f>IFERROR(__xludf.DUMMYFUNCTION("""COMPUTED_VALUE"""),498.44)</f>
        <v>498.44</v>
      </c>
      <c r="F159" s="2">
        <f>IFERROR(__xludf.DUMMYFUNCTION("""COMPUTED_VALUE"""),2364508.0)</f>
        <v>2364508</v>
      </c>
    </row>
    <row r="160">
      <c r="A160" s="3">
        <f>IFERROR(__xludf.DUMMYFUNCTION("""COMPUTED_VALUE"""),45159.66666666667)</f>
        <v>45159.66667</v>
      </c>
      <c r="B160" s="2">
        <f>IFERROR(__xludf.DUMMYFUNCTION("""COMPUTED_VALUE"""),497.51)</f>
        <v>497.51</v>
      </c>
      <c r="C160" s="2">
        <f>IFERROR(__xludf.DUMMYFUNCTION("""COMPUTED_VALUE"""),500.25)</f>
        <v>500.25</v>
      </c>
      <c r="D160" s="2">
        <f>IFERROR(__xludf.DUMMYFUNCTION("""COMPUTED_VALUE"""),496.22)</f>
        <v>496.22</v>
      </c>
      <c r="E160" s="2">
        <f>IFERROR(__xludf.DUMMYFUNCTION("""COMPUTED_VALUE"""),497.68)</f>
        <v>497.68</v>
      </c>
      <c r="F160" s="2">
        <f>IFERROR(__xludf.DUMMYFUNCTION("""COMPUTED_VALUE"""),1533600.0)</f>
        <v>1533600</v>
      </c>
    </row>
    <row r="161">
      <c r="A161" s="3">
        <f>IFERROR(__xludf.DUMMYFUNCTION("""COMPUTED_VALUE"""),45160.66666666667)</f>
        <v>45160.66667</v>
      </c>
      <c r="B161" s="2">
        <f>IFERROR(__xludf.DUMMYFUNCTION("""COMPUTED_VALUE"""),495.42)</f>
        <v>495.42</v>
      </c>
      <c r="C161" s="2">
        <f>IFERROR(__xludf.DUMMYFUNCTION("""COMPUTED_VALUE"""),496.79)</f>
        <v>496.79</v>
      </c>
      <c r="D161" s="2">
        <f>IFERROR(__xludf.DUMMYFUNCTION("""COMPUTED_VALUE"""),491.33)</f>
        <v>491.33</v>
      </c>
      <c r="E161" s="2">
        <f>IFERROR(__xludf.DUMMYFUNCTION("""COMPUTED_VALUE"""),492.34)</f>
        <v>492.34</v>
      </c>
      <c r="F161" s="2">
        <f>IFERROR(__xludf.DUMMYFUNCTION("""COMPUTED_VALUE"""),2079660.0)</f>
        <v>2079660</v>
      </c>
    </row>
    <row r="162">
      <c r="A162" s="3">
        <f>IFERROR(__xludf.DUMMYFUNCTION("""COMPUTED_VALUE"""),45161.66666666667)</f>
        <v>45161.66667</v>
      </c>
      <c r="B162" s="2">
        <f>IFERROR(__xludf.DUMMYFUNCTION("""COMPUTED_VALUE"""),493.0)</f>
        <v>493</v>
      </c>
      <c r="C162" s="2">
        <f>IFERROR(__xludf.DUMMYFUNCTION("""COMPUTED_VALUE"""),494.0)</f>
        <v>494</v>
      </c>
      <c r="D162" s="2">
        <f>IFERROR(__xludf.DUMMYFUNCTION("""COMPUTED_VALUE"""),487.93)</f>
        <v>487.93</v>
      </c>
      <c r="E162" s="2">
        <f>IFERROR(__xludf.DUMMYFUNCTION("""COMPUTED_VALUE"""),489.44)</f>
        <v>489.44</v>
      </c>
      <c r="F162" s="2">
        <f>IFERROR(__xludf.DUMMYFUNCTION("""COMPUTED_VALUE"""),2011353.0)</f>
        <v>2011353</v>
      </c>
    </row>
    <row r="163">
      <c r="A163" s="3">
        <f>IFERROR(__xludf.DUMMYFUNCTION("""COMPUTED_VALUE"""),45162.66666666667)</f>
        <v>45162.66667</v>
      </c>
      <c r="B163" s="2">
        <f>IFERROR(__xludf.DUMMYFUNCTION("""COMPUTED_VALUE"""),491.43)</f>
        <v>491.43</v>
      </c>
      <c r="C163" s="2">
        <f>IFERROR(__xludf.DUMMYFUNCTION("""COMPUTED_VALUE"""),495.42)</f>
        <v>495.42</v>
      </c>
      <c r="D163" s="2">
        <f>IFERROR(__xludf.DUMMYFUNCTION("""COMPUTED_VALUE"""),487.21)</f>
        <v>487.21</v>
      </c>
      <c r="E163" s="2">
        <f>IFERROR(__xludf.DUMMYFUNCTION("""COMPUTED_VALUE"""),488.1)</f>
        <v>488.1</v>
      </c>
      <c r="F163" s="2">
        <f>IFERROR(__xludf.DUMMYFUNCTION("""COMPUTED_VALUE"""),2311263.0)</f>
        <v>2311263</v>
      </c>
    </row>
    <row r="164">
      <c r="A164" s="3">
        <f>IFERROR(__xludf.DUMMYFUNCTION("""COMPUTED_VALUE"""),45163.66666666667)</f>
        <v>45163.66667</v>
      </c>
      <c r="B164" s="2">
        <f>IFERROR(__xludf.DUMMYFUNCTION("""COMPUTED_VALUE"""),489.92)</f>
        <v>489.92</v>
      </c>
      <c r="C164" s="2">
        <f>IFERROR(__xludf.DUMMYFUNCTION("""COMPUTED_VALUE"""),491.15)</f>
        <v>491.15</v>
      </c>
      <c r="D164" s="2">
        <f>IFERROR(__xludf.DUMMYFUNCTION("""COMPUTED_VALUE"""),484.65)</f>
        <v>484.65</v>
      </c>
      <c r="E164" s="2">
        <f>IFERROR(__xludf.DUMMYFUNCTION("""COMPUTED_VALUE"""),489.12)</f>
        <v>489.12</v>
      </c>
      <c r="F164" s="2">
        <f>IFERROR(__xludf.DUMMYFUNCTION("""COMPUTED_VALUE"""),1923586.0)</f>
        <v>1923586</v>
      </c>
    </row>
    <row r="165">
      <c r="A165" s="3">
        <f>IFERROR(__xludf.DUMMYFUNCTION("""COMPUTED_VALUE"""),45166.66666666667)</f>
        <v>45166.66667</v>
      </c>
      <c r="B165" s="2">
        <f>IFERROR(__xludf.DUMMYFUNCTION("""COMPUTED_VALUE"""),490.49)</f>
        <v>490.49</v>
      </c>
      <c r="C165" s="2">
        <f>IFERROR(__xludf.DUMMYFUNCTION("""COMPUTED_VALUE"""),493.06)</f>
        <v>493.06</v>
      </c>
      <c r="D165" s="2">
        <f>IFERROR(__xludf.DUMMYFUNCTION("""COMPUTED_VALUE"""),489.13)</f>
        <v>489.13</v>
      </c>
      <c r="E165" s="2">
        <f>IFERROR(__xludf.DUMMYFUNCTION("""COMPUTED_VALUE"""),491.28)</f>
        <v>491.28</v>
      </c>
      <c r="F165" s="2">
        <f>IFERROR(__xludf.DUMMYFUNCTION("""COMPUTED_VALUE"""),1344594.0)</f>
        <v>1344594</v>
      </c>
    </row>
    <row r="166">
      <c r="A166" s="3">
        <f>IFERROR(__xludf.DUMMYFUNCTION("""COMPUTED_VALUE"""),45167.66666666667)</f>
        <v>45167.66667</v>
      </c>
      <c r="B166" s="2">
        <f>IFERROR(__xludf.DUMMYFUNCTION("""COMPUTED_VALUE"""),491.47)</f>
        <v>491.47</v>
      </c>
      <c r="C166" s="2">
        <f>IFERROR(__xludf.DUMMYFUNCTION("""COMPUTED_VALUE"""),492.94)</f>
        <v>492.94</v>
      </c>
      <c r="D166" s="2">
        <f>IFERROR(__xludf.DUMMYFUNCTION("""COMPUTED_VALUE"""),487.97)</f>
        <v>487.97</v>
      </c>
      <c r="E166" s="2">
        <f>IFERROR(__xludf.DUMMYFUNCTION("""COMPUTED_VALUE"""),492.83)</f>
        <v>492.83</v>
      </c>
      <c r="F166" s="2">
        <f>IFERROR(__xludf.DUMMYFUNCTION("""COMPUTED_VALUE"""),2113674.0)</f>
        <v>2113674</v>
      </c>
    </row>
    <row r="167">
      <c r="A167" s="3">
        <f>IFERROR(__xludf.DUMMYFUNCTION("""COMPUTED_VALUE"""),45168.66666666667)</f>
        <v>45168.66667</v>
      </c>
      <c r="B167" s="2">
        <f>IFERROR(__xludf.DUMMYFUNCTION("""COMPUTED_VALUE"""),493.99)</f>
        <v>493.99</v>
      </c>
      <c r="C167" s="2">
        <f>IFERROR(__xludf.DUMMYFUNCTION("""COMPUTED_VALUE"""),496.71)</f>
        <v>496.71</v>
      </c>
      <c r="D167" s="2">
        <f>IFERROR(__xludf.DUMMYFUNCTION("""COMPUTED_VALUE"""),490.29)</f>
        <v>490.29</v>
      </c>
      <c r="E167" s="2">
        <f>IFERROR(__xludf.DUMMYFUNCTION("""COMPUTED_VALUE"""),491.53)</f>
        <v>491.53</v>
      </c>
      <c r="F167" s="2">
        <f>IFERROR(__xludf.DUMMYFUNCTION("""COMPUTED_VALUE"""),2283649.0)</f>
        <v>2283649</v>
      </c>
    </row>
    <row r="168">
      <c r="A168" s="3">
        <f>IFERROR(__xludf.DUMMYFUNCTION("""COMPUTED_VALUE"""),45169.66666666667)</f>
        <v>45169.66667</v>
      </c>
      <c r="B168" s="2">
        <f>IFERROR(__xludf.DUMMYFUNCTION("""COMPUTED_VALUE"""),492.36)</f>
        <v>492.36</v>
      </c>
      <c r="C168" s="2">
        <f>IFERROR(__xludf.DUMMYFUNCTION("""COMPUTED_VALUE"""),493.82)</f>
        <v>493.82</v>
      </c>
      <c r="D168" s="2">
        <f>IFERROR(__xludf.DUMMYFUNCTION("""COMPUTED_VALUE"""),476.29)</f>
        <v>476.29</v>
      </c>
      <c r="E168" s="2">
        <f>IFERROR(__xludf.DUMMYFUNCTION("""COMPUTED_VALUE"""),476.58)</f>
        <v>476.58</v>
      </c>
      <c r="F168" s="2">
        <f>IFERROR(__xludf.DUMMYFUNCTION("""COMPUTED_VALUE"""),4927736.0)</f>
        <v>4927736</v>
      </c>
    </row>
    <row r="169">
      <c r="A169" s="3">
        <f>IFERROR(__xludf.DUMMYFUNCTION("""COMPUTED_VALUE"""),45170.66666666667)</f>
        <v>45170.66667</v>
      </c>
      <c r="B169" s="2">
        <f>IFERROR(__xludf.DUMMYFUNCTION("""COMPUTED_VALUE"""),479.0)</f>
        <v>479</v>
      </c>
      <c r="C169" s="2">
        <f>IFERROR(__xludf.DUMMYFUNCTION("""COMPUTED_VALUE"""),480.65)</f>
        <v>480.65</v>
      </c>
      <c r="D169" s="2">
        <f>IFERROR(__xludf.DUMMYFUNCTION("""COMPUTED_VALUE"""),473.36)</f>
        <v>473.36</v>
      </c>
      <c r="E169" s="2">
        <f>IFERROR(__xludf.DUMMYFUNCTION("""COMPUTED_VALUE"""),476.24)</f>
        <v>476.24</v>
      </c>
      <c r="F169" s="2">
        <f>IFERROR(__xludf.DUMMYFUNCTION("""COMPUTED_VALUE"""),3165860.0)</f>
        <v>3165860</v>
      </c>
    </row>
    <row r="170">
      <c r="A170" s="3">
        <f>IFERROR(__xludf.DUMMYFUNCTION("""COMPUTED_VALUE"""),45174.66666666667)</f>
        <v>45174.66667</v>
      </c>
      <c r="B170" s="2">
        <f>IFERROR(__xludf.DUMMYFUNCTION("""COMPUTED_VALUE"""),478.0)</f>
        <v>478</v>
      </c>
      <c r="C170" s="2">
        <f>IFERROR(__xludf.DUMMYFUNCTION("""COMPUTED_VALUE"""),484.6)</f>
        <v>484.6</v>
      </c>
      <c r="D170" s="2">
        <f>IFERROR(__xludf.DUMMYFUNCTION("""COMPUTED_VALUE"""),477.54)</f>
        <v>477.54</v>
      </c>
      <c r="E170" s="2">
        <f>IFERROR(__xludf.DUMMYFUNCTION("""COMPUTED_VALUE"""),480.81)</f>
        <v>480.81</v>
      </c>
      <c r="F170" s="2">
        <f>IFERROR(__xludf.DUMMYFUNCTION("""COMPUTED_VALUE"""),3443268.0)</f>
        <v>3443268</v>
      </c>
    </row>
    <row r="171">
      <c r="A171" s="3">
        <f>IFERROR(__xludf.DUMMYFUNCTION("""COMPUTED_VALUE"""),45175.66666666667)</f>
        <v>45175.66667</v>
      </c>
      <c r="B171" s="2">
        <f>IFERROR(__xludf.DUMMYFUNCTION("""COMPUTED_VALUE"""),482.09)</f>
        <v>482.09</v>
      </c>
      <c r="C171" s="2">
        <f>IFERROR(__xludf.DUMMYFUNCTION("""COMPUTED_VALUE"""),483.16)</f>
        <v>483.16</v>
      </c>
      <c r="D171" s="2">
        <f>IFERROR(__xludf.DUMMYFUNCTION("""COMPUTED_VALUE"""),476.38)</f>
        <v>476.38</v>
      </c>
      <c r="E171" s="2">
        <f>IFERROR(__xludf.DUMMYFUNCTION("""COMPUTED_VALUE"""),476.94)</f>
        <v>476.94</v>
      </c>
      <c r="F171" s="2">
        <f>IFERROR(__xludf.DUMMYFUNCTION("""COMPUTED_VALUE"""),2596242.0)</f>
        <v>2596242</v>
      </c>
    </row>
    <row r="172">
      <c r="A172" s="3">
        <f>IFERROR(__xludf.DUMMYFUNCTION("""COMPUTED_VALUE"""),45176.66666666667)</f>
        <v>45176.66667</v>
      </c>
      <c r="B172" s="2">
        <f>IFERROR(__xludf.DUMMYFUNCTION("""COMPUTED_VALUE"""),479.9)</f>
        <v>479.9</v>
      </c>
      <c r="C172" s="2">
        <f>IFERROR(__xludf.DUMMYFUNCTION("""COMPUTED_VALUE"""),487.11)</f>
        <v>487.11</v>
      </c>
      <c r="D172" s="2">
        <f>IFERROR(__xludf.DUMMYFUNCTION("""COMPUTED_VALUE"""),478.6)</f>
        <v>478.6</v>
      </c>
      <c r="E172" s="2">
        <f>IFERROR(__xludf.DUMMYFUNCTION("""COMPUTED_VALUE"""),484.81)</f>
        <v>484.81</v>
      </c>
      <c r="F172" s="2">
        <f>IFERROR(__xludf.DUMMYFUNCTION("""COMPUTED_VALUE"""),2928070.0)</f>
        <v>2928070</v>
      </c>
    </row>
    <row r="173">
      <c r="A173" s="3">
        <f>IFERROR(__xludf.DUMMYFUNCTION("""COMPUTED_VALUE"""),45177.66666666667)</f>
        <v>45177.66667</v>
      </c>
      <c r="B173" s="2">
        <f>IFERROR(__xludf.DUMMYFUNCTION("""COMPUTED_VALUE"""),480.19)</f>
        <v>480.19</v>
      </c>
      <c r="C173" s="2">
        <f>IFERROR(__xludf.DUMMYFUNCTION("""COMPUTED_VALUE"""),482.97)</f>
        <v>482.97</v>
      </c>
      <c r="D173" s="2">
        <f>IFERROR(__xludf.DUMMYFUNCTION("""COMPUTED_VALUE"""),478.75)</f>
        <v>478.75</v>
      </c>
      <c r="E173" s="2">
        <f>IFERROR(__xludf.DUMMYFUNCTION("""COMPUTED_VALUE"""),480.77)</f>
        <v>480.77</v>
      </c>
      <c r="F173" s="2">
        <f>IFERROR(__xludf.DUMMYFUNCTION("""COMPUTED_VALUE"""),1858464.0)</f>
        <v>1858464</v>
      </c>
    </row>
    <row r="174">
      <c r="A174" s="3">
        <f>IFERROR(__xludf.DUMMYFUNCTION("""COMPUTED_VALUE"""),45180.66666666667)</f>
        <v>45180.66667</v>
      </c>
      <c r="B174" s="2">
        <f>IFERROR(__xludf.DUMMYFUNCTION("""COMPUTED_VALUE"""),481.98)</f>
        <v>481.98</v>
      </c>
      <c r="C174" s="2">
        <f>IFERROR(__xludf.DUMMYFUNCTION("""COMPUTED_VALUE"""),483.84)</f>
        <v>483.84</v>
      </c>
      <c r="D174" s="2">
        <f>IFERROR(__xludf.DUMMYFUNCTION("""COMPUTED_VALUE"""),478.0)</f>
        <v>478</v>
      </c>
      <c r="E174" s="2">
        <f>IFERROR(__xludf.DUMMYFUNCTION("""COMPUTED_VALUE"""),479.38)</f>
        <v>479.38</v>
      </c>
      <c r="F174" s="2">
        <f>IFERROR(__xludf.DUMMYFUNCTION("""COMPUTED_VALUE"""),2059286.0)</f>
        <v>2059286</v>
      </c>
    </row>
    <row r="175">
      <c r="A175" s="3">
        <f>IFERROR(__xludf.DUMMYFUNCTION("""COMPUTED_VALUE"""),45181.66666666667)</f>
        <v>45181.66667</v>
      </c>
      <c r="B175" s="2">
        <f>IFERROR(__xludf.DUMMYFUNCTION("""COMPUTED_VALUE"""),477.38)</f>
        <v>477.38</v>
      </c>
      <c r="C175" s="2">
        <f>IFERROR(__xludf.DUMMYFUNCTION("""COMPUTED_VALUE"""),483.64)</f>
        <v>483.64</v>
      </c>
      <c r="D175" s="2">
        <f>IFERROR(__xludf.DUMMYFUNCTION("""COMPUTED_VALUE"""),472.12)</f>
        <v>472.12</v>
      </c>
      <c r="E175" s="2">
        <f>IFERROR(__xludf.DUMMYFUNCTION("""COMPUTED_VALUE"""),479.9)</f>
        <v>479.9</v>
      </c>
      <c r="F175" s="2">
        <f>IFERROR(__xludf.DUMMYFUNCTION("""COMPUTED_VALUE"""),2195320.0)</f>
        <v>2195320</v>
      </c>
    </row>
    <row r="176">
      <c r="A176" s="3">
        <f>IFERROR(__xludf.DUMMYFUNCTION("""COMPUTED_VALUE"""),45182.66666666667)</f>
        <v>45182.66667</v>
      </c>
      <c r="B176" s="2">
        <f>IFERROR(__xludf.DUMMYFUNCTION("""COMPUTED_VALUE"""),481.43)</f>
        <v>481.43</v>
      </c>
      <c r="C176" s="2">
        <f>IFERROR(__xludf.DUMMYFUNCTION("""COMPUTED_VALUE"""),484.04)</f>
        <v>484.04</v>
      </c>
      <c r="D176" s="2">
        <f>IFERROR(__xludf.DUMMYFUNCTION("""COMPUTED_VALUE"""),479.46)</f>
        <v>479.46</v>
      </c>
      <c r="E176" s="2">
        <f>IFERROR(__xludf.DUMMYFUNCTION("""COMPUTED_VALUE"""),479.84)</f>
        <v>479.84</v>
      </c>
      <c r="F176" s="2">
        <f>IFERROR(__xludf.DUMMYFUNCTION("""COMPUTED_VALUE"""),2197825.0)</f>
        <v>2197825</v>
      </c>
    </row>
    <row r="177">
      <c r="A177" s="3">
        <f>IFERROR(__xludf.DUMMYFUNCTION("""COMPUTED_VALUE"""),45183.66666666667)</f>
        <v>45183.66667</v>
      </c>
      <c r="B177" s="2">
        <f>IFERROR(__xludf.DUMMYFUNCTION("""COMPUTED_VALUE"""),482.63)</f>
        <v>482.63</v>
      </c>
      <c r="C177" s="2">
        <f>IFERROR(__xludf.DUMMYFUNCTION("""COMPUTED_VALUE"""),485.27)</f>
        <v>485.27</v>
      </c>
      <c r="D177" s="2">
        <f>IFERROR(__xludf.DUMMYFUNCTION("""COMPUTED_VALUE"""),478.78)</f>
        <v>478.78</v>
      </c>
      <c r="E177" s="2">
        <f>IFERROR(__xludf.DUMMYFUNCTION("""COMPUTED_VALUE"""),483.6)</f>
        <v>483.6</v>
      </c>
      <c r="F177" s="2">
        <f>IFERROR(__xludf.DUMMYFUNCTION("""COMPUTED_VALUE"""),2334531.0)</f>
        <v>2334531</v>
      </c>
    </row>
    <row r="178">
      <c r="A178" s="3">
        <f>IFERROR(__xludf.DUMMYFUNCTION("""COMPUTED_VALUE"""),45184.66666666667)</f>
        <v>45184.66667</v>
      </c>
      <c r="B178" s="2">
        <f>IFERROR(__xludf.DUMMYFUNCTION("""COMPUTED_VALUE"""),485.74)</f>
        <v>485.74</v>
      </c>
      <c r="C178" s="2">
        <f>IFERROR(__xludf.DUMMYFUNCTION("""COMPUTED_VALUE"""),489.82)</f>
        <v>489.82</v>
      </c>
      <c r="D178" s="2">
        <f>IFERROR(__xludf.DUMMYFUNCTION("""COMPUTED_VALUE"""),484.14)</f>
        <v>484.14</v>
      </c>
      <c r="E178" s="2">
        <f>IFERROR(__xludf.DUMMYFUNCTION("""COMPUTED_VALUE"""),486.7)</f>
        <v>486.7</v>
      </c>
      <c r="F178" s="2">
        <f>IFERROR(__xludf.DUMMYFUNCTION("""COMPUTED_VALUE"""),5334308.0)</f>
        <v>5334308</v>
      </c>
    </row>
    <row r="179">
      <c r="A179" s="3">
        <f>IFERROR(__xludf.DUMMYFUNCTION("""COMPUTED_VALUE"""),45187.66666666667)</f>
        <v>45187.66667</v>
      </c>
      <c r="B179" s="2">
        <f>IFERROR(__xludf.DUMMYFUNCTION("""COMPUTED_VALUE"""),488.41)</f>
        <v>488.41</v>
      </c>
      <c r="C179" s="2">
        <f>IFERROR(__xludf.DUMMYFUNCTION("""COMPUTED_VALUE"""),488.74)</f>
        <v>488.74</v>
      </c>
      <c r="D179" s="2">
        <f>IFERROR(__xludf.DUMMYFUNCTION("""COMPUTED_VALUE"""),483.6)</f>
        <v>483.6</v>
      </c>
      <c r="E179" s="2">
        <f>IFERROR(__xludf.DUMMYFUNCTION("""COMPUTED_VALUE"""),486.06)</f>
        <v>486.06</v>
      </c>
      <c r="F179" s="2">
        <f>IFERROR(__xludf.DUMMYFUNCTION("""COMPUTED_VALUE"""),1997493.0)</f>
        <v>1997493</v>
      </c>
    </row>
    <row r="180">
      <c r="A180" s="3">
        <f>IFERROR(__xludf.DUMMYFUNCTION("""COMPUTED_VALUE"""),45188.66666666667)</f>
        <v>45188.66667</v>
      </c>
      <c r="B180" s="2">
        <f>IFERROR(__xludf.DUMMYFUNCTION("""COMPUTED_VALUE"""),483.76)</f>
        <v>483.76</v>
      </c>
      <c r="C180" s="2">
        <f>IFERROR(__xludf.DUMMYFUNCTION("""COMPUTED_VALUE"""),485.73)</f>
        <v>485.73</v>
      </c>
      <c r="D180" s="2">
        <f>IFERROR(__xludf.DUMMYFUNCTION("""COMPUTED_VALUE"""),476.54)</f>
        <v>476.54</v>
      </c>
      <c r="E180" s="2">
        <f>IFERROR(__xludf.DUMMYFUNCTION("""COMPUTED_VALUE"""),480.66)</f>
        <v>480.66</v>
      </c>
      <c r="F180" s="2">
        <f>IFERROR(__xludf.DUMMYFUNCTION("""COMPUTED_VALUE"""),3230987.0)</f>
        <v>3230987</v>
      </c>
    </row>
    <row r="181">
      <c r="A181" s="3">
        <f>IFERROR(__xludf.DUMMYFUNCTION("""COMPUTED_VALUE"""),45189.66666666667)</f>
        <v>45189.66667</v>
      </c>
      <c r="B181" s="2">
        <f>IFERROR(__xludf.DUMMYFUNCTION("""COMPUTED_VALUE"""),482.75)</f>
        <v>482.75</v>
      </c>
      <c r="C181" s="2">
        <f>IFERROR(__xludf.DUMMYFUNCTION("""COMPUTED_VALUE"""),495.11)</f>
        <v>495.11</v>
      </c>
      <c r="D181" s="2">
        <f>IFERROR(__xludf.DUMMYFUNCTION("""COMPUTED_VALUE"""),479.14)</f>
        <v>479.14</v>
      </c>
      <c r="E181" s="2">
        <f>IFERROR(__xludf.DUMMYFUNCTION("""COMPUTED_VALUE"""),492.13)</f>
        <v>492.13</v>
      </c>
      <c r="F181" s="2">
        <f>IFERROR(__xludf.DUMMYFUNCTION("""COMPUTED_VALUE"""),3725282.0)</f>
        <v>3725282</v>
      </c>
    </row>
    <row r="182">
      <c r="A182" s="3">
        <f>IFERROR(__xludf.DUMMYFUNCTION("""COMPUTED_VALUE"""),45190.66666666667)</f>
        <v>45190.66667</v>
      </c>
      <c r="B182" s="2">
        <f>IFERROR(__xludf.DUMMYFUNCTION("""COMPUTED_VALUE"""),494.19)</f>
        <v>494.19</v>
      </c>
      <c r="C182" s="2">
        <f>IFERROR(__xludf.DUMMYFUNCTION("""COMPUTED_VALUE"""),505.14)</f>
        <v>505.14</v>
      </c>
      <c r="D182" s="2">
        <f>IFERROR(__xludf.DUMMYFUNCTION("""COMPUTED_VALUE"""),493.08)</f>
        <v>493.08</v>
      </c>
      <c r="E182" s="2">
        <f>IFERROR(__xludf.DUMMYFUNCTION("""COMPUTED_VALUE"""),501.14)</f>
        <v>501.14</v>
      </c>
      <c r="F182" s="2">
        <f>IFERROR(__xludf.DUMMYFUNCTION("""COMPUTED_VALUE"""),4703959.0)</f>
        <v>4703959</v>
      </c>
    </row>
    <row r="183">
      <c r="A183" s="3">
        <f>IFERROR(__xludf.DUMMYFUNCTION("""COMPUTED_VALUE"""),45191.66666666667)</f>
        <v>45191.66667</v>
      </c>
      <c r="B183" s="2">
        <f>IFERROR(__xludf.DUMMYFUNCTION("""COMPUTED_VALUE"""),499.0)</f>
        <v>499</v>
      </c>
      <c r="C183" s="2">
        <f>IFERROR(__xludf.DUMMYFUNCTION("""COMPUTED_VALUE"""),509.43)</f>
        <v>509.43</v>
      </c>
      <c r="D183" s="2">
        <f>IFERROR(__xludf.DUMMYFUNCTION("""COMPUTED_VALUE"""),498.03)</f>
        <v>498.03</v>
      </c>
      <c r="E183" s="2">
        <f>IFERROR(__xludf.DUMMYFUNCTION("""COMPUTED_VALUE"""),506.1)</f>
        <v>506.1</v>
      </c>
      <c r="F183" s="2">
        <f>IFERROR(__xludf.DUMMYFUNCTION("""COMPUTED_VALUE"""),4558659.0)</f>
        <v>4558659</v>
      </c>
    </row>
    <row r="184">
      <c r="A184" s="3">
        <f>IFERROR(__xludf.DUMMYFUNCTION("""COMPUTED_VALUE"""),45194.66666666667)</f>
        <v>45194.66667</v>
      </c>
      <c r="B184" s="2">
        <f>IFERROR(__xludf.DUMMYFUNCTION("""COMPUTED_VALUE"""),508.26)</f>
        <v>508.26</v>
      </c>
      <c r="C184" s="2">
        <f>IFERROR(__xludf.DUMMYFUNCTION("""COMPUTED_VALUE"""),510.94)</f>
        <v>510.94</v>
      </c>
      <c r="D184" s="2">
        <f>IFERROR(__xludf.DUMMYFUNCTION("""COMPUTED_VALUE"""),506.63)</f>
        <v>506.63</v>
      </c>
      <c r="E184" s="2">
        <f>IFERROR(__xludf.DUMMYFUNCTION("""COMPUTED_VALUE"""),510.28)</f>
        <v>510.28</v>
      </c>
      <c r="F184" s="2">
        <f>IFERROR(__xludf.DUMMYFUNCTION("""COMPUTED_VALUE"""),2758591.0)</f>
        <v>2758591</v>
      </c>
    </row>
    <row r="185">
      <c r="A185" s="3">
        <f>IFERROR(__xludf.DUMMYFUNCTION("""COMPUTED_VALUE"""),45195.66666666667)</f>
        <v>45195.66667</v>
      </c>
      <c r="B185" s="2">
        <f>IFERROR(__xludf.DUMMYFUNCTION("""COMPUTED_VALUE"""),508.94)</f>
        <v>508.94</v>
      </c>
      <c r="C185" s="2">
        <f>IFERROR(__xludf.DUMMYFUNCTION("""COMPUTED_VALUE"""),509.42)</f>
        <v>509.42</v>
      </c>
      <c r="D185" s="2">
        <f>IFERROR(__xludf.DUMMYFUNCTION("""COMPUTED_VALUE"""),504.38)</f>
        <v>504.38</v>
      </c>
      <c r="E185" s="2">
        <f>IFERROR(__xludf.DUMMYFUNCTION("""COMPUTED_VALUE"""),505.45)</f>
        <v>505.45</v>
      </c>
      <c r="F185" s="2">
        <f>IFERROR(__xludf.DUMMYFUNCTION("""COMPUTED_VALUE"""),2420166.0)</f>
        <v>2420166</v>
      </c>
    </row>
    <row r="186">
      <c r="A186" s="3">
        <f>IFERROR(__xludf.DUMMYFUNCTION("""COMPUTED_VALUE"""),45196.66666666667)</f>
        <v>45196.66667</v>
      </c>
      <c r="B186" s="2">
        <f>IFERROR(__xludf.DUMMYFUNCTION("""COMPUTED_VALUE"""),506.23)</f>
        <v>506.23</v>
      </c>
      <c r="C186" s="2">
        <f>IFERROR(__xludf.DUMMYFUNCTION("""COMPUTED_VALUE"""),506.36)</f>
        <v>506.36</v>
      </c>
      <c r="D186" s="2">
        <f>IFERROR(__xludf.DUMMYFUNCTION("""COMPUTED_VALUE"""),501.05)</f>
        <v>501.05</v>
      </c>
      <c r="E186" s="2">
        <f>IFERROR(__xludf.DUMMYFUNCTION("""COMPUTED_VALUE"""),503.73)</f>
        <v>503.73</v>
      </c>
      <c r="F186" s="2">
        <f>IFERROR(__xludf.DUMMYFUNCTION("""COMPUTED_VALUE"""),2593742.0)</f>
        <v>2593742</v>
      </c>
    </row>
    <row r="187">
      <c r="A187" s="3">
        <f>IFERROR(__xludf.DUMMYFUNCTION("""COMPUTED_VALUE"""),45197.66666666667)</f>
        <v>45197.66667</v>
      </c>
      <c r="B187" s="2">
        <f>IFERROR(__xludf.DUMMYFUNCTION("""COMPUTED_VALUE"""),505.97)</f>
        <v>505.97</v>
      </c>
      <c r="C187" s="2">
        <f>IFERROR(__xludf.DUMMYFUNCTION("""COMPUTED_VALUE"""),514.15)</f>
        <v>514.15</v>
      </c>
      <c r="D187" s="2">
        <f>IFERROR(__xludf.DUMMYFUNCTION("""COMPUTED_VALUE"""),505.01)</f>
        <v>505.01</v>
      </c>
      <c r="E187" s="2">
        <f>IFERROR(__xludf.DUMMYFUNCTION("""COMPUTED_VALUE"""),510.1)</f>
        <v>510.1</v>
      </c>
      <c r="F187" s="2">
        <f>IFERROR(__xludf.DUMMYFUNCTION("""COMPUTED_VALUE"""),2922128.0)</f>
        <v>2922128</v>
      </c>
    </row>
    <row r="188">
      <c r="A188" s="3">
        <f>IFERROR(__xludf.DUMMYFUNCTION("""COMPUTED_VALUE"""),45198.66666666667)</f>
        <v>45198.66667</v>
      </c>
      <c r="B188" s="2">
        <f>IFERROR(__xludf.DUMMYFUNCTION("""COMPUTED_VALUE"""),509.85)</f>
        <v>509.85</v>
      </c>
      <c r="C188" s="2">
        <f>IFERROR(__xludf.DUMMYFUNCTION("""COMPUTED_VALUE"""),509.88)</f>
        <v>509.88</v>
      </c>
      <c r="D188" s="2">
        <f>IFERROR(__xludf.DUMMYFUNCTION("""COMPUTED_VALUE"""),503.8)</f>
        <v>503.8</v>
      </c>
      <c r="E188" s="2">
        <f>IFERROR(__xludf.DUMMYFUNCTION("""COMPUTED_VALUE"""),504.19)</f>
        <v>504.19</v>
      </c>
      <c r="F188" s="2">
        <f>IFERROR(__xludf.DUMMYFUNCTION("""COMPUTED_VALUE"""),3006233.0)</f>
        <v>3006233</v>
      </c>
    </row>
    <row r="189">
      <c r="A189" s="3">
        <f>IFERROR(__xludf.DUMMYFUNCTION("""COMPUTED_VALUE"""),45201.66666666667)</f>
        <v>45201.66667</v>
      </c>
      <c r="B189" s="2">
        <f>IFERROR(__xludf.DUMMYFUNCTION("""COMPUTED_VALUE"""),505.53)</f>
        <v>505.53</v>
      </c>
      <c r="C189" s="2">
        <f>IFERROR(__xludf.DUMMYFUNCTION("""COMPUTED_VALUE"""),514.84)</f>
        <v>514.84</v>
      </c>
      <c r="D189" s="2">
        <f>IFERROR(__xludf.DUMMYFUNCTION("""COMPUTED_VALUE"""),503.14)</f>
        <v>503.14</v>
      </c>
      <c r="E189" s="2">
        <f>IFERROR(__xludf.DUMMYFUNCTION("""COMPUTED_VALUE"""),514.57)</f>
        <v>514.57</v>
      </c>
      <c r="F189" s="2">
        <f>IFERROR(__xludf.DUMMYFUNCTION("""COMPUTED_VALUE"""),3550376.0)</f>
        <v>3550376</v>
      </c>
    </row>
    <row r="190">
      <c r="A190" s="3">
        <f>IFERROR(__xludf.DUMMYFUNCTION("""COMPUTED_VALUE"""),45202.66666666667)</f>
        <v>45202.66667</v>
      </c>
      <c r="B190" s="2">
        <f>IFERROR(__xludf.DUMMYFUNCTION("""COMPUTED_VALUE"""),513.3)</f>
        <v>513.3</v>
      </c>
      <c r="C190" s="2">
        <f>IFERROR(__xludf.DUMMYFUNCTION("""COMPUTED_VALUE"""),513.98)</f>
        <v>513.98</v>
      </c>
      <c r="D190" s="2">
        <f>IFERROR(__xludf.DUMMYFUNCTION("""COMPUTED_VALUE"""),508.36)</f>
        <v>508.36</v>
      </c>
      <c r="E190" s="2">
        <f>IFERROR(__xludf.DUMMYFUNCTION("""COMPUTED_VALUE"""),509.47)</f>
        <v>509.47</v>
      </c>
      <c r="F190" s="2">
        <f>IFERROR(__xludf.DUMMYFUNCTION("""COMPUTED_VALUE"""),3143403.0)</f>
        <v>3143403</v>
      </c>
    </row>
    <row r="191">
      <c r="A191" s="3">
        <f>IFERROR(__xludf.DUMMYFUNCTION("""COMPUTED_VALUE"""),45203.66666666667)</f>
        <v>45203.66667</v>
      </c>
      <c r="B191" s="2">
        <f>IFERROR(__xludf.DUMMYFUNCTION("""COMPUTED_VALUE"""),509.49)</f>
        <v>509.49</v>
      </c>
      <c r="C191" s="2">
        <f>IFERROR(__xludf.DUMMYFUNCTION("""COMPUTED_VALUE"""),511.82)</f>
        <v>511.82</v>
      </c>
      <c r="D191" s="2">
        <f>IFERROR(__xludf.DUMMYFUNCTION("""COMPUTED_VALUE"""),506.61)</f>
        <v>506.61</v>
      </c>
      <c r="E191" s="2">
        <f>IFERROR(__xludf.DUMMYFUNCTION("""COMPUTED_VALUE"""),510.62)</f>
        <v>510.62</v>
      </c>
      <c r="F191" s="2">
        <f>IFERROR(__xludf.DUMMYFUNCTION("""COMPUTED_VALUE"""),2801845.0)</f>
        <v>2801845</v>
      </c>
    </row>
    <row r="192">
      <c r="A192" s="3">
        <f>IFERROR(__xludf.DUMMYFUNCTION("""COMPUTED_VALUE"""),45204.66666666667)</f>
        <v>45204.66667</v>
      </c>
      <c r="B192" s="2">
        <f>IFERROR(__xludf.DUMMYFUNCTION("""COMPUTED_VALUE"""),511.62)</f>
        <v>511.62</v>
      </c>
      <c r="C192" s="2">
        <f>IFERROR(__xludf.DUMMYFUNCTION("""COMPUTED_VALUE"""),518.21)</f>
        <v>518.21</v>
      </c>
      <c r="D192" s="2">
        <f>IFERROR(__xludf.DUMMYFUNCTION("""COMPUTED_VALUE"""),511.23)</f>
        <v>511.23</v>
      </c>
      <c r="E192" s="2">
        <f>IFERROR(__xludf.DUMMYFUNCTION("""COMPUTED_VALUE"""),516.23)</f>
        <v>516.23</v>
      </c>
      <c r="F192" s="2">
        <f>IFERROR(__xludf.DUMMYFUNCTION("""COMPUTED_VALUE"""),2790666.0)</f>
        <v>2790666</v>
      </c>
    </row>
    <row r="193">
      <c r="A193" s="3">
        <f>IFERROR(__xludf.DUMMYFUNCTION("""COMPUTED_VALUE"""),45205.66666666667)</f>
        <v>45205.66667</v>
      </c>
      <c r="B193" s="2">
        <f>IFERROR(__xludf.DUMMYFUNCTION("""COMPUTED_VALUE"""),516.45)</f>
        <v>516.45</v>
      </c>
      <c r="C193" s="2">
        <f>IFERROR(__xludf.DUMMYFUNCTION("""COMPUTED_VALUE"""),525.95)</f>
        <v>525.95</v>
      </c>
      <c r="D193" s="2">
        <f>IFERROR(__xludf.DUMMYFUNCTION("""COMPUTED_VALUE"""),515.98)</f>
        <v>515.98</v>
      </c>
      <c r="E193" s="2">
        <f>IFERROR(__xludf.DUMMYFUNCTION("""COMPUTED_VALUE"""),524.81)</f>
        <v>524.81</v>
      </c>
      <c r="F193" s="2">
        <f>IFERROR(__xludf.DUMMYFUNCTION("""COMPUTED_VALUE"""),3647187.0)</f>
        <v>3647187</v>
      </c>
    </row>
    <row r="194">
      <c r="A194" s="3">
        <f>IFERROR(__xludf.DUMMYFUNCTION("""COMPUTED_VALUE"""),45208.66666666667)</f>
        <v>45208.66667</v>
      </c>
      <c r="B194" s="2">
        <f>IFERROR(__xludf.DUMMYFUNCTION("""COMPUTED_VALUE"""),521.15)</f>
        <v>521.15</v>
      </c>
      <c r="C194" s="2">
        <f>IFERROR(__xludf.DUMMYFUNCTION("""COMPUTED_VALUE"""),526.87)</f>
        <v>526.87</v>
      </c>
      <c r="D194" s="2">
        <f>IFERROR(__xludf.DUMMYFUNCTION("""COMPUTED_VALUE"""),520.25)</f>
        <v>520.25</v>
      </c>
      <c r="E194" s="2">
        <f>IFERROR(__xludf.DUMMYFUNCTION("""COMPUTED_VALUE"""),526.51)</f>
        <v>526.51</v>
      </c>
      <c r="F194" s="2">
        <f>IFERROR(__xludf.DUMMYFUNCTION("""COMPUTED_VALUE"""),2341552.0)</f>
        <v>2341552</v>
      </c>
    </row>
    <row r="195">
      <c r="A195" s="3">
        <f>IFERROR(__xludf.DUMMYFUNCTION("""COMPUTED_VALUE"""),45209.66666666667)</f>
        <v>45209.66667</v>
      </c>
      <c r="B195" s="2">
        <f>IFERROR(__xludf.DUMMYFUNCTION("""COMPUTED_VALUE"""),526.5)</f>
        <v>526.5</v>
      </c>
      <c r="C195" s="2">
        <f>IFERROR(__xludf.DUMMYFUNCTION("""COMPUTED_VALUE"""),528.14)</f>
        <v>528.14</v>
      </c>
      <c r="D195" s="2">
        <f>IFERROR(__xludf.DUMMYFUNCTION("""COMPUTED_VALUE"""),523.08)</f>
        <v>523.08</v>
      </c>
      <c r="E195" s="2">
        <f>IFERROR(__xludf.DUMMYFUNCTION("""COMPUTED_VALUE"""),524.24)</f>
        <v>524.24</v>
      </c>
      <c r="F195" s="2">
        <f>IFERROR(__xludf.DUMMYFUNCTION("""COMPUTED_VALUE"""),2455689.0)</f>
        <v>2455689</v>
      </c>
    </row>
    <row r="196">
      <c r="A196" s="3">
        <f>IFERROR(__xludf.DUMMYFUNCTION("""COMPUTED_VALUE"""),45210.66666666667)</f>
        <v>45210.66667</v>
      </c>
      <c r="B196" s="2">
        <f>IFERROR(__xludf.DUMMYFUNCTION("""COMPUTED_VALUE"""),520.92)</f>
        <v>520.92</v>
      </c>
      <c r="C196" s="2">
        <f>IFERROR(__xludf.DUMMYFUNCTION("""COMPUTED_VALUE"""),525.59)</f>
        <v>525.59</v>
      </c>
      <c r="D196" s="2">
        <f>IFERROR(__xludf.DUMMYFUNCTION("""COMPUTED_VALUE"""),520.23)</f>
        <v>520.23</v>
      </c>
      <c r="E196" s="2">
        <f>IFERROR(__xludf.DUMMYFUNCTION("""COMPUTED_VALUE"""),524.13)</f>
        <v>524.13</v>
      </c>
      <c r="F196" s="2">
        <f>IFERROR(__xludf.DUMMYFUNCTION("""COMPUTED_VALUE"""),2819534.0)</f>
        <v>2819534</v>
      </c>
    </row>
    <row r="197">
      <c r="A197" s="3">
        <f>IFERROR(__xludf.DUMMYFUNCTION("""COMPUTED_VALUE"""),45211.66666666667)</f>
        <v>45211.66667</v>
      </c>
      <c r="B197" s="2">
        <f>IFERROR(__xludf.DUMMYFUNCTION("""COMPUTED_VALUE"""),524.47)</f>
        <v>524.47</v>
      </c>
      <c r="C197" s="2">
        <f>IFERROR(__xludf.DUMMYFUNCTION("""COMPUTED_VALUE"""),528.58)</f>
        <v>528.58</v>
      </c>
      <c r="D197" s="2">
        <f>IFERROR(__xludf.DUMMYFUNCTION("""COMPUTED_VALUE"""),522.25)</f>
        <v>522.25</v>
      </c>
      <c r="E197" s="2">
        <f>IFERROR(__xludf.DUMMYFUNCTION("""COMPUTED_VALUE"""),525.54)</f>
        <v>525.54</v>
      </c>
      <c r="F197" s="2">
        <f>IFERROR(__xludf.DUMMYFUNCTION("""COMPUTED_VALUE"""),2377335.0)</f>
        <v>2377335</v>
      </c>
    </row>
    <row r="198">
      <c r="A198" s="3">
        <f>IFERROR(__xludf.DUMMYFUNCTION("""COMPUTED_VALUE"""),45212.66666666667)</f>
        <v>45212.66667</v>
      </c>
      <c r="B198" s="2">
        <f>IFERROR(__xludf.DUMMYFUNCTION("""COMPUTED_VALUE"""),533.25)</f>
        <v>533.25</v>
      </c>
      <c r="C198" s="2">
        <f>IFERROR(__xludf.DUMMYFUNCTION("""COMPUTED_VALUE"""),544.46)</f>
        <v>544.46</v>
      </c>
      <c r="D198" s="2">
        <f>IFERROR(__xludf.DUMMYFUNCTION("""COMPUTED_VALUE"""),532.0)</f>
        <v>532</v>
      </c>
      <c r="E198" s="2">
        <f>IFERROR(__xludf.DUMMYFUNCTION("""COMPUTED_VALUE"""),539.4)</f>
        <v>539.4</v>
      </c>
      <c r="F198" s="2">
        <f>IFERROR(__xludf.DUMMYFUNCTION("""COMPUTED_VALUE"""),5245988.0)</f>
        <v>5245988</v>
      </c>
    </row>
    <row r="199">
      <c r="A199" s="3">
        <f>IFERROR(__xludf.DUMMYFUNCTION("""COMPUTED_VALUE"""),45215.66666666667)</f>
        <v>45215.66667</v>
      </c>
      <c r="B199" s="2">
        <f>IFERROR(__xludf.DUMMYFUNCTION("""COMPUTED_VALUE"""),543.18)</f>
        <v>543.18</v>
      </c>
      <c r="C199" s="2">
        <f>IFERROR(__xludf.DUMMYFUNCTION("""COMPUTED_VALUE"""),546.78)</f>
        <v>546.78</v>
      </c>
      <c r="D199" s="2">
        <f>IFERROR(__xludf.DUMMYFUNCTION("""COMPUTED_VALUE"""),536.12)</f>
        <v>536.12</v>
      </c>
      <c r="E199" s="2">
        <f>IFERROR(__xludf.DUMMYFUNCTION("""COMPUTED_VALUE"""),538.03)</f>
        <v>538.03</v>
      </c>
      <c r="F199" s="2">
        <f>IFERROR(__xludf.DUMMYFUNCTION("""COMPUTED_VALUE"""),3827781.0)</f>
        <v>3827781</v>
      </c>
    </row>
    <row r="200">
      <c r="A200" s="3">
        <f>IFERROR(__xludf.DUMMYFUNCTION("""COMPUTED_VALUE"""),45216.66666666667)</f>
        <v>45216.66667</v>
      </c>
      <c r="B200" s="2">
        <f>IFERROR(__xludf.DUMMYFUNCTION("""COMPUTED_VALUE"""),539.94)</f>
        <v>539.94</v>
      </c>
      <c r="C200" s="2">
        <f>IFERROR(__xludf.DUMMYFUNCTION("""COMPUTED_VALUE"""),542.43)</f>
        <v>542.43</v>
      </c>
      <c r="D200" s="2">
        <f>IFERROR(__xludf.DUMMYFUNCTION("""COMPUTED_VALUE"""),534.57)</f>
        <v>534.57</v>
      </c>
      <c r="E200" s="2">
        <f>IFERROR(__xludf.DUMMYFUNCTION("""COMPUTED_VALUE"""),536.65)</f>
        <v>536.65</v>
      </c>
      <c r="F200" s="2">
        <f>IFERROR(__xludf.DUMMYFUNCTION("""COMPUTED_VALUE"""),2586106.0)</f>
        <v>2586106</v>
      </c>
    </row>
    <row r="201">
      <c r="A201" s="3">
        <f>IFERROR(__xludf.DUMMYFUNCTION("""COMPUTED_VALUE"""),45217.66666666667)</f>
        <v>45217.66667</v>
      </c>
      <c r="B201" s="2">
        <f>IFERROR(__xludf.DUMMYFUNCTION("""COMPUTED_VALUE"""),543.04)</f>
        <v>543.04</v>
      </c>
      <c r="C201" s="2">
        <f>IFERROR(__xludf.DUMMYFUNCTION("""COMPUTED_VALUE"""),543.98)</f>
        <v>543.98</v>
      </c>
      <c r="D201" s="2">
        <f>IFERROR(__xludf.DUMMYFUNCTION("""COMPUTED_VALUE"""),535.4)</f>
        <v>535.4</v>
      </c>
      <c r="E201" s="2">
        <f>IFERROR(__xludf.DUMMYFUNCTION("""COMPUTED_VALUE"""),536.06)</f>
        <v>536.06</v>
      </c>
      <c r="F201" s="2">
        <f>IFERROR(__xludf.DUMMYFUNCTION("""COMPUTED_VALUE"""),2551563.0)</f>
        <v>2551563</v>
      </c>
    </row>
    <row r="202">
      <c r="A202" s="3">
        <f>IFERROR(__xludf.DUMMYFUNCTION("""COMPUTED_VALUE"""),45218.66666666667)</f>
        <v>45218.66667</v>
      </c>
      <c r="B202" s="2">
        <f>IFERROR(__xludf.DUMMYFUNCTION("""COMPUTED_VALUE"""),536.82)</f>
        <v>536.82</v>
      </c>
      <c r="C202" s="2">
        <f>IFERROR(__xludf.DUMMYFUNCTION("""COMPUTED_VALUE"""),538.34)</f>
        <v>538.34</v>
      </c>
      <c r="D202" s="2">
        <f>IFERROR(__xludf.DUMMYFUNCTION("""COMPUTED_VALUE"""),529.25)</f>
        <v>529.25</v>
      </c>
      <c r="E202" s="2">
        <f>IFERROR(__xludf.DUMMYFUNCTION("""COMPUTED_VALUE"""),531.63)</f>
        <v>531.63</v>
      </c>
      <c r="F202" s="2">
        <f>IFERROR(__xludf.DUMMYFUNCTION("""COMPUTED_VALUE"""),2351431.0)</f>
        <v>2351431</v>
      </c>
    </row>
    <row r="203">
      <c r="A203" s="3">
        <f>IFERROR(__xludf.DUMMYFUNCTION("""COMPUTED_VALUE"""),45219.66666666667)</f>
        <v>45219.66667</v>
      </c>
      <c r="B203" s="2">
        <f>IFERROR(__xludf.DUMMYFUNCTION("""COMPUTED_VALUE"""),531.0)</f>
        <v>531</v>
      </c>
      <c r="C203" s="2">
        <f>IFERROR(__xludf.DUMMYFUNCTION("""COMPUTED_VALUE"""),534.43)</f>
        <v>534.43</v>
      </c>
      <c r="D203" s="2">
        <f>IFERROR(__xludf.DUMMYFUNCTION("""COMPUTED_VALUE"""),526.77)</f>
        <v>526.77</v>
      </c>
      <c r="E203" s="2">
        <f>IFERROR(__xludf.DUMMYFUNCTION("""COMPUTED_VALUE"""),527.03)</f>
        <v>527.03</v>
      </c>
      <c r="F203" s="2">
        <f>IFERROR(__xludf.DUMMYFUNCTION("""COMPUTED_VALUE"""),2811061.0)</f>
        <v>2811061</v>
      </c>
    </row>
    <row r="204">
      <c r="A204" s="3">
        <f>IFERROR(__xludf.DUMMYFUNCTION("""COMPUTED_VALUE"""),45222.66666666667)</f>
        <v>45222.66667</v>
      </c>
      <c r="B204" s="2">
        <f>IFERROR(__xludf.DUMMYFUNCTION("""COMPUTED_VALUE"""),527.03)</f>
        <v>527.03</v>
      </c>
      <c r="C204" s="2">
        <f>IFERROR(__xludf.DUMMYFUNCTION("""COMPUTED_VALUE"""),527.78)</f>
        <v>527.78</v>
      </c>
      <c r="D204" s="2">
        <f>IFERROR(__xludf.DUMMYFUNCTION("""COMPUTED_VALUE"""),520.29)</f>
        <v>520.29</v>
      </c>
      <c r="E204" s="2">
        <f>IFERROR(__xludf.DUMMYFUNCTION("""COMPUTED_VALUE"""),521.57)</f>
        <v>521.57</v>
      </c>
      <c r="F204" s="2">
        <f>IFERROR(__xludf.DUMMYFUNCTION("""COMPUTED_VALUE"""),2357728.0)</f>
        <v>2357728</v>
      </c>
    </row>
    <row r="205">
      <c r="A205" s="3">
        <f>IFERROR(__xludf.DUMMYFUNCTION("""COMPUTED_VALUE"""),45223.66666666667)</f>
        <v>45223.66667</v>
      </c>
      <c r="B205" s="2">
        <f>IFERROR(__xludf.DUMMYFUNCTION("""COMPUTED_VALUE"""),522.86)</f>
        <v>522.86</v>
      </c>
      <c r="C205" s="2">
        <f>IFERROR(__xludf.DUMMYFUNCTION("""COMPUTED_VALUE"""),530.67)</f>
        <v>530.67</v>
      </c>
      <c r="D205" s="2">
        <f>IFERROR(__xludf.DUMMYFUNCTION("""COMPUTED_VALUE"""),522.07)</f>
        <v>522.07</v>
      </c>
      <c r="E205" s="2">
        <f>IFERROR(__xludf.DUMMYFUNCTION("""COMPUTED_VALUE"""),525.0)</f>
        <v>525</v>
      </c>
      <c r="F205" s="2">
        <f>IFERROR(__xludf.DUMMYFUNCTION("""COMPUTED_VALUE"""),1978223.0)</f>
        <v>1978223</v>
      </c>
    </row>
    <row r="206">
      <c r="A206" s="3">
        <f>IFERROR(__xludf.DUMMYFUNCTION("""COMPUTED_VALUE"""),45224.66666666667)</f>
        <v>45224.66667</v>
      </c>
      <c r="B206" s="2">
        <f>IFERROR(__xludf.DUMMYFUNCTION("""COMPUTED_VALUE"""),527.27)</f>
        <v>527.27</v>
      </c>
      <c r="C206" s="2">
        <f>IFERROR(__xludf.DUMMYFUNCTION("""COMPUTED_VALUE"""),532.36)</f>
        <v>532.36</v>
      </c>
      <c r="D206" s="2">
        <f>IFERROR(__xludf.DUMMYFUNCTION("""COMPUTED_VALUE"""),520.08)</f>
        <v>520.08</v>
      </c>
      <c r="E206" s="2">
        <f>IFERROR(__xludf.DUMMYFUNCTION("""COMPUTED_VALUE"""),530.21)</f>
        <v>530.21</v>
      </c>
      <c r="F206" s="2">
        <f>IFERROR(__xludf.DUMMYFUNCTION("""COMPUTED_VALUE"""),2380055.0)</f>
        <v>2380055</v>
      </c>
    </row>
    <row r="207">
      <c r="A207" s="3">
        <f>IFERROR(__xludf.DUMMYFUNCTION("""COMPUTED_VALUE"""),45225.66666666667)</f>
        <v>45225.66667</v>
      </c>
      <c r="B207" s="2">
        <f>IFERROR(__xludf.DUMMYFUNCTION("""COMPUTED_VALUE"""),525.7)</f>
        <v>525.7</v>
      </c>
      <c r="C207" s="2">
        <f>IFERROR(__xludf.DUMMYFUNCTION("""COMPUTED_VALUE"""),530.47)</f>
        <v>530.47</v>
      </c>
      <c r="D207" s="2">
        <f>IFERROR(__xludf.DUMMYFUNCTION("""COMPUTED_VALUE"""),522.52)</f>
        <v>522.52</v>
      </c>
      <c r="E207" s="2">
        <f>IFERROR(__xludf.DUMMYFUNCTION("""COMPUTED_VALUE"""),528.36)</f>
        <v>528.36</v>
      </c>
      <c r="F207" s="2">
        <f>IFERROR(__xludf.DUMMYFUNCTION("""COMPUTED_VALUE"""),2675811.0)</f>
        <v>2675811</v>
      </c>
    </row>
    <row r="208">
      <c r="A208" s="3">
        <f>IFERROR(__xludf.DUMMYFUNCTION("""COMPUTED_VALUE"""),45226.66666666667)</f>
        <v>45226.66667</v>
      </c>
      <c r="B208" s="2">
        <f>IFERROR(__xludf.DUMMYFUNCTION("""COMPUTED_VALUE"""),525.99)</f>
        <v>525.99</v>
      </c>
      <c r="C208" s="2">
        <f>IFERROR(__xludf.DUMMYFUNCTION("""COMPUTED_VALUE"""),527.74)</f>
        <v>527.74</v>
      </c>
      <c r="D208" s="2">
        <f>IFERROR(__xludf.DUMMYFUNCTION("""COMPUTED_VALUE"""),521.26)</f>
        <v>521.26</v>
      </c>
      <c r="E208" s="2">
        <f>IFERROR(__xludf.DUMMYFUNCTION("""COMPUTED_VALUE"""),524.66)</f>
        <v>524.66</v>
      </c>
      <c r="F208" s="2">
        <f>IFERROR(__xludf.DUMMYFUNCTION("""COMPUTED_VALUE"""),2585616.0)</f>
        <v>2585616</v>
      </c>
    </row>
    <row r="209">
      <c r="A209" s="3">
        <f>IFERROR(__xludf.DUMMYFUNCTION("""COMPUTED_VALUE"""),45229.66666666667)</f>
        <v>45229.66667</v>
      </c>
      <c r="B209" s="2">
        <f>IFERROR(__xludf.DUMMYFUNCTION("""COMPUTED_VALUE"""),525.0)</f>
        <v>525</v>
      </c>
      <c r="C209" s="2">
        <f>IFERROR(__xludf.DUMMYFUNCTION("""COMPUTED_VALUE"""),531.82)</f>
        <v>531.82</v>
      </c>
      <c r="D209" s="2">
        <f>IFERROR(__xludf.DUMMYFUNCTION("""COMPUTED_VALUE"""),522.94)</f>
        <v>522.94</v>
      </c>
      <c r="E209" s="2">
        <f>IFERROR(__xludf.DUMMYFUNCTION("""COMPUTED_VALUE"""),529.99)</f>
        <v>529.99</v>
      </c>
      <c r="F209" s="2">
        <f>IFERROR(__xludf.DUMMYFUNCTION("""COMPUTED_VALUE"""),2555488.0)</f>
        <v>2555488</v>
      </c>
    </row>
    <row r="210">
      <c r="A210" s="3">
        <f>IFERROR(__xludf.DUMMYFUNCTION("""COMPUTED_VALUE"""),45230.66666666667)</f>
        <v>45230.66667</v>
      </c>
      <c r="B210" s="2">
        <f>IFERROR(__xludf.DUMMYFUNCTION("""COMPUTED_VALUE"""),535.0)</f>
        <v>535</v>
      </c>
      <c r="C210" s="2">
        <f>IFERROR(__xludf.DUMMYFUNCTION("""COMPUTED_VALUE"""),536.68)</f>
        <v>536.68</v>
      </c>
      <c r="D210" s="2">
        <f>IFERROR(__xludf.DUMMYFUNCTION("""COMPUTED_VALUE"""),531.62)</f>
        <v>531.62</v>
      </c>
      <c r="E210" s="2">
        <f>IFERROR(__xludf.DUMMYFUNCTION("""COMPUTED_VALUE"""),535.56)</f>
        <v>535.56</v>
      </c>
      <c r="F210" s="2">
        <f>IFERROR(__xludf.DUMMYFUNCTION("""COMPUTED_VALUE"""),2464432.0)</f>
        <v>2464432</v>
      </c>
    </row>
    <row r="211">
      <c r="A211" s="3">
        <f>IFERROR(__xludf.DUMMYFUNCTION("""COMPUTED_VALUE"""),45231.66666666667)</f>
        <v>45231.66667</v>
      </c>
      <c r="B211" s="2">
        <f>IFERROR(__xludf.DUMMYFUNCTION("""COMPUTED_VALUE"""),529.98)</f>
        <v>529.98</v>
      </c>
      <c r="C211" s="2">
        <f>IFERROR(__xludf.DUMMYFUNCTION("""COMPUTED_VALUE"""),535.83)</f>
        <v>535.83</v>
      </c>
      <c r="D211" s="2">
        <f>IFERROR(__xludf.DUMMYFUNCTION("""COMPUTED_VALUE"""),526.8)</f>
        <v>526.8</v>
      </c>
      <c r="E211" s="2">
        <f>IFERROR(__xludf.DUMMYFUNCTION("""COMPUTED_VALUE"""),531.6)</f>
        <v>531.6</v>
      </c>
      <c r="F211" s="2">
        <f>IFERROR(__xludf.DUMMYFUNCTION("""COMPUTED_VALUE"""),2747517.0)</f>
        <v>2747517</v>
      </c>
    </row>
    <row r="212">
      <c r="A212" s="3">
        <f>IFERROR(__xludf.DUMMYFUNCTION("""COMPUTED_VALUE"""),45232.66666666667)</f>
        <v>45232.66667</v>
      </c>
      <c r="B212" s="2">
        <f>IFERROR(__xludf.DUMMYFUNCTION("""COMPUTED_VALUE"""),532.0)</f>
        <v>532</v>
      </c>
      <c r="C212" s="2">
        <f>IFERROR(__xludf.DUMMYFUNCTION("""COMPUTED_VALUE"""),536.84)</f>
        <v>536.84</v>
      </c>
      <c r="D212" s="2">
        <f>IFERROR(__xludf.DUMMYFUNCTION("""COMPUTED_VALUE"""),526.95)</f>
        <v>526.95</v>
      </c>
      <c r="E212" s="2">
        <f>IFERROR(__xludf.DUMMYFUNCTION("""COMPUTED_VALUE"""),536.13)</f>
        <v>536.13</v>
      </c>
      <c r="F212" s="2">
        <f>IFERROR(__xludf.DUMMYFUNCTION("""COMPUTED_VALUE"""),2351091.0)</f>
        <v>2351091</v>
      </c>
    </row>
    <row r="213">
      <c r="A213" s="3">
        <f>IFERROR(__xludf.DUMMYFUNCTION("""COMPUTED_VALUE"""),45233.66666666667)</f>
        <v>45233.66667</v>
      </c>
      <c r="B213" s="2">
        <f>IFERROR(__xludf.DUMMYFUNCTION("""COMPUTED_VALUE"""),534.57)</f>
        <v>534.57</v>
      </c>
      <c r="C213" s="2">
        <f>IFERROR(__xludf.DUMMYFUNCTION("""COMPUTED_VALUE"""),535.98)</f>
        <v>535.98</v>
      </c>
      <c r="D213" s="2">
        <f>IFERROR(__xludf.DUMMYFUNCTION("""COMPUTED_VALUE"""),528.8)</f>
        <v>528.8</v>
      </c>
      <c r="E213" s="2">
        <f>IFERROR(__xludf.DUMMYFUNCTION("""COMPUTED_VALUE"""),530.9)</f>
        <v>530.9</v>
      </c>
      <c r="F213" s="2">
        <f>IFERROR(__xludf.DUMMYFUNCTION("""COMPUTED_VALUE"""),2739692.0)</f>
        <v>2739692</v>
      </c>
    </row>
    <row r="214">
      <c r="A214" s="3">
        <f>IFERROR(__xludf.DUMMYFUNCTION("""COMPUTED_VALUE"""),45236.66666666667)</f>
        <v>45236.66667</v>
      </c>
      <c r="B214" s="2">
        <f>IFERROR(__xludf.DUMMYFUNCTION("""COMPUTED_VALUE"""),531.63)</f>
        <v>531.63</v>
      </c>
      <c r="C214" s="2">
        <f>IFERROR(__xludf.DUMMYFUNCTION("""COMPUTED_VALUE"""),536.02)</f>
        <v>536.02</v>
      </c>
      <c r="D214" s="2">
        <f>IFERROR(__xludf.DUMMYFUNCTION("""COMPUTED_VALUE"""),530.05)</f>
        <v>530.05</v>
      </c>
      <c r="E214" s="2">
        <f>IFERROR(__xludf.DUMMYFUNCTION("""COMPUTED_VALUE"""),533.46)</f>
        <v>533.46</v>
      </c>
      <c r="F214" s="2">
        <f>IFERROR(__xludf.DUMMYFUNCTION("""COMPUTED_VALUE"""),2684944.0)</f>
        <v>2684944</v>
      </c>
    </row>
    <row r="215">
      <c r="A215" s="3">
        <f>IFERROR(__xludf.DUMMYFUNCTION("""COMPUTED_VALUE"""),45237.66666666667)</f>
        <v>45237.66667</v>
      </c>
      <c r="B215" s="2">
        <f>IFERROR(__xludf.DUMMYFUNCTION("""COMPUTED_VALUE"""),535.36)</f>
        <v>535.36</v>
      </c>
      <c r="C215" s="2">
        <f>IFERROR(__xludf.DUMMYFUNCTION("""COMPUTED_VALUE"""),539.65)</f>
        <v>539.65</v>
      </c>
      <c r="D215" s="2">
        <f>IFERROR(__xludf.DUMMYFUNCTION("""COMPUTED_VALUE"""),531.52)</f>
        <v>531.52</v>
      </c>
      <c r="E215" s="2">
        <f>IFERROR(__xludf.DUMMYFUNCTION("""COMPUTED_VALUE"""),537.83)</f>
        <v>537.83</v>
      </c>
      <c r="F215" s="2">
        <f>IFERROR(__xludf.DUMMYFUNCTION("""COMPUTED_VALUE"""),2604887.0)</f>
        <v>2604887</v>
      </c>
    </row>
    <row r="216">
      <c r="A216" s="3">
        <f>IFERROR(__xludf.DUMMYFUNCTION("""COMPUTED_VALUE"""),45238.66666666667)</f>
        <v>45238.66667</v>
      </c>
      <c r="B216" s="2">
        <f>IFERROR(__xludf.DUMMYFUNCTION("""COMPUTED_VALUE"""),540.0)</f>
        <v>540</v>
      </c>
      <c r="C216" s="2">
        <f>IFERROR(__xludf.DUMMYFUNCTION("""COMPUTED_VALUE"""),541.4)</f>
        <v>541.4</v>
      </c>
      <c r="D216" s="2">
        <f>IFERROR(__xludf.DUMMYFUNCTION("""COMPUTED_VALUE"""),534.14)</f>
        <v>534.14</v>
      </c>
      <c r="E216" s="2">
        <f>IFERROR(__xludf.DUMMYFUNCTION("""COMPUTED_VALUE"""),536.73)</f>
        <v>536.73</v>
      </c>
      <c r="F216" s="2">
        <f>IFERROR(__xludf.DUMMYFUNCTION("""COMPUTED_VALUE"""),1769355.0)</f>
        <v>1769355</v>
      </c>
    </row>
    <row r="217">
      <c r="A217" s="3">
        <f>IFERROR(__xludf.DUMMYFUNCTION("""COMPUTED_VALUE"""),45239.66666666667)</f>
        <v>45239.66667</v>
      </c>
      <c r="B217" s="2">
        <f>IFERROR(__xludf.DUMMYFUNCTION("""COMPUTED_VALUE"""),537.6)</f>
        <v>537.6</v>
      </c>
      <c r="C217" s="2">
        <f>IFERROR(__xludf.DUMMYFUNCTION("""COMPUTED_VALUE"""),540.91)</f>
        <v>540.91</v>
      </c>
      <c r="D217" s="2">
        <f>IFERROR(__xludf.DUMMYFUNCTION("""COMPUTED_VALUE"""),534.48)</f>
        <v>534.48</v>
      </c>
      <c r="E217" s="2">
        <f>IFERROR(__xludf.DUMMYFUNCTION("""COMPUTED_VALUE"""),539.0)</f>
        <v>539</v>
      </c>
      <c r="F217" s="2">
        <f>IFERROR(__xludf.DUMMYFUNCTION("""COMPUTED_VALUE"""),1819805.0)</f>
        <v>1819805</v>
      </c>
    </row>
    <row r="218">
      <c r="A218" s="3">
        <f>IFERROR(__xludf.DUMMYFUNCTION("""COMPUTED_VALUE"""),45240.66666666667)</f>
        <v>45240.66667</v>
      </c>
      <c r="B218" s="2">
        <f>IFERROR(__xludf.DUMMYFUNCTION("""COMPUTED_VALUE"""),542.68)</f>
        <v>542.68</v>
      </c>
      <c r="C218" s="2">
        <f>IFERROR(__xludf.DUMMYFUNCTION("""COMPUTED_VALUE"""),542.68)</f>
        <v>542.68</v>
      </c>
      <c r="D218" s="2">
        <f>IFERROR(__xludf.DUMMYFUNCTION("""COMPUTED_VALUE"""),536.02)</f>
        <v>536.02</v>
      </c>
      <c r="E218" s="2">
        <f>IFERROR(__xludf.DUMMYFUNCTION("""COMPUTED_VALUE"""),541.21)</f>
        <v>541.21</v>
      </c>
      <c r="F218" s="2">
        <f>IFERROR(__xludf.DUMMYFUNCTION("""COMPUTED_VALUE"""),2480816.0)</f>
        <v>2480816</v>
      </c>
    </row>
    <row r="219">
      <c r="A219" s="3">
        <f>IFERROR(__xludf.DUMMYFUNCTION("""COMPUTED_VALUE"""),45243.66666666667)</f>
        <v>45243.66667</v>
      </c>
      <c r="B219" s="2">
        <f>IFERROR(__xludf.DUMMYFUNCTION("""COMPUTED_VALUE"""),541.15)</f>
        <v>541.15</v>
      </c>
      <c r="C219" s="2">
        <f>IFERROR(__xludf.DUMMYFUNCTION("""COMPUTED_VALUE"""),544.15)</f>
        <v>544.15</v>
      </c>
      <c r="D219" s="2">
        <f>IFERROR(__xludf.DUMMYFUNCTION("""COMPUTED_VALUE"""),537.91)</f>
        <v>537.91</v>
      </c>
      <c r="E219" s="2">
        <f>IFERROR(__xludf.DUMMYFUNCTION("""COMPUTED_VALUE"""),542.57)</f>
        <v>542.57</v>
      </c>
      <c r="F219" s="2">
        <f>IFERROR(__xludf.DUMMYFUNCTION("""COMPUTED_VALUE"""),1507912.0)</f>
        <v>1507912</v>
      </c>
    </row>
    <row r="220">
      <c r="A220" s="3">
        <f>IFERROR(__xludf.DUMMYFUNCTION("""COMPUTED_VALUE"""),45244.66666666667)</f>
        <v>45244.66667</v>
      </c>
      <c r="B220" s="2">
        <f>IFERROR(__xludf.DUMMYFUNCTION("""COMPUTED_VALUE"""),539.03)</f>
        <v>539.03</v>
      </c>
      <c r="C220" s="2">
        <f>IFERROR(__xludf.DUMMYFUNCTION("""COMPUTED_VALUE"""),542.67)</f>
        <v>542.67</v>
      </c>
      <c r="D220" s="2">
        <f>IFERROR(__xludf.DUMMYFUNCTION("""COMPUTED_VALUE"""),536.51)</f>
        <v>536.51</v>
      </c>
      <c r="E220" s="2">
        <f>IFERROR(__xludf.DUMMYFUNCTION("""COMPUTED_VALUE"""),540.46)</f>
        <v>540.46</v>
      </c>
      <c r="F220" s="2">
        <f>IFERROR(__xludf.DUMMYFUNCTION("""COMPUTED_VALUE"""),2453957.0)</f>
        <v>2453957</v>
      </c>
    </row>
    <row r="221">
      <c r="A221" s="3">
        <f>IFERROR(__xludf.DUMMYFUNCTION("""COMPUTED_VALUE"""),45245.66666666667)</f>
        <v>45245.66667</v>
      </c>
      <c r="B221" s="2">
        <f>IFERROR(__xludf.DUMMYFUNCTION("""COMPUTED_VALUE"""),540.05)</f>
        <v>540.05</v>
      </c>
      <c r="C221" s="2">
        <f>IFERROR(__xludf.DUMMYFUNCTION("""COMPUTED_VALUE"""),540.46)</f>
        <v>540.46</v>
      </c>
      <c r="D221" s="2">
        <f>IFERROR(__xludf.DUMMYFUNCTION("""COMPUTED_VALUE"""),531.7)</f>
        <v>531.7</v>
      </c>
      <c r="E221" s="2">
        <f>IFERROR(__xludf.DUMMYFUNCTION("""COMPUTED_VALUE"""),538.41)</f>
        <v>538.41</v>
      </c>
      <c r="F221" s="2">
        <f>IFERROR(__xludf.DUMMYFUNCTION("""COMPUTED_VALUE"""),2473801.0)</f>
        <v>2473801</v>
      </c>
    </row>
    <row r="222">
      <c r="A222" s="3">
        <f>IFERROR(__xludf.DUMMYFUNCTION("""COMPUTED_VALUE"""),45246.66666666667)</f>
        <v>45246.66667</v>
      </c>
      <c r="B222" s="2">
        <f>IFERROR(__xludf.DUMMYFUNCTION("""COMPUTED_VALUE"""),538.41)</f>
        <v>538.41</v>
      </c>
      <c r="C222" s="2">
        <f>IFERROR(__xludf.DUMMYFUNCTION("""COMPUTED_VALUE"""),544.86)</f>
        <v>544.86</v>
      </c>
      <c r="D222" s="2">
        <f>IFERROR(__xludf.DUMMYFUNCTION("""COMPUTED_VALUE"""),537.47)</f>
        <v>537.47</v>
      </c>
      <c r="E222" s="2">
        <f>IFERROR(__xludf.DUMMYFUNCTION("""COMPUTED_VALUE"""),539.82)</f>
        <v>539.82</v>
      </c>
      <c r="F222" s="2">
        <f>IFERROR(__xludf.DUMMYFUNCTION("""COMPUTED_VALUE"""),2360281.0)</f>
        <v>2360281</v>
      </c>
    </row>
    <row r="223">
      <c r="A223" s="3">
        <f>IFERROR(__xludf.DUMMYFUNCTION("""COMPUTED_VALUE"""),45247.66666666667)</f>
        <v>45247.66667</v>
      </c>
      <c r="B223" s="2">
        <f>IFERROR(__xludf.DUMMYFUNCTION("""COMPUTED_VALUE"""),540.27)</f>
        <v>540.27</v>
      </c>
      <c r="C223" s="2">
        <f>IFERROR(__xludf.DUMMYFUNCTION("""COMPUTED_VALUE"""),540.52)</f>
        <v>540.52</v>
      </c>
      <c r="D223" s="2">
        <f>IFERROR(__xludf.DUMMYFUNCTION("""COMPUTED_VALUE"""),528.34)</f>
        <v>528.34</v>
      </c>
      <c r="E223" s="2">
        <f>IFERROR(__xludf.DUMMYFUNCTION("""COMPUTED_VALUE"""),536.29)</f>
        <v>536.29</v>
      </c>
      <c r="F223" s="2">
        <f>IFERROR(__xludf.DUMMYFUNCTION("""COMPUTED_VALUE"""),2676925.0)</f>
        <v>2676925</v>
      </c>
    </row>
    <row r="224">
      <c r="A224" s="3">
        <f>IFERROR(__xludf.DUMMYFUNCTION("""COMPUTED_VALUE"""),45250.66666666667)</f>
        <v>45250.66667</v>
      </c>
      <c r="B224" s="2">
        <f>IFERROR(__xludf.DUMMYFUNCTION("""COMPUTED_VALUE"""),533.61)</f>
        <v>533.61</v>
      </c>
      <c r="C224" s="2">
        <f>IFERROR(__xludf.DUMMYFUNCTION("""COMPUTED_VALUE"""),536.34)</f>
        <v>536.34</v>
      </c>
      <c r="D224" s="2">
        <f>IFERROR(__xludf.DUMMYFUNCTION("""COMPUTED_VALUE"""),531.8)</f>
        <v>531.8</v>
      </c>
      <c r="E224" s="2">
        <f>IFERROR(__xludf.DUMMYFUNCTION("""COMPUTED_VALUE"""),535.1)</f>
        <v>535.1</v>
      </c>
      <c r="F224" s="2">
        <f>IFERROR(__xludf.DUMMYFUNCTION("""COMPUTED_VALUE"""),2518566.0)</f>
        <v>2518566</v>
      </c>
    </row>
    <row r="225">
      <c r="A225" s="3">
        <f>IFERROR(__xludf.DUMMYFUNCTION("""COMPUTED_VALUE"""),45251.66666666667)</f>
        <v>45251.66667</v>
      </c>
      <c r="B225" s="2">
        <f>IFERROR(__xludf.DUMMYFUNCTION("""COMPUTED_VALUE"""),537.77)</f>
        <v>537.77</v>
      </c>
      <c r="C225" s="2">
        <f>IFERROR(__xludf.DUMMYFUNCTION("""COMPUTED_VALUE"""),541.67)</f>
        <v>541.67</v>
      </c>
      <c r="D225" s="2">
        <f>IFERROR(__xludf.DUMMYFUNCTION("""COMPUTED_VALUE"""),534.19)</f>
        <v>534.19</v>
      </c>
      <c r="E225" s="2">
        <f>IFERROR(__xludf.DUMMYFUNCTION("""COMPUTED_VALUE"""),539.59)</f>
        <v>539.59</v>
      </c>
      <c r="F225" s="2">
        <f>IFERROR(__xludf.DUMMYFUNCTION("""COMPUTED_VALUE"""),2115756.0)</f>
        <v>2115756</v>
      </c>
    </row>
    <row r="226">
      <c r="A226" s="3">
        <f>IFERROR(__xludf.DUMMYFUNCTION("""COMPUTED_VALUE"""),45252.66666666667)</f>
        <v>45252.66667</v>
      </c>
      <c r="B226" s="2">
        <f>IFERROR(__xludf.DUMMYFUNCTION("""COMPUTED_VALUE"""),542.97)</f>
        <v>542.97</v>
      </c>
      <c r="C226" s="2">
        <f>IFERROR(__xludf.DUMMYFUNCTION("""COMPUTED_VALUE"""),544.4)</f>
        <v>544.4</v>
      </c>
      <c r="D226" s="2">
        <f>IFERROR(__xludf.DUMMYFUNCTION("""COMPUTED_VALUE"""),540.26)</f>
        <v>540.26</v>
      </c>
      <c r="E226" s="2">
        <f>IFERROR(__xludf.DUMMYFUNCTION("""COMPUTED_VALUE"""),543.76)</f>
        <v>543.76</v>
      </c>
      <c r="F226" s="2">
        <f>IFERROR(__xludf.DUMMYFUNCTION("""COMPUTED_VALUE"""),2234478.0)</f>
        <v>2234478</v>
      </c>
    </row>
    <row r="227">
      <c r="A227" s="3">
        <f>IFERROR(__xludf.DUMMYFUNCTION("""COMPUTED_VALUE"""),45254.54166666667)</f>
        <v>45254.54167</v>
      </c>
      <c r="B227" s="2">
        <f>IFERROR(__xludf.DUMMYFUNCTION("""COMPUTED_VALUE"""),544.93)</f>
        <v>544.93</v>
      </c>
      <c r="C227" s="2">
        <f>IFERROR(__xludf.DUMMYFUNCTION("""COMPUTED_VALUE"""),547.59)</f>
        <v>547.59</v>
      </c>
      <c r="D227" s="2">
        <f>IFERROR(__xludf.DUMMYFUNCTION("""COMPUTED_VALUE"""),542.81)</f>
        <v>542.81</v>
      </c>
      <c r="E227" s="2">
        <f>IFERROR(__xludf.DUMMYFUNCTION("""COMPUTED_VALUE"""),547.1)</f>
        <v>547.1</v>
      </c>
      <c r="F227" s="2">
        <f>IFERROR(__xludf.DUMMYFUNCTION("""COMPUTED_VALUE"""),1134977.0)</f>
        <v>1134977</v>
      </c>
    </row>
    <row r="228">
      <c r="A228" s="3">
        <f>IFERROR(__xludf.DUMMYFUNCTION("""COMPUTED_VALUE"""),45257.66666666667)</f>
        <v>45257.66667</v>
      </c>
      <c r="B228" s="2">
        <f>IFERROR(__xludf.DUMMYFUNCTION("""COMPUTED_VALUE"""),547.1)</f>
        <v>547.1</v>
      </c>
      <c r="C228" s="2">
        <f>IFERROR(__xludf.DUMMYFUNCTION("""COMPUTED_VALUE"""),550.89)</f>
        <v>550.89</v>
      </c>
      <c r="D228" s="2">
        <f>IFERROR(__xludf.DUMMYFUNCTION("""COMPUTED_VALUE"""),541.53)</f>
        <v>541.53</v>
      </c>
      <c r="E228" s="2">
        <f>IFERROR(__xludf.DUMMYFUNCTION("""COMPUTED_VALUE"""),543.59)</f>
        <v>543.59</v>
      </c>
      <c r="F228" s="2">
        <f>IFERROR(__xludf.DUMMYFUNCTION("""COMPUTED_VALUE"""),2675815.0)</f>
        <v>2675815</v>
      </c>
    </row>
    <row r="229">
      <c r="A229" s="3">
        <f>IFERROR(__xludf.DUMMYFUNCTION("""COMPUTED_VALUE"""),45258.66666666667)</f>
        <v>45258.66667</v>
      </c>
      <c r="B229" s="2">
        <f>IFERROR(__xludf.DUMMYFUNCTION("""COMPUTED_VALUE"""),545.63)</f>
        <v>545.63</v>
      </c>
      <c r="C229" s="2">
        <f>IFERROR(__xludf.DUMMYFUNCTION("""COMPUTED_VALUE"""),545.82)</f>
        <v>545.82</v>
      </c>
      <c r="D229" s="2">
        <f>IFERROR(__xludf.DUMMYFUNCTION("""COMPUTED_VALUE"""),540.07)</f>
        <v>540.07</v>
      </c>
      <c r="E229" s="2">
        <f>IFERROR(__xludf.DUMMYFUNCTION("""COMPUTED_VALUE"""),540.53)</f>
        <v>540.53</v>
      </c>
      <c r="F229" s="2">
        <f>IFERROR(__xludf.DUMMYFUNCTION("""COMPUTED_VALUE"""),2859309.0)</f>
        <v>2859309</v>
      </c>
    </row>
    <row r="230">
      <c r="A230" s="3">
        <f>IFERROR(__xludf.DUMMYFUNCTION("""COMPUTED_VALUE"""),45259.66666666667)</f>
        <v>45259.66667</v>
      </c>
      <c r="B230" s="2">
        <f>IFERROR(__xludf.DUMMYFUNCTION("""COMPUTED_VALUE"""),530.0)</f>
        <v>530</v>
      </c>
      <c r="C230" s="2">
        <f>IFERROR(__xludf.DUMMYFUNCTION("""COMPUTED_VALUE"""),541.86)</f>
        <v>541.86</v>
      </c>
      <c r="D230" s="2">
        <f>IFERROR(__xludf.DUMMYFUNCTION("""COMPUTED_VALUE"""),528.65)</f>
        <v>528.65</v>
      </c>
      <c r="E230" s="2">
        <f>IFERROR(__xludf.DUMMYFUNCTION("""COMPUTED_VALUE"""),534.98)</f>
        <v>534.98</v>
      </c>
      <c r="F230" s="2">
        <f>IFERROR(__xludf.DUMMYFUNCTION("""COMPUTED_VALUE"""),4549977.0)</f>
        <v>4549977</v>
      </c>
    </row>
    <row r="231">
      <c r="A231" s="3">
        <f>IFERROR(__xludf.DUMMYFUNCTION("""COMPUTED_VALUE"""),45260.66666666667)</f>
        <v>45260.66667</v>
      </c>
      <c r="B231" s="2">
        <f>IFERROR(__xludf.DUMMYFUNCTION("""COMPUTED_VALUE"""),535.79)</f>
        <v>535.79</v>
      </c>
      <c r="C231" s="2">
        <f>IFERROR(__xludf.DUMMYFUNCTION("""COMPUTED_VALUE"""),553.94)</f>
        <v>553.94</v>
      </c>
      <c r="D231" s="2">
        <f>IFERROR(__xludf.DUMMYFUNCTION("""COMPUTED_VALUE"""),534.01)</f>
        <v>534.01</v>
      </c>
      <c r="E231" s="2">
        <f>IFERROR(__xludf.DUMMYFUNCTION("""COMPUTED_VALUE"""),552.97)</f>
        <v>552.97</v>
      </c>
      <c r="F231" s="2">
        <f>IFERROR(__xludf.DUMMYFUNCTION("""COMPUTED_VALUE"""),7121207.0)</f>
        <v>7121207</v>
      </c>
    </row>
    <row r="232">
      <c r="A232" s="3">
        <f>IFERROR(__xludf.DUMMYFUNCTION("""COMPUTED_VALUE"""),45261.66666666667)</f>
        <v>45261.66667</v>
      </c>
      <c r="B232" s="2">
        <f>IFERROR(__xludf.DUMMYFUNCTION("""COMPUTED_VALUE"""),550.42)</f>
        <v>550.42</v>
      </c>
      <c r="C232" s="2">
        <f>IFERROR(__xludf.DUMMYFUNCTION("""COMPUTED_VALUE"""),554.7)</f>
        <v>554.7</v>
      </c>
      <c r="D232" s="2">
        <f>IFERROR(__xludf.DUMMYFUNCTION("""COMPUTED_VALUE"""),545.16)</f>
        <v>545.16</v>
      </c>
      <c r="E232" s="2">
        <f>IFERROR(__xludf.DUMMYFUNCTION("""COMPUTED_VALUE"""),547.16)</f>
        <v>547.16</v>
      </c>
      <c r="F232" s="2">
        <f>IFERROR(__xludf.DUMMYFUNCTION("""COMPUTED_VALUE"""),3462153.0)</f>
        <v>3462153</v>
      </c>
    </row>
    <row r="233">
      <c r="A233" s="3">
        <f>IFERROR(__xludf.DUMMYFUNCTION("""COMPUTED_VALUE"""),45264.66666666667)</f>
        <v>45264.66667</v>
      </c>
      <c r="B233" s="2">
        <f>IFERROR(__xludf.DUMMYFUNCTION("""COMPUTED_VALUE"""),548.26)</f>
        <v>548.26</v>
      </c>
      <c r="C233" s="2">
        <f>IFERROR(__xludf.DUMMYFUNCTION("""COMPUTED_VALUE"""),551.87)</f>
        <v>551.87</v>
      </c>
      <c r="D233" s="2">
        <f>IFERROR(__xludf.DUMMYFUNCTION("""COMPUTED_VALUE"""),543.04)</f>
        <v>543.04</v>
      </c>
      <c r="E233" s="2">
        <f>IFERROR(__xludf.DUMMYFUNCTION("""COMPUTED_VALUE"""),548.28)</f>
        <v>548.28</v>
      </c>
      <c r="F233" s="2">
        <f>IFERROR(__xludf.DUMMYFUNCTION("""COMPUTED_VALUE"""),2709303.0)</f>
        <v>2709303</v>
      </c>
    </row>
    <row r="234">
      <c r="A234" s="3">
        <f>IFERROR(__xludf.DUMMYFUNCTION("""COMPUTED_VALUE"""),45265.66666666667)</f>
        <v>45265.66667</v>
      </c>
      <c r="B234" s="2">
        <f>IFERROR(__xludf.DUMMYFUNCTION("""COMPUTED_VALUE"""),549.1)</f>
        <v>549.1</v>
      </c>
      <c r="C234" s="2">
        <f>IFERROR(__xludf.DUMMYFUNCTION("""COMPUTED_VALUE"""),552.53)</f>
        <v>552.53</v>
      </c>
      <c r="D234" s="2">
        <f>IFERROR(__xludf.DUMMYFUNCTION("""COMPUTED_VALUE"""),545.35)</f>
        <v>545.35</v>
      </c>
      <c r="E234" s="2">
        <f>IFERROR(__xludf.DUMMYFUNCTION("""COMPUTED_VALUE"""),550.26)</f>
        <v>550.26</v>
      </c>
      <c r="F234" s="2">
        <f>IFERROR(__xludf.DUMMYFUNCTION("""COMPUTED_VALUE"""),2645818.0)</f>
        <v>2645818</v>
      </c>
    </row>
    <row r="235">
      <c r="A235" s="3">
        <f>IFERROR(__xludf.DUMMYFUNCTION("""COMPUTED_VALUE"""),45266.66666666667)</f>
        <v>45266.66667</v>
      </c>
      <c r="B235" s="2">
        <f>IFERROR(__xludf.DUMMYFUNCTION("""COMPUTED_VALUE"""),547.56)</f>
        <v>547.56</v>
      </c>
      <c r="C235" s="2">
        <f>IFERROR(__xludf.DUMMYFUNCTION("""COMPUTED_VALUE"""),551.88)</f>
        <v>551.88</v>
      </c>
      <c r="D235" s="2">
        <f>IFERROR(__xludf.DUMMYFUNCTION("""COMPUTED_VALUE"""),547.1)</f>
        <v>547.1</v>
      </c>
      <c r="E235" s="2">
        <f>IFERROR(__xludf.DUMMYFUNCTION("""COMPUTED_VALUE"""),549.53)</f>
        <v>549.53</v>
      </c>
      <c r="F235" s="2">
        <f>IFERROR(__xludf.DUMMYFUNCTION("""COMPUTED_VALUE"""),2239744.0)</f>
        <v>2239744</v>
      </c>
    </row>
    <row r="236">
      <c r="A236" s="3">
        <f>IFERROR(__xludf.DUMMYFUNCTION("""COMPUTED_VALUE"""),45267.66666666667)</f>
        <v>45267.66667</v>
      </c>
      <c r="B236" s="2">
        <f>IFERROR(__xludf.DUMMYFUNCTION("""COMPUTED_VALUE"""),551.35)</f>
        <v>551.35</v>
      </c>
      <c r="C236" s="2">
        <f>IFERROR(__xludf.DUMMYFUNCTION("""COMPUTED_VALUE"""),551.51)</f>
        <v>551.51</v>
      </c>
      <c r="D236" s="2">
        <f>IFERROR(__xludf.DUMMYFUNCTION("""COMPUTED_VALUE"""),544.52)</f>
        <v>544.52</v>
      </c>
      <c r="E236" s="2">
        <f>IFERROR(__xludf.DUMMYFUNCTION("""COMPUTED_VALUE"""),548.27)</f>
        <v>548.27</v>
      </c>
      <c r="F236" s="2">
        <f>IFERROR(__xludf.DUMMYFUNCTION("""COMPUTED_VALUE"""),2511800.0)</f>
        <v>2511800</v>
      </c>
    </row>
    <row r="237">
      <c r="A237" s="3">
        <f>IFERROR(__xludf.DUMMYFUNCTION("""COMPUTED_VALUE"""),45268.66666666667)</f>
        <v>45268.66667</v>
      </c>
      <c r="B237" s="2">
        <f>IFERROR(__xludf.DUMMYFUNCTION("""COMPUTED_VALUE"""),550.22)</f>
        <v>550.22</v>
      </c>
      <c r="C237" s="2">
        <f>IFERROR(__xludf.DUMMYFUNCTION("""COMPUTED_VALUE"""),551.73)</f>
        <v>551.73</v>
      </c>
      <c r="D237" s="2">
        <f>IFERROR(__xludf.DUMMYFUNCTION("""COMPUTED_VALUE"""),544.54)</f>
        <v>544.54</v>
      </c>
      <c r="E237" s="2">
        <f>IFERROR(__xludf.DUMMYFUNCTION("""COMPUTED_VALUE"""),549.77)</f>
        <v>549.77</v>
      </c>
      <c r="F237" s="2">
        <f>IFERROR(__xludf.DUMMYFUNCTION("""COMPUTED_VALUE"""),2039910.0)</f>
        <v>2039910</v>
      </c>
    </row>
    <row r="238">
      <c r="A238" s="3">
        <f>IFERROR(__xludf.DUMMYFUNCTION("""COMPUTED_VALUE"""),45271.66666666667)</f>
        <v>45271.66667</v>
      </c>
      <c r="B238" s="2">
        <f>IFERROR(__xludf.DUMMYFUNCTION("""COMPUTED_VALUE"""),549.76)</f>
        <v>549.76</v>
      </c>
      <c r="C238" s="2">
        <f>IFERROR(__xludf.DUMMYFUNCTION("""COMPUTED_VALUE"""),550.0)</f>
        <v>550</v>
      </c>
      <c r="D238" s="2">
        <f>IFERROR(__xludf.DUMMYFUNCTION("""COMPUTED_VALUE"""),539.06)</f>
        <v>539.06</v>
      </c>
      <c r="E238" s="2">
        <f>IFERROR(__xludf.DUMMYFUNCTION("""COMPUTED_VALUE"""),543.68)</f>
        <v>543.68</v>
      </c>
      <c r="F238" s="2">
        <f>IFERROR(__xludf.DUMMYFUNCTION("""COMPUTED_VALUE"""),3655411.0)</f>
        <v>3655411</v>
      </c>
    </row>
    <row r="239">
      <c r="A239" s="3">
        <f>IFERROR(__xludf.DUMMYFUNCTION("""COMPUTED_VALUE"""),45272.66666666667)</f>
        <v>45272.66667</v>
      </c>
      <c r="B239" s="2">
        <f>IFERROR(__xludf.DUMMYFUNCTION("""COMPUTED_VALUE"""),545.8)</f>
        <v>545.8</v>
      </c>
      <c r="C239" s="2">
        <f>IFERROR(__xludf.DUMMYFUNCTION("""COMPUTED_VALUE"""),547.49)</f>
        <v>547.49</v>
      </c>
      <c r="D239" s="2">
        <f>IFERROR(__xludf.DUMMYFUNCTION("""COMPUTED_VALUE"""),542.65)</f>
        <v>542.65</v>
      </c>
      <c r="E239" s="2">
        <f>IFERROR(__xludf.DUMMYFUNCTION("""COMPUTED_VALUE"""),545.72)</f>
        <v>545.72</v>
      </c>
      <c r="F239" s="2">
        <f>IFERROR(__xludf.DUMMYFUNCTION("""COMPUTED_VALUE"""),2706170.0)</f>
        <v>2706170</v>
      </c>
    </row>
    <row r="240">
      <c r="A240" s="3">
        <f>IFERROR(__xludf.DUMMYFUNCTION("""COMPUTED_VALUE"""),45273.66666666667)</f>
        <v>45273.66667</v>
      </c>
      <c r="B240" s="2">
        <f>IFERROR(__xludf.DUMMYFUNCTION("""COMPUTED_VALUE"""),544.0)</f>
        <v>544</v>
      </c>
      <c r="C240" s="2">
        <f>IFERROR(__xludf.DUMMYFUNCTION("""COMPUTED_VALUE"""),549.42)</f>
        <v>549.42</v>
      </c>
      <c r="D240" s="2">
        <f>IFERROR(__xludf.DUMMYFUNCTION("""COMPUTED_VALUE"""),538.59)</f>
        <v>538.59</v>
      </c>
      <c r="E240" s="2">
        <f>IFERROR(__xludf.DUMMYFUNCTION("""COMPUTED_VALUE"""),549.01)</f>
        <v>549.01</v>
      </c>
      <c r="F240" s="2">
        <f>IFERROR(__xludf.DUMMYFUNCTION("""COMPUTED_VALUE"""),2876618.0)</f>
        <v>2876618</v>
      </c>
    </row>
    <row r="241">
      <c r="A241" s="3">
        <f>IFERROR(__xludf.DUMMYFUNCTION("""COMPUTED_VALUE"""),45274.66666666667)</f>
        <v>45274.66667</v>
      </c>
      <c r="B241" s="2">
        <f>IFERROR(__xludf.DUMMYFUNCTION("""COMPUTED_VALUE"""),544.3)</f>
        <v>544.3</v>
      </c>
      <c r="C241" s="2">
        <f>IFERROR(__xludf.DUMMYFUNCTION("""COMPUTED_VALUE"""),544.92)</f>
        <v>544.92</v>
      </c>
      <c r="D241" s="2">
        <f>IFERROR(__xludf.DUMMYFUNCTION("""COMPUTED_VALUE"""),529.4)</f>
        <v>529.4</v>
      </c>
      <c r="E241" s="2">
        <f>IFERROR(__xludf.DUMMYFUNCTION("""COMPUTED_VALUE"""),534.24)</f>
        <v>534.24</v>
      </c>
      <c r="F241" s="2">
        <f>IFERROR(__xludf.DUMMYFUNCTION("""COMPUTED_VALUE"""),5386810.0)</f>
        <v>5386810</v>
      </c>
    </row>
    <row r="242">
      <c r="A242" s="3">
        <f>IFERROR(__xludf.DUMMYFUNCTION("""COMPUTED_VALUE"""),45275.66666666667)</f>
        <v>45275.66667</v>
      </c>
      <c r="B242" s="2">
        <f>IFERROR(__xludf.DUMMYFUNCTION("""COMPUTED_VALUE"""),530.0)</f>
        <v>530</v>
      </c>
      <c r="C242" s="2">
        <f>IFERROR(__xludf.DUMMYFUNCTION("""COMPUTED_VALUE"""),533.5)</f>
        <v>533.5</v>
      </c>
      <c r="D242" s="2">
        <f>IFERROR(__xludf.DUMMYFUNCTION("""COMPUTED_VALUE"""),522.96)</f>
        <v>522.96</v>
      </c>
      <c r="E242" s="2">
        <f>IFERROR(__xludf.DUMMYFUNCTION("""COMPUTED_VALUE"""),531.12)</f>
        <v>531.12</v>
      </c>
      <c r="F242" s="2">
        <f>IFERROR(__xludf.DUMMYFUNCTION("""COMPUTED_VALUE"""),9030116.0)</f>
        <v>9030116</v>
      </c>
    </row>
    <row r="243">
      <c r="A243" s="3">
        <f>IFERROR(__xludf.DUMMYFUNCTION("""COMPUTED_VALUE"""),45278.66666666667)</f>
        <v>45278.66667</v>
      </c>
      <c r="B243" s="2">
        <f>IFERROR(__xludf.DUMMYFUNCTION("""COMPUTED_VALUE"""),529.11)</f>
        <v>529.11</v>
      </c>
      <c r="C243" s="2">
        <f>IFERROR(__xludf.DUMMYFUNCTION("""COMPUTED_VALUE"""),531.47)</f>
        <v>531.47</v>
      </c>
      <c r="D243" s="2">
        <f>IFERROR(__xludf.DUMMYFUNCTION("""COMPUTED_VALUE"""),525.23)</f>
        <v>525.23</v>
      </c>
      <c r="E243" s="2">
        <f>IFERROR(__xludf.DUMMYFUNCTION("""COMPUTED_VALUE"""),526.55)</f>
        <v>526.55</v>
      </c>
      <c r="F243" s="2">
        <f>IFERROR(__xludf.DUMMYFUNCTION("""COMPUTED_VALUE"""),3260319.0)</f>
        <v>3260319</v>
      </c>
    </row>
    <row r="244">
      <c r="A244" s="3">
        <f>IFERROR(__xludf.DUMMYFUNCTION("""COMPUTED_VALUE"""),45279.66666666667)</f>
        <v>45279.66667</v>
      </c>
      <c r="B244" s="2">
        <f>IFERROR(__xludf.DUMMYFUNCTION("""COMPUTED_VALUE"""),524.59)</f>
        <v>524.59</v>
      </c>
      <c r="C244" s="2">
        <f>IFERROR(__xludf.DUMMYFUNCTION("""COMPUTED_VALUE"""),527.62)</f>
        <v>527.62</v>
      </c>
      <c r="D244" s="2">
        <f>IFERROR(__xludf.DUMMYFUNCTION("""COMPUTED_VALUE"""),521.78)</f>
        <v>521.78</v>
      </c>
      <c r="E244" s="2">
        <f>IFERROR(__xludf.DUMMYFUNCTION("""COMPUTED_VALUE"""),524.04)</f>
        <v>524.04</v>
      </c>
      <c r="F244" s="2">
        <f>IFERROR(__xludf.DUMMYFUNCTION("""COMPUTED_VALUE"""),3645785.0)</f>
        <v>3645785</v>
      </c>
    </row>
    <row r="245">
      <c r="A245" s="3">
        <f>IFERROR(__xludf.DUMMYFUNCTION("""COMPUTED_VALUE"""),45280.66666666667)</f>
        <v>45280.66667</v>
      </c>
      <c r="B245" s="2">
        <f>IFERROR(__xludf.DUMMYFUNCTION("""COMPUTED_VALUE"""),523.85)</f>
        <v>523.85</v>
      </c>
      <c r="C245" s="2">
        <f>IFERROR(__xludf.DUMMYFUNCTION("""COMPUTED_VALUE"""),524.83)</f>
        <v>524.83</v>
      </c>
      <c r="D245" s="2">
        <f>IFERROR(__xludf.DUMMYFUNCTION("""COMPUTED_VALUE"""),515.87)</f>
        <v>515.87</v>
      </c>
      <c r="E245" s="2">
        <f>IFERROR(__xludf.DUMMYFUNCTION("""COMPUTED_VALUE"""),515.93)</f>
        <v>515.93</v>
      </c>
      <c r="F245" s="2">
        <f>IFERROR(__xludf.DUMMYFUNCTION("""COMPUTED_VALUE"""),3847805.0)</f>
        <v>3847805</v>
      </c>
    </row>
    <row r="246">
      <c r="A246" s="3">
        <f>IFERROR(__xludf.DUMMYFUNCTION("""COMPUTED_VALUE"""),45281.66666666667)</f>
        <v>45281.66667</v>
      </c>
      <c r="B246" s="2">
        <f>IFERROR(__xludf.DUMMYFUNCTION("""COMPUTED_VALUE"""),518.88)</f>
        <v>518.88</v>
      </c>
      <c r="C246" s="2">
        <f>IFERROR(__xludf.DUMMYFUNCTION("""COMPUTED_VALUE"""),520.82)</f>
        <v>520.82</v>
      </c>
      <c r="D246" s="2">
        <f>IFERROR(__xludf.DUMMYFUNCTION("""COMPUTED_VALUE"""),516.5)</f>
        <v>516.5</v>
      </c>
      <c r="E246" s="2">
        <f>IFERROR(__xludf.DUMMYFUNCTION("""COMPUTED_VALUE"""),519.88)</f>
        <v>519.88</v>
      </c>
      <c r="F246" s="2">
        <f>IFERROR(__xludf.DUMMYFUNCTION("""COMPUTED_VALUE"""),2491554.0)</f>
        <v>2491554</v>
      </c>
    </row>
    <row r="247">
      <c r="A247" s="3">
        <f>IFERROR(__xludf.DUMMYFUNCTION("""COMPUTED_VALUE"""),45282.66666666667)</f>
        <v>45282.66667</v>
      </c>
      <c r="B247" s="2">
        <f>IFERROR(__xludf.DUMMYFUNCTION("""COMPUTED_VALUE"""),519.88)</f>
        <v>519.88</v>
      </c>
      <c r="C247" s="2">
        <f>IFERROR(__xludf.DUMMYFUNCTION("""COMPUTED_VALUE"""),523.01)</f>
        <v>523.01</v>
      </c>
      <c r="D247" s="2">
        <f>IFERROR(__xludf.DUMMYFUNCTION("""COMPUTED_VALUE"""),518.02)</f>
        <v>518.02</v>
      </c>
      <c r="E247" s="2">
        <f>IFERROR(__xludf.DUMMYFUNCTION("""COMPUTED_VALUE"""),520.31)</f>
        <v>520.31</v>
      </c>
      <c r="F247" s="2">
        <f>IFERROR(__xludf.DUMMYFUNCTION("""COMPUTED_VALUE"""),1759571.0)</f>
        <v>1759571</v>
      </c>
    </row>
    <row r="248">
      <c r="A248" s="3">
        <f>IFERROR(__xludf.DUMMYFUNCTION("""COMPUTED_VALUE"""),45286.66666666667)</f>
        <v>45286.66667</v>
      </c>
      <c r="B248" s="2">
        <f>IFERROR(__xludf.DUMMYFUNCTION("""COMPUTED_VALUE"""),519.88)</f>
        <v>519.88</v>
      </c>
      <c r="C248" s="2">
        <f>IFERROR(__xludf.DUMMYFUNCTION("""COMPUTED_VALUE"""),521.48)</f>
        <v>521.48</v>
      </c>
      <c r="D248" s="2">
        <f>IFERROR(__xludf.DUMMYFUNCTION("""COMPUTED_VALUE"""),517.97)</f>
        <v>517.97</v>
      </c>
      <c r="E248" s="2">
        <f>IFERROR(__xludf.DUMMYFUNCTION("""COMPUTED_VALUE"""),520.03)</f>
        <v>520.03</v>
      </c>
      <c r="F248" s="2">
        <f>IFERROR(__xludf.DUMMYFUNCTION("""COMPUTED_VALUE"""),1390912.0)</f>
        <v>1390912</v>
      </c>
    </row>
    <row r="249">
      <c r="A249" s="3">
        <f>IFERROR(__xludf.DUMMYFUNCTION("""COMPUTED_VALUE"""),45287.66666666667)</f>
        <v>45287.66667</v>
      </c>
      <c r="B249" s="2">
        <f>IFERROR(__xludf.DUMMYFUNCTION("""COMPUTED_VALUE"""),519.75)</f>
        <v>519.75</v>
      </c>
      <c r="C249" s="2">
        <f>IFERROR(__xludf.DUMMYFUNCTION("""COMPUTED_VALUE"""),523.16)</f>
        <v>523.16</v>
      </c>
      <c r="D249" s="2">
        <f>IFERROR(__xludf.DUMMYFUNCTION("""COMPUTED_VALUE"""),519.36)</f>
        <v>519.36</v>
      </c>
      <c r="E249" s="2">
        <f>IFERROR(__xludf.DUMMYFUNCTION("""COMPUTED_VALUE"""),522.79)</f>
        <v>522.79</v>
      </c>
      <c r="F249" s="2">
        <f>IFERROR(__xludf.DUMMYFUNCTION("""COMPUTED_VALUE"""),1851840.0)</f>
        <v>1851840</v>
      </c>
    </row>
    <row r="250">
      <c r="A250" s="3">
        <f>IFERROR(__xludf.DUMMYFUNCTION("""COMPUTED_VALUE"""),45288.66666666667)</f>
        <v>45288.66667</v>
      </c>
      <c r="B250" s="2">
        <f>IFERROR(__xludf.DUMMYFUNCTION("""COMPUTED_VALUE"""),523.47)</f>
        <v>523.47</v>
      </c>
      <c r="C250" s="2">
        <f>IFERROR(__xludf.DUMMYFUNCTION("""COMPUTED_VALUE"""),527.87)</f>
        <v>527.87</v>
      </c>
      <c r="D250" s="2">
        <f>IFERROR(__xludf.DUMMYFUNCTION("""COMPUTED_VALUE"""),522.94)</f>
        <v>522.94</v>
      </c>
      <c r="E250" s="2">
        <f>IFERROR(__xludf.DUMMYFUNCTION("""COMPUTED_VALUE"""),524.9)</f>
        <v>524.9</v>
      </c>
      <c r="F250" s="2">
        <f>IFERROR(__xludf.DUMMYFUNCTION("""COMPUTED_VALUE"""),2001208.0)</f>
        <v>2001208</v>
      </c>
    </row>
    <row r="251">
      <c r="A251" s="3">
        <f>IFERROR(__xludf.DUMMYFUNCTION("""COMPUTED_VALUE"""),45289.66666666667)</f>
        <v>45289.66667</v>
      </c>
      <c r="B251" s="2">
        <f>IFERROR(__xludf.DUMMYFUNCTION("""COMPUTED_VALUE"""),525.98)</f>
        <v>525.98</v>
      </c>
      <c r="C251" s="2">
        <f>IFERROR(__xludf.DUMMYFUNCTION("""COMPUTED_VALUE"""),528.24)</f>
        <v>528.24</v>
      </c>
      <c r="D251" s="2">
        <f>IFERROR(__xludf.DUMMYFUNCTION("""COMPUTED_VALUE"""),523.92)</f>
        <v>523.92</v>
      </c>
      <c r="E251" s="2">
        <f>IFERROR(__xludf.DUMMYFUNCTION("""COMPUTED_VALUE"""),526.47)</f>
        <v>526.47</v>
      </c>
      <c r="F251" s="2">
        <f>IFERROR(__xludf.DUMMYFUNCTION("""COMPUTED_VALUE"""),2080197.0)</f>
        <v>2080197</v>
      </c>
    </row>
    <row r="252">
      <c r="A252" s="3">
        <f>IFERROR(__xludf.DUMMYFUNCTION("""COMPUTED_VALUE"""),45293.66666666667)</f>
        <v>45293.66667</v>
      </c>
      <c r="B252" s="2">
        <f>IFERROR(__xludf.DUMMYFUNCTION("""COMPUTED_VALUE"""),526.84)</f>
        <v>526.84</v>
      </c>
      <c r="C252" s="2">
        <f>IFERROR(__xludf.DUMMYFUNCTION("""COMPUTED_VALUE"""),539.66)</f>
        <v>539.66</v>
      </c>
      <c r="D252" s="2">
        <f>IFERROR(__xludf.DUMMYFUNCTION("""COMPUTED_VALUE"""),526.67)</f>
        <v>526.67</v>
      </c>
      <c r="E252" s="2">
        <f>IFERROR(__xludf.DUMMYFUNCTION("""COMPUTED_VALUE"""),539.34)</f>
        <v>539.34</v>
      </c>
      <c r="F252" s="2">
        <f>IFERROR(__xludf.DUMMYFUNCTION("""COMPUTED_VALUE"""),3415659.0)</f>
        <v>3415659</v>
      </c>
    </row>
    <row r="253">
      <c r="A253" s="3">
        <f>IFERROR(__xludf.DUMMYFUNCTION("""COMPUTED_VALUE"""),45294.66666666667)</f>
        <v>45294.66667</v>
      </c>
      <c r="B253" s="2">
        <f>IFERROR(__xludf.DUMMYFUNCTION("""COMPUTED_VALUE"""),543.04)</f>
        <v>543.04</v>
      </c>
      <c r="C253" s="2">
        <f>IFERROR(__xludf.DUMMYFUNCTION("""COMPUTED_VALUE"""),546.79)</f>
        <v>546.79</v>
      </c>
      <c r="D253" s="2">
        <f>IFERROR(__xludf.DUMMYFUNCTION("""COMPUTED_VALUE"""),539.48)</f>
        <v>539.48</v>
      </c>
      <c r="E253" s="2">
        <f>IFERROR(__xludf.DUMMYFUNCTION("""COMPUTED_VALUE"""),542.03)</f>
        <v>542.03</v>
      </c>
      <c r="F253" s="2">
        <f>IFERROR(__xludf.DUMMYFUNCTION("""COMPUTED_VALUE"""),2891500.0)</f>
        <v>2891500</v>
      </c>
    </row>
    <row r="254">
      <c r="A254" s="3">
        <f>IFERROR(__xludf.DUMMYFUNCTION("""COMPUTED_VALUE"""),45295.66666666667)</f>
        <v>45295.66667</v>
      </c>
      <c r="B254" s="2">
        <f>IFERROR(__xludf.DUMMYFUNCTION("""COMPUTED_VALUE"""),545.0)</f>
        <v>545</v>
      </c>
      <c r="C254" s="2">
        <f>IFERROR(__xludf.DUMMYFUNCTION("""COMPUTED_VALUE"""),549.0)</f>
        <v>549</v>
      </c>
      <c r="D254" s="2">
        <f>IFERROR(__xludf.DUMMYFUNCTION("""COMPUTED_VALUE"""),543.0)</f>
        <v>543</v>
      </c>
      <c r="E254" s="2">
        <f>IFERROR(__xludf.DUMMYFUNCTION("""COMPUTED_VALUE"""),545.42)</f>
        <v>545.42</v>
      </c>
      <c r="F254" s="2">
        <f>IFERROR(__xludf.DUMMYFUNCTION("""COMPUTED_VALUE"""),2994377.0)</f>
        <v>2994377</v>
      </c>
    </row>
    <row r="255">
      <c r="A255" s="3">
        <f>IFERROR(__xludf.DUMMYFUNCTION("""COMPUTED_VALUE"""),45296.66666666667)</f>
        <v>45296.66667</v>
      </c>
      <c r="B255" s="2">
        <f>IFERROR(__xludf.DUMMYFUNCTION("""COMPUTED_VALUE"""),547.0)</f>
        <v>547</v>
      </c>
      <c r="C255" s="2">
        <f>IFERROR(__xludf.DUMMYFUNCTION("""COMPUTED_VALUE"""),547.0)</f>
        <v>547</v>
      </c>
      <c r="D255" s="2">
        <f>IFERROR(__xludf.DUMMYFUNCTION("""COMPUTED_VALUE"""),533.73)</f>
        <v>533.73</v>
      </c>
      <c r="E255" s="2">
        <f>IFERROR(__xludf.DUMMYFUNCTION("""COMPUTED_VALUE"""),537.38)</f>
        <v>537.38</v>
      </c>
      <c r="F255" s="2">
        <f>IFERROR(__xludf.DUMMYFUNCTION("""COMPUTED_VALUE"""),2815541.0)</f>
        <v>2815541</v>
      </c>
    </row>
    <row r="256">
      <c r="A256" s="3">
        <f>IFERROR(__xludf.DUMMYFUNCTION("""COMPUTED_VALUE"""),45299.66666666667)</f>
        <v>45299.66667</v>
      </c>
      <c r="B256" s="2">
        <f>IFERROR(__xludf.DUMMYFUNCTION("""COMPUTED_VALUE"""),539.4)</f>
        <v>539.4</v>
      </c>
      <c r="C256" s="2">
        <f>IFERROR(__xludf.DUMMYFUNCTION("""COMPUTED_VALUE"""),540.25)</f>
        <v>540.25</v>
      </c>
      <c r="D256" s="2">
        <f>IFERROR(__xludf.DUMMYFUNCTION("""COMPUTED_VALUE"""),528.0)</f>
        <v>528</v>
      </c>
      <c r="E256" s="2">
        <f>IFERROR(__xludf.DUMMYFUNCTION("""COMPUTED_VALUE"""),536.52)</f>
        <v>536.52</v>
      </c>
      <c r="F256" s="2">
        <f>IFERROR(__xludf.DUMMYFUNCTION("""COMPUTED_VALUE"""),2648939.0)</f>
        <v>2648939</v>
      </c>
    </row>
    <row r="257">
      <c r="A257" s="3">
        <f>IFERROR(__xludf.DUMMYFUNCTION("""COMPUTED_VALUE"""),45300.66666666667)</f>
        <v>45300.66667</v>
      </c>
      <c r="B257" s="2">
        <f>IFERROR(__xludf.DUMMYFUNCTION("""COMPUTED_VALUE"""),538.0)</f>
        <v>538</v>
      </c>
      <c r="C257" s="2">
        <f>IFERROR(__xludf.DUMMYFUNCTION("""COMPUTED_VALUE"""),539.61)</f>
        <v>539.61</v>
      </c>
      <c r="D257" s="2">
        <f>IFERROR(__xludf.DUMMYFUNCTION("""COMPUTED_VALUE"""),532.33)</f>
        <v>532.33</v>
      </c>
      <c r="E257" s="2">
        <f>IFERROR(__xludf.DUMMYFUNCTION("""COMPUTED_VALUE"""),538.37)</f>
        <v>538.37</v>
      </c>
      <c r="F257" s="2">
        <f>IFERROR(__xludf.DUMMYFUNCTION("""COMPUTED_VALUE"""),2677038.0)</f>
        <v>2677038</v>
      </c>
    </row>
    <row r="258">
      <c r="A258" s="3">
        <f>IFERROR(__xludf.DUMMYFUNCTION("""COMPUTED_VALUE"""),45301.66666666667)</f>
        <v>45301.66667</v>
      </c>
      <c r="B258" s="2">
        <f>IFERROR(__xludf.DUMMYFUNCTION("""COMPUTED_VALUE"""),538.1)</f>
        <v>538.1</v>
      </c>
      <c r="C258" s="2">
        <f>IFERROR(__xludf.DUMMYFUNCTION("""COMPUTED_VALUE"""),541.2)</f>
        <v>541.2</v>
      </c>
      <c r="D258" s="2">
        <f>IFERROR(__xludf.DUMMYFUNCTION("""COMPUTED_VALUE"""),536.15)</f>
        <v>536.15</v>
      </c>
      <c r="E258" s="2">
        <f>IFERROR(__xludf.DUMMYFUNCTION("""COMPUTED_VALUE"""),537.64)</f>
        <v>537.64</v>
      </c>
      <c r="F258" s="2">
        <f>IFERROR(__xludf.DUMMYFUNCTION("""COMPUTED_VALUE"""),2179994.0)</f>
        <v>2179994</v>
      </c>
    </row>
    <row r="259">
      <c r="A259" s="3">
        <f>IFERROR(__xludf.DUMMYFUNCTION("""COMPUTED_VALUE"""),45302.66666666667)</f>
        <v>45302.66667</v>
      </c>
      <c r="B259" s="2">
        <f>IFERROR(__xludf.DUMMYFUNCTION("""COMPUTED_VALUE"""),536.13)</f>
        <v>536.13</v>
      </c>
      <c r="C259" s="2">
        <f>IFERROR(__xludf.DUMMYFUNCTION("""COMPUTED_VALUE"""),540.16)</f>
        <v>540.16</v>
      </c>
      <c r="D259" s="2">
        <f>IFERROR(__xludf.DUMMYFUNCTION("""COMPUTED_VALUE"""),534.53)</f>
        <v>534.53</v>
      </c>
      <c r="E259" s="2">
        <f>IFERROR(__xludf.DUMMYFUNCTION("""COMPUTED_VALUE"""),539.68)</f>
        <v>539.68</v>
      </c>
      <c r="F259" s="2">
        <f>IFERROR(__xludf.DUMMYFUNCTION("""COMPUTED_VALUE"""),2814058.0)</f>
        <v>2814058</v>
      </c>
    </row>
    <row r="260">
      <c r="A260" s="3">
        <f>IFERROR(__xludf.DUMMYFUNCTION("""COMPUTED_VALUE"""),45303.66666666667)</f>
        <v>45303.66667</v>
      </c>
      <c r="B260" s="2">
        <f>IFERROR(__xludf.DUMMYFUNCTION("""COMPUTED_VALUE"""),518.86)</f>
        <v>518.86</v>
      </c>
      <c r="C260" s="2">
        <f>IFERROR(__xludf.DUMMYFUNCTION("""COMPUTED_VALUE"""),528.48)</f>
        <v>528.48</v>
      </c>
      <c r="D260" s="2">
        <f>IFERROR(__xludf.DUMMYFUNCTION("""COMPUTED_VALUE"""),513.13)</f>
        <v>513.13</v>
      </c>
      <c r="E260" s="2">
        <f>IFERROR(__xludf.DUMMYFUNCTION("""COMPUTED_VALUE"""),521.51)</f>
        <v>521.51</v>
      </c>
      <c r="F260" s="2">
        <f>IFERROR(__xludf.DUMMYFUNCTION("""COMPUTED_VALUE"""),6327267.0)</f>
        <v>6327267</v>
      </c>
    </row>
    <row r="261">
      <c r="A261" s="3">
        <f>IFERROR(__xludf.DUMMYFUNCTION("""COMPUTED_VALUE"""),45307.66666666667)</f>
        <v>45307.66667</v>
      </c>
      <c r="B261" s="2">
        <f>IFERROR(__xludf.DUMMYFUNCTION("""COMPUTED_VALUE"""),523.71)</f>
        <v>523.71</v>
      </c>
      <c r="C261" s="2">
        <f>IFERROR(__xludf.DUMMYFUNCTION("""COMPUTED_VALUE"""),524.5)</f>
        <v>524.5</v>
      </c>
      <c r="D261" s="2">
        <f>IFERROR(__xludf.DUMMYFUNCTION("""COMPUTED_VALUE"""),516.55)</f>
        <v>516.55</v>
      </c>
      <c r="E261" s="2">
        <f>IFERROR(__xludf.DUMMYFUNCTION("""COMPUTED_VALUE"""),519.15)</f>
        <v>519.15</v>
      </c>
      <c r="F261" s="2">
        <f>IFERROR(__xludf.DUMMYFUNCTION("""COMPUTED_VALUE"""),3736718.0)</f>
        <v>3736718</v>
      </c>
    </row>
    <row r="262">
      <c r="A262" s="3">
        <f>IFERROR(__xludf.DUMMYFUNCTION("""COMPUTED_VALUE"""),45308.66666666667)</f>
        <v>45308.66667</v>
      </c>
      <c r="B262" s="2">
        <f>IFERROR(__xludf.DUMMYFUNCTION("""COMPUTED_VALUE"""),521.28)</f>
        <v>521.28</v>
      </c>
      <c r="C262" s="2">
        <f>IFERROR(__xludf.DUMMYFUNCTION("""COMPUTED_VALUE"""),530.66)</f>
        <v>530.66</v>
      </c>
      <c r="D262" s="2">
        <f>IFERROR(__xludf.DUMMYFUNCTION("""COMPUTED_VALUE"""),520.0)</f>
        <v>520</v>
      </c>
      <c r="E262" s="2">
        <f>IFERROR(__xludf.DUMMYFUNCTION("""COMPUTED_VALUE"""),524.94)</f>
        <v>524.94</v>
      </c>
      <c r="F262" s="2">
        <f>IFERROR(__xludf.DUMMYFUNCTION("""COMPUTED_VALUE"""),3791496.0)</f>
        <v>3791496</v>
      </c>
    </row>
    <row r="263">
      <c r="A263" s="3">
        <f>IFERROR(__xludf.DUMMYFUNCTION("""COMPUTED_VALUE"""),45309.66666666667)</f>
        <v>45309.66667</v>
      </c>
      <c r="B263" s="2">
        <f>IFERROR(__xludf.DUMMYFUNCTION("""COMPUTED_VALUE"""),505.23)</f>
        <v>505.23</v>
      </c>
      <c r="C263" s="2">
        <f>IFERROR(__xludf.DUMMYFUNCTION("""COMPUTED_VALUE"""),516.84)</f>
        <v>516.84</v>
      </c>
      <c r="D263" s="2">
        <f>IFERROR(__xludf.DUMMYFUNCTION("""COMPUTED_VALUE"""),497.46)</f>
        <v>497.46</v>
      </c>
      <c r="E263" s="2">
        <f>IFERROR(__xludf.DUMMYFUNCTION("""COMPUTED_VALUE"""),516.34)</f>
        <v>516.34</v>
      </c>
      <c r="F263" s="2">
        <f>IFERROR(__xludf.DUMMYFUNCTION("""COMPUTED_VALUE"""),7367041.0)</f>
        <v>7367041</v>
      </c>
    </row>
    <row r="264">
      <c r="A264" s="3">
        <f>IFERROR(__xludf.DUMMYFUNCTION("""COMPUTED_VALUE"""),45310.66666666667)</f>
        <v>45310.66667</v>
      </c>
      <c r="B264" s="2">
        <f>IFERROR(__xludf.DUMMYFUNCTION("""COMPUTED_VALUE"""),515.0)</f>
        <v>515</v>
      </c>
      <c r="C264" s="2">
        <f>IFERROR(__xludf.DUMMYFUNCTION("""COMPUTED_VALUE"""),517.55)</f>
        <v>517.55</v>
      </c>
      <c r="D264" s="2">
        <f>IFERROR(__xludf.DUMMYFUNCTION("""COMPUTED_VALUE"""),501.82)</f>
        <v>501.82</v>
      </c>
      <c r="E264" s="2">
        <f>IFERROR(__xludf.DUMMYFUNCTION("""COMPUTED_VALUE"""),503.56)</f>
        <v>503.56</v>
      </c>
      <c r="F264" s="2">
        <f>IFERROR(__xludf.DUMMYFUNCTION("""COMPUTED_VALUE"""),6143395.0)</f>
        <v>6143395</v>
      </c>
    </row>
    <row r="265">
      <c r="A265" s="3">
        <f>IFERROR(__xludf.DUMMYFUNCTION("""COMPUTED_VALUE"""),45313.66666666667)</f>
        <v>45313.66667</v>
      </c>
      <c r="B265" s="2">
        <f>IFERROR(__xludf.DUMMYFUNCTION("""COMPUTED_VALUE"""),503.94)</f>
        <v>503.94</v>
      </c>
      <c r="C265" s="2">
        <f>IFERROR(__xludf.DUMMYFUNCTION("""COMPUTED_VALUE"""),513.57)</f>
        <v>513.57</v>
      </c>
      <c r="D265" s="2">
        <f>IFERROR(__xludf.DUMMYFUNCTION("""COMPUTED_VALUE"""),496.5)</f>
        <v>496.5</v>
      </c>
      <c r="E265" s="2">
        <f>IFERROR(__xludf.DUMMYFUNCTION("""COMPUTED_VALUE"""),512.99)</f>
        <v>512.99</v>
      </c>
      <c r="F265" s="2">
        <f>IFERROR(__xludf.DUMMYFUNCTION("""COMPUTED_VALUE"""),5922855.0)</f>
        <v>5922855</v>
      </c>
    </row>
    <row r="266">
      <c r="A266" s="3">
        <f>IFERROR(__xludf.DUMMYFUNCTION("""COMPUTED_VALUE"""),45314.66666666667)</f>
        <v>45314.66667</v>
      </c>
      <c r="B266" s="2">
        <f>IFERROR(__xludf.DUMMYFUNCTION("""COMPUTED_VALUE"""),512.5)</f>
        <v>512.5</v>
      </c>
      <c r="C266" s="2">
        <f>IFERROR(__xludf.DUMMYFUNCTION("""COMPUTED_VALUE"""),518.08)</f>
        <v>518.08</v>
      </c>
      <c r="D266" s="2">
        <f>IFERROR(__xludf.DUMMYFUNCTION("""COMPUTED_VALUE"""),512.08)</f>
        <v>512.08</v>
      </c>
      <c r="E266" s="2">
        <f>IFERROR(__xludf.DUMMYFUNCTION("""COMPUTED_VALUE"""),515.52)</f>
        <v>515.52</v>
      </c>
      <c r="F266" s="2">
        <f>IFERROR(__xludf.DUMMYFUNCTION("""COMPUTED_VALUE"""),2673106.0)</f>
        <v>2673106</v>
      </c>
    </row>
    <row r="267">
      <c r="A267" s="3">
        <f>IFERROR(__xludf.DUMMYFUNCTION("""COMPUTED_VALUE"""),45315.66666666667)</f>
        <v>45315.66667</v>
      </c>
      <c r="B267" s="2">
        <f>IFERROR(__xludf.DUMMYFUNCTION("""COMPUTED_VALUE"""),517.9)</f>
        <v>517.9</v>
      </c>
      <c r="C267" s="2">
        <f>IFERROR(__xludf.DUMMYFUNCTION("""COMPUTED_VALUE"""),521.73)</f>
        <v>521.73</v>
      </c>
      <c r="D267" s="2">
        <f>IFERROR(__xludf.DUMMYFUNCTION("""COMPUTED_VALUE"""),512.95)</f>
        <v>512.95</v>
      </c>
      <c r="E267" s="2">
        <f>IFERROR(__xludf.DUMMYFUNCTION("""COMPUTED_VALUE"""),513.23)</f>
        <v>513.23</v>
      </c>
      <c r="F267" s="2">
        <f>IFERROR(__xludf.DUMMYFUNCTION("""COMPUTED_VALUE"""),2918924.0)</f>
        <v>2918924</v>
      </c>
    </row>
    <row r="268">
      <c r="A268" s="3">
        <f>IFERROR(__xludf.DUMMYFUNCTION("""COMPUTED_VALUE"""),45316.66666666667)</f>
        <v>45316.66667</v>
      </c>
      <c r="B268" s="2">
        <f>IFERROR(__xludf.DUMMYFUNCTION("""COMPUTED_VALUE"""),487.59)</f>
        <v>487.59</v>
      </c>
      <c r="C268" s="2">
        <f>IFERROR(__xludf.DUMMYFUNCTION("""COMPUTED_VALUE"""),495.51)</f>
        <v>495.51</v>
      </c>
      <c r="D268" s="2">
        <f>IFERROR(__xludf.DUMMYFUNCTION("""COMPUTED_VALUE"""),479.0)</f>
        <v>479</v>
      </c>
      <c r="E268" s="2">
        <f>IFERROR(__xludf.DUMMYFUNCTION("""COMPUTED_VALUE"""),493.4)</f>
        <v>493.4</v>
      </c>
      <c r="F268" s="2">
        <f>IFERROR(__xludf.DUMMYFUNCTION("""COMPUTED_VALUE"""),1.4671004E7)</f>
        <v>14671004</v>
      </c>
    </row>
    <row r="269">
      <c r="A269" s="3">
        <f>IFERROR(__xludf.DUMMYFUNCTION("""COMPUTED_VALUE"""),45317.66666666667)</f>
        <v>45317.66667</v>
      </c>
      <c r="B269" s="2">
        <f>IFERROR(__xludf.DUMMYFUNCTION("""COMPUTED_VALUE"""),493.28)</f>
        <v>493.28</v>
      </c>
      <c r="C269" s="2">
        <f>IFERROR(__xludf.DUMMYFUNCTION("""COMPUTED_VALUE"""),503.69)</f>
        <v>503.69</v>
      </c>
      <c r="D269" s="2">
        <f>IFERROR(__xludf.DUMMYFUNCTION("""COMPUTED_VALUE"""),489.9)</f>
        <v>489.9</v>
      </c>
      <c r="E269" s="2">
        <f>IFERROR(__xludf.DUMMYFUNCTION("""COMPUTED_VALUE"""),503.2)</f>
        <v>503.2</v>
      </c>
      <c r="F269" s="2">
        <f>IFERROR(__xludf.DUMMYFUNCTION("""COMPUTED_VALUE"""),6212173.0)</f>
        <v>6212173</v>
      </c>
    </row>
    <row r="270">
      <c r="A270" s="3">
        <f>IFERROR(__xludf.DUMMYFUNCTION("""COMPUTED_VALUE"""),45320.66666666667)</f>
        <v>45320.66667</v>
      </c>
      <c r="B270" s="2">
        <f>IFERROR(__xludf.DUMMYFUNCTION("""COMPUTED_VALUE"""),503.11)</f>
        <v>503.11</v>
      </c>
      <c r="C270" s="2">
        <f>IFERROR(__xludf.DUMMYFUNCTION("""COMPUTED_VALUE"""),506.51)</f>
        <v>506.51</v>
      </c>
      <c r="D270" s="2">
        <f>IFERROR(__xludf.DUMMYFUNCTION("""COMPUTED_VALUE"""),501.15)</f>
        <v>501.15</v>
      </c>
      <c r="E270" s="2">
        <f>IFERROR(__xludf.DUMMYFUNCTION("""COMPUTED_VALUE"""),504.54)</f>
        <v>504.54</v>
      </c>
      <c r="F270" s="2">
        <f>IFERROR(__xludf.DUMMYFUNCTION("""COMPUTED_VALUE"""),4554106.0)</f>
        <v>4554106</v>
      </c>
    </row>
    <row r="271">
      <c r="A271" s="3">
        <f>IFERROR(__xludf.DUMMYFUNCTION("""COMPUTED_VALUE"""),45321.66666666667)</f>
        <v>45321.66667</v>
      </c>
      <c r="B271" s="2">
        <f>IFERROR(__xludf.DUMMYFUNCTION("""COMPUTED_VALUE"""),504.54)</f>
        <v>504.54</v>
      </c>
      <c r="C271" s="2">
        <f>IFERROR(__xludf.DUMMYFUNCTION("""COMPUTED_VALUE"""),506.05)</f>
        <v>506.05</v>
      </c>
      <c r="D271" s="2">
        <f>IFERROR(__xludf.DUMMYFUNCTION("""COMPUTED_VALUE"""),499.22)</f>
        <v>499.22</v>
      </c>
      <c r="E271" s="2">
        <f>IFERROR(__xludf.DUMMYFUNCTION("""COMPUTED_VALUE"""),503.61)</f>
        <v>503.61</v>
      </c>
      <c r="F271" s="2">
        <f>IFERROR(__xludf.DUMMYFUNCTION("""COMPUTED_VALUE"""),4931215.0)</f>
        <v>4931215</v>
      </c>
    </row>
    <row r="272">
      <c r="A272" s="3">
        <f>IFERROR(__xludf.DUMMYFUNCTION("""COMPUTED_VALUE"""),45322.66666666667)</f>
        <v>45322.66667</v>
      </c>
      <c r="B272" s="2">
        <f>IFERROR(__xludf.DUMMYFUNCTION("""COMPUTED_VALUE"""),504.51)</f>
        <v>504.51</v>
      </c>
      <c r="C272" s="2">
        <f>IFERROR(__xludf.DUMMYFUNCTION("""COMPUTED_VALUE"""),515.0)</f>
        <v>515</v>
      </c>
      <c r="D272" s="2">
        <f>IFERROR(__xludf.DUMMYFUNCTION("""COMPUTED_VALUE"""),504.51)</f>
        <v>504.51</v>
      </c>
      <c r="E272" s="2">
        <f>IFERROR(__xludf.DUMMYFUNCTION("""COMPUTED_VALUE"""),511.74)</f>
        <v>511.74</v>
      </c>
      <c r="F272" s="2">
        <f>IFERROR(__xludf.DUMMYFUNCTION("""COMPUTED_VALUE"""),5358104.0)</f>
        <v>5358104</v>
      </c>
    </row>
    <row r="273">
      <c r="A273" s="3">
        <f>IFERROR(__xludf.DUMMYFUNCTION("""COMPUTED_VALUE"""),45323.66666666667)</f>
        <v>45323.66667</v>
      </c>
      <c r="B273" s="2">
        <f>IFERROR(__xludf.DUMMYFUNCTION("""COMPUTED_VALUE"""),508.83)</f>
        <v>508.83</v>
      </c>
      <c r="C273" s="2">
        <f>IFERROR(__xludf.DUMMYFUNCTION("""COMPUTED_VALUE"""),510.22)</f>
        <v>510.22</v>
      </c>
      <c r="D273" s="2">
        <f>IFERROR(__xludf.DUMMYFUNCTION("""COMPUTED_VALUE"""),503.0)</f>
        <v>503</v>
      </c>
      <c r="E273" s="2">
        <f>IFERROR(__xludf.DUMMYFUNCTION("""COMPUTED_VALUE"""),507.14)</f>
        <v>507.14</v>
      </c>
      <c r="F273" s="2">
        <f>IFERROR(__xludf.DUMMYFUNCTION("""COMPUTED_VALUE"""),4242580.0)</f>
        <v>4242580</v>
      </c>
    </row>
    <row r="274">
      <c r="A274" s="3">
        <f>IFERROR(__xludf.DUMMYFUNCTION("""COMPUTED_VALUE"""),45324.66666666667)</f>
        <v>45324.66667</v>
      </c>
      <c r="B274" s="2">
        <f>IFERROR(__xludf.DUMMYFUNCTION("""COMPUTED_VALUE"""),508.25)</f>
        <v>508.25</v>
      </c>
      <c r="C274" s="2">
        <f>IFERROR(__xludf.DUMMYFUNCTION("""COMPUTED_VALUE"""),512.91)</f>
        <v>512.91</v>
      </c>
      <c r="D274" s="2">
        <f>IFERROR(__xludf.DUMMYFUNCTION("""COMPUTED_VALUE"""),505.39)</f>
        <v>505.39</v>
      </c>
      <c r="E274" s="2">
        <f>IFERROR(__xludf.DUMMYFUNCTION("""COMPUTED_VALUE"""),510.23)</f>
        <v>510.23</v>
      </c>
      <c r="F274" s="2">
        <f>IFERROR(__xludf.DUMMYFUNCTION("""COMPUTED_VALUE"""),3804521.0)</f>
        <v>3804521</v>
      </c>
    </row>
    <row r="275">
      <c r="A275" s="3">
        <f>IFERROR(__xludf.DUMMYFUNCTION("""COMPUTED_VALUE"""),45327.66666666667)</f>
        <v>45327.66667</v>
      </c>
      <c r="B275" s="2">
        <f>IFERROR(__xludf.DUMMYFUNCTION("""COMPUTED_VALUE"""),509.96)</f>
        <v>509.96</v>
      </c>
      <c r="C275" s="2">
        <f>IFERROR(__xludf.DUMMYFUNCTION("""COMPUTED_VALUE"""),514.2)</f>
        <v>514.2</v>
      </c>
      <c r="D275" s="2">
        <f>IFERROR(__xludf.DUMMYFUNCTION("""COMPUTED_VALUE"""),500.05)</f>
        <v>500.05</v>
      </c>
      <c r="E275" s="2">
        <f>IFERROR(__xludf.DUMMYFUNCTION("""COMPUTED_VALUE"""),502.96)</f>
        <v>502.96</v>
      </c>
      <c r="F275" s="2">
        <f>IFERROR(__xludf.DUMMYFUNCTION("""COMPUTED_VALUE"""),3646516.0)</f>
        <v>3646516</v>
      </c>
    </row>
    <row r="276">
      <c r="A276" s="3">
        <f>IFERROR(__xludf.DUMMYFUNCTION("""COMPUTED_VALUE"""),45328.66666666667)</f>
        <v>45328.66667</v>
      </c>
      <c r="B276" s="2">
        <f>IFERROR(__xludf.DUMMYFUNCTION("""COMPUTED_VALUE"""),503.94)</f>
        <v>503.94</v>
      </c>
      <c r="C276" s="2">
        <f>IFERROR(__xludf.DUMMYFUNCTION("""COMPUTED_VALUE"""),510.94)</f>
        <v>510.94</v>
      </c>
      <c r="D276" s="2">
        <f>IFERROR(__xludf.DUMMYFUNCTION("""COMPUTED_VALUE"""),502.45)</f>
        <v>502.45</v>
      </c>
      <c r="E276" s="2">
        <f>IFERROR(__xludf.DUMMYFUNCTION("""COMPUTED_VALUE"""),510.67)</f>
        <v>510.67</v>
      </c>
      <c r="F276" s="2">
        <f>IFERROR(__xludf.DUMMYFUNCTION("""COMPUTED_VALUE"""),2745515.0)</f>
        <v>2745515</v>
      </c>
    </row>
    <row r="277">
      <c r="A277" s="3">
        <f>IFERROR(__xludf.DUMMYFUNCTION("""COMPUTED_VALUE"""),45329.66666666667)</f>
        <v>45329.66667</v>
      </c>
      <c r="B277" s="2">
        <f>IFERROR(__xludf.DUMMYFUNCTION("""COMPUTED_VALUE"""),514.01)</f>
        <v>514.01</v>
      </c>
      <c r="C277" s="2">
        <f>IFERROR(__xludf.DUMMYFUNCTION("""COMPUTED_VALUE"""),521.0)</f>
        <v>521</v>
      </c>
      <c r="D277" s="2">
        <f>IFERROR(__xludf.DUMMYFUNCTION("""COMPUTED_VALUE"""),512.69)</f>
        <v>512.69</v>
      </c>
      <c r="E277" s="2">
        <f>IFERROR(__xludf.DUMMYFUNCTION("""COMPUTED_VALUE"""),519.39)</f>
        <v>519.39</v>
      </c>
      <c r="F277" s="2">
        <f>IFERROR(__xludf.DUMMYFUNCTION("""COMPUTED_VALUE"""),4109062.0)</f>
        <v>4109062</v>
      </c>
    </row>
    <row r="278">
      <c r="A278" s="3">
        <f>IFERROR(__xludf.DUMMYFUNCTION("""COMPUTED_VALUE"""),45330.66666666667)</f>
        <v>45330.66667</v>
      </c>
      <c r="B278" s="2">
        <f>IFERROR(__xludf.DUMMYFUNCTION("""COMPUTED_VALUE"""),520.63)</f>
        <v>520.63</v>
      </c>
      <c r="C278" s="2">
        <f>IFERROR(__xludf.DUMMYFUNCTION("""COMPUTED_VALUE"""),522.16)</f>
        <v>522.16</v>
      </c>
      <c r="D278" s="2">
        <f>IFERROR(__xludf.DUMMYFUNCTION("""COMPUTED_VALUE"""),517.28)</f>
        <v>517.28</v>
      </c>
      <c r="E278" s="2">
        <f>IFERROR(__xludf.DUMMYFUNCTION("""COMPUTED_VALUE"""),520.09)</f>
        <v>520.09</v>
      </c>
      <c r="F278" s="2">
        <f>IFERROR(__xludf.DUMMYFUNCTION("""COMPUTED_VALUE"""),3342976.0)</f>
        <v>3342976</v>
      </c>
    </row>
    <row r="279">
      <c r="A279" s="3">
        <f>IFERROR(__xludf.DUMMYFUNCTION("""COMPUTED_VALUE"""),45331.66666666667)</f>
        <v>45331.66667</v>
      </c>
      <c r="B279" s="2">
        <f>IFERROR(__xludf.DUMMYFUNCTION("""COMPUTED_VALUE"""),518.99)</f>
        <v>518.99</v>
      </c>
      <c r="C279" s="2">
        <f>IFERROR(__xludf.DUMMYFUNCTION("""COMPUTED_VALUE"""),520.39)</f>
        <v>520.39</v>
      </c>
      <c r="D279" s="2">
        <f>IFERROR(__xludf.DUMMYFUNCTION("""COMPUTED_VALUE"""),516.29)</f>
        <v>516.29</v>
      </c>
      <c r="E279" s="2">
        <f>IFERROR(__xludf.DUMMYFUNCTION("""COMPUTED_VALUE"""),518.22)</f>
        <v>518.22</v>
      </c>
      <c r="F279" s="2">
        <f>IFERROR(__xludf.DUMMYFUNCTION("""COMPUTED_VALUE"""),2715493.0)</f>
        <v>2715493</v>
      </c>
    </row>
    <row r="280">
      <c r="A280" s="3">
        <f>IFERROR(__xludf.DUMMYFUNCTION("""COMPUTED_VALUE"""),45334.66666666667)</f>
        <v>45334.66667</v>
      </c>
      <c r="B280" s="2">
        <f>IFERROR(__xludf.DUMMYFUNCTION("""COMPUTED_VALUE"""),518.22)</f>
        <v>518.22</v>
      </c>
      <c r="C280" s="2">
        <f>IFERROR(__xludf.DUMMYFUNCTION("""COMPUTED_VALUE"""),518.99)</f>
        <v>518.99</v>
      </c>
      <c r="D280" s="2">
        <f>IFERROR(__xludf.DUMMYFUNCTION("""COMPUTED_VALUE"""),512.81)</f>
        <v>512.81</v>
      </c>
      <c r="E280" s="2">
        <f>IFERROR(__xludf.DUMMYFUNCTION("""COMPUTED_VALUE"""),517.64)</f>
        <v>517.64</v>
      </c>
      <c r="F280" s="2">
        <f>IFERROR(__xludf.DUMMYFUNCTION("""COMPUTED_VALUE"""),3194016.0)</f>
        <v>3194016</v>
      </c>
    </row>
    <row r="281">
      <c r="A281" s="3">
        <f>IFERROR(__xludf.DUMMYFUNCTION("""COMPUTED_VALUE"""),45335.66666666667)</f>
        <v>45335.66667</v>
      </c>
      <c r="B281" s="2">
        <f>IFERROR(__xludf.DUMMYFUNCTION("""COMPUTED_VALUE"""),522.0)</f>
        <v>522</v>
      </c>
      <c r="C281" s="2">
        <f>IFERROR(__xludf.DUMMYFUNCTION("""COMPUTED_VALUE"""),526.93)</f>
        <v>526.93</v>
      </c>
      <c r="D281" s="2">
        <f>IFERROR(__xludf.DUMMYFUNCTION("""COMPUTED_VALUE"""),514.21)</f>
        <v>514.21</v>
      </c>
      <c r="E281" s="2">
        <f>IFERROR(__xludf.DUMMYFUNCTION("""COMPUTED_VALUE"""),516.85)</f>
        <v>516.85</v>
      </c>
      <c r="F281" s="2">
        <f>IFERROR(__xludf.DUMMYFUNCTION("""COMPUTED_VALUE"""),3436087.0)</f>
        <v>3436087</v>
      </c>
    </row>
    <row r="282">
      <c r="A282" s="3">
        <f>IFERROR(__xludf.DUMMYFUNCTION("""COMPUTED_VALUE"""),45336.66666666667)</f>
        <v>45336.66667</v>
      </c>
      <c r="B282" s="2">
        <f>IFERROR(__xludf.DUMMYFUNCTION("""COMPUTED_VALUE"""),515.26)</f>
        <v>515.26</v>
      </c>
      <c r="C282" s="2">
        <f>IFERROR(__xludf.DUMMYFUNCTION("""COMPUTED_VALUE"""),518.53)</f>
        <v>518.53</v>
      </c>
      <c r="D282" s="2">
        <f>IFERROR(__xludf.DUMMYFUNCTION("""COMPUTED_VALUE"""),514.29)</f>
        <v>514.29</v>
      </c>
      <c r="E282" s="2">
        <f>IFERROR(__xludf.DUMMYFUNCTION("""COMPUTED_VALUE"""),516.94)</f>
        <v>516.94</v>
      </c>
      <c r="F282" s="2">
        <f>IFERROR(__xludf.DUMMYFUNCTION("""COMPUTED_VALUE"""),1918535.0)</f>
        <v>1918535</v>
      </c>
    </row>
    <row r="283">
      <c r="A283" s="3">
        <f>IFERROR(__xludf.DUMMYFUNCTION("""COMPUTED_VALUE"""),45337.66666666667)</f>
        <v>45337.66667</v>
      </c>
      <c r="B283" s="2">
        <f>IFERROR(__xludf.DUMMYFUNCTION("""COMPUTED_VALUE"""),517.34)</f>
        <v>517.34</v>
      </c>
      <c r="C283" s="2">
        <f>IFERROR(__xludf.DUMMYFUNCTION("""COMPUTED_VALUE"""),521.75)</f>
        <v>521.75</v>
      </c>
      <c r="D283" s="2">
        <f>IFERROR(__xludf.DUMMYFUNCTION("""COMPUTED_VALUE"""),515.8)</f>
        <v>515.8</v>
      </c>
      <c r="E283" s="2">
        <f>IFERROR(__xludf.DUMMYFUNCTION("""COMPUTED_VALUE"""),520.88)</f>
        <v>520.88</v>
      </c>
      <c r="F283" s="2">
        <f>IFERROR(__xludf.DUMMYFUNCTION("""COMPUTED_VALUE"""),2292306.0)</f>
        <v>2292306</v>
      </c>
    </row>
    <row r="284">
      <c r="A284" s="3">
        <f>IFERROR(__xludf.DUMMYFUNCTION("""COMPUTED_VALUE"""),45338.66666666667)</f>
        <v>45338.66667</v>
      </c>
      <c r="B284" s="2">
        <f>IFERROR(__xludf.DUMMYFUNCTION("""COMPUTED_VALUE"""),522.3)</f>
        <v>522.3</v>
      </c>
      <c r="C284" s="2">
        <f>IFERROR(__xludf.DUMMYFUNCTION("""COMPUTED_VALUE"""),523.79)</f>
        <v>523.79</v>
      </c>
      <c r="D284" s="2">
        <f>IFERROR(__xludf.DUMMYFUNCTION("""COMPUTED_VALUE"""),518.89)</f>
        <v>518.89</v>
      </c>
      <c r="E284" s="2">
        <f>IFERROR(__xludf.DUMMYFUNCTION("""COMPUTED_VALUE"""),521.55)</f>
        <v>521.55</v>
      </c>
      <c r="F284" s="2">
        <f>IFERROR(__xludf.DUMMYFUNCTION("""COMPUTED_VALUE"""),2135586.0)</f>
        <v>2135586</v>
      </c>
    </row>
    <row r="285">
      <c r="A285" s="3">
        <f>IFERROR(__xludf.DUMMYFUNCTION("""COMPUTED_VALUE"""),45342.66666666667)</f>
        <v>45342.66667</v>
      </c>
      <c r="B285" s="2">
        <f>IFERROR(__xludf.DUMMYFUNCTION("""COMPUTED_VALUE"""),524.21)</f>
        <v>524.21</v>
      </c>
      <c r="C285" s="2">
        <f>IFERROR(__xludf.DUMMYFUNCTION("""COMPUTED_VALUE"""),525.37)</f>
        <v>525.37</v>
      </c>
      <c r="D285" s="2">
        <f>IFERROR(__xludf.DUMMYFUNCTION("""COMPUTED_VALUE"""),519.41)</f>
        <v>519.41</v>
      </c>
      <c r="E285" s="2">
        <f>IFERROR(__xludf.DUMMYFUNCTION("""COMPUTED_VALUE"""),521.06)</f>
        <v>521.06</v>
      </c>
      <c r="F285" s="2">
        <f>IFERROR(__xludf.DUMMYFUNCTION("""COMPUTED_VALUE"""),2600288.0)</f>
        <v>2600288</v>
      </c>
    </row>
    <row r="286">
      <c r="A286" s="3">
        <f>IFERROR(__xludf.DUMMYFUNCTION("""COMPUTED_VALUE"""),45343.66666666667)</f>
        <v>45343.66667</v>
      </c>
      <c r="B286" s="2">
        <f>IFERROR(__xludf.DUMMYFUNCTION("""COMPUTED_VALUE"""),523.67)</f>
        <v>523.67</v>
      </c>
      <c r="C286" s="2">
        <f>IFERROR(__xludf.DUMMYFUNCTION("""COMPUTED_VALUE"""),523.69)</f>
        <v>523.69</v>
      </c>
      <c r="D286" s="2">
        <f>IFERROR(__xludf.DUMMYFUNCTION("""COMPUTED_VALUE"""),517.54)</f>
        <v>517.54</v>
      </c>
      <c r="E286" s="2">
        <f>IFERROR(__xludf.DUMMYFUNCTION("""COMPUTED_VALUE"""),521.97)</f>
        <v>521.97</v>
      </c>
      <c r="F286" s="2">
        <f>IFERROR(__xludf.DUMMYFUNCTION("""COMPUTED_VALUE"""),2096023.0)</f>
        <v>2096023</v>
      </c>
    </row>
    <row r="287">
      <c r="A287" s="3">
        <f>IFERROR(__xludf.DUMMYFUNCTION("""COMPUTED_VALUE"""),45344.66666666667)</f>
        <v>45344.66667</v>
      </c>
      <c r="B287" s="2">
        <f>IFERROR(__xludf.DUMMYFUNCTION("""COMPUTED_VALUE"""),524.2)</f>
        <v>524.2</v>
      </c>
      <c r="C287" s="2">
        <f>IFERROR(__xludf.DUMMYFUNCTION("""COMPUTED_VALUE"""),526.74)</f>
        <v>526.74</v>
      </c>
      <c r="D287" s="2">
        <f>IFERROR(__xludf.DUMMYFUNCTION("""COMPUTED_VALUE"""),518.59)</f>
        <v>518.59</v>
      </c>
      <c r="E287" s="2">
        <f>IFERROR(__xludf.DUMMYFUNCTION("""COMPUTED_VALUE"""),526.5)</f>
        <v>526.5</v>
      </c>
      <c r="F287" s="2">
        <f>IFERROR(__xludf.DUMMYFUNCTION("""COMPUTED_VALUE"""),3186819.0)</f>
        <v>3186819</v>
      </c>
    </row>
    <row r="288">
      <c r="A288" s="3">
        <f>IFERROR(__xludf.DUMMYFUNCTION("""COMPUTED_VALUE"""),45345.66666666667)</f>
        <v>45345.66667</v>
      </c>
      <c r="B288" s="2">
        <f>IFERROR(__xludf.DUMMYFUNCTION("""COMPUTED_VALUE"""),526.75)</f>
        <v>526.75</v>
      </c>
      <c r="C288" s="2">
        <f>IFERROR(__xludf.DUMMYFUNCTION("""COMPUTED_VALUE"""),530.5)</f>
        <v>530.5</v>
      </c>
      <c r="D288" s="2">
        <f>IFERROR(__xludf.DUMMYFUNCTION("""COMPUTED_VALUE"""),524.16)</f>
        <v>524.16</v>
      </c>
      <c r="E288" s="2">
        <f>IFERROR(__xludf.DUMMYFUNCTION("""COMPUTED_VALUE"""),527.24)</f>
        <v>527.24</v>
      </c>
      <c r="F288" s="2">
        <f>IFERROR(__xludf.DUMMYFUNCTION("""COMPUTED_VALUE"""),2502146.0)</f>
        <v>2502146</v>
      </c>
    </row>
    <row r="289">
      <c r="A289" s="3">
        <f>IFERROR(__xludf.DUMMYFUNCTION("""COMPUTED_VALUE"""),45348.66666666667)</f>
        <v>45348.66667</v>
      </c>
      <c r="B289" s="2">
        <f>IFERROR(__xludf.DUMMYFUNCTION("""COMPUTED_VALUE"""),528.32)</f>
        <v>528.32</v>
      </c>
      <c r="C289" s="2">
        <f>IFERROR(__xludf.DUMMYFUNCTION("""COMPUTED_VALUE"""),532.81)</f>
        <v>532.81</v>
      </c>
      <c r="D289" s="2">
        <f>IFERROR(__xludf.DUMMYFUNCTION("""COMPUTED_VALUE"""),524.31)</f>
        <v>524.31</v>
      </c>
      <c r="E289" s="2">
        <f>IFERROR(__xludf.DUMMYFUNCTION("""COMPUTED_VALUE"""),525.32)</f>
        <v>525.32</v>
      </c>
      <c r="F289" s="2">
        <f>IFERROR(__xludf.DUMMYFUNCTION("""COMPUTED_VALUE"""),2308927.0)</f>
        <v>2308927</v>
      </c>
    </row>
    <row r="290">
      <c r="A290" s="3">
        <f>IFERROR(__xludf.DUMMYFUNCTION("""COMPUTED_VALUE"""),45349.66666666667)</f>
        <v>45349.66667</v>
      </c>
      <c r="B290" s="2">
        <f>IFERROR(__xludf.DUMMYFUNCTION("""COMPUTED_VALUE"""),524.76)</f>
        <v>524.76</v>
      </c>
      <c r="C290" s="2">
        <f>IFERROR(__xludf.DUMMYFUNCTION("""COMPUTED_VALUE"""),525.59)</f>
        <v>525.59</v>
      </c>
      <c r="D290" s="2">
        <f>IFERROR(__xludf.DUMMYFUNCTION("""COMPUTED_VALUE"""),512.05)</f>
        <v>512.05</v>
      </c>
      <c r="E290" s="2">
        <f>IFERROR(__xludf.DUMMYFUNCTION("""COMPUTED_VALUE"""),513.42)</f>
        <v>513.42</v>
      </c>
      <c r="F290" s="2">
        <f>IFERROR(__xludf.DUMMYFUNCTION("""COMPUTED_VALUE"""),3780619.0)</f>
        <v>3780619</v>
      </c>
    </row>
    <row r="291">
      <c r="A291" s="3">
        <f>IFERROR(__xludf.DUMMYFUNCTION("""COMPUTED_VALUE"""),45350.66666666667)</f>
        <v>45350.66667</v>
      </c>
      <c r="B291" s="2">
        <f>IFERROR(__xludf.DUMMYFUNCTION("""COMPUTED_VALUE"""),495.44)</f>
        <v>495.44</v>
      </c>
      <c r="C291" s="2">
        <f>IFERROR(__xludf.DUMMYFUNCTION("""COMPUTED_VALUE"""),498.55)</f>
        <v>498.55</v>
      </c>
      <c r="D291" s="2">
        <f>IFERROR(__xludf.DUMMYFUNCTION("""COMPUTED_VALUE"""),484.39)</f>
        <v>484.39</v>
      </c>
      <c r="E291" s="2">
        <f>IFERROR(__xludf.DUMMYFUNCTION("""COMPUTED_VALUE"""),498.28)</f>
        <v>498.28</v>
      </c>
      <c r="F291" s="2">
        <f>IFERROR(__xludf.DUMMYFUNCTION("""COMPUTED_VALUE"""),9558553.0)</f>
        <v>9558553</v>
      </c>
    </row>
    <row r="292">
      <c r="A292" s="3">
        <f>IFERROR(__xludf.DUMMYFUNCTION("""COMPUTED_VALUE"""),45351.66666666667)</f>
        <v>45351.66667</v>
      </c>
      <c r="B292" s="2">
        <f>IFERROR(__xludf.DUMMYFUNCTION("""COMPUTED_VALUE"""),498.5)</f>
        <v>498.5</v>
      </c>
      <c r="C292" s="2">
        <f>IFERROR(__xludf.DUMMYFUNCTION("""COMPUTED_VALUE"""),501.75)</f>
        <v>501.75</v>
      </c>
      <c r="D292" s="2">
        <f>IFERROR(__xludf.DUMMYFUNCTION("""COMPUTED_VALUE"""),491.6)</f>
        <v>491.6</v>
      </c>
      <c r="E292" s="2">
        <f>IFERROR(__xludf.DUMMYFUNCTION("""COMPUTED_VALUE"""),493.6)</f>
        <v>493.6</v>
      </c>
      <c r="F292" s="2">
        <f>IFERROR(__xludf.DUMMYFUNCTION("""COMPUTED_VALUE"""),6833167.0)</f>
        <v>6833167</v>
      </c>
    </row>
    <row r="293">
      <c r="A293" s="3">
        <f>IFERROR(__xludf.DUMMYFUNCTION("""COMPUTED_VALUE"""),45352.66666666667)</f>
        <v>45352.66667</v>
      </c>
      <c r="B293" s="2">
        <f>IFERROR(__xludf.DUMMYFUNCTION("""COMPUTED_VALUE"""),489.42)</f>
        <v>489.42</v>
      </c>
      <c r="C293" s="2">
        <f>IFERROR(__xludf.DUMMYFUNCTION("""COMPUTED_VALUE"""),490.02)</f>
        <v>490.02</v>
      </c>
      <c r="D293" s="2">
        <f>IFERROR(__xludf.DUMMYFUNCTION("""COMPUTED_VALUE"""),477.25)</f>
        <v>477.25</v>
      </c>
      <c r="E293" s="2">
        <f>IFERROR(__xludf.DUMMYFUNCTION("""COMPUTED_VALUE"""),489.53)</f>
        <v>489.53</v>
      </c>
      <c r="F293" s="2">
        <f>IFERROR(__xludf.DUMMYFUNCTION("""COMPUTED_VALUE"""),7315039.0)</f>
        <v>7315039</v>
      </c>
    </row>
    <row r="294">
      <c r="A294" s="3">
        <f>IFERROR(__xludf.DUMMYFUNCTION("""COMPUTED_VALUE"""),45355.66666666667)</f>
        <v>45355.66667</v>
      </c>
      <c r="B294" s="2">
        <f>IFERROR(__xludf.DUMMYFUNCTION("""COMPUTED_VALUE"""),483.24)</f>
        <v>483.24</v>
      </c>
      <c r="C294" s="2">
        <f>IFERROR(__xludf.DUMMYFUNCTION("""COMPUTED_VALUE"""),487.04)</f>
        <v>487.04</v>
      </c>
      <c r="D294" s="2">
        <f>IFERROR(__xludf.DUMMYFUNCTION("""COMPUTED_VALUE"""),480.1)</f>
        <v>480.1</v>
      </c>
      <c r="E294" s="2">
        <f>IFERROR(__xludf.DUMMYFUNCTION("""COMPUTED_VALUE"""),481.87)</f>
        <v>481.87</v>
      </c>
      <c r="F294" s="2">
        <f>IFERROR(__xludf.DUMMYFUNCTION("""COMPUTED_VALUE"""),5239810.0)</f>
        <v>5239810</v>
      </c>
    </row>
    <row r="295">
      <c r="A295" s="3">
        <f>IFERROR(__xludf.DUMMYFUNCTION("""COMPUTED_VALUE"""),45356.66666666667)</f>
        <v>45356.66667</v>
      </c>
      <c r="B295" s="2">
        <f>IFERROR(__xludf.DUMMYFUNCTION("""COMPUTED_VALUE"""),482.39)</f>
        <v>482.39</v>
      </c>
      <c r="C295" s="2">
        <f>IFERROR(__xludf.DUMMYFUNCTION("""COMPUTED_VALUE"""),482.9)</f>
        <v>482.9</v>
      </c>
      <c r="D295" s="2">
        <f>IFERROR(__xludf.DUMMYFUNCTION("""COMPUTED_VALUE"""),470.62)</f>
        <v>470.62</v>
      </c>
      <c r="E295" s="2">
        <f>IFERROR(__xludf.DUMMYFUNCTION("""COMPUTED_VALUE"""),473.15)</f>
        <v>473.15</v>
      </c>
      <c r="F295" s="2">
        <f>IFERROR(__xludf.DUMMYFUNCTION("""COMPUTED_VALUE"""),5296200.0)</f>
        <v>5296200</v>
      </c>
    </row>
    <row r="296">
      <c r="A296" s="3">
        <f>IFERROR(__xludf.DUMMYFUNCTION("""COMPUTED_VALUE"""),45357.66666666667)</f>
        <v>45357.66667</v>
      </c>
      <c r="B296" s="2">
        <f>IFERROR(__xludf.DUMMYFUNCTION("""COMPUTED_VALUE"""),474.44)</f>
        <v>474.44</v>
      </c>
      <c r="C296" s="2">
        <f>IFERROR(__xludf.DUMMYFUNCTION("""COMPUTED_VALUE"""),479.8)</f>
        <v>479.8</v>
      </c>
      <c r="D296" s="2">
        <f>IFERROR(__xludf.DUMMYFUNCTION("""COMPUTED_VALUE"""),468.19)</f>
        <v>468.19</v>
      </c>
      <c r="E296" s="2">
        <f>IFERROR(__xludf.DUMMYFUNCTION("""COMPUTED_VALUE"""),472.6)</f>
        <v>472.6</v>
      </c>
      <c r="F296" s="2">
        <f>IFERROR(__xludf.DUMMYFUNCTION("""COMPUTED_VALUE"""),5577493.0)</f>
        <v>5577493</v>
      </c>
    </row>
    <row r="297">
      <c r="A297" s="3">
        <f>IFERROR(__xludf.DUMMYFUNCTION("""COMPUTED_VALUE"""),45358.66666666667)</f>
        <v>45358.66667</v>
      </c>
      <c r="B297" s="2">
        <f>IFERROR(__xludf.DUMMYFUNCTION("""COMPUTED_VALUE"""),474.0)</f>
        <v>474</v>
      </c>
      <c r="C297" s="2">
        <f>IFERROR(__xludf.DUMMYFUNCTION("""COMPUTED_VALUE"""),481.19)</f>
        <v>481.19</v>
      </c>
      <c r="D297" s="2">
        <f>IFERROR(__xludf.DUMMYFUNCTION("""COMPUTED_VALUE"""),473.6)</f>
        <v>473.6</v>
      </c>
      <c r="E297" s="2">
        <f>IFERROR(__xludf.DUMMYFUNCTION("""COMPUTED_VALUE"""),478.78)</f>
        <v>478.78</v>
      </c>
      <c r="F297" s="2">
        <f>IFERROR(__xludf.DUMMYFUNCTION("""COMPUTED_VALUE"""),5102043.0)</f>
        <v>5102043</v>
      </c>
    </row>
    <row r="298">
      <c r="A298" s="3">
        <f>IFERROR(__xludf.DUMMYFUNCTION("""COMPUTED_VALUE"""),45359.66666666667)</f>
        <v>45359.66667</v>
      </c>
      <c r="B298" s="2">
        <f>IFERROR(__xludf.DUMMYFUNCTION("""COMPUTED_VALUE"""),478.33)</f>
        <v>478.33</v>
      </c>
      <c r="C298" s="2">
        <f>IFERROR(__xludf.DUMMYFUNCTION("""COMPUTED_VALUE"""),484.25)</f>
        <v>484.25</v>
      </c>
      <c r="D298" s="2">
        <f>IFERROR(__xludf.DUMMYFUNCTION("""COMPUTED_VALUE"""),474.77)</f>
        <v>474.77</v>
      </c>
      <c r="E298" s="2">
        <f>IFERROR(__xludf.DUMMYFUNCTION("""COMPUTED_VALUE"""),476.57)</f>
        <v>476.57</v>
      </c>
      <c r="F298" s="2">
        <f>IFERROR(__xludf.DUMMYFUNCTION("""COMPUTED_VALUE"""),4673567.0)</f>
        <v>4673567</v>
      </c>
    </row>
    <row r="299">
      <c r="A299" s="3">
        <f>IFERROR(__xludf.DUMMYFUNCTION("""COMPUTED_VALUE"""),45362.66666666667)</f>
        <v>45362.66667</v>
      </c>
      <c r="B299" s="2">
        <f>IFERROR(__xludf.DUMMYFUNCTION("""COMPUTED_VALUE"""),477.0)</f>
        <v>477</v>
      </c>
      <c r="C299" s="2">
        <f>IFERROR(__xludf.DUMMYFUNCTION("""COMPUTED_VALUE"""),490.31)</f>
        <v>490.31</v>
      </c>
      <c r="D299" s="2">
        <f>IFERROR(__xludf.DUMMYFUNCTION("""COMPUTED_VALUE"""),476.0)</f>
        <v>476</v>
      </c>
      <c r="E299" s="2">
        <f>IFERROR(__xludf.DUMMYFUNCTION("""COMPUTED_VALUE"""),489.15)</f>
        <v>489.15</v>
      </c>
      <c r="F299" s="2">
        <f>IFERROR(__xludf.DUMMYFUNCTION("""COMPUTED_VALUE"""),4410088.0)</f>
        <v>4410088</v>
      </c>
    </row>
    <row r="300">
      <c r="A300" s="3">
        <f>IFERROR(__xludf.DUMMYFUNCTION("""COMPUTED_VALUE"""),45363.66666666667)</f>
        <v>45363.66667</v>
      </c>
      <c r="B300" s="2">
        <f>IFERROR(__xludf.DUMMYFUNCTION("""COMPUTED_VALUE"""),488.13)</f>
        <v>488.13</v>
      </c>
      <c r="C300" s="2">
        <f>IFERROR(__xludf.DUMMYFUNCTION("""COMPUTED_VALUE"""),492.28)</f>
        <v>492.28</v>
      </c>
      <c r="D300" s="2">
        <f>IFERROR(__xludf.DUMMYFUNCTION("""COMPUTED_VALUE"""),487.35)</f>
        <v>487.35</v>
      </c>
      <c r="E300" s="2">
        <f>IFERROR(__xludf.DUMMYFUNCTION("""COMPUTED_VALUE"""),489.35)</f>
        <v>489.35</v>
      </c>
      <c r="F300" s="2">
        <f>IFERROR(__xludf.DUMMYFUNCTION("""COMPUTED_VALUE"""),4153799.0)</f>
        <v>4153799</v>
      </c>
    </row>
    <row r="301">
      <c r="A301" s="3">
        <f>IFERROR(__xludf.DUMMYFUNCTION("""COMPUTED_VALUE"""),45364.66666666667)</f>
        <v>45364.66667</v>
      </c>
      <c r="B301" s="2">
        <f>IFERROR(__xludf.DUMMYFUNCTION("""COMPUTED_VALUE"""),493.52)</f>
        <v>493.52</v>
      </c>
      <c r="C301" s="2">
        <f>IFERROR(__xludf.DUMMYFUNCTION("""COMPUTED_VALUE"""),496.0)</f>
        <v>496</v>
      </c>
      <c r="D301" s="2">
        <f>IFERROR(__xludf.DUMMYFUNCTION("""COMPUTED_VALUE"""),485.33)</f>
        <v>485.33</v>
      </c>
      <c r="E301" s="2">
        <f>IFERROR(__xludf.DUMMYFUNCTION("""COMPUTED_VALUE"""),488.0)</f>
        <v>488</v>
      </c>
      <c r="F301" s="2">
        <f>IFERROR(__xludf.DUMMYFUNCTION("""COMPUTED_VALUE"""),3669036.0)</f>
        <v>3669036</v>
      </c>
    </row>
    <row r="302">
      <c r="A302" s="3">
        <f>IFERROR(__xludf.DUMMYFUNCTION("""COMPUTED_VALUE"""),45365.66666666667)</f>
        <v>45365.66667</v>
      </c>
      <c r="B302" s="2">
        <f>IFERROR(__xludf.DUMMYFUNCTION("""COMPUTED_VALUE"""),488.72)</f>
        <v>488.72</v>
      </c>
      <c r="C302" s="2">
        <f>IFERROR(__xludf.DUMMYFUNCTION("""COMPUTED_VALUE"""),489.68)</f>
        <v>489.68</v>
      </c>
      <c r="D302" s="2">
        <f>IFERROR(__xludf.DUMMYFUNCTION("""COMPUTED_VALUE"""),485.19)</f>
        <v>485.19</v>
      </c>
      <c r="E302" s="2">
        <f>IFERROR(__xludf.DUMMYFUNCTION("""COMPUTED_VALUE"""),489.0)</f>
        <v>489</v>
      </c>
      <c r="F302" s="2">
        <f>IFERROR(__xludf.DUMMYFUNCTION("""COMPUTED_VALUE"""),3378538.0)</f>
        <v>3378538</v>
      </c>
    </row>
    <row r="303">
      <c r="A303" s="3">
        <f>IFERROR(__xludf.DUMMYFUNCTION("""COMPUTED_VALUE"""),45366.66666666667)</f>
        <v>45366.66667</v>
      </c>
      <c r="B303" s="2">
        <f>IFERROR(__xludf.DUMMYFUNCTION("""COMPUTED_VALUE"""),487.45)</f>
        <v>487.45</v>
      </c>
      <c r="C303" s="2">
        <f>IFERROR(__xludf.DUMMYFUNCTION("""COMPUTED_VALUE"""),491.22)</f>
        <v>491.22</v>
      </c>
      <c r="D303" s="2">
        <f>IFERROR(__xludf.DUMMYFUNCTION("""COMPUTED_VALUE"""),487.45)</f>
        <v>487.45</v>
      </c>
      <c r="E303" s="2">
        <f>IFERROR(__xludf.DUMMYFUNCTION("""COMPUTED_VALUE"""),490.82)</f>
        <v>490.82</v>
      </c>
      <c r="F303" s="2">
        <f>IFERROR(__xludf.DUMMYFUNCTION("""COMPUTED_VALUE"""),5713536.0)</f>
        <v>5713536</v>
      </c>
    </row>
    <row r="304">
      <c r="A304" s="3">
        <f>IFERROR(__xludf.DUMMYFUNCTION("""COMPUTED_VALUE"""),45369.66666666667)</f>
        <v>45369.66667</v>
      </c>
      <c r="B304" s="2">
        <f>IFERROR(__xludf.DUMMYFUNCTION("""COMPUTED_VALUE"""),492.1)</f>
        <v>492.1</v>
      </c>
      <c r="C304" s="2">
        <f>IFERROR(__xludf.DUMMYFUNCTION("""COMPUTED_VALUE"""),492.1)</f>
        <v>492.1</v>
      </c>
      <c r="D304" s="2">
        <f>IFERROR(__xludf.DUMMYFUNCTION("""COMPUTED_VALUE"""),486.38)</f>
        <v>486.38</v>
      </c>
      <c r="E304" s="2">
        <f>IFERROR(__xludf.DUMMYFUNCTION("""COMPUTED_VALUE"""),487.05)</f>
        <v>487.05</v>
      </c>
      <c r="F304" s="2">
        <f>IFERROR(__xludf.DUMMYFUNCTION("""COMPUTED_VALUE"""),2970640.0)</f>
        <v>2970640</v>
      </c>
    </row>
    <row r="305">
      <c r="A305" s="3">
        <f>IFERROR(__xludf.DUMMYFUNCTION("""COMPUTED_VALUE"""),45370.66666666667)</f>
        <v>45370.66667</v>
      </c>
      <c r="B305" s="2">
        <f>IFERROR(__xludf.DUMMYFUNCTION("""COMPUTED_VALUE"""),489.67)</f>
        <v>489.67</v>
      </c>
      <c r="C305" s="2">
        <f>IFERROR(__xludf.DUMMYFUNCTION("""COMPUTED_VALUE"""),493.44)</f>
        <v>493.44</v>
      </c>
      <c r="D305" s="2">
        <f>IFERROR(__xludf.DUMMYFUNCTION("""COMPUTED_VALUE"""),487.79)</f>
        <v>487.79</v>
      </c>
      <c r="E305" s="2">
        <f>IFERROR(__xludf.DUMMYFUNCTION("""COMPUTED_VALUE"""),493.32)</f>
        <v>493.32</v>
      </c>
      <c r="F305" s="2">
        <f>IFERROR(__xludf.DUMMYFUNCTION("""COMPUTED_VALUE"""),2511743.0)</f>
        <v>2511743</v>
      </c>
    </row>
    <row r="306">
      <c r="A306" s="3">
        <f>IFERROR(__xludf.DUMMYFUNCTION("""COMPUTED_VALUE"""),45371.66666666667)</f>
        <v>45371.66667</v>
      </c>
      <c r="B306" s="2">
        <f>IFERROR(__xludf.DUMMYFUNCTION("""COMPUTED_VALUE"""),492.47)</f>
        <v>492.47</v>
      </c>
      <c r="C306" s="2">
        <f>IFERROR(__xludf.DUMMYFUNCTION("""COMPUTED_VALUE"""),494.6)</f>
        <v>494.6</v>
      </c>
      <c r="D306" s="2">
        <f>IFERROR(__xludf.DUMMYFUNCTION("""COMPUTED_VALUE"""),489.44)</f>
        <v>489.44</v>
      </c>
      <c r="E306" s="2">
        <f>IFERROR(__xludf.DUMMYFUNCTION("""COMPUTED_VALUE"""),494.23)</f>
        <v>494.23</v>
      </c>
      <c r="F306" s="2">
        <f>IFERROR(__xludf.DUMMYFUNCTION("""COMPUTED_VALUE"""),3548160.0)</f>
        <v>3548160</v>
      </c>
    </row>
    <row r="307">
      <c r="A307" s="3">
        <f>IFERROR(__xludf.DUMMYFUNCTION("""COMPUTED_VALUE"""),45372.66666666667)</f>
        <v>45372.66667</v>
      </c>
      <c r="B307" s="2">
        <f>IFERROR(__xludf.DUMMYFUNCTION("""COMPUTED_VALUE"""),492.28)</f>
        <v>492.28</v>
      </c>
      <c r="C307" s="2">
        <f>IFERROR(__xludf.DUMMYFUNCTION("""COMPUTED_VALUE"""),496.2)</f>
        <v>496.2</v>
      </c>
      <c r="D307" s="2">
        <f>IFERROR(__xludf.DUMMYFUNCTION("""COMPUTED_VALUE"""),491.28)</f>
        <v>491.28</v>
      </c>
      <c r="E307" s="2">
        <f>IFERROR(__xludf.DUMMYFUNCTION("""COMPUTED_VALUE"""),491.69)</f>
        <v>491.69</v>
      </c>
      <c r="F307" s="2">
        <f>IFERROR(__xludf.DUMMYFUNCTION("""COMPUTED_VALUE"""),3693408.0)</f>
        <v>3693408</v>
      </c>
    </row>
    <row r="308">
      <c r="A308" s="3">
        <f>IFERROR(__xludf.DUMMYFUNCTION("""COMPUTED_VALUE"""),45373.66666666667)</f>
        <v>45373.66667</v>
      </c>
      <c r="B308" s="2">
        <f>IFERROR(__xludf.DUMMYFUNCTION("""COMPUTED_VALUE"""),495.2)</f>
        <v>495.2</v>
      </c>
      <c r="C308" s="2">
        <f>IFERROR(__xludf.DUMMYFUNCTION("""COMPUTED_VALUE"""),495.83)</f>
        <v>495.83</v>
      </c>
      <c r="D308" s="2">
        <f>IFERROR(__xludf.DUMMYFUNCTION("""COMPUTED_VALUE"""),489.77)</f>
        <v>489.77</v>
      </c>
      <c r="E308" s="2">
        <f>IFERROR(__xludf.DUMMYFUNCTION("""COMPUTED_VALUE"""),490.07)</f>
        <v>490.07</v>
      </c>
      <c r="F308" s="2">
        <f>IFERROR(__xludf.DUMMYFUNCTION("""COMPUTED_VALUE"""),2847269.0)</f>
        <v>2847269</v>
      </c>
    </row>
    <row r="309">
      <c r="A309" s="3">
        <f>IFERROR(__xludf.DUMMYFUNCTION("""COMPUTED_VALUE"""),45376.66666666667)</f>
        <v>45376.66667</v>
      </c>
      <c r="B309" s="2">
        <f>IFERROR(__xludf.DUMMYFUNCTION("""COMPUTED_VALUE"""),490.6)</f>
        <v>490.6</v>
      </c>
      <c r="C309" s="2">
        <f>IFERROR(__xludf.DUMMYFUNCTION("""COMPUTED_VALUE"""),491.48)</f>
        <v>491.48</v>
      </c>
      <c r="D309" s="2">
        <f>IFERROR(__xludf.DUMMYFUNCTION("""COMPUTED_VALUE"""),484.07)</f>
        <v>484.07</v>
      </c>
      <c r="E309" s="2">
        <f>IFERROR(__xludf.DUMMYFUNCTION("""COMPUTED_VALUE"""),485.88)</f>
        <v>485.88</v>
      </c>
      <c r="F309" s="2">
        <f>IFERROR(__xludf.DUMMYFUNCTION("""COMPUTED_VALUE"""),2786141.0)</f>
        <v>2786141</v>
      </c>
    </row>
    <row r="310">
      <c r="A310" s="3">
        <f>IFERROR(__xludf.DUMMYFUNCTION("""COMPUTED_VALUE"""),45377.66666666667)</f>
        <v>45377.66667</v>
      </c>
      <c r="B310" s="2">
        <f>IFERROR(__xludf.DUMMYFUNCTION("""COMPUTED_VALUE"""),488.13)</f>
        <v>488.13</v>
      </c>
      <c r="C310" s="2">
        <f>IFERROR(__xludf.DUMMYFUNCTION("""COMPUTED_VALUE"""),493.34)</f>
        <v>493.34</v>
      </c>
      <c r="D310" s="2">
        <f>IFERROR(__xludf.DUMMYFUNCTION("""COMPUTED_VALUE"""),485.23)</f>
        <v>485.23</v>
      </c>
      <c r="E310" s="2">
        <f>IFERROR(__xludf.DUMMYFUNCTION("""COMPUTED_VALUE"""),492.31)</f>
        <v>492.31</v>
      </c>
      <c r="F310" s="2">
        <f>IFERROR(__xludf.DUMMYFUNCTION("""COMPUTED_VALUE"""),3113314.0)</f>
        <v>3113314</v>
      </c>
    </row>
    <row r="311">
      <c r="A311" s="3">
        <f>IFERROR(__xludf.DUMMYFUNCTION("""COMPUTED_VALUE"""),45378.66666666667)</f>
        <v>45378.66667</v>
      </c>
      <c r="B311" s="2">
        <f>IFERROR(__xludf.DUMMYFUNCTION("""COMPUTED_VALUE"""),493.7)</f>
        <v>493.7</v>
      </c>
      <c r="C311" s="2">
        <f>IFERROR(__xludf.DUMMYFUNCTION("""COMPUTED_VALUE"""),495.73)</f>
        <v>495.73</v>
      </c>
      <c r="D311" s="2">
        <f>IFERROR(__xludf.DUMMYFUNCTION("""COMPUTED_VALUE"""),491.31)</f>
        <v>491.31</v>
      </c>
      <c r="E311" s="2">
        <f>IFERROR(__xludf.DUMMYFUNCTION("""COMPUTED_VALUE"""),493.1)</f>
        <v>493.1</v>
      </c>
      <c r="F311" s="2">
        <f>IFERROR(__xludf.DUMMYFUNCTION("""COMPUTED_VALUE"""),2653185.0)</f>
        <v>2653185</v>
      </c>
    </row>
    <row r="312">
      <c r="A312" s="3">
        <f>IFERROR(__xludf.DUMMYFUNCTION("""COMPUTED_VALUE"""),45379.66666666667)</f>
        <v>45379.66667</v>
      </c>
      <c r="B312" s="2">
        <f>IFERROR(__xludf.DUMMYFUNCTION("""COMPUTED_VALUE"""),495.0)</f>
        <v>495</v>
      </c>
      <c r="C312" s="2">
        <f>IFERROR(__xludf.DUMMYFUNCTION("""COMPUTED_VALUE"""),495.87)</f>
        <v>495.87</v>
      </c>
      <c r="D312" s="2">
        <f>IFERROR(__xludf.DUMMYFUNCTION("""COMPUTED_VALUE"""),489.3)</f>
        <v>489.3</v>
      </c>
      <c r="E312" s="2">
        <f>IFERROR(__xludf.DUMMYFUNCTION("""COMPUTED_VALUE"""),494.7)</f>
        <v>494.7</v>
      </c>
      <c r="F312" s="2">
        <f>IFERROR(__xludf.DUMMYFUNCTION("""COMPUTED_VALUE"""),3820008.0)</f>
        <v>3820008</v>
      </c>
    </row>
    <row r="313">
      <c r="A313" s="3">
        <f>IFERROR(__xludf.DUMMYFUNCTION("""COMPUTED_VALUE"""),45383.66666666667)</f>
        <v>45383.66667</v>
      </c>
      <c r="B313" s="2">
        <f>IFERROR(__xludf.DUMMYFUNCTION("""COMPUTED_VALUE"""),494.47)</f>
        <v>494.47</v>
      </c>
      <c r="C313" s="2">
        <f>IFERROR(__xludf.DUMMYFUNCTION("""COMPUTED_VALUE"""),495.78)</f>
        <v>495.78</v>
      </c>
      <c r="D313" s="2">
        <f>IFERROR(__xludf.DUMMYFUNCTION("""COMPUTED_VALUE"""),488.7)</f>
        <v>488.7</v>
      </c>
      <c r="E313" s="2">
        <f>IFERROR(__xludf.DUMMYFUNCTION("""COMPUTED_VALUE"""),489.7)</f>
        <v>489.7</v>
      </c>
      <c r="F313" s="2">
        <f>IFERROR(__xludf.DUMMYFUNCTION("""COMPUTED_VALUE"""),2928707.0)</f>
        <v>2928707</v>
      </c>
    </row>
    <row r="314">
      <c r="A314" s="3">
        <f>IFERROR(__xludf.DUMMYFUNCTION("""COMPUTED_VALUE"""),45384.66666666667)</f>
        <v>45384.66667</v>
      </c>
      <c r="B314" s="2">
        <f>IFERROR(__xludf.DUMMYFUNCTION("""COMPUTED_VALUE"""),459.6)</f>
        <v>459.6</v>
      </c>
      <c r="C314" s="2">
        <f>IFERROR(__xludf.DUMMYFUNCTION("""COMPUTED_VALUE"""),463.68)</f>
        <v>463.68</v>
      </c>
      <c r="D314" s="2">
        <f>IFERROR(__xludf.DUMMYFUNCTION("""COMPUTED_VALUE"""),449.6)</f>
        <v>449.6</v>
      </c>
      <c r="E314" s="2">
        <f>IFERROR(__xludf.DUMMYFUNCTION("""COMPUTED_VALUE"""),458.14)</f>
        <v>458.14</v>
      </c>
      <c r="F314" s="2">
        <f>IFERROR(__xludf.DUMMYFUNCTION("""COMPUTED_VALUE"""),1.1867018E7)</f>
        <v>11867018</v>
      </c>
    </row>
    <row r="315">
      <c r="A315" s="3">
        <f>IFERROR(__xludf.DUMMYFUNCTION("""COMPUTED_VALUE"""),45385.66666666667)</f>
        <v>45385.66667</v>
      </c>
      <c r="B315" s="2">
        <f>IFERROR(__xludf.DUMMYFUNCTION("""COMPUTED_VALUE"""),462.0)</f>
        <v>462</v>
      </c>
      <c r="C315" s="2">
        <f>IFERROR(__xludf.DUMMYFUNCTION("""COMPUTED_VALUE"""),462.85)</f>
        <v>462.85</v>
      </c>
      <c r="D315" s="2">
        <f>IFERROR(__xludf.DUMMYFUNCTION("""COMPUTED_VALUE"""),455.55)</f>
        <v>455.55</v>
      </c>
      <c r="E315" s="2">
        <f>IFERROR(__xludf.DUMMYFUNCTION("""COMPUTED_VALUE"""),459.74)</f>
        <v>459.74</v>
      </c>
      <c r="F315" s="2">
        <f>IFERROR(__xludf.DUMMYFUNCTION("""COMPUTED_VALUE"""),4460400.0)</f>
        <v>4460400</v>
      </c>
    </row>
    <row r="316">
      <c r="A316" s="3">
        <f>IFERROR(__xludf.DUMMYFUNCTION("""COMPUTED_VALUE"""),45386.66666666667)</f>
        <v>45386.66667</v>
      </c>
      <c r="B316" s="2">
        <f>IFERROR(__xludf.DUMMYFUNCTION("""COMPUTED_VALUE"""),460.82)</f>
        <v>460.82</v>
      </c>
      <c r="C316" s="2">
        <f>IFERROR(__xludf.DUMMYFUNCTION("""COMPUTED_VALUE"""),461.72)</f>
        <v>461.72</v>
      </c>
      <c r="D316" s="2">
        <f>IFERROR(__xludf.DUMMYFUNCTION("""COMPUTED_VALUE"""),451.92)</f>
        <v>451.92</v>
      </c>
      <c r="E316" s="2">
        <f>IFERROR(__xludf.DUMMYFUNCTION("""COMPUTED_VALUE"""),455.38)</f>
        <v>455.38</v>
      </c>
      <c r="F316" s="2">
        <f>IFERROR(__xludf.DUMMYFUNCTION("""COMPUTED_VALUE"""),5182046.0)</f>
        <v>5182046</v>
      </c>
    </row>
    <row r="317">
      <c r="A317" s="3">
        <f>IFERROR(__xludf.DUMMYFUNCTION("""COMPUTED_VALUE"""),45387.66666666667)</f>
        <v>45387.66667</v>
      </c>
      <c r="B317" s="2">
        <f>IFERROR(__xludf.DUMMYFUNCTION("""COMPUTED_VALUE"""),450.69)</f>
        <v>450.69</v>
      </c>
      <c r="C317" s="2">
        <f>IFERROR(__xludf.DUMMYFUNCTION("""COMPUTED_VALUE"""),457.75)</f>
        <v>457.75</v>
      </c>
      <c r="D317" s="2">
        <f>IFERROR(__xludf.DUMMYFUNCTION("""COMPUTED_VALUE"""),450.01)</f>
        <v>450.01</v>
      </c>
      <c r="E317" s="2">
        <f>IFERROR(__xludf.DUMMYFUNCTION("""COMPUTED_VALUE"""),455.74)</f>
        <v>455.74</v>
      </c>
      <c r="F317" s="2">
        <f>IFERROR(__xludf.DUMMYFUNCTION("""COMPUTED_VALUE"""),5747375.0)</f>
        <v>5747375</v>
      </c>
    </row>
    <row r="318">
      <c r="A318" s="3">
        <f>IFERROR(__xludf.DUMMYFUNCTION("""COMPUTED_VALUE"""),45390.66666666667)</f>
        <v>45390.66667</v>
      </c>
      <c r="B318" s="2">
        <f>IFERROR(__xludf.DUMMYFUNCTION("""COMPUTED_VALUE"""),455.97)</f>
        <v>455.97</v>
      </c>
      <c r="C318" s="2">
        <f>IFERROR(__xludf.DUMMYFUNCTION("""COMPUTED_VALUE"""),457.2)</f>
        <v>457.2</v>
      </c>
      <c r="D318" s="2">
        <f>IFERROR(__xludf.DUMMYFUNCTION("""COMPUTED_VALUE"""),453.59)</f>
        <v>453.59</v>
      </c>
      <c r="E318" s="2">
        <f>IFERROR(__xludf.DUMMYFUNCTION("""COMPUTED_VALUE"""),456.0)</f>
        <v>456</v>
      </c>
      <c r="F318" s="2">
        <f>IFERROR(__xludf.DUMMYFUNCTION("""COMPUTED_VALUE"""),4532254.0)</f>
        <v>4532254</v>
      </c>
    </row>
    <row r="319">
      <c r="A319" s="3">
        <f>IFERROR(__xludf.DUMMYFUNCTION("""COMPUTED_VALUE"""),45391.66666666667)</f>
        <v>45391.66667</v>
      </c>
      <c r="B319" s="2">
        <f>IFERROR(__xludf.DUMMYFUNCTION("""COMPUTED_VALUE"""),454.28)</f>
        <v>454.28</v>
      </c>
      <c r="C319" s="2">
        <f>IFERROR(__xludf.DUMMYFUNCTION("""COMPUTED_VALUE"""),459.76)</f>
        <v>459.76</v>
      </c>
      <c r="D319" s="2">
        <f>IFERROR(__xludf.DUMMYFUNCTION("""COMPUTED_VALUE"""),452.46)</f>
        <v>452.46</v>
      </c>
      <c r="E319" s="2">
        <f>IFERROR(__xludf.DUMMYFUNCTION("""COMPUTED_VALUE"""),459.72)</f>
        <v>459.72</v>
      </c>
      <c r="F319" s="2">
        <f>IFERROR(__xludf.DUMMYFUNCTION("""COMPUTED_VALUE"""),3521731.0)</f>
        <v>3521731</v>
      </c>
    </row>
    <row r="320">
      <c r="A320" s="3">
        <f>IFERROR(__xludf.DUMMYFUNCTION("""COMPUTED_VALUE"""),45392.66666666667)</f>
        <v>45392.66667</v>
      </c>
      <c r="B320" s="2">
        <f>IFERROR(__xludf.DUMMYFUNCTION("""COMPUTED_VALUE"""),455.49)</f>
        <v>455.49</v>
      </c>
      <c r="C320" s="2">
        <f>IFERROR(__xludf.DUMMYFUNCTION("""COMPUTED_VALUE"""),458.74)</f>
        <v>458.74</v>
      </c>
      <c r="D320" s="2">
        <f>IFERROR(__xludf.DUMMYFUNCTION("""COMPUTED_VALUE"""),449.78)</f>
        <v>449.78</v>
      </c>
      <c r="E320" s="2">
        <f>IFERROR(__xludf.DUMMYFUNCTION("""COMPUTED_VALUE"""),450.05)</f>
        <v>450.05</v>
      </c>
      <c r="F320" s="2">
        <f>IFERROR(__xludf.DUMMYFUNCTION("""COMPUTED_VALUE"""),4493483.0)</f>
        <v>4493483</v>
      </c>
    </row>
    <row r="321">
      <c r="A321" s="3">
        <f>IFERROR(__xludf.DUMMYFUNCTION("""COMPUTED_VALUE"""),45393.66666666667)</f>
        <v>45393.66667</v>
      </c>
      <c r="B321" s="2">
        <f>IFERROR(__xludf.DUMMYFUNCTION("""COMPUTED_VALUE"""),450.39)</f>
        <v>450.39</v>
      </c>
      <c r="C321" s="2">
        <f>IFERROR(__xludf.DUMMYFUNCTION("""COMPUTED_VALUE"""),450.77)</f>
        <v>450.77</v>
      </c>
      <c r="D321" s="2">
        <f>IFERROR(__xludf.DUMMYFUNCTION("""COMPUTED_VALUE"""),441.48)</f>
        <v>441.48</v>
      </c>
      <c r="E321" s="2">
        <f>IFERROR(__xludf.DUMMYFUNCTION("""COMPUTED_VALUE"""),441.72)</f>
        <v>441.72</v>
      </c>
      <c r="F321" s="2">
        <f>IFERROR(__xludf.DUMMYFUNCTION("""COMPUTED_VALUE"""),5844125.0)</f>
        <v>5844125</v>
      </c>
    </row>
    <row r="322">
      <c r="A322" s="3">
        <f>IFERROR(__xludf.DUMMYFUNCTION("""COMPUTED_VALUE"""),45394.66666666667)</f>
        <v>45394.66667</v>
      </c>
      <c r="B322" s="2">
        <f>IFERROR(__xludf.DUMMYFUNCTION("""COMPUTED_VALUE"""),440.34)</f>
        <v>440.34</v>
      </c>
      <c r="C322" s="2">
        <f>IFERROR(__xludf.DUMMYFUNCTION("""COMPUTED_VALUE"""),442.24)</f>
        <v>442.24</v>
      </c>
      <c r="D322" s="2">
        <f>IFERROR(__xludf.DUMMYFUNCTION("""COMPUTED_VALUE"""),436.38)</f>
        <v>436.38</v>
      </c>
      <c r="E322" s="2">
        <f>IFERROR(__xludf.DUMMYFUNCTION("""COMPUTED_VALUE"""),439.2)</f>
        <v>439.2</v>
      </c>
      <c r="F322" s="2">
        <f>IFERROR(__xludf.DUMMYFUNCTION("""COMPUTED_VALUE"""),6045671.0)</f>
        <v>6045671</v>
      </c>
    </row>
    <row r="323">
      <c r="A323" s="3">
        <f>IFERROR(__xludf.DUMMYFUNCTION("""COMPUTED_VALUE"""),45397.66666666667)</f>
        <v>45397.66667</v>
      </c>
      <c r="B323" s="2">
        <f>IFERROR(__xludf.DUMMYFUNCTION("""COMPUTED_VALUE"""),442.0)</f>
        <v>442</v>
      </c>
      <c r="C323" s="2">
        <f>IFERROR(__xludf.DUMMYFUNCTION("""COMPUTED_VALUE"""),448.35)</f>
        <v>448.35</v>
      </c>
      <c r="D323" s="2">
        <f>IFERROR(__xludf.DUMMYFUNCTION("""COMPUTED_VALUE"""),441.99)</f>
        <v>441.99</v>
      </c>
      <c r="E323" s="2">
        <f>IFERROR(__xludf.DUMMYFUNCTION("""COMPUTED_VALUE"""),445.63)</f>
        <v>445.63</v>
      </c>
      <c r="F323" s="2">
        <f>IFERROR(__xludf.DUMMYFUNCTION("""COMPUTED_VALUE"""),5376771.0)</f>
        <v>5376771</v>
      </c>
    </row>
    <row r="324">
      <c r="A324" s="3">
        <f>IFERROR(__xludf.DUMMYFUNCTION("""COMPUTED_VALUE"""),45398.66666666667)</f>
        <v>45398.66667</v>
      </c>
      <c r="B324" s="2">
        <f>IFERROR(__xludf.DUMMYFUNCTION("""COMPUTED_VALUE"""),476.77)</f>
        <v>476.77</v>
      </c>
      <c r="C324" s="2">
        <f>IFERROR(__xludf.DUMMYFUNCTION("""COMPUTED_VALUE"""),479.75)</f>
        <v>479.75</v>
      </c>
      <c r="D324" s="2">
        <f>IFERROR(__xludf.DUMMYFUNCTION("""COMPUTED_VALUE"""),465.6)</f>
        <v>465.6</v>
      </c>
      <c r="E324" s="2">
        <f>IFERROR(__xludf.DUMMYFUNCTION("""COMPUTED_VALUE"""),468.89)</f>
        <v>468.89</v>
      </c>
      <c r="F324" s="2">
        <f>IFERROR(__xludf.DUMMYFUNCTION("""COMPUTED_VALUE"""),1.1816517E7)</f>
        <v>11816517</v>
      </c>
    </row>
    <row r="325">
      <c r="A325" s="3">
        <f>IFERROR(__xludf.DUMMYFUNCTION("""COMPUTED_VALUE"""),45399.66666666667)</f>
        <v>45399.66667</v>
      </c>
      <c r="B325" s="2">
        <f>IFERROR(__xludf.DUMMYFUNCTION("""COMPUTED_VALUE"""),478.6)</f>
        <v>478.6</v>
      </c>
      <c r="C325" s="2">
        <f>IFERROR(__xludf.DUMMYFUNCTION("""COMPUTED_VALUE"""),488.0)</f>
        <v>488</v>
      </c>
      <c r="D325" s="2">
        <f>IFERROR(__xludf.DUMMYFUNCTION("""COMPUTED_VALUE"""),474.59)</f>
        <v>474.59</v>
      </c>
      <c r="E325" s="2">
        <f>IFERROR(__xludf.DUMMYFUNCTION("""COMPUTED_VALUE"""),478.99)</f>
        <v>478.99</v>
      </c>
      <c r="F325" s="2">
        <f>IFERROR(__xludf.DUMMYFUNCTION("""COMPUTED_VALUE"""),8759779.0)</f>
        <v>8759779</v>
      </c>
    </row>
    <row r="326">
      <c r="A326" s="3">
        <f>IFERROR(__xludf.DUMMYFUNCTION("""COMPUTED_VALUE"""),45400.66666666667)</f>
        <v>45400.66667</v>
      </c>
      <c r="B326" s="2">
        <f>IFERROR(__xludf.DUMMYFUNCTION("""COMPUTED_VALUE"""),486.13)</f>
        <v>486.13</v>
      </c>
      <c r="C326" s="2">
        <f>IFERROR(__xludf.DUMMYFUNCTION("""COMPUTED_VALUE"""),502.0)</f>
        <v>502</v>
      </c>
      <c r="D326" s="2">
        <f>IFERROR(__xludf.DUMMYFUNCTION("""COMPUTED_VALUE"""),485.97)</f>
        <v>485.97</v>
      </c>
      <c r="E326" s="2">
        <f>IFERROR(__xludf.DUMMYFUNCTION("""COMPUTED_VALUE"""),493.18)</f>
        <v>493.18</v>
      </c>
      <c r="F326" s="2">
        <f>IFERROR(__xludf.DUMMYFUNCTION("""COMPUTED_VALUE"""),8880448.0)</f>
        <v>8880448</v>
      </c>
    </row>
    <row r="327">
      <c r="A327" s="3">
        <f>IFERROR(__xludf.DUMMYFUNCTION("""COMPUTED_VALUE"""),45401.66666666667)</f>
        <v>45401.66667</v>
      </c>
      <c r="B327" s="2">
        <f>IFERROR(__xludf.DUMMYFUNCTION("""COMPUTED_VALUE"""),497.0)</f>
        <v>497</v>
      </c>
      <c r="C327" s="2">
        <f>IFERROR(__xludf.DUMMYFUNCTION("""COMPUTED_VALUE"""),507.3)</f>
        <v>507.3</v>
      </c>
      <c r="D327" s="2">
        <f>IFERROR(__xludf.DUMMYFUNCTION("""COMPUTED_VALUE"""),495.56)</f>
        <v>495.56</v>
      </c>
      <c r="E327" s="2">
        <f>IFERROR(__xludf.DUMMYFUNCTION("""COMPUTED_VALUE"""),501.13)</f>
        <v>501.13</v>
      </c>
      <c r="F327" s="2">
        <f>IFERROR(__xludf.DUMMYFUNCTION("""COMPUTED_VALUE"""),6618600.0)</f>
        <v>6618600</v>
      </c>
    </row>
    <row r="328">
      <c r="A328" s="3">
        <f>IFERROR(__xludf.DUMMYFUNCTION("""COMPUTED_VALUE"""),45404.66666666667)</f>
        <v>45404.66667</v>
      </c>
      <c r="B328" s="2">
        <f>IFERROR(__xludf.DUMMYFUNCTION("""COMPUTED_VALUE"""),497.78)</f>
        <v>497.78</v>
      </c>
      <c r="C328" s="2">
        <f>IFERROR(__xludf.DUMMYFUNCTION("""COMPUTED_VALUE"""),499.42)</f>
        <v>499.42</v>
      </c>
      <c r="D328" s="2">
        <f>IFERROR(__xludf.DUMMYFUNCTION("""COMPUTED_VALUE"""),490.64)</f>
        <v>490.64</v>
      </c>
      <c r="E328" s="2">
        <f>IFERROR(__xludf.DUMMYFUNCTION("""COMPUTED_VALUE"""),491.23)</f>
        <v>491.23</v>
      </c>
      <c r="F328" s="2">
        <f>IFERROR(__xludf.DUMMYFUNCTION("""COMPUTED_VALUE"""),4697677.0)</f>
        <v>4697677</v>
      </c>
    </row>
    <row r="329">
      <c r="A329" s="3">
        <f>IFERROR(__xludf.DUMMYFUNCTION("""COMPUTED_VALUE"""),45405.66666666667)</f>
        <v>45405.66667</v>
      </c>
      <c r="B329" s="2">
        <f>IFERROR(__xludf.DUMMYFUNCTION("""COMPUTED_VALUE"""),491.0)</f>
        <v>491</v>
      </c>
      <c r="C329" s="2">
        <f>IFERROR(__xludf.DUMMYFUNCTION("""COMPUTED_VALUE"""),494.31)</f>
        <v>494.31</v>
      </c>
      <c r="D329" s="2">
        <f>IFERROR(__xludf.DUMMYFUNCTION("""COMPUTED_VALUE"""),484.97)</f>
        <v>484.97</v>
      </c>
      <c r="E329" s="2">
        <f>IFERROR(__xludf.DUMMYFUNCTION("""COMPUTED_VALUE"""),486.18)</f>
        <v>486.18</v>
      </c>
      <c r="F329" s="2">
        <f>IFERROR(__xludf.DUMMYFUNCTION("""COMPUTED_VALUE"""),3646662.0)</f>
        <v>3646662</v>
      </c>
    </row>
    <row r="330">
      <c r="A330" s="3">
        <f>IFERROR(__xludf.DUMMYFUNCTION("""COMPUTED_VALUE"""),45406.66666666667)</f>
        <v>45406.66667</v>
      </c>
      <c r="B330" s="2">
        <f>IFERROR(__xludf.DUMMYFUNCTION("""COMPUTED_VALUE"""),483.78)</f>
        <v>483.78</v>
      </c>
      <c r="C330" s="2">
        <f>IFERROR(__xludf.DUMMYFUNCTION("""COMPUTED_VALUE"""),488.86)</f>
        <v>488.86</v>
      </c>
      <c r="D330" s="2">
        <f>IFERROR(__xludf.DUMMYFUNCTION("""COMPUTED_VALUE"""),480.71)</f>
        <v>480.71</v>
      </c>
      <c r="E330" s="2">
        <f>IFERROR(__xludf.DUMMYFUNCTION("""COMPUTED_VALUE"""),487.3)</f>
        <v>487.3</v>
      </c>
      <c r="F330" s="2">
        <f>IFERROR(__xludf.DUMMYFUNCTION("""COMPUTED_VALUE"""),3724418.0)</f>
        <v>3724418</v>
      </c>
    </row>
    <row r="331">
      <c r="A331" s="3">
        <f>IFERROR(__xludf.DUMMYFUNCTION("""COMPUTED_VALUE"""),45407.66666666667)</f>
        <v>45407.66667</v>
      </c>
      <c r="B331" s="2">
        <f>IFERROR(__xludf.DUMMYFUNCTION("""COMPUTED_VALUE"""),488.96)</f>
        <v>488.96</v>
      </c>
      <c r="C331" s="2">
        <f>IFERROR(__xludf.DUMMYFUNCTION("""COMPUTED_VALUE"""),497.13)</f>
        <v>497.13</v>
      </c>
      <c r="D331" s="2">
        <f>IFERROR(__xludf.DUMMYFUNCTION("""COMPUTED_VALUE"""),487.53)</f>
        <v>487.53</v>
      </c>
      <c r="E331" s="2">
        <f>IFERROR(__xludf.DUMMYFUNCTION("""COMPUTED_VALUE"""),493.86)</f>
        <v>493.86</v>
      </c>
      <c r="F331" s="2">
        <f>IFERROR(__xludf.DUMMYFUNCTION("""COMPUTED_VALUE"""),4329652.0)</f>
        <v>4329652</v>
      </c>
    </row>
    <row r="332">
      <c r="A332" s="3">
        <f>IFERROR(__xludf.DUMMYFUNCTION("""COMPUTED_VALUE"""),45408.66666666667)</f>
        <v>45408.66667</v>
      </c>
      <c r="B332" s="2">
        <f>IFERROR(__xludf.DUMMYFUNCTION("""COMPUTED_VALUE"""),492.0)</f>
        <v>492</v>
      </c>
      <c r="C332" s="2">
        <f>IFERROR(__xludf.DUMMYFUNCTION("""COMPUTED_VALUE"""),497.23)</f>
        <v>497.23</v>
      </c>
      <c r="D332" s="2">
        <f>IFERROR(__xludf.DUMMYFUNCTION("""COMPUTED_VALUE"""),491.4)</f>
        <v>491.4</v>
      </c>
      <c r="E332" s="2">
        <f>IFERROR(__xludf.DUMMYFUNCTION("""COMPUTED_VALUE"""),495.35)</f>
        <v>495.35</v>
      </c>
      <c r="F332" s="2">
        <f>IFERROR(__xludf.DUMMYFUNCTION("""COMPUTED_VALUE"""),2727016.0)</f>
        <v>2727016</v>
      </c>
    </row>
    <row r="333">
      <c r="A333" s="3">
        <f>IFERROR(__xludf.DUMMYFUNCTION("""COMPUTED_VALUE"""),45411.66666666667)</f>
        <v>45411.66667</v>
      </c>
      <c r="B333" s="2">
        <f>IFERROR(__xludf.DUMMYFUNCTION("""COMPUTED_VALUE"""),495.71)</f>
        <v>495.71</v>
      </c>
      <c r="C333" s="2">
        <f>IFERROR(__xludf.DUMMYFUNCTION("""COMPUTED_VALUE"""),497.35)</f>
        <v>497.35</v>
      </c>
      <c r="D333" s="2">
        <f>IFERROR(__xludf.DUMMYFUNCTION("""COMPUTED_VALUE"""),487.77)</f>
        <v>487.77</v>
      </c>
      <c r="E333" s="2">
        <f>IFERROR(__xludf.DUMMYFUNCTION("""COMPUTED_VALUE"""),489.03)</f>
        <v>489.03</v>
      </c>
      <c r="F333" s="2">
        <f>IFERROR(__xludf.DUMMYFUNCTION("""COMPUTED_VALUE"""),2192838.0)</f>
        <v>2192838</v>
      </c>
    </row>
    <row r="334">
      <c r="A334" s="3">
        <f>IFERROR(__xludf.DUMMYFUNCTION("""COMPUTED_VALUE"""),45412.66666666667)</f>
        <v>45412.66667</v>
      </c>
      <c r="B334" s="2">
        <f>IFERROR(__xludf.DUMMYFUNCTION("""COMPUTED_VALUE"""),488.96)</f>
        <v>488.96</v>
      </c>
      <c r="C334" s="2">
        <f>IFERROR(__xludf.DUMMYFUNCTION("""COMPUTED_VALUE"""),489.71)</f>
        <v>489.71</v>
      </c>
      <c r="D334" s="2">
        <f>IFERROR(__xludf.DUMMYFUNCTION("""COMPUTED_VALUE"""),482.59)</f>
        <v>482.59</v>
      </c>
      <c r="E334" s="2">
        <f>IFERROR(__xludf.DUMMYFUNCTION("""COMPUTED_VALUE"""),483.7)</f>
        <v>483.7</v>
      </c>
      <c r="F334" s="2">
        <f>IFERROR(__xludf.DUMMYFUNCTION("""COMPUTED_VALUE"""),3367521.0)</f>
        <v>3367521</v>
      </c>
    </row>
    <row r="335">
      <c r="A335" s="3">
        <f>IFERROR(__xludf.DUMMYFUNCTION("""COMPUTED_VALUE"""),45413.66666666667)</f>
        <v>45413.66667</v>
      </c>
      <c r="B335" s="2">
        <f>IFERROR(__xludf.DUMMYFUNCTION("""COMPUTED_VALUE"""),479.26)</f>
        <v>479.26</v>
      </c>
      <c r="C335" s="2">
        <f>IFERROR(__xludf.DUMMYFUNCTION("""COMPUTED_VALUE"""),489.19)</f>
        <v>489.19</v>
      </c>
      <c r="D335" s="2">
        <f>IFERROR(__xludf.DUMMYFUNCTION("""COMPUTED_VALUE"""),477.07)</f>
        <v>477.07</v>
      </c>
      <c r="E335" s="2">
        <f>IFERROR(__xludf.DUMMYFUNCTION("""COMPUTED_VALUE"""),484.11)</f>
        <v>484.11</v>
      </c>
      <c r="F335" s="2">
        <f>IFERROR(__xludf.DUMMYFUNCTION("""COMPUTED_VALUE"""),2729234.0)</f>
        <v>2729234</v>
      </c>
    </row>
    <row r="336">
      <c r="A336" s="3">
        <f>IFERROR(__xludf.DUMMYFUNCTION("""COMPUTED_VALUE"""),45414.66666666667)</f>
        <v>45414.66667</v>
      </c>
      <c r="B336" s="2">
        <f>IFERROR(__xludf.DUMMYFUNCTION("""COMPUTED_VALUE"""),484.28)</f>
        <v>484.28</v>
      </c>
      <c r="C336" s="2">
        <f>IFERROR(__xludf.DUMMYFUNCTION("""COMPUTED_VALUE"""),493.69)</f>
        <v>493.69</v>
      </c>
      <c r="D336" s="2">
        <f>IFERROR(__xludf.DUMMYFUNCTION("""COMPUTED_VALUE"""),483.94)</f>
        <v>483.94</v>
      </c>
      <c r="E336" s="2">
        <f>IFERROR(__xludf.DUMMYFUNCTION("""COMPUTED_VALUE"""),492.97)</f>
        <v>492.97</v>
      </c>
      <c r="F336" s="2">
        <f>IFERROR(__xludf.DUMMYFUNCTION("""COMPUTED_VALUE"""),3561404.0)</f>
        <v>3561404</v>
      </c>
    </row>
    <row r="337">
      <c r="A337" s="3">
        <f>IFERROR(__xludf.DUMMYFUNCTION("""COMPUTED_VALUE"""),45415.66666666667)</f>
        <v>45415.66667</v>
      </c>
      <c r="B337" s="2">
        <f>IFERROR(__xludf.DUMMYFUNCTION("""COMPUTED_VALUE"""),490.86)</f>
        <v>490.86</v>
      </c>
      <c r="C337" s="2">
        <f>IFERROR(__xludf.DUMMYFUNCTION("""COMPUTED_VALUE"""),492.79)</f>
        <v>492.79</v>
      </c>
      <c r="D337" s="2">
        <f>IFERROR(__xludf.DUMMYFUNCTION("""COMPUTED_VALUE"""),485.78)</f>
        <v>485.78</v>
      </c>
      <c r="E337" s="2">
        <f>IFERROR(__xludf.DUMMYFUNCTION("""COMPUTED_VALUE"""),492.45)</f>
        <v>492.45</v>
      </c>
      <c r="F337" s="2">
        <f>IFERROR(__xludf.DUMMYFUNCTION("""COMPUTED_VALUE"""),2487811.0)</f>
        <v>2487811</v>
      </c>
    </row>
    <row r="338">
      <c r="A338" s="3">
        <f>IFERROR(__xludf.DUMMYFUNCTION("""COMPUTED_VALUE"""),45418.66666666667)</f>
        <v>45418.66667</v>
      </c>
      <c r="B338" s="2">
        <f>IFERROR(__xludf.DUMMYFUNCTION("""COMPUTED_VALUE"""),492.48)</f>
        <v>492.48</v>
      </c>
      <c r="C338" s="2">
        <f>IFERROR(__xludf.DUMMYFUNCTION("""COMPUTED_VALUE"""),494.87)</f>
        <v>494.87</v>
      </c>
      <c r="D338" s="2">
        <f>IFERROR(__xludf.DUMMYFUNCTION("""COMPUTED_VALUE"""),492.0)</f>
        <v>492</v>
      </c>
      <c r="E338" s="2">
        <f>IFERROR(__xludf.DUMMYFUNCTION("""COMPUTED_VALUE"""),494.38)</f>
        <v>494.38</v>
      </c>
      <c r="F338" s="2">
        <f>IFERROR(__xludf.DUMMYFUNCTION("""COMPUTED_VALUE"""),2029503.0)</f>
        <v>2029503</v>
      </c>
    </row>
    <row r="339">
      <c r="A339" s="3">
        <f>IFERROR(__xludf.DUMMYFUNCTION("""COMPUTED_VALUE"""),45419.66666666667)</f>
        <v>45419.66667</v>
      </c>
      <c r="B339" s="2">
        <f>IFERROR(__xludf.DUMMYFUNCTION("""COMPUTED_VALUE"""),496.0)</f>
        <v>496</v>
      </c>
      <c r="C339" s="2">
        <f>IFERROR(__xludf.DUMMYFUNCTION("""COMPUTED_VALUE"""),501.65)</f>
        <v>501.65</v>
      </c>
      <c r="D339" s="2">
        <f>IFERROR(__xludf.DUMMYFUNCTION("""COMPUTED_VALUE"""),495.04)</f>
        <v>495.04</v>
      </c>
      <c r="E339" s="2">
        <f>IFERROR(__xludf.DUMMYFUNCTION("""COMPUTED_VALUE"""),500.96)</f>
        <v>500.96</v>
      </c>
      <c r="F339" s="2">
        <f>IFERROR(__xludf.DUMMYFUNCTION("""COMPUTED_VALUE"""),3752131.0)</f>
        <v>3752131</v>
      </c>
    </row>
    <row r="340">
      <c r="A340" s="3">
        <f>IFERROR(__xludf.DUMMYFUNCTION("""COMPUTED_VALUE"""),45420.66666666667)</f>
        <v>45420.66667</v>
      </c>
      <c r="B340" s="2">
        <f>IFERROR(__xludf.DUMMYFUNCTION("""COMPUTED_VALUE"""),504.17)</f>
        <v>504.17</v>
      </c>
      <c r="C340" s="2">
        <f>IFERROR(__xludf.DUMMYFUNCTION("""COMPUTED_VALUE"""),507.0)</f>
        <v>507</v>
      </c>
      <c r="D340" s="2">
        <f>IFERROR(__xludf.DUMMYFUNCTION("""COMPUTED_VALUE"""),500.08)</f>
        <v>500.08</v>
      </c>
      <c r="E340" s="2">
        <f>IFERROR(__xludf.DUMMYFUNCTION("""COMPUTED_VALUE"""),503.21)</f>
        <v>503.21</v>
      </c>
      <c r="F340" s="2">
        <f>IFERROR(__xludf.DUMMYFUNCTION("""COMPUTED_VALUE"""),3079031.0)</f>
        <v>3079031</v>
      </c>
    </row>
    <row r="341">
      <c r="A341" s="3">
        <f>IFERROR(__xludf.DUMMYFUNCTION("""COMPUTED_VALUE"""),45421.66666666667)</f>
        <v>45421.66667</v>
      </c>
      <c r="B341" s="2">
        <f>IFERROR(__xludf.DUMMYFUNCTION("""COMPUTED_VALUE"""),502.14)</f>
        <v>502.14</v>
      </c>
      <c r="C341" s="2">
        <f>IFERROR(__xludf.DUMMYFUNCTION("""COMPUTED_VALUE"""),507.97)</f>
        <v>507.97</v>
      </c>
      <c r="D341" s="2">
        <f>IFERROR(__xludf.DUMMYFUNCTION("""COMPUTED_VALUE"""),502.14)</f>
        <v>502.14</v>
      </c>
      <c r="E341" s="2">
        <f>IFERROR(__xludf.DUMMYFUNCTION("""COMPUTED_VALUE"""),507.03)</f>
        <v>507.03</v>
      </c>
      <c r="F341" s="2">
        <f>IFERROR(__xludf.DUMMYFUNCTION("""COMPUTED_VALUE"""),2343066.0)</f>
        <v>2343066</v>
      </c>
    </row>
    <row r="342">
      <c r="A342" s="3">
        <f>IFERROR(__xludf.DUMMYFUNCTION("""COMPUTED_VALUE"""),45422.66666666667)</f>
        <v>45422.66667</v>
      </c>
      <c r="B342" s="2">
        <f>IFERROR(__xludf.DUMMYFUNCTION("""COMPUTED_VALUE"""),509.0)</f>
        <v>509</v>
      </c>
      <c r="C342" s="2">
        <f>IFERROR(__xludf.DUMMYFUNCTION("""COMPUTED_VALUE"""),513.58)</f>
        <v>513.58</v>
      </c>
      <c r="D342" s="2">
        <f>IFERROR(__xludf.DUMMYFUNCTION("""COMPUTED_VALUE"""),507.0)</f>
        <v>507</v>
      </c>
      <c r="E342" s="2">
        <f>IFERROR(__xludf.DUMMYFUNCTION("""COMPUTED_VALUE"""),512.81)</f>
        <v>512.81</v>
      </c>
      <c r="F342" s="2">
        <f>IFERROR(__xludf.DUMMYFUNCTION("""COMPUTED_VALUE"""),2784585.0)</f>
        <v>2784585</v>
      </c>
    </row>
    <row r="343">
      <c r="A343" s="3">
        <f>IFERROR(__xludf.DUMMYFUNCTION("""COMPUTED_VALUE"""),45425.66666666667)</f>
        <v>45425.66667</v>
      </c>
      <c r="B343" s="2">
        <f>IFERROR(__xludf.DUMMYFUNCTION("""COMPUTED_VALUE"""),512.05)</f>
        <v>512.05</v>
      </c>
      <c r="C343" s="2">
        <f>IFERROR(__xludf.DUMMYFUNCTION("""COMPUTED_VALUE"""),514.67)</f>
        <v>514.67</v>
      </c>
      <c r="D343" s="2">
        <f>IFERROR(__xludf.DUMMYFUNCTION("""COMPUTED_VALUE"""),507.31)</f>
        <v>507.31</v>
      </c>
      <c r="E343" s="2">
        <f>IFERROR(__xludf.DUMMYFUNCTION("""COMPUTED_VALUE"""),511.74)</f>
        <v>511.74</v>
      </c>
      <c r="F343" s="2">
        <f>IFERROR(__xludf.DUMMYFUNCTION("""COMPUTED_VALUE"""),2454689.0)</f>
        <v>2454689</v>
      </c>
    </row>
    <row r="344">
      <c r="A344" s="3">
        <f>IFERROR(__xludf.DUMMYFUNCTION("""COMPUTED_VALUE"""),45426.66666666667)</f>
        <v>45426.66667</v>
      </c>
      <c r="B344" s="2">
        <f>IFERROR(__xludf.DUMMYFUNCTION("""COMPUTED_VALUE"""),514.58)</f>
        <v>514.58</v>
      </c>
      <c r="C344" s="2">
        <f>IFERROR(__xludf.DUMMYFUNCTION("""COMPUTED_VALUE"""),516.17)</f>
        <v>516.17</v>
      </c>
      <c r="D344" s="2">
        <f>IFERROR(__xludf.DUMMYFUNCTION("""COMPUTED_VALUE"""),507.3)</f>
        <v>507.3</v>
      </c>
      <c r="E344" s="2">
        <f>IFERROR(__xludf.DUMMYFUNCTION("""COMPUTED_VALUE"""),513.88)</f>
        <v>513.88</v>
      </c>
      <c r="F344" s="2">
        <f>IFERROR(__xludf.DUMMYFUNCTION("""COMPUTED_VALUE"""),2949795.0)</f>
        <v>2949795</v>
      </c>
    </row>
    <row r="345">
      <c r="A345" s="3">
        <f>IFERROR(__xludf.DUMMYFUNCTION("""COMPUTED_VALUE"""),45427.66666666667)</f>
        <v>45427.66667</v>
      </c>
      <c r="B345" s="2">
        <f>IFERROR(__xludf.DUMMYFUNCTION("""COMPUTED_VALUE"""),514.83)</f>
        <v>514.83</v>
      </c>
      <c r="C345" s="2">
        <f>IFERROR(__xludf.DUMMYFUNCTION("""COMPUTED_VALUE"""),522.59)</f>
        <v>522.59</v>
      </c>
      <c r="D345" s="2">
        <f>IFERROR(__xludf.DUMMYFUNCTION("""COMPUTED_VALUE"""),514.83)</f>
        <v>514.83</v>
      </c>
      <c r="E345" s="2">
        <f>IFERROR(__xludf.DUMMYFUNCTION("""COMPUTED_VALUE"""),517.55)</f>
        <v>517.55</v>
      </c>
      <c r="F345" s="2">
        <f>IFERROR(__xludf.DUMMYFUNCTION("""COMPUTED_VALUE"""),2981351.0)</f>
        <v>2981351</v>
      </c>
    </row>
    <row r="346">
      <c r="A346" s="3">
        <f>IFERROR(__xludf.DUMMYFUNCTION("""COMPUTED_VALUE"""),45428.66666666667)</f>
        <v>45428.66667</v>
      </c>
      <c r="B346" s="2">
        <f>IFERROR(__xludf.DUMMYFUNCTION("""COMPUTED_VALUE"""),520.0)</f>
        <v>520</v>
      </c>
      <c r="C346" s="2">
        <f>IFERROR(__xludf.DUMMYFUNCTION("""COMPUTED_VALUE"""),528.16)</f>
        <v>528.16</v>
      </c>
      <c r="D346" s="2">
        <f>IFERROR(__xludf.DUMMYFUNCTION("""COMPUTED_VALUE"""),519.51)</f>
        <v>519.51</v>
      </c>
      <c r="E346" s="2">
        <f>IFERROR(__xludf.DUMMYFUNCTION("""COMPUTED_VALUE"""),521.27)</f>
        <v>521.27</v>
      </c>
      <c r="F346" s="2">
        <f>IFERROR(__xludf.DUMMYFUNCTION("""COMPUTED_VALUE"""),3655775.0)</f>
        <v>3655775</v>
      </c>
    </row>
    <row r="347">
      <c r="A347" s="3">
        <f>IFERROR(__xludf.DUMMYFUNCTION("""COMPUTED_VALUE"""),45429.66666666667)</f>
        <v>45429.66667</v>
      </c>
      <c r="B347" s="2">
        <f>IFERROR(__xludf.DUMMYFUNCTION("""COMPUTED_VALUE"""),522.94)</f>
        <v>522.94</v>
      </c>
      <c r="C347" s="2">
        <f>IFERROR(__xludf.DUMMYFUNCTION("""COMPUTED_VALUE"""),525.85)</f>
        <v>525.85</v>
      </c>
      <c r="D347" s="2">
        <f>IFERROR(__xludf.DUMMYFUNCTION("""COMPUTED_VALUE"""),520.01)</f>
        <v>520.01</v>
      </c>
      <c r="E347" s="2">
        <f>IFERROR(__xludf.DUMMYFUNCTION("""COMPUTED_VALUE"""),524.63)</f>
        <v>524.63</v>
      </c>
      <c r="F347" s="2">
        <f>IFERROR(__xludf.DUMMYFUNCTION("""COMPUTED_VALUE"""),2657396.0)</f>
        <v>2657396</v>
      </c>
    </row>
    <row r="348">
      <c r="A348" s="3">
        <f>IFERROR(__xludf.DUMMYFUNCTION("""COMPUTED_VALUE"""),45432.66666666667)</f>
        <v>45432.66667</v>
      </c>
      <c r="B348" s="2">
        <f>IFERROR(__xludf.DUMMYFUNCTION("""COMPUTED_VALUE"""),524.63)</f>
        <v>524.63</v>
      </c>
      <c r="C348" s="2">
        <f>IFERROR(__xludf.DUMMYFUNCTION("""COMPUTED_VALUE"""),524.63)</f>
        <v>524.63</v>
      </c>
      <c r="D348" s="2">
        <f>IFERROR(__xludf.DUMMYFUNCTION("""COMPUTED_VALUE"""),516.54)</f>
        <v>516.54</v>
      </c>
      <c r="E348" s="2">
        <f>IFERROR(__xludf.DUMMYFUNCTION("""COMPUTED_VALUE"""),517.23)</f>
        <v>517.23</v>
      </c>
      <c r="F348" s="2">
        <f>IFERROR(__xludf.DUMMYFUNCTION("""COMPUTED_VALUE"""),2476393.0)</f>
        <v>2476393</v>
      </c>
    </row>
    <row r="349">
      <c r="A349" s="3">
        <f>IFERROR(__xludf.DUMMYFUNCTION("""COMPUTED_VALUE"""),45433.66666666667)</f>
        <v>45433.66667</v>
      </c>
      <c r="B349" s="2">
        <f>IFERROR(__xludf.DUMMYFUNCTION("""COMPUTED_VALUE"""),518.32)</f>
        <v>518.32</v>
      </c>
      <c r="C349" s="2">
        <f>IFERROR(__xludf.DUMMYFUNCTION("""COMPUTED_VALUE"""),524.72)</f>
        <v>524.72</v>
      </c>
      <c r="D349" s="2">
        <f>IFERROR(__xludf.DUMMYFUNCTION("""COMPUTED_VALUE"""),515.92)</f>
        <v>515.92</v>
      </c>
      <c r="E349" s="2">
        <f>IFERROR(__xludf.DUMMYFUNCTION("""COMPUTED_VALUE"""),523.55)</f>
        <v>523.55</v>
      </c>
      <c r="F349" s="2">
        <f>IFERROR(__xludf.DUMMYFUNCTION("""COMPUTED_VALUE"""),2521986.0)</f>
        <v>2521986</v>
      </c>
    </row>
    <row r="350">
      <c r="A350" s="3">
        <f>IFERROR(__xludf.DUMMYFUNCTION("""COMPUTED_VALUE"""),45434.66666666667)</f>
        <v>45434.66667</v>
      </c>
      <c r="B350" s="2">
        <f>IFERROR(__xludf.DUMMYFUNCTION("""COMPUTED_VALUE"""),522.82)</f>
        <v>522.82</v>
      </c>
      <c r="C350" s="2">
        <f>IFERROR(__xludf.DUMMYFUNCTION("""COMPUTED_VALUE"""),526.28)</f>
        <v>526.28</v>
      </c>
      <c r="D350" s="2">
        <f>IFERROR(__xludf.DUMMYFUNCTION("""COMPUTED_VALUE"""),520.65)</f>
        <v>520.65</v>
      </c>
      <c r="E350" s="2">
        <f>IFERROR(__xludf.DUMMYFUNCTION("""COMPUTED_VALUE"""),521.35)</f>
        <v>521.35</v>
      </c>
      <c r="F350" s="2">
        <f>IFERROR(__xludf.DUMMYFUNCTION("""COMPUTED_VALUE"""),2299273.0)</f>
        <v>2299273</v>
      </c>
    </row>
    <row r="351">
      <c r="A351" s="3">
        <f>IFERROR(__xludf.DUMMYFUNCTION("""COMPUTED_VALUE"""),45435.66666666667)</f>
        <v>45435.66667</v>
      </c>
      <c r="B351" s="2">
        <f>IFERROR(__xludf.DUMMYFUNCTION("""COMPUTED_VALUE"""),518.32)</f>
        <v>518.32</v>
      </c>
      <c r="C351" s="2">
        <f>IFERROR(__xludf.DUMMYFUNCTION("""COMPUTED_VALUE"""),520.23)</f>
        <v>520.23</v>
      </c>
      <c r="D351" s="2">
        <f>IFERROR(__xludf.DUMMYFUNCTION("""COMPUTED_VALUE"""),515.23)</f>
        <v>515.23</v>
      </c>
      <c r="E351" s="2">
        <f>IFERROR(__xludf.DUMMYFUNCTION("""COMPUTED_VALUE"""),516.83)</f>
        <v>516.83</v>
      </c>
      <c r="F351" s="2">
        <f>IFERROR(__xludf.DUMMYFUNCTION("""COMPUTED_VALUE"""),3055555.0)</f>
        <v>3055555</v>
      </c>
    </row>
    <row r="352">
      <c r="A352" s="3">
        <f>IFERROR(__xludf.DUMMYFUNCTION("""COMPUTED_VALUE"""),45436.66666666667)</f>
        <v>45436.66667</v>
      </c>
      <c r="B352" s="2">
        <f>IFERROR(__xludf.DUMMYFUNCTION("""COMPUTED_VALUE"""),516.11)</f>
        <v>516.11</v>
      </c>
      <c r="C352" s="2">
        <f>IFERROR(__xludf.DUMMYFUNCTION("""COMPUTED_VALUE"""),517.14)</f>
        <v>517.14</v>
      </c>
      <c r="D352" s="2">
        <f>IFERROR(__xludf.DUMMYFUNCTION("""COMPUTED_VALUE"""),507.52)</f>
        <v>507.52</v>
      </c>
      <c r="E352" s="2">
        <f>IFERROR(__xludf.DUMMYFUNCTION("""COMPUTED_VALUE"""),508.17)</f>
        <v>508.17</v>
      </c>
      <c r="F352" s="2">
        <f>IFERROR(__xludf.DUMMYFUNCTION("""COMPUTED_VALUE"""),2528228.0)</f>
        <v>2528228</v>
      </c>
    </row>
    <row r="353">
      <c r="A353" s="3">
        <f>IFERROR(__xludf.DUMMYFUNCTION("""COMPUTED_VALUE"""),45440.66666666667)</f>
        <v>45440.66667</v>
      </c>
      <c r="B353" s="2">
        <f>IFERROR(__xludf.DUMMYFUNCTION("""COMPUTED_VALUE"""),506.65)</f>
        <v>506.65</v>
      </c>
      <c r="C353" s="2">
        <f>IFERROR(__xludf.DUMMYFUNCTION("""COMPUTED_VALUE"""),506.65)</f>
        <v>506.65</v>
      </c>
      <c r="D353" s="2">
        <f>IFERROR(__xludf.DUMMYFUNCTION("""COMPUTED_VALUE"""),501.9)</f>
        <v>501.9</v>
      </c>
      <c r="E353" s="2">
        <f>IFERROR(__xludf.DUMMYFUNCTION("""COMPUTED_VALUE"""),503.68)</f>
        <v>503.68</v>
      </c>
      <c r="F353" s="2">
        <f>IFERROR(__xludf.DUMMYFUNCTION("""COMPUTED_VALUE"""),2912992.0)</f>
        <v>2912992</v>
      </c>
    </row>
    <row r="354">
      <c r="A354" s="3">
        <f>IFERROR(__xludf.DUMMYFUNCTION("""COMPUTED_VALUE"""),45441.66666666667)</f>
        <v>45441.66667</v>
      </c>
      <c r="B354" s="2">
        <f>IFERROR(__xludf.DUMMYFUNCTION("""COMPUTED_VALUE"""),492.34)</f>
        <v>492.34</v>
      </c>
      <c r="C354" s="2">
        <f>IFERROR(__xludf.DUMMYFUNCTION("""COMPUTED_VALUE"""),493.9)</f>
        <v>493.9</v>
      </c>
      <c r="D354" s="2">
        <f>IFERROR(__xludf.DUMMYFUNCTION("""COMPUTED_VALUE"""),473.27)</f>
        <v>473.27</v>
      </c>
      <c r="E354" s="2">
        <f>IFERROR(__xludf.DUMMYFUNCTION("""COMPUTED_VALUE"""),484.72)</f>
        <v>484.72</v>
      </c>
      <c r="F354" s="2">
        <f>IFERROR(__xludf.DUMMYFUNCTION("""COMPUTED_VALUE"""),7521587.0)</f>
        <v>7521587</v>
      </c>
    </row>
    <row r="355">
      <c r="A355" s="3">
        <f>IFERROR(__xludf.DUMMYFUNCTION("""COMPUTED_VALUE"""),45442.66666666667)</f>
        <v>45442.66667</v>
      </c>
      <c r="B355" s="2">
        <f>IFERROR(__xludf.DUMMYFUNCTION("""COMPUTED_VALUE"""),482.32)</f>
        <v>482.32</v>
      </c>
      <c r="C355" s="2">
        <f>IFERROR(__xludf.DUMMYFUNCTION("""COMPUTED_VALUE"""),486.03)</f>
        <v>486.03</v>
      </c>
      <c r="D355" s="2">
        <f>IFERROR(__xludf.DUMMYFUNCTION("""COMPUTED_VALUE"""),478.0)</f>
        <v>478</v>
      </c>
      <c r="E355" s="2">
        <f>IFERROR(__xludf.DUMMYFUNCTION("""COMPUTED_VALUE"""),481.65)</f>
        <v>481.65</v>
      </c>
      <c r="F355" s="2">
        <f>IFERROR(__xludf.DUMMYFUNCTION("""COMPUTED_VALUE"""),5170507.0)</f>
        <v>5170507</v>
      </c>
    </row>
    <row r="356">
      <c r="A356" s="3">
        <f>IFERROR(__xludf.DUMMYFUNCTION("""COMPUTED_VALUE"""),45443.66666666667)</f>
        <v>45443.66667</v>
      </c>
      <c r="B356" s="2">
        <f>IFERROR(__xludf.DUMMYFUNCTION("""COMPUTED_VALUE"""),482.41)</f>
        <v>482.41</v>
      </c>
      <c r="C356" s="2">
        <f>IFERROR(__xludf.DUMMYFUNCTION("""COMPUTED_VALUE"""),498.41)</f>
        <v>498.41</v>
      </c>
      <c r="D356" s="2">
        <f>IFERROR(__xludf.DUMMYFUNCTION("""COMPUTED_VALUE"""),482.41)</f>
        <v>482.41</v>
      </c>
      <c r="E356" s="2">
        <f>IFERROR(__xludf.DUMMYFUNCTION("""COMPUTED_VALUE"""),495.37)</f>
        <v>495.37</v>
      </c>
      <c r="F356" s="2">
        <f>IFERROR(__xludf.DUMMYFUNCTION("""COMPUTED_VALUE"""),6694985.0)</f>
        <v>6694985</v>
      </c>
    </row>
    <row r="357">
      <c r="A357" s="3">
        <f>IFERROR(__xludf.DUMMYFUNCTION("""COMPUTED_VALUE"""),45446.66666666667)</f>
        <v>45446.66667</v>
      </c>
      <c r="B357" s="2">
        <f>IFERROR(__xludf.DUMMYFUNCTION("""COMPUTED_VALUE"""),494.13)</f>
        <v>494.13</v>
      </c>
      <c r="C357" s="2">
        <f>IFERROR(__xludf.DUMMYFUNCTION("""COMPUTED_VALUE"""),498.68)</f>
        <v>498.68</v>
      </c>
      <c r="D357" s="2">
        <f>IFERROR(__xludf.DUMMYFUNCTION("""COMPUTED_VALUE"""),493.07)</f>
        <v>493.07</v>
      </c>
      <c r="E357" s="2">
        <f>IFERROR(__xludf.DUMMYFUNCTION("""COMPUTED_VALUE"""),497.44)</f>
        <v>497.44</v>
      </c>
      <c r="F357" s="2">
        <f>IFERROR(__xludf.DUMMYFUNCTION("""COMPUTED_VALUE"""),2795265.0)</f>
        <v>2795265</v>
      </c>
    </row>
    <row r="358">
      <c r="A358" s="3">
        <f>IFERROR(__xludf.DUMMYFUNCTION("""COMPUTED_VALUE"""),45447.66666666667)</f>
        <v>45447.66667</v>
      </c>
      <c r="B358" s="2">
        <f>IFERROR(__xludf.DUMMYFUNCTION("""COMPUTED_VALUE"""),498.56)</f>
        <v>498.56</v>
      </c>
      <c r="C358" s="2">
        <f>IFERROR(__xludf.DUMMYFUNCTION("""COMPUTED_VALUE"""),508.27)</f>
        <v>508.27</v>
      </c>
      <c r="D358" s="2">
        <f>IFERROR(__xludf.DUMMYFUNCTION("""COMPUTED_VALUE"""),494.59)</f>
        <v>494.59</v>
      </c>
      <c r="E358" s="2">
        <f>IFERROR(__xludf.DUMMYFUNCTION("""COMPUTED_VALUE"""),505.49)</f>
        <v>505.49</v>
      </c>
      <c r="F358" s="2">
        <f>IFERROR(__xludf.DUMMYFUNCTION("""COMPUTED_VALUE"""),3178436.0)</f>
        <v>3178436</v>
      </c>
    </row>
    <row r="359">
      <c r="A359" s="3">
        <f>IFERROR(__xludf.DUMMYFUNCTION("""COMPUTED_VALUE"""),45448.66666666667)</f>
        <v>45448.66667</v>
      </c>
      <c r="B359" s="2">
        <f>IFERROR(__xludf.DUMMYFUNCTION("""COMPUTED_VALUE"""),508.7)</f>
        <v>508.7</v>
      </c>
      <c r="C359" s="2">
        <f>IFERROR(__xludf.DUMMYFUNCTION("""COMPUTED_VALUE"""),509.1)</f>
        <v>509.1</v>
      </c>
      <c r="D359" s="2">
        <f>IFERROR(__xludf.DUMMYFUNCTION("""COMPUTED_VALUE"""),498.8)</f>
        <v>498.8</v>
      </c>
      <c r="E359" s="2">
        <f>IFERROR(__xludf.DUMMYFUNCTION("""COMPUTED_VALUE"""),503.12)</f>
        <v>503.12</v>
      </c>
      <c r="F359" s="2">
        <f>IFERROR(__xludf.DUMMYFUNCTION("""COMPUTED_VALUE"""),2464359.0)</f>
        <v>2464359</v>
      </c>
    </row>
    <row r="360">
      <c r="A360" s="3">
        <f>IFERROR(__xludf.DUMMYFUNCTION("""COMPUTED_VALUE"""),45449.66666666667)</f>
        <v>45449.66667</v>
      </c>
      <c r="B360" s="2">
        <f>IFERROR(__xludf.DUMMYFUNCTION("""COMPUTED_VALUE"""),503.65)</f>
        <v>503.65</v>
      </c>
      <c r="C360" s="2">
        <f>IFERROR(__xludf.DUMMYFUNCTION("""COMPUTED_VALUE"""),504.7)</f>
        <v>504.7</v>
      </c>
      <c r="D360" s="2">
        <f>IFERROR(__xludf.DUMMYFUNCTION("""COMPUTED_VALUE"""),497.28)</f>
        <v>497.28</v>
      </c>
      <c r="E360" s="2">
        <f>IFERROR(__xludf.DUMMYFUNCTION("""COMPUTED_VALUE"""),501.92)</f>
        <v>501.92</v>
      </c>
      <c r="F360" s="2">
        <f>IFERROR(__xludf.DUMMYFUNCTION("""COMPUTED_VALUE"""),2419608.0)</f>
        <v>2419608</v>
      </c>
    </row>
    <row r="361">
      <c r="A361" s="3">
        <f>IFERROR(__xludf.DUMMYFUNCTION("""COMPUTED_VALUE"""),45450.66666666667)</f>
        <v>45450.66667</v>
      </c>
      <c r="B361" s="2">
        <f>IFERROR(__xludf.DUMMYFUNCTION("""COMPUTED_VALUE"""),502.04)</f>
        <v>502.04</v>
      </c>
      <c r="C361" s="2">
        <f>IFERROR(__xludf.DUMMYFUNCTION("""COMPUTED_VALUE"""),502.86)</f>
        <v>502.86</v>
      </c>
      <c r="D361" s="2">
        <f>IFERROR(__xludf.DUMMYFUNCTION("""COMPUTED_VALUE"""),490.42)</f>
        <v>490.42</v>
      </c>
      <c r="E361" s="2">
        <f>IFERROR(__xludf.DUMMYFUNCTION("""COMPUTED_VALUE"""),490.69)</f>
        <v>490.69</v>
      </c>
      <c r="F361" s="2">
        <f>IFERROR(__xludf.DUMMYFUNCTION("""COMPUTED_VALUE"""),3416349.0)</f>
        <v>3416349</v>
      </c>
    </row>
    <row r="362">
      <c r="A362" s="3">
        <f>IFERROR(__xludf.DUMMYFUNCTION("""COMPUTED_VALUE"""),45453.66666666667)</f>
        <v>45453.66667</v>
      </c>
      <c r="B362" s="2">
        <f>IFERROR(__xludf.DUMMYFUNCTION("""COMPUTED_VALUE"""),491.0)</f>
        <v>491</v>
      </c>
      <c r="C362" s="2">
        <f>IFERROR(__xludf.DUMMYFUNCTION("""COMPUTED_VALUE"""),495.39)</f>
        <v>495.39</v>
      </c>
      <c r="D362" s="2">
        <f>IFERROR(__xludf.DUMMYFUNCTION("""COMPUTED_VALUE"""),486.19)</f>
        <v>486.19</v>
      </c>
      <c r="E362" s="2">
        <f>IFERROR(__xludf.DUMMYFUNCTION("""COMPUTED_VALUE"""),495.0)</f>
        <v>495</v>
      </c>
      <c r="F362" s="2">
        <f>IFERROR(__xludf.DUMMYFUNCTION("""COMPUTED_VALUE"""),3332892.0)</f>
        <v>3332892</v>
      </c>
    </row>
    <row r="363">
      <c r="A363" s="3">
        <f>IFERROR(__xludf.DUMMYFUNCTION("""COMPUTED_VALUE"""),45454.66666666667)</f>
        <v>45454.66667</v>
      </c>
      <c r="B363" s="2">
        <f>IFERROR(__xludf.DUMMYFUNCTION("""COMPUTED_VALUE"""),490.86)</f>
        <v>490.86</v>
      </c>
      <c r="C363" s="2">
        <f>IFERROR(__xludf.DUMMYFUNCTION("""COMPUTED_VALUE"""),497.78)</f>
        <v>497.78</v>
      </c>
      <c r="D363" s="2">
        <f>IFERROR(__xludf.DUMMYFUNCTION("""COMPUTED_VALUE"""),490.29)</f>
        <v>490.29</v>
      </c>
      <c r="E363" s="2">
        <f>IFERROR(__xludf.DUMMYFUNCTION("""COMPUTED_VALUE"""),496.22)</f>
        <v>496.22</v>
      </c>
      <c r="F363" s="2">
        <f>IFERROR(__xludf.DUMMYFUNCTION("""COMPUTED_VALUE"""),4599726.0)</f>
        <v>4599726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tr">
        <f>IFERROR(__xludf.DUMMYFUNCTION("(GOOGLEFINANCE(""V"", ""all"", DATE(2023, 1, 1), today()))"),"Date")</f>
        <v>Date</v>
      </c>
      <c r="B1" s="2" t="str">
        <f>IFERROR(__xludf.DUMMYFUNCTION("""COMPUTED_VALUE"""),"Open")</f>
        <v>Open</v>
      </c>
      <c r="C1" s="2" t="str">
        <f>IFERROR(__xludf.DUMMYFUNCTION("""COMPUTED_VALUE"""),"High")</f>
        <v>High</v>
      </c>
      <c r="D1" s="2" t="str">
        <f>IFERROR(__xludf.DUMMYFUNCTION("""COMPUTED_VALUE"""),"Low")</f>
        <v>Low</v>
      </c>
      <c r="E1" s="2" t="str">
        <f>IFERROR(__xludf.DUMMYFUNCTION("""COMPUTED_VALUE"""),"Close")</f>
        <v>Close</v>
      </c>
      <c r="F1" s="2" t="str">
        <f>IFERROR(__xludf.DUMMYFUNCTION("""COMPUTED_VALUE"""),"Volume")</f>
        <v>Volume</v>
      </c>
    </row>
    <row r="2">
      <c r="A2" s="3">
        <f>IFERROR(__xludf.DUMMYFUNCTION("""COMPUTED_VALUE"""),44929.66666666667)</f>
        <v>44929.66667</v>
      </c>
      <c r="B2" s="2">
        <f>IFERROR(__xludf.DUMMYFUNCTION("""COMPUTED_VALUE"""),209.28)</f>
        <v>209.28</v>
      </c>
      <c r="C2" s="2">
        <f>IFERROR(__xludf.DUMMYFUNCTION("""COMPUTED_VALUE"""),212.33)</f>
        <v>212.33</v>
      </c>
      <c r="D2" s="2">
        <f>IFERROR(__xludf.DUMMYFUNCTION("""COMPUTED_VALUE"""),206.16)</f>
        <v>206.16</v>
      </c>
      <c r="E2" s="2">
        <f>IFERROR(__xludf.DUMMYFUNCTION("""COMPUTED_VALUE"""),207.39)</f>
        <v>207.39</v>
      </c>
      <c r="F2" s="2">
        <f>IFERROR(__xludf.DUMMYFUNCTION("""COMPUTED_VALUE"""),4202971.0)</f>
        <v>4202971</v>
      </c>
    </row>
    <row r="3">
      <c r="A3" s="3">
        <f>IFERROR(__xludf.DUMMYFUNCTION("""COMPUTED_VALUE"""),44930.66666666667)</f>
        <v>44930.66667</v>
      </c>
      <c r="B3" s="2">
        <f>IFERROR(__xludf.DUMMYFUNCTION("""COMPUTED_VALUE"""),209.62)</f>
        <v>209.62</v>
      </c>
      <c r="C3" s="2">
        <f>IFERROR(__xludf.DUMMYFUNCTION("""COMPUTED_VALUE"""),213.2)</f>
        <v>213.2</v>
      </c>
      <c r="D3" s="2">
        <f>IFERROR(__xludf.DUMMYFUNCTION("""COMPUTED_VALUE"""),209.62)</f>
        <v>209.62</v>
      </c>
      <c r="E3" s="2">
        <f>IFERROR(__xludf.DUMMYFUNCTION("""COMPUTED_VALUE"""),212.61)</f>
        <v>212.61</v>
      </c>
      <c r="F3" s="2">
        <f>IFERROR(__xludf.DUMMYFUNCTION("""COMPUTED_VALUE"""),6606249.0)</f>
        <v>6606249</v>
      </c>
    </row>
    <row r="4">
      <c r="A4" s="3">
        <f>IFERROR(__xludf.DUMMYFUNCTION("""COMPUTED_VALUE"""),44931.66666666667)</f>
        <v>44931.66667</v>
      </c>
      <c r="B4" s="2">
        <f>IFERROR(__xludf.DUMMYFUNCTION("""COMPUTED_VALUE"""),213.8)</f>
        <v>213.8</v>
      </c>
      <c r="C4" s="2">
        <f>IFERROR(__xludf.DUMMYFUNCTION("""COMPUTED_VALUE"""),214.16)</f>
        <v>214.16</v>
      </c>
      <c r="D4" s="2">
        <f>IFERROR(__xludf.DUMMYFUNCTION("""COMPUTED_VALUE"""),210.46)</f>
        <v>210.46</v>
      </c>
      <c r="E4" s="2">
        <f>IFERROR(__xludf.DUMMYFUNCTION("""COMPUTED_VALUE"""),211.11)</f>
        <v>211.11</v>
      </c>
      <c r="F4" s="2">
        <f>IFERROR(__xludf.DUMMYFUNCTION("""COMPUTED_VALUE"""),5246222.0)</f>
        <v>5246222</v>
      </c>
    </row>
    <row r="5">
      <c r="A5" s="3">
        <f>IFERROR(__xludf.DUMMYFUNCTION("""COMPUTED_VALUE"""),44932.66666666667)</f>
        <v>44932.66667</v>
      </c>
      <c r="B5" s="2">
        <f>IFERROR(__xludf.DUMMYFUNCTION("""COMPUTED_VALUE"""),214.0)</f>
        <v>214</v>
      </c>
      <c r="C5" s="2">
        <f>IFERROR(__xludf.DUMMYFUNCTION("""COMPUTED_VALUE"""),218.14)</f>
        <v>218.14</v>
      </c>
      <c r="D5" s="2">
        <f>IFERROR(__xludf.DUMMYFUNCTION("""COMPUTED_VALUE"""),213.09)</f>
        <v>213.09</v>
      </c>
      <c r="E5" s="2">
        <f>IFERROR(__xludf.DUMMYFUNCTION("""COMPUTED_VALUE"""),217.75)</f>
        <v>217.75</v>
      </c>
      <c r="F5" s="2">
        <f>IFERROR(__xludf.DUMMYFUNCTION("""COMPUTED_VALUE"""),6829695.0)</f>
        <v>6829695</v>
      </c>
    </row>
    <row r="6">
      <c r="A6" s="3">
        <f>IFERROR(__xludf.DUMMYFUNCTION("""COMPUTED_VALUE"""),44935.66666666667)</f>
        <v>44935.66667</v>
      </c>
      <c r="B6" s="2">
        <f>IFERROR(__xludf.DUMMYFUNCTION("""COMPUTED_VALUE"""),219.07)</f>
        <v>219.07</v>
      </c>
      <c r="C6" s="2">
        <f>IFERROR(__xludf.DUMMYFUNCTION("""COMPUTED_VALUE"""),222.21)</f>
        <v>222.21</v>
      </c>
      <c r="D6" s="2">
        <f>IFERROR(__xludf.DUMMYFUNCTION("""COMPUTED_VALUE"""),218.35)</f>
        <v>218.35</v>
      </c>
      <c r="E6" s="2">
        <f>IFERROR(__xludf.DUMMYFUNCTION("""COMPUTED_VALUE"""),218.6)</f>
        <v>218.6</v>
      </c>
      <c r="F6" s="2">
        <f>IFERROR(__xludf.DUMMYFUNCTION("""COMPUTED_VALUE"""),6294533.0)</f>
        <v>6294533</v>
      </c>
    </row>
    <row r="7">
      <c r="A7" s="3">
        <f>IFERROR(__xludf.DUMMYFUNCTION("""COMPUTED_VALUE"""),44936.66666666667)</f>
        <v>44936.66667</v>
      </c>
      <c r="B7" s="2">
        <f>IFERROR(__xludf.DUMMYFUNCTION("""COMPUTED_VALUE"""),218.99)</f>
        <v>218.99</v>
      </c>
      <c r="C7" s="2">
        <f>IFERROR(__xludf.DUMMYFUNCTION("""COMPUTED_VALUE"""),222.39)</f>
        <v>222.39</v>
      </c>
      <c r="D7" s="2">
        <f>IFERROR(__xludf.DUMMYFUNCTION("""COMPUTED_VALUE"""),218.18)</f>
        <v>218.18</v>
      </c>
      <c r="E7" s="2">
        <f>IFERROR(__xludf.DUMMYFUNCTION("""COMPUTED_VALUE"""),221.09)</f>
        <v>221.09</v>
      </c>
      <c r="F7" s="2">
        <f>IFERROR(__xludf.DUMMYFUNCTION("""COMPUTED_VALUE"""),1.0857022E7)</f>
        <v>10857022</v>
      </c>
    </row>
    <row r="8">
      <c r="A8" s="3">
        <f>IFERROR(__xludf.DUMMYFUNCTION("""COMPUTED_VALUE"""),44937.66666666667)</f>
        <v>44937.66667</v>
      </c>
      <c r="B8" s="2">
        <f>IFERROR(__xludf.DUMMYFUNCTION("""COMPUTED_VALUE"""),221.29)</f>
        <v>221.29</v>
      </c>
      <c r="C8" s="2">
        <f>IFERROR(__xludf.DUMMYFUNCTION("""COMPUTED_VALUE"""),222.18)</f>
        <v>222.18</v>
      </c>
      <c r="D8" s="2">
        <f>IFERROR(__xludf.DUMMYFUNCTION("""COMPUTED_VALUE"""),219.7)</f>
        <v>219.7</v>
      </c>
      <c r="E8" s="2">
        <f>IFERROR(__xludf.DUMMYFUNCTION("""COMPUTED_VALUE"""),222.1)</f>
        <v>222.1</v>
      </c>
      <c r="F8" s="2">
        <f>IFERROR(__xludf.DUMMYFUNCTION("""COMPUTED_VALUE"""),5408193.0)</f>
        <v>5408193</v>
      </c>
    </row>
    <row r="9">
      <c r="A9" s="3">
        <f>IFERROR(__xludf.DUMMYFUNCTION("""COMPUTED_VALUE"""),44938.66666666667)</f>
        <v>44938.66667</v>
      </c>
      <c r="B9" s="2">
        <f>IFERROR(__xludf.DUMMYFUNCTION("""COMPUTED_VALUE"""),222.1)</f>
        <v>222.1</v>
      </c>
      <c r="C9" s="2">
        <f>IFERROR(__xludf.DUMMYFUNCTION("""COMPUTED_VALUE"""),223.81)</f>
        <v>223.81</v>
      </c>
      <c r="D9" s="2">
        <f>IFERROR(__xludf.DUMMYFUNCTION("""COMPUTED_VALUE"""),220.61)</f>
        <v>220.61</v>
      </c>
      <c r="E9" s="2">
        <f>IFERROR(__xludf.DUMMYFUNCTION("""COMPUTED_VALUE"""),223.62)</f>
        <v>223.62</v>
      </c>
      <c r="F9" s="2">
        <f>IFERROR(__xludf.DUMMYFUNCTION("""COMPUTED_VALUE"""),4264404.0)</f>
        <v>4264404</v>
      </c>
    </row>
    <row r="10">
      <c r="A10" s="3">
        <f>IFERROR(__xludf.DUMMYFUNCTION("""COMPUTED_VALUE"""),44939.66666666667)</f>
        <v>44939.66667</v>
      </c>
      <c r="B10" s="2">
        <f>IFERROR(__xludf.DUMMYFUNCTION("""COMPUTED_VALUE"""),221.91)</f>
        <v>221.91</v>
      </c>
      <c r="C10" s="2">
        <f>IFERROR(__xludf.DUMMYFUNCTION("""COMPUTED_VALUE"""),223.76)</f>
        <v>223.76</v>
      </c>
      <c r="D10" s="2">
        <f>IFERROR(__xludf.DUMMYFUNCTION("""COMPUTED_VALUE"""),220.14)</f>
        <v>220.14</v>
      </c>
      <c r="E10" s="2">
        <f>IFERROR(__xludf.DUMMYFUNCTION("""COMPUTED_VALUE"""),223.06)</f>
        <v>223.06</v>
      </c>
      <c r="F10" s="2">
        <f>IFERROR(__xludf.DUMMYFUNCTION("""COMPUTED_VALUE"""),4283182.0)</f>
        <v>4283182</v>
      </c>
    </row>
    <row r="11">
      <c r="A11" s="3">
        <f>IFERROR(__xludf.DUMMYFUNCTION("""COMPUTED_VALUE"""),44943.66666666667)</f>
        <v>44943.66667</v>
      </c>
      <c r="B11" s="2">
        <f>IFERROR(__xludf.DUMMYFUNCTION("""COMPUTED_VALUE"""),222.38)</f>
        <v>222.38</v>
      </c>
      <c r="C11" s="2">
        <f>IFERROR(__xludf.DUMMYFUNCTION("""COMPUTED_VALUE"""),224.4)</f>
        <v>224.4</v>
      </c>
      <c r="D11" s="2">
        <f>IFERROR(__xludf.DUMMYFUNCTION("""COMPUTED_VALUE"""),222.37)</f>
        <v>222.37</v>
      </c>
      <c r="E11" s="2">
        <f>IFERROR(__xludf.DUMMYFUNCTION("""COMPUTED_VALUE"""),223.0)</f>
        <v>223</v>
      </c>
      <c r="F11" s="2">
        <f>IFERROR(__xludf.DUMMYFUNCTION("""COMPUTED_VALUE"""),6101118.0)</f>
        <v>6101118</v>
      </c>
    </row>
    <row r="12">
      <c r="A12" s="3">
        <f>IFERROR(__xludf.DUMMYFUNCTION("""COMPUTED_VALUE"""),44944.66666666667)</f>
        <v>44944.66667</v>
      </c>
      <c r="B12" s="2">
        <f>IFERROR(__xludf.DUMMYFUNCTION("""COMPUTED_VALUE"""),224.08)</f>
        <v>224.08</v>
      </c>
      <c r="C12" s="2">
        <f>IFERROR(__xludf.DUMMYFUNCTION("""COMPUTED_VALUE"""),224.99)</f>
        <v>224.99</v>
      </c>
      <c r="D12" s="2">
        <f>IFERROR(__xludf.DUMMYFUNCTION("""COMPUTED_VALUE"""),219.44)</f>
        <v>219.44</v>
      </c>
      <c r="E12" s="2">
        <f>IFERROR(__xludf.DUMMYFUNCTION("""COMPUTED_VALUE"""),219.46)</f>
        <v>219.46</v>
      </c>
      <c r="F12" s="2">
        <f>IFERROR(__xludf.DUMMYFUNCTION("""COMPUTED_VALUE"""),6558014.0)</f>
        <v>6558014</v>
      </c>
    </row>
    <row r="13">
      <c r="A13" s="3">
        <f>IFERROR(__xludf.DUMMYFUNCTION("""COMPUTED_VALUE"""),44945.66666666667)</f>
        <v>44945.66667</v>
      </c>
      <c r="B13" s="2">
        <f>IFERROR(__xludf.DUMMYFUNCTION("""COMPUTED_VALUE"""),218.1)</f>
        <v>218.1</v>
      </c>
      <c r="C13" s="2">
        <f>IFERROR(__xludf.DUMMYFUNCTION("""COMPUTED_VALUE"""),221.52)</f>
        <v>221.52</v>
      </c>
      <c r="D13" s="2">
        <f>IFERROR(__xludf.DUMMYFUNCTION("""COMPUTED_VALUE"""),217.5)</f>
        <v>217.5</v>
      </c>
      <c r="E13" s="2">
        <f>IFERROR(__xludf.DUMMYFUNCTION("""COMPUTED_VALUE"""),220.41)</f>
        <v>220.41</v>
      </c>
      <c r="F13" s="2">
        <f>IFERROR(__xludf.DUMMYFUNCTION("""COMPUTED_VALUE"""),4853085.0)</f>
        <v>4853085</v>
      </c>
    </row>
    <row r="14">
      <c r="A14" s="3">
        <f>IFERROR(__xludf.DUMMYFUNCTION("""COMPUTED_VALUE"""),44946.66666666667)</f>
        <v>44946.66667</v>
      </c>
      <c r="B14" s="2">
        <f>IFERROR(__xludf.DUMMYFUNCTION("""COMPUTED_VALUE"""),221.14)</f>
        <v>221.14</v>
      </c>
      <c r="C14" s="2">
        <f>IFERROR(__xludf.DUMMYFUNCTION("""COMPUTED_VALUE"""),224.43)</f>
        <v>224.43</v>
      </c>
      <c r="D14" s="2">
        <f>IFERROR(__xludf.DUMMYFUNCTION("""COMPUTED_VALUE"""),220.41)</f>
        <v>220.41</v>
      </c>
      <c r="E14" s="2">
        <f>IFERROR(__xludf.DUMMYFUNCTION("""COMPUTED_VALUE"""),224.31)</f>
        <v>224.31</v>
      </c>
      <c r="F14" s="2">
        <f>IFERROR(__xludf.DUMMYFUNCTION("""COMPUTED_VALUE"""),5210962.0)</f>
        <v>5210962</v>
      </c>
    </row>
    <row r="15">
      <c r="A15" s="3">
        <f>IFERROR(__xludf.DUMMYFUNCTION("""COMPUTED_VALUE"""),44949.66666666667)</f>
        <v>44949.66667</v>
      </c>
      <c r="B15" s="2">
        <f>IFERROR(__xludf.DUMMYFUNCTION("""COMPUTED_VALUE"""),224.6)</f>
        <v>224.6</v>
      </c>
      <c r="C15" s="2">
        <f>IFERROR(__xludf.DUMMYFUNCTION("""COMPUTED_VALUE"""),226.2)</f>
        <v>226.2</v>
      </c>
      <c r="D15" s="2">
        <f>IFERROR(__xludf.DUMMYFUNCTION("""COMPUTED_VALUE"""),223.15)</f>
        <v>223.15</v>
      </c>
      <c r="E15" s="2">
        <f>IFERROR(__xludf.DUMMYFUNCTION("""COMPUTED_VALUE"""),224.18)</f>
        <v>224.18</v>
      </c>
      <c r="F15" s="2">
        <f>IFERROR(__xludf.DUMMYFUNCTION("""COMPUTED_VALUE"""),5501462.0)</f>
        <v>5501462</v>
      </c>
    </row>
    <row r="16">
      <c r="A16" s="3">
        <f>IFERROR(__xludf.DUMMYFUNCTION("""COMPUTED_VALUE"""),44950.66666666667)</f>
        <v>44950.66667</v>
      </c>
      <c r="B16" s="2">
        <f>IFERROR(__xludf.DUMMYFUNCTION("""COMPUTED_VALUE"""),222.02)</f>
        <v>222.02</v>
      </c>
      <c r="C16" s="2">
        <f>IFERROR(__xludf.DUMMYFUNCTION("""COMPUTED_VALUE"""),230.0)</f>
        <v>230</v>
      </c>
      <c r="D16" s="2">
        <f>IFERROR(__xludf.DUMMYFUNCTION("""COMPUTED_VALUE"""),216.63)</f>
        <v>216.63</v>
      </c>
      <c r="E16" s="2">
        <f>IFERROR(__xludf.DUMMYFUNCTION("""COMPUTED_VALUE"""),223.89)</f>
        <v>223.89</v>
      </c>
      <c r="F16" s="2">
        <f>IFERROR(__xludf.DUMMYFUNCTION("""COMPUTED_VALUE"""),5274934.0)</f>
        <v>5274934</v>
      </c>
    </row>
    <row r="17">
      <c r="A17" s="3">
        <f>IFERROR(__xludf.DUMMYFUNCTION("""COMPUTED_VALUE"""),44951.66666666667)</f>
        <v>44951.66667</v>
      </c>
      <c r="B17" s="2">
        <f>IFERROR(__xludf.DUMMYFUNCTION("""COMPUTED_VALUE"""),221.62)</f>
        <v>221.62</v>
      </c>
      <c r="C17" s="2">
        <f>IFERROR(__xludf.DUMMYFUNCTION("""COMPUTED_VALUE"""),224.97)</f>
        <v>224.97</v>
      </c>
      <c r="D17" s="2">
        <f>IFERROR(__xludf.DUMMYFUNCTION("""COMPUTED_VALUE"""),221.17)</f>
        <v>221.17</v>
      </c>
      <c r="E17" s="2">
        <f>IFERROR(__xludf.DUMMYFUNCTION("""COMPUTED_VALUE"""),224.9)</f>
        <v>224.9</v>
      </c>
      <c r="F17" s="2">
        <f>IFERROR(__xludf.DUMMYFUNCTION("""COMPUTED_VALUE"""),4729630.0)</f>
        <v>4729630</v>
      </c>
    </row>
    <row r="18">
      <c r="A18" s="3">
        <f>IFERROR(__xludf.DUMMYFUNCTION("""COMPUTED_VALUE"""),44952.66666666667)</f>
        <v>44952.66667</v>
      </c>
      <c r="B18" s="2">
        <f>IFERROR(__xludf.DUMMYFUNCTION("""COMPUTED_VALUE"""),226.0)</f>
        <v>226</v>
      </c>
      <c r="C18" s="2">
        <f>IFERROR(__xludf.DUMMYFUNCTION("""COMPUTED_VALUE"""),227.08)</f>
        <v>227.08</v>
      </c>
      <c r="D18" s="2">
        <f>IFERROR(__xludf.DUMMYFUNCTION("""COMPUTED_VALUE"""),223.67)</f>
        <v>223.67</v>
      </c>
      <c r="E18" s="2">
        <f>IFERROR(__xludf.DUMMYFUNCTION("""COMPUTED_VALUE"""),224.71)</f>
        <v>224.71</v>
      </c>
      <c r="F18" s="2">
        <f>IFERROR(__xludf.DUMMYFUNCTION("""COMPUTED_VALUE"""),7043444.0)</f>
        <v>7043444</v>
      </c>
    </row>
    <row r="19">
      <c r="A19" s="3">
        <f>IFERROR(__xludf.DUMMYFUNCTION("""COMPUTED_VALUE"""),44953.66666666667)</f>
        <v>44953.66667</v>
      </c>
      <c r="B19" s="2">
        <f>IFERROR(__xludf.DUMMYFUNCTION("""COMPUTED_VALUE"""),228.0)</f>
        <v>228</v>
      </c>
      <c r="C19" s="2">
        <f>IFERROR(__xludf.DUMMYFUNCTION("""COMPUTED_VALUE"""),232.84)</f>
        <v>232.84</v>
      </c>
      <c r="D19" s="2">
        <f>IFERROR(__xludf.DUMMYFUNCTION("""COMPUTED_VALUE"""),227.25)</f>
        <v>227.25</v>
      </c>
      <c r="E19" s="2">
        <f>IFERROR(__xludf.DUMMYFUNCTION("""COMPUTED_VALUE"""),231.44)</f>
        <v>231.44</v>
      </c>
      <c r="F19" s="2">
        <f>IFERROR(__xludf.DUMMYFUNCTION("""COMPUTED_VALUE"""),1.1382643E7)</f>
        <v>11382643</v>
      </c>
    </row>
    <row r="20">
      <c r="A20" s="3">
        <f>IFERROR(__xludf.DUMMYFUNCTION("""COMPUTED_VALUE"""),44956.66666666667)</f>
        <v>44956.66667</v>
      </c>
      <c r="B20" s="2">
        <f>IFERROR(__xludf.DUMMYFUNCTION("""COMPUTED_VALUE"""),230.2)</f>
        <v>230.2</v>
      </c>
      <c r="C20" s="2">
        <f>IFERROR(__xludf.DUMMYFUNCTION("""COMPUTED_VALUE"""),230.42)</f>
        <v>230.42</v>
      </c>
      <c r="D20" s="2">
        <f>IFERROR(__xludf.DUMMYFUNCTION("""COMPUTED_VALUE"""),227.93)</f>
        <v>227.93</v>
      </c>
      <c r="E20" s="2">
        <f>IFERROR(__xludf.DUMMYFUNCTION("""COMPUTED_VALUE"""),229.1)</f>
        <v>229.1</v>
      </c>
      <c r="F20" s="2">
        <f>IFERROR(__xludf.DUMMYFUNCTION("""COMPUTED_VALUE"""),5677404.0)</f>
        <v>5677404</v>
      </c>
    </row>
    <row r="21">
      <c r="A21" s="3">
        <f>IFERROR(__xludf.DUMMYFUNCTION("""COMPUTED_VALUE"""),44957.66666666667)</f>
        <v>44957.66667</v>
      </c>
      <c r="B21" s="2">
        <f>IFERROR(__xludf.DUMMYFUNCTION("""COMPUTED_VALUE"""),228.81)</f>
        <v>228.81</v>
      </c>
      <c r="C21" s="2">
        <f>IFERROR(__xludf.DUMMYFUNCTION("""COMPUTED_VALUE"""),230.8)</f>
        <v>230.8</v>
      </c>
      <c r="D21" s="2">
        <f>IFERROR(__xludf.DUMMYFUNCTION("""COMPUTED_VALUE"""),228.45)</f>
        <v>228.45</v>
      </c>
      <c r="E21" s="2">
        <f>IFERROR(__xludf.DUMMYFUNCTION("""COMPUTED_VALUE"""),230.21)</f>
        <v>230.21</v>
      </c>
      <c r="F21" s="2">
        <f>IFERROR(__xludf.DUMMYFUNCTION("""COMPUTED_VALUE"""),1.1294209E7)</f>
        <v>11294209</v>
      </c>
    </row>
    <row r="22">
      <c r="A22" s="3">
        <f>IFERROR(__xludf.DUMMYFUNCTION("""COMPUTED_VALUE"""),44958.66666666667)</f>
        <v>44958.66667</v>
      </c>
      <c r="B22" s="2">
        <f>IFERROR(__xludf.DUMMYFUNCTION("""COMPUTED_VALUE"""),229.37)</f>
        <v>229.37</v>
      </c>
      <c r="C22" s="2">
        <f>IFERROR(__xludf.DUMMYFUNCTION("""COMPUTED_VALUE"""),232.66)</f>
        <v>232.66</v>
      </c>
      <c r="D22" s="2">
        <f>IFERROR(__xludf.DUMMYFUNCTION("""COMPUTED_VALUE"""),227.8)</f>
        <v>227.8</v>
      </c>
      <c r="E22" s="2">
        <f>IFERROR(__xludf.DUMMYFUNCTION("""COMPUTED_VALUE"""),230.9)</f>
        <v>230.9</v>
      </c>
      <c r="F22" s="2">
        <f>IFERROR(__xludf.DUMMYFUNCTION("""COMPUTED_VALUE"""),5792650.0)</f>
        <v>5792650</v>
      </c>
    </row>
    <row r="23">
      <c r="A23" s="3">
        <f>IFERROR(__xludf.DUMMYFUNCTION("""COMPUTED_VALUE"""),44959.66666666667)</f>
        <v>44959.66667</v>
      </c>
      <c r="B23" s="2">
        <f>IFERROR(__xludf.DUMMYFUNCTION("""COMPUTED_VALUE"""),233.96)</f>
        <v>233.96</v>
      </c>
      <c r="C23" s="2">
        <f>IFERROR(__xludf.DUMMYFUNCTION("""COMPUTED_VALUE"""),234.3)</f>
        <v>234.3</v>
      </c>
      <c r="D23" s="2">
        <f>IFERROR(__xludf.DUMMYFUNCTION("""COMPUTED_VALUE"""),228.37)</f>
        <v>228.37</v>
      </c>
      <c r="E23" s="2">
        <f>IFERROR(__xludf.DUMMYFUNCTION("""COMPUTED_VALUE"""),229.56)</f>
        <v>229.56</v>
      </c>
      <c r="F23" s="2">
        <f>IFERROR(__xludf.DUMMYFUNCTION("""COMPUTED_VALUE"""),7189990.0)</f>
        <v>7189990</v>
      </c>
    </row>
    <row r="24">
      <c r="A24" s="3">
        <f>IFERROR(__xludf.DUMMYFUNCTION("""COMPUTED_VALUE"""),44960.66666666667)</f>
        <v>44960.66667</v>
      </c>
      <c r="B24" s="2">
        <f>IFERROR(__xludf.DUMMYFUNCTION("""COMPUTED_VALUE"""),228.69)</f>
        <v>228.69</v>
      </c>
      <c r="C24" s="2">
        <f>IFERROR(__xludf.DUMMYFUNCTION("""COMPUTED_VALUE"""),230.86)</f>
        <v>230.86</v>
      </c>
      <c r="D24" s="2">
        <f>IFERROR(__xludf.DUMMYFUNCTION("""COMPUTED_VALUE"""),227.64)</f>
        <v>227.64</v>
      </c>
      <c r="E24" s="2">
        <f>IFERROR(__xludf.DUMMYFUNCTION("""COMPUTED_VALUE"""),230.13)</f>
        <v>230.13</v>
      </c>
      <c r="F24" s="2">
        <f>IFERROR(__xludf.DUMMYFUNCTION("""COMPUTED_VALUE"""),5243645.0)</f>
        <v>5243645</v>
      </c>
    </row>
    <row r="25">
      <c r="A25" s="3">
        <f>IFERROR(__xludf.DUMMYFUNCTION("""COMPUTED_VALUE"""),44963.66666666667)</f>
        <v>44963.66667</v>
      </c>
      <c r="B25" s="2">
        <f>IFERROR(__xludf.DUMMYFUNCTION("""COMPUTED_VALUE"""),228.7)</f>
        <v>228.7</v>
      </c>
      <c r="C25" s="2">
        <f>IFERROR(__xludf.DUMMYFUNCTION("""COMPUTED_VALUE"""),230.26)</f>
        <v>230.26</v>
      </c>
      <c r="D25" s="2">
        <f>IFERROR(__xludf.DUMMYFUNCTION("""COMPUTED_VALUE"""),228.04)</f>
        <v>228.04</v>
      </c>
      <c r="E25" s="2">
        <f>IFERROR(__xludf.DUMMYFUNCTION("""COMPUTED_VALUE"""),229.44)</f>
        <v>229.44</v>
      </c>
      <c r="F25" s="2">
        <f>IFERROR(__xludf.DUMMYFUNCTION("""COMPUTED_VALUE"""),3402356.0)</f>
        <v>3402356</v>
      </c>
    </row>
    <row r="26">
      <c r="A26" s="3">
        <f>IFERROR(__xludf.DUMMYFUNCTION("""COMPUTED_VALUE"""),44964.66666666667)</f>
        <v>44964.66667</v>
      </c>
      <c r="B26" s="2">
        <f>IFERROR(__xludf.DUMMYFUNCTION("""COMPUTED_VALUE"""),228.02)</f>
        <v>228.02</v>
      </c>
      <c r="C26" s="2">
        <f>IFERROR(__xludf.DUMMYFUNCTION("""COMPUTED_VALUE"""),232.13)</f>
        <v>232.13</v>
      </c>
      <c r="D26" s="2">
        <f>IFERROR(__xludf.DUMMYFUNCTION("""COMPUTED_VALUE"""),227.95)</f>
        <v>227.95</v>
      </c>
      <c r="E26" s="2">
        <f>IFERROR(__xludf.DUMMYFUNCTION("""COMPUTED_VALUE"""),231.32)</f>
        <v>231.32</v>
      </c>
      <c r="F26" s="2">
        <f>IFERROR(__xludf.DUMMYFUNCTION("""COMPUTED_VALUE"""),4042815.0)</f>
        <v>4042815</v>
      </c>
    </row>
    <row r="27">
      <c r="A27" s="3">
        <f>IFERROR(__xludf.DUMMYFUNCTION("""COMPUTED_VALUE"""),44965.66666666667)</f>
        <v>44965.66667</v>
      </c>
      <c r="B27" s="2">
        <f>IFERROR(__xludf.DUMMYFUNCTION("""COMPUTED_VALUE"""),230.34)</f>
        <v>230.34</v>
      </c>
      <c r="C27" s="2">
        <f>IFERROR(__xludf.DUMMYFUNCTION("""COMPUTED_VALUE"""),231.86)</f>
        <v>231.86</v>
      </c>
      <c r="D27" s="2">
        <f>IFERROR(__xludf.DUMMYFUNCTION("""COMPUTED_VALUE"""),229.99)</f>
        <v>229.99</v>
      </c>
      <c r="E27" s="2">
        <f>IFERROR(__xludf.DUMMYFUNCTION("""COMPUTED_VALUE"""),230.2)</f>
        <v>230.2</v>
      </c>
      <c r="F27" s="2">
        <f>IFERROR(__xludf.DUMMYFUNCTION("""COMPUTED_VALUE"""),4978585.0)</f>
        <v>4978585</v>
      </c>
    </row>
    <row r="28">
      <c r="A28" s="3">
        <f>IFERROR(__xludf.DUMMYFUNCTION("""COMPUTED_VALUE"""),44966.66666666667)</f>
        <v>44966.66667</v>
      </c>
      <c r="B28" s="2">
        <f>IFERROR(__xludf.DUMMYFUNCTION("""COMPUTED_VALUE"""),232.41)</f>
        <v>232.41</v>
      </c>
      <c r="C28" s="2">
        <f>IFERROR(__xludf.DUMMYFUNCTION("""COMPUTED_VALUE"""),232.48)</f>
        <v>232.48</v>
      </c>
      <c r="D28" s="2">
        <f>IFERROR(__xludf.DUMMYFUNCTION("""COMPUTED_VALUE"""),229.13)</f>
        <v>229.13</v>
      </c>
      <c r="E28" s="2">
        <f>IFERROR(__xludf.DUMMYFUNCTION("""COMPUTED_VALUE"""),229.35)</f>
        <v>229.35</v>
      </c>
      <c r="F28" s="2">
        <f>IFERROR(__xludf.DUMMYFUNCTION("""COMPUTED_VALUE"""),5238412.0)</f>
        <v>5238412</v>
      </c>
    </row>
    <row r="29">
      <c r="A29" s="3">
        <f>IFERROR(__xludf.DUMMYFUNCTION("""COMPUTED_VALUE"""),44967.66666666667)</f>
        <v>44967.66667</v>
      </c>
      <c r="B29" s="2">
        <f>IFERROR(__xludf.DUMMYFUNCTION("""COMPUTED_VALUE"""),228.96)</f>
        <v>228.96</v>
      </c>
      <c r="C29" s="2">
        <f>IFERROR(__xludf.DUMMYFUNCTION("""COMPUTED_VALUE"""),229.91)</f>
        <v>229.91</v>
      </c>
      <c r="D29" s="2">
        <f>IFERROR(__xludf.DUMMYFUNCTION("""COMPUTED_VALUE"""),226.16)</f>
        <v>226.16</v>
      </c>
      <c r="E29" s="2">
        <f>IFERROR(__xludf.DUMMYFUNCTION("""COMPUTED_VALUE"""),227.2)</f>
        <v>227.2</v>
      </c>
      <c r="F29" s="2">
        <f>IFERROR(__xludf.DUMMYFUNCTION("""COMPUTED_VALUE"""),4509889.0)</f>
        <v>4509889</v>
      </c>
    </row>
    <row r="30">
      <c r="A30" s="3">
        <f>IFERROR(__xludf.DUMMYFUNCTION("""COMPUTED_VALUE"""),44970.66666666667)</f>
        <v>44970.66667</v>
      </c>
      <c r="B30" s="2">
        <f>IFERROR(__xludf.DUMMYFUNCTION("""COMPUTED_VALUE"""),226.88)</f>
        <v>226.88</v>
      </c>
      <c r="C30" s="2">
        <f>IFERROR(__xludf.DUMMYFUNCTION("""COMPUTED_VALUE"""),229.83)</f>
        <v>229.83</v>
      </c>
      <c r="D30" s="2">
        <f>IFERROR(__xludf.DUMMYFUNCTION("""COMPUTED_VALUE"""),226.27)</f>
        <v>226.27</v>
      </c>
      <c r="E30" s="2">
        <f>IFERROR(__xludf.DUMMYFUNCTION("""COMPUTED_VALUE"""),228.88)</f>
        <v>228.88</v>
      </c>
      <c r="F30" s="2">
        <f>IFERROR(__xludf.DUMMYFUNCTION("""COMPUTED_VALUE"""),4946705.0)</f>
        <v>4946705</v>
      </c>
    </row>
    <row r="31">
      <c r="A31" s="3">
        <f>IFERROR(__xludf.DUMMYFUNCTION("""COMPUTED_VALUE"""),44971.66666666667)</f>
        <v>44971.66667</v>
      </c>
      <c r="B31" s="2">
        <f>IFERROR(__xludf.DUMMYFUNCTION("""COMPUTED_VALUE"""),228.67)</f>
        <v>228.67</v>
      </c>
      <c r="C31" s="2">
        <f>IFERROR(__xludf.DUMMYFUNCTION("""COMPUTED_VALUE"""),231.42)</f>
        <v>231.42</v>
      </c>
      <c r="D31" s="2">
        <f>IFERROR(__xludf.DUMMYFUNCTION("""COMPUTED_VALUE"""),227.17)</f>
        <v>227.17</v>
      </c>
      <c r="E31" s="2">
        <f>IFERROR(__xludf.DUMMYFUNCTION("""COMPUTED_VALUE"""),229.39)</f>
        <v>229.39</v>
      </c>
      <c r="F31" s="2">
        <f>IFERROR(__xludf.DUMMYFUNCTION("""COMPUTED_VALUE"""),4829396.0)</f>
        <v>4829396</v>
      </c>
    </row>
    <row r="32">
      <c r="A32" s="3">
        <f>IFERROR(__xludf.DUMMYFUNCTION("""COMPUTED_VALUE"""),44972.66666666667)</f>
        <v>44972.66667</v>
      </c>
      <c r="B32" s="2">
        <f>IFERROR(__xludf.DUMMYFUNCTION("""COMPUTED_VALUE"""),227.59)</f>
        <v>227.59</v>
      </c>
      <c r="C32" s="2">
        <f>IFERROR(__xludf.DUMMYFUNCTION("""COMPUTED_VALUE"""),229.07)</f>
        <v>229.07</v>
      </c>
      <c r="D32" s="2">
        <f>IFERROR(__xludf.DUMMYFUNCTION("""COMPUTED_VALUE"""),226.8)</f>
        <v>226.8</v>
      </c>
      <c r="E32" s="2">
        <f>IFERROR(__xludf.DUMMYFUNCTION("""COMPUTED_VALUE"""),228.92)</f>
        <v>228.92</v>
      </c>
      <c r="F32" s="2">
        <f>IFERROR(__xludf.DUMMYFUNCTION("""COMPUTED_VALUE"""),4407545.0)</f>
        <v>4407545</v>
      </c>
    </row>
    <row r="33">
      <c r="A33" s="3">
        <f>IFERROR(__xludf.DUMMYFUNCTION("""COMPUTED_VALUE"""),44973.66666666667)</f>
        <v>44973.66667</v>
      </c>
      <c r="B33" s="2">
        <f>IFERROR(__xludf.DUMMYFUNCTION("""COMPUTED_VALUE"""),226.07)</f>
        <v>226.07</v>
      </c>
      <c r="C33" s="2">
        <f>IFERROR(__xludf.DUMMYFUNCTION("""COMPUTED_VALUE"""),228.36)</f>
        <v>228.36</v>
      </c>
      <c r="D33" s="2">
        <f>IFERROR(__xludf.DUMMYFUNCTION("""COMPUTED_VALUE"""),225.67)</f>
        <v>225.67</v>
      </c>
      <c r="E33" s="2">
        <f>IFERROR(__xludf.DUMMYFUNCTION("""COMPUTED_VALUE"""),225.83)</f>
        <v>225.83</v>
      </c>
      <c r="F33" s="2">
        <f>IFERROR(__xludf.DUMMYFUNCTION("""COMPUTED_VALUE"""),3865852.0)</f>
        <v>3865852</v>
      </c>
    </row>
    <row r="34">
      <c r="A34" s="3">
        <f>IFERROR(__xludf.DUMMYFUNCTION("""COMPUTED_VALUE"""),44974.66666666667)</f>
        <v>44974.66667</v>
      </c>
      <c r="B34" s="2">
        <f>IFERROR(__xludf.DUMMYFUNCTION("""COMPUTED_VALUE"""),224.18)</f>
        <v>224.18</v>
      </c>
      <c r="C34" s="2">
        <f>IFERROR(__xludf.DUMMYFUNCTION("""COMPUTED_VALUE"""),224.77)</f>
        <v>224.77</v>
      </c>
      <c r="D34" s="2">
        <f>IFERROR(__xludf.DUMMYFUNCTION("""COMPUTED_VALUE"""),221.74)</f>
        <v>221.74</v>
      </c>
      <c r="E34" s="2">
        <f>IFERROR(__xludf.DUMMYFUNCTION("""COMPUTED_VALUE"""),223.56)</f>
        <v>223.56</v>
      </c>
      <c r="F34" s="2">
        <f>IFERROR(__xludf.DUMMYFUNCTION("""COMPUTED_VALUE"""),4520303.0)</f>
        <v>4520303</v>
      </c>
    </row>
    <row r="35">
      <c r="A35" s="3">
        <f>IFERROR(__xludf.DUMMYFUNCTION("""COMPUTED_VALUE"""),44978.66666666667)</f>
        <v>44978.66667</v>
      </c>
      <c r="B35" s="2">
        <f>IFERROR(__xludf.DUMMYFUNCTION("""COMPUTED_VALUE"""),220.16)</f>
        <v>220.16</v>
      </c>
      <c r="C35" s="2">
        <f>IFERROR(__xludf.DUMMYFUNCTION("""COMPUTED_VALUE"""),222.44)</f>
        <v>222.44</v>
      </c>
      <c r="D35" s="2">
        <f>IFERROR(__xludf.DUMMYFUNCTION("""COMPUTED_VALUE"""),219.99)</f>
        <v>219.99</v>
      </c>
      <c r="E35" s="2">
        <f>IFERROR(__xludf.DUMMYFUNCTION("""COMPUTED_VALUE"""),220.62)</f>
        <v>220.62</v>
      </c>
      <c r="F35" s="2">
        <f>IFERROR(__xludf.DUMMYFUNCTION("""COMPUTED_VALUE"""),7276091.0)</f>
        <v>7276091</v>
      </c>
    </row>
    <row r="36">
      <c r="A36" s="3">
        <f>IFERROR(__xludf.DUMMYFUNCTION("""COMPUTED_VALUE"""),44979.66666666667)</f>
        <v>44979.66667</v>
      </c>
      <c r="B36" s="2">
        <f>IFERROR(__xludf.DUMMYFUNCTION("""COMPUTED_VALUE"""),220.41)</f>
        <v>220.41</v>
      </c>
      <c r="C36" s="2">
        <f>IFERROR(__xludf.DUMMYFUNCTION("""COMPUTED_VALUE"""),221.75)</f>
        <v>221.75</v>
      </c>
      <c r="D36" s="2">
        <f>IFERROR(__xludf.DUMMYFUNCTION("""COMPUTED_VALUE"""),219.45)</f>
        <v>219.45</v>
      </c>
      <c r="E36" s="2">
        <f>IFERROR(__xludf.DUMMYFUNCTION("""COMPUTED_VALUE"""),220.02)</f>
        <v>220.02</v>
      </c>
      <c r="F36" s="2">
        <f>IFERROR(__xludf.DUMMYFUNCTION("""COMPUTED_VALUE"""),4621995.0)</f>
        <v>4621995</v>
      </c>
    </row>
    <row r="37">
      <c r="A37" s="3">
        <f>IFERROR(__xludf.DUMMYFUNCTION("""COMPUTED_VALUE"""),44980.66666666667)</f>
        <v>44980.66667</v>
      </c>
      <c r="B37" s="2">
        <f>IFERROR(__xludf.DUMMYFUNCTION("""COMPUTED_VALUE"""),221.56)</f>
        <v>221.56</v>
      </c>
      <c r="C37" s="2">
        <f>IFERROR(__xludf.DUMMYFUNCTION("""COMPUTED_VALUE"""),222.09)</f>
        <v>222.09</v>
      </c>
      <c r="D37" s="2">
        <f>IFERROR(__xludf.DUMMYFUNCTION("""COMPUTED_VALUE"""),218.93)</f>
        <v>218.93</v>
      </c>
      <c r="E37" s="2">
        <f>IFERROR(__xludf.DUMMYFUNCTION("""COMPUTED_VALUE"""),221.13)</f>
        <v>221.13</v>
      </c>
      <c r="F37" s="2">
        <f>IFERROR(__xludf.DUMMYFUNCTION("""COMPUTED_VALUE"""),5533847.0)</f>
        <v>5533847</v>
      </c>
    </row>
    <row r="38">
      <c r="A38" s="3">
        <f>IFERROR(__xludf.DUMMYFUNCTION("""COMPUTED_VALUE"""),44981.66666666667)</f>
        <v>44981.66667</v>
      </c>
      <c r="B38" s="2">
        <f>IFERROR(__xludf.DUMMYFUNCTION("""COMPUTED_VALUE"""),218.48)</f>
        <v>218.48</v>
      </c>
      <c r="C38" s="2">
        <f>IFERROR(__xludf.DUMMYFUNCTION("""COMPUTED_VALUE"""),220.24)</f>
        <v>220.24</v>
      </c>
      <c r="D38" s="2">
        <f>IFERROR(__xludf.DUMMYFUNCTION("""COMPUTED_VALUE"""),217.46)</f>
        <v>217.46</v>
      </c>
      <c r="E38" s="2">
        <f>IFERROR(__xludf.DUMMYFUNCTION("""COMPUTED_VALUE"""),219.55)</f>
        <v>219.55</v>
      </c>
      <c r="F38" s="2">
        <f>IFERROR(__xludf.DUMMYFUNCTION("""COMPUTED_VALUE"""),4414363.0)</f>
        <v>4414363</v>
      </c>
    </row>
    <row r="39">
      <c r="A39" s="3">
        <f>IFERROR(__xludf.DUMMYFUNCTION("""COMPUTED_VALUE"""),44984.66666666667)</f>
        <v>44984.66667</v>
      </c>
      <c r="B39" s="2">
        <f>IFERROR(__xludf.DUMMYFUNCTION("""COMPUTED_VALUE"""),220.73)</f>
        <v>220.73</v>
      </c>
      <c r="C39" s="2">
        <f>IFERROR(__xludf.DUMMYFUNCTION("""COMPUTED_VALUE"""),221.44)</f>
        <v>221.44</v>
      </c>
      <c r="D39" s="2">
        <f>IFERROR(__xludf.DUMMYFUNCTION("""COMPUTED_VALUE"""),219.34)</f>
        <v>219.34</v>
      </c>
      <c r="E39" s="2">
        <f>IFERROR(__xludf.DUMMYFUNCTION("""COMPUTED_VALUE"""),220.35)</f>
        <v>220.35</v>
      </c>
      <c r="F39" s="2">
        <f>IFERROR(__xludf.DUMMYFUNCTION("""COMPUTED_VALUE"""),4255459.0)</f>
        <v>4255459</v>
      </c>
    </row>
    <row r="40">
      <c r="A40" s="3">
        <f>IFERROR(__xludf.DUMMYFUNCTION("""COMPUTED_VALUE"""),44985.66666666667)</f>
        <v>44985.66667</v>
      </c>
      <c r="B40" s="2">
        <f>IFERROR(__xludf.DUMMYFUNCTION("""COMPUTED_VALUE"""),220.0)</f>
        <v>220</v>
      </c>
      <c r="C40" s="2">
        <f>IFERROR(__xludf.DUMMYFUNCTION("""COMPUTED_VALUE"""),221.77)</f>
        <v>221.77</v>
      </c>
      <c r="D40" s="2">
        <f>IFERROR(__xludf.DUMMYFUNCTION("""COMPUTED_VALUE"""),219.5)</f>
        <v>219.5</v>
      </c>
      <c r="E40" s="2">
        <f>IFERROR(__xludf.DUMMYFUNCTION("""COMPUTED_VALUE"""),219.94)</f>
        <v>219.94</v>
      </c>
      <c r="F40" s="2">
        <f>IFERROR(__xludf.DUMMYFUNCTION("""COMPUTED_VALUE"""),5385356.0)</f>
        <v>5385356</v>
      </c>
    </row>
    <row r="41">
      <c r="A41" s="3">
        <f>IFERROR(__xludf.DUMMYFUNCTION("""COMPUTED_VALUE"""),44986.66666666667)</f>
        <v>44986.66667</v>
      </c>
      <c r="B41" s="2">
        <f>IFERROR(__xludf.DUMMYFUNCTION("""COMPUTED_VALUE"""),219.46)</f>
        <v>219.46</v>
      </c>
      <c r="C41" s="2">
        <f>IFERROR(__xludf.DUMMYFUNCTION("""COMPUTED_VALUE"""),220.27)</f>
        <v>220.27</v>
      </c>
      <c r="D41" s="2">
        <f>IFERROR(__xludf.DUMMYFUNCTION("""COMPUTED_VALUE"""),216.43)</f>
        <v>216.43</v>
      </c>
      <c r="E41" s="2">
        <f>IFERROR(__xludf.DUMMYFUNCTION("""COMPUTED_VALUE"""),218.36)</f>
        <v>218.36</v>
      </c>
      <c r="F41" s="2">
        <f>IFERROR(__xludf.DUMMYFUNCTION("""COMPUTED_VALUE"""),4792656.0)</f>
        <v>4792656</v>
      </c>
    </row>
    <row r="42">
      <c r="A42" s="3">
        <f>IFERROR(__xludf.DUMMYFUNCTION("""COMPUTED_VALUE"""),44987.66666666667)</f>
        <v>44987.66667</v>
      </c>
      <c r="B42" s="2">
        <f>IFERROR(__xludf.DUMMYFUNCTION("""COMPUTED_VALUE"""),217.89)</f>
        <v>217.89</v>
      </c>
      <c r="C42" s="2">
        <f>IFERROR(__xludf.DUMMYFUNCTION("""COMPUTED_VALUE"""),219.6)</f>
        <v>219.6</v>
      </c>
      <c r="D42" s="2">
        <f>IFERROR(__xludf.DUMMYFUNCTION("""COMPUTED_VALUE"""),217.09)</f>
        <v>217.09</v>
      </c>
      <c r="E42" s="2">
        <f>IFERROR(__xludf.DUMMYFUNCTION("""COMPUTED_VALUE"""),219.06)</f>
        <v>219.06</v>
      </c>
      <c r="F42" s="2">
        <f>IFERROR(__xludf.DUMMYFUNCTION("""COMPUTED_VALUE"""),5539467.0)</f>
        <v>5539467</v>
      </c>
    </row>
    <row r="43">
      <c r="A43" s="3">
        <f>IFERROR(__xludf.DUMMYFUNCTION("""COMPUTED_VALUE"""),44988.66666666667)</f>
        <v>44988.66667</v>
      </c>
      <c r="B43" s="2">
        <f>IFERROR(__xludf.DUMMYFUNCTION("""COMPUTED_VALUE"""),220.2)</f>
        <v>220.2</v>
      </c>
      <c r="C43" s="2">
        <f>IFERROR(__xludf.DUMMYFUNCTION("""COMPUTED_VALUE"""),224.02)</f>
        <v>224.02</v>
      </c>
      <c r="D43" s="2">
        <f>IFERROR(__xludf.DUMMYFUNCTION("""COMPUTED_VALUE"""),219.9)</f>
        <v>219.9</v>
      </c>
      <c r="E43" s="2">
        <f>IFERROR(__xludf.DUMMYFUNCTION("""COMPUTED_VALUE"""),223.77)</f>
        <v>223.77</v>
      </c>
      <c r="F43" s="2">
        <f>IFERROR(__xludf.DUMMYFUNCTION("""COMPUTED_VALUE"""),6055410.0)</f>
        <v>6055410</v>
      </c>
    </row>
    <row r="44">
      <c r="A44" s="3">
        <f>IFERROR(__xludf.DUMMYFUNCTION("""COMPUTED_VALUE"""),44991.66666666667)</f>
        <v>44991.66667</v>
      </c>
      <c r="B44" s="2">
        <f>IFERROR(__xludf.DUMMYFUNCTION("""COMPUTED_VALUE"""),223.93)</f>
        <v>223.93</v>
      </c>
      <c r="C44" s="2">
        <f>IFERROR(__xludf.DUMMYFUNCTION("""COMPUTED_VALUE"""),227.42)</f>
        <v>227.42</v>
      </c>
      <c r="D44" s="2">
        <f>IFERROR(__xludf.DUMMYFUNCTION("""COMPUTED_VALUE"""),223.69)</f>
        <v>223.69</v>
      </c>
      <c r="E44" s="2">
        <f>IFERROR(__xludf.DUMMYFUNCTION("""COMPUTED_VALUE"""),226.75)</f>
        <v>226.75</v>
      </c>
      <c r="F44" s="2">
        <f>IFERROR(__xludf.DUMMYFUNCTION("""COMPUTED_VALUE"""),5737589.0)</f>
        <v>5737589</v>
      </c>
    </row>
    <row r="45">
      <c r="A45" s="3">
        <f>IFERROR(__xludf.DUMMYFUNCTION("""COMPUTED_VALUE"""),44992.66666666667)</f>
        <v>44992.66667</v>
      </c>
      <c r="B45" s="2">
        <f>IFERROR(__xludf.DUMMYFUNCTION("""COMPUTED_VALUE"""),226.75)</f>
        <v>226.75</v>
      </c>
      <c r="C45" s="2">
        <f>IFERROR(__xludf.DUMMYFUNCTION("""COMPUTED_VALUE"""),227.38)</f>
        <v>227.38</v>
      </c>
      <c r="D45" s="2">
        <f>IFERROR(__xludf.DUMMYFUNCTION("""COMPUTED_VALUE"""),223.08)</f>
        <v>223.08</v>
      </c>
      <c r="E45" s="2">
        <f>IFERROR(__xludf.DUMMYFUNCTION("""COMPUTED_VALUE"""),223.17)</f>
        <v>223.17</v>
      </c>
      <c r="F45" s="2">
        <f>IFERROR(__xludf.DUMMYFUNCTION("""COMPUTED_VALUE"""),4386798.0)</f>
        <v>4386798</v>
      </c>
    </row>
    <row r="46">
      <c r="A46" s="3">
        <f>IFERROR(__xludf.DUMMYFUNCTION("""COMPUTED_VALUE"""),44993.66666666667)</f>
        <v>44993.66667</v>
      </c>
      <c r="B46" s="2">
        <f>IFERROR(__xludf.DUMMYFUNCTION("""COMPUTED_VALUE"""),221.96)</f>
        <v>221.96</v>
      </c>
      <c r="C46" s="2">
        <f>IFERROR(__xludf.DUMMYFUNCTION("""COMPUTED_VALUE"""),222.93)</f>
        <v>222.93</v>
      </c>
      <c r="D46" s="2">
        <f>IFERROR(__xludf.DUMMYFUNCTION("""COMPUTED_VALUE"""),221.18)</f>
        <v>221.18</v>
      </c>
      <c r="E46" s="2">
        <f>IFERROR(__xludf.DUMMYFUNCTION("""COMPUTED_VALUE"""),222.19)</f>
        <v>222.19</v>
      </c>
      <c r="F46" s="2">
        <f>IFERROR(__xludf.DUMMYFUNCTION("""COMPUTED_VALUE"""),4195134.0)</f>
        <v>4195134</v>
      </c>
    </row>
    <row r="47">
      <c r="A47" s="3">
        <f>IFERROR(__xludf.DUMMYFUNCTION("""COMPUTED_VALUE"""),44994.66666666667)</f>
        <v>44994.66667</v>
      </c>
      <c r="B47" s="2">
        <f>IFERROR(__xludf.DUMMYFUNCTION("""COMPUTED_VALUE"""),221.4)</f>
        <v>221.4</v>
      </c>
      <c r="C47" s="2">
        <f>IFERROR(__xludf.DUMMYFUNCTION("""COMPUTED_VALUE"""),224.37)</f>
        <v>224.37</v>
      </c>
      <c r="D47" s="2">
        <f>IFERROR(__xludf.DUMMYFUNCTION("""COMPUTED_VALUE"""),219.66)</f>
        <v>219.66</v>
      </c>
      <c r="E47" s="2">
        <f>IFERROR(__xludf.DUMMYFUNCTION("""COMPUTED_VALUE"""),220.01)</f>
        <v>220.01</v>
      </c>
      <c r="F47" s="2">
        <f>IFERROR(__xludf.DUMMYFUNCTION("""COMPUTED_VALUE"""),5066656.0)</f>
        <v>5066656</v>
      </c>
    </row>
    <row r="48">
      <c r="A48" s="3">
        <f>IFERROR(__xludf.DUMMYFUNCTION("""COMPUTED_VALUE"""),44995.66666666667)</f>
        <v>44995.66667</v>
      </c>
      <c r="B48" s="2">
        <f>IFERROR(__xludf.DUMMYFUNCTION("""COMPUTED_VALUE"""),219.03)</f>
        <v>219.03</v>
      </c>
      <c r="C48" s="2">
        <f>IFERROR(__xludf.DUMMYFUNCTION("""COMPUTED_VALUE"""),219.12)</f>
        <v>219.12</v>
      </c>
      <c r="D48" s="2">
        <f>IFERROR(__xludf.DUMMYFUNCTION("""COMPUTED_VALUE"""),215.48)</f>
        <v>215.48</v>
      </c>
      <c r="E48" s="2">
        <f>IFERROR(__xludf.DUMMYFUNCTION("""COMPUTED_VALUE"""),216.14)</f>
        <v>216.14</v>
      </c>
      <c r="F48" s="2">
        <f>IFERROR(__xludf.DUMMYFUNCTION("""COMPUTED_VALUE"""),6639144.0)</f>
        <v>6639144</v>
      </c>
    </row>
    <row r="49">
      <c r="A49" s="3">
        <f>IFERROR(__xludf.DUMMYFUNCTION("""COMPUTED_VALUE"""),44998.66666666667)</f>
        <v>44998.66667</v>
      </c>
      <c r="B49" s="2">
        <f>IFERROR(__xludf.DUMMYFUNCTION("""COMPUTED_VALUE"""),214.63)</f>
        <v>214.63</v>
      </c>
      <c r="C49" s="2">
        <f>IFERROR(__xludf.DUMMYFUNCTION("""COMPUTED_VALUE"""),217.85)</f>
        <v>217.85</v>
      </c>
      <c r="D49" s="2">
        <f>IFERROR(__xludf.DUMMYFUNCTION("""COMPUTED_VALUE"""),212.5)</f>
        <v>212.5</v>
      </c>
      <c r="E49" s="2">
        <f>IFERROR(__xludf.DUMMYFUNCTION("""COMPUTED_VALUE"""),214.47)</f>
        <v>214.47</v>
      </c>
      <c r="F49" s="2">
        <f>IFERROR(__xludf.DUMMYFUNCTION("""COMPUTED_VALUE"""),6810947.0)</f>
        <v>6810947</v>
      </c>
    </row>
    <row r="50">
      <c r="A50" s="3">
        <f>IFERROR(__xludf.DUMMYFUNCTION("""COMPUTED_VALUE"""),44999.66666666667)</f>
        <v>44999.66667</v>
      </c>
      <c r="B50" s="2">
        <f>IFERROR(__xludf.DUMMYFUNCTION("""COMPUTED_VALUE"""),218.0)</f>
        <v>218</v>
      </c>
      <c r="C50" s="2">
        <f>IFERROR(__xludf.DUMMYFUNCTION("""COMPUTED_VALUE"""),219.87)</f>
        <v>219.87</v>
      </c>
      <c r="D50" s="2">
        <f>IFERROR(__xludf.DUMMYFUNCTION("""COMPUTED_VALUE"""),216.04)</f>
        <v>216.04</v>
      </c>
      <c r="E50" s="2">
        <f>IFERROR(__xludf.DUMMYFUNCTION("""COMPUTED_VALUE"""),218.66)</f>
        <v>218.66</v>
      </c>
      <c r="F50" s="2">
        <f>IFERROR(__xludf.DUMMYFUNCTION("""COMPUTED_VALUE"""),7985583.0)</f>
        <v>7985583</v>
      </c>
    </row>
    <row r="51">
      <c r="A51" s="3">
        <f>IFERROR(__xludf.DUMMYFUNCTION("""COMPUTED_VALUE"""),45000.66666666667)</f>
        <v>45000.66667</v>
      </c>
      <c r="B51" s="2">
        <f>IFERROR(__xludf.DUMMYFUNCTION("""COMPUTED_VALUE"""),214.41)</f>
        <v>214.41</v>
      </c>
      <c r="C51" s="2">
        <f>IFERROR(__xludf.DUMMYFUNCTION("""COMPUTED_VALUE"""),216.91)</f>
        <v>216.91</v>
      </c>
      <c r="D51" s="2">
        <f>IFERROR(__xludf.DUMMYFUNCTION("""COMPUTED_VALUE"""),213.67)</f>
        <v>213.67</v>
      </c>
      <c r="E51" s="2">
        <f>IFERROR(__xludf.DUMMYFUNCTION("""COMPUTED_VALUE"""),216.37)</f>
        <v>216.37</v>
      </c>
      <c r="F51" s="2">
        <f>IFERROR(__xludf.DUMMYFUNCTION("""COMPUTED_VALUE"""),8372233.0)</f>
        <v>8372233</v>
      </c>
    </row>
    <row r="52">
      <c r="A52" s="3">
        <f>IFERROR(__xludf.DUMMYFUNCTION("""COMPUTED_VALUE"""),45001.66666666667)</f>
        <v>45001.66667</v>
      </c>
      <c r="B52" s="2">
        <f>IFERROR(__xludf.DUMMYFUNCTION("""COMPUTED_VALUE"""),215.17)</f>
        <v>215.17</v>
      </c>
      <c r="C52" s="2">
        <f>IFERROR(__xludf.DUMMYFUNCTION("""COMPUTED_VALUE"""),217.58)</f>
        <v>217.58</v>
      </c>
      <c r="D52" s="2">
        <f>IFERROR(__xludf.DUMMYFUNCTION("""COMPUTED_VALUE"""),208.76)</f>
        <v>208.76</v>
      </c>
      <c r="E52" s="2">
        <f>IFERROR(__xludf.DUMMYFUNCTION("""COMPUTED_VALUE"""),217.45)</f>
        <v>217.45</v>
      </c>
      <c r="F52" s="2">
        <f>IFERROR(__xludf.DUMMYFUNCTION("""COMPUTED_VALUE"""),1.3677052E7)</f>
        <v>13677052</v>
      </c>
    </row>
    <row r="53">
      <c r="A53" s="3">
        <f>IFERROR(__xludf.DUMMYFUNCTION("""COMPUTED_VALUE"""),45002.66666666667)</f>
        <v>45002.66667</v>
      </c>
      <c r="B53" s="2">
        <f>IFERROR(__xludf.DUMMYFUNCTION("""COMPUTED_VALUE"""),214.87)</f>
        <v>214.87</v>
      </c>
      <c r="C53" s="2">
        <f>IFERROR(__xludf.DUMMYFUNCTION("""COMPUTED_VALUE"""),218.66)</f>
        <v>218.66</v>
      </c>
      <c r="D53" s="2">
        <f>IFERROR(__xludf.DUMMYFUNCTION("""COMPUTED_VALUE"""),214.87)</f>
        <v>214.87</v>
      </c>
      <c r="E53" s="2">
        <f>IFERROR(__xludf.DUMMYFUNCTION("""COMPUTED_VALUE"""),217.39)</f>
        <v>217.39</v>
      </c>
      <c r="F53" s="2">
        <f>IFERROR(__xludf.DUMMYFUNCTION("""COMPUTED_VALUE"""),1.8801184E7)</f>
        <v>18801184</v>
      </c>
    </row>
    <row r="54">
      <c r="A54" s="3">
        <f>IFERROR(__xludf.DUMMYFUNCTION("""COMPUTED_VALUE"""),45005.66666666667)</f>
        <v>45005.66667</v>
      </c>
      <c r="B54" s="2">
        <f>IFERROR(__xludf.DUMMYFUNCTION("""COMPUTED_VALUE"""),217.0)</f>
        <v>217</v>
      </c>
      <c r="C54" s="2">
        <f>IFERROR(__xludf.DUMMYFUNCTION("""COMPUTED_VALUE"""),220.55)</f>
        <v>220.55</v>
      </c>
      <c r="D54" s="2">
        <f>IFERROR(__xludf.DUMMYFUNCTION("""COMPUTED_VALUE"""),216.84)</f>
        <v>216.84</v>
      </c>
      <c r="E54" s="2">
        <f>IFERROR(__xludf.DUMMYFUNCTION("""COMPUTED_VALUE"""),218.15)</f>
        <v>218.15</v>
      </c>
      <c r="F54" s="2">
        <f>IFERROR(__xludf.DUMMYFUNCTION("""COMPUTED_VALUE"""),9817486.0)</f>
        <v>9817486</v>
      </c>
    </row>
    <row r="55">
      <c r="A55" s="3">
        <f>IFERROR(__xludf.DUMMYFUNCTION("""COMPUTED_VALUE"""),45006.66666666667)</f>
        <v>45006.66667</v>
      </c>
      <c r="B55" s="2">
        <f>IFERROR(__xludf.DUMMYFUNCTION("""COMPUTED_VALUE"""),221.34)</f>
        <v>221.34</v>
      </c>
      <c r="C55" s="2">
        <f>IFERROR(__xludf.DUMMYFUNCTION("""COMPUTED_VALUE"""),222.51)</f>
        <v>222.51</v>
      </c>
      <c r="D55" s="2">
        <f>IFERROR(__xludf.DUMMYFUNCTION("""COMPUTED_VALUE"""),218.68)</f>
        <v>218.68</v>
      </c>
      <c r="E55" s="2">
        <f>IFERROR(__xludf.DUMMYFUNCTION("""COMPUTED_VALUE"""),221.95)</f>
        <v>221.95</v>
      </c>
      <c r="F55" s="2">
        <f>IFERROR(__xludf.DUMMYFUNCTION("""COMPUTED_VALUE"""),8971367.0)</f>
        <v>8971367</v>
      </c>
    </row>
    <row r="56">
      <c r="A56" s="3">
        <f>IFERROR(__xludf.DUMMYFUNCTION("""COMPUTED_VALUE"""),45007.66666666667)</f>
        <v>45007.66667</v>
      </c>
      <c r="B56" s="2">
        <f>IFERROR(__xludf.DUMMYFUNCTION("""COMPUTED_VALUE"""),222.5)</f>
        <v>222.5</v>
      </c>
      <c r="C56" s="2">
        <f>IFERROR(__xludf.DUMMYFUNCTION("""COMPUTED_VALUE"""),224.9)</f>
        <v>224.9</v>
      </c>
      <c r="D56" s="2">
        <f>IFERROR(__xludf.DUMMYFUNCTION("""COMPUTED_VALUE"""),219.92)</f>
        <v>219.92</v>
      </c>
      <c r="E56" s="2">
        <f>IFERROR(__xludf.DUMMYFUNCTION("""COMPUTED_VALUE"""),220.04)</f>
        <v>220.04</v>
      </c>
      <c r="F56" s="2">
        <f>IFERROR(__xludf.DUMMYFUNCTION("""COMPUTED_VALUE"""),6700556.0)</f>
        <v>6700556</v>
      </c>
    </row>
    <row r="57">
      <c r="A57" s="3">
        <f>IFERROR(__xludf.DUMMYFUNCTION("""COMPUTED_VALUE"""),45008.66666666667)</f>
        <v>45008.66667</v>
      </c>
      <c r="B57" s="2">
        <f>IFERROR(__xludf.DUMMYFUNCTION("""COMPUTED_VALUE"""),220.44)</f>
        <v>220.44</v>
      </c>
      <c r="C57" s="2">
        <f>IFERROR(__xludf.DUMMYFUNCTION("""COMPUTED_VALUE"""),225.25)</f>
        <v>225.25</v>
      </c>
      <c r="D57" s="2">
        <f>IFERROR(__xludf.DUMMYFUNCTION("""COMPUTED_VALUE"""),220.26)</f>
        <v>220.26</v>
      </c>
      <c r="E57" s="2">
        <f>IFERROR(__xludf.DUMMYFUNCTION("""COMPUTED_VALUE"""),222.59)</f>
        <v>222.59</v>
      </c>
      <c r="F57" s="2">
        <f>IFERROR(__xludf.DUMMYFUNCTION("""COMPUTED_VALUE"""),6427712.0)</f>
        <v>6427712</v>
      </c>
    </row>
    <row r="58">
      <c r="A58" s="3">
        <f>IFERROR(__xludf.DUMMYFUNCTION("""COMPUTED_VALUE"""),45009.66666666667)</f>
        <v>45009.66667</v>
      </c>
      <c r="B58" s="2">
        <f>IFERROR(__xludf.DUMMYFUNCTION("""COMPUTED_VALUE"""),220.67)</f>
        <v>220.67</v>
      </c>
      <c r="C58" s="2">
        <f>IFERROR(__xludf.DUMMYFUNCTION("""COMPUTED_VALUE"""),221.33)</f>
        <v>221.33</v>
      </c>
      <c r="D58" s="2">
        <f>IFERROR(__xludf.DUMMYFUNCTION("""COMPUTED_VALUE"""),218.25)</f>
        <v>218.25</v>
      </c>
      <c r="E58" s="2">
        <f>IFERROR(__xludf.DUMMYFUNCTION("""COMPUTED_VALUE"""),221.04)</f>
        <v>221.04</v>
      </c>
      <c r="F58" s="2">
        <f>IFERROR(__xludf.DUMMYFUNCTION("""COMPUTED_VALUE"""),4792394.0)</f>
        <v>4792394</v>
      </c>
    </row>
    <row r="59">
      <c r="A59" s="3">
        <f>IFERROR(__xludf.DUMMYFUNCTION("""COMPUTED_VALUE"""),45012.66666666667)</f>
        <v>45012.66667</v>
      </c>
      <c r="B59" s="2">
        <f>IFERROR(__xludf.DUMMYFUNCTION("""COMPUTED_VALUE"""),222.59)</f>
        <v>222.59</v>
      </c>
      <c r="C59" s="2">
        <f>IFERROR(__xludf.DUMMYFUNCTION("""COMPUTED_VALUE"""),224.08)</f>
        <v>224.08</v>
      </c>
      <c r="D59" s="2">
        <f>IFERROR(__xludf.DUMMYFUNCTION("""COMPUTED_VALUE"""),221.39)</f>
        <v>221.39</v>
      </c>
      <c r="E59" s="2">
        <f>IFERROR(__xludf.DUMMYFUNCTION("""COMPUTED_VALUE"""),221.81)</f>
        <v>221.81</v>
      </c>
      <c r="F59" s="2">
        <f>IFERROR(__xludf.DUMMYFUNCTION("""COMPUTED_VALUE"""),7211050.0)</f>
        <v>7211050</v>
      </c>
    </row>
    <row r="60">
      <c r="A60" s="3">
        <f>IFERROR(__xludf.DUMMYFUNCTION("""COMPUTED_VALUE"""),45013.66666666667)</f>
        <v>45013.66667</v>
      </c>
      <c r="B60" s="2">
        <f>IFERROR(__xludf.DUMMYFUNCTION("""COMPUTED_VALUE"""),222.82)</f>
        <v>222.82</v>
      </c>
      <c r="C60" s="2">
        <f>IFERROR(__xludf.DUMMYFUNCTION("""COMPUTED_VALUE"""),223.33)</f>
        <v>223.33</v>
      </c>
      <c r="D60" s="2">
        <f>IFERROR(__xludf.DUMMYFUNCTION("""COMPUTED_VALUE"""),218.65)</f>
        <v>218.65</v>
      </c>
      <c r="E60" s="2">
        <f>IFERROR(__xludf.DUMMYFUNCTION("""COMPUTED_VALUE"""),220.33)</f>
        <v>220.33</v>
      </c>
      <c r="F60" s="2">
        <f>IFERROR(__xludf.DUMMYFUNCTION("""COMPUTED_VALUE"""),6418581.0)</f>
        <v>6418581</v>
      </c>
    </row>
    <row r="61">
      <c r="A61" s="3">
        <f>IFERROR(__xludf.DUMMYFUNCTION("""COMPUTED_VALUE"""),45014.66666666667)</f>
        <v>45014.66667</v>
      </c>
      <c r="B61" s="2">
        <f>IFERROR(__xludf.DUMMYFUNCTION("""COMPUTED_VALUE"""),222.29)</f>
        <v>222.29</v>
      </c>
      <c r="C61" s="2">
        <f>IFERROR(__xludf.DUMMYFUNCTION("""COMPUTED_VALUE"""),223.55)</f>
        <v>223.55</v>
      </c>
      <c r="D61" s="2">
        <f>IFERROR(__xludf.DUMMYFUNCTION("""COMPUTED_VALUE"""),220.92)</f>
        <v>220.92</v>
      </c>
      <c r="E61" s="2">
        <f>IFERROR(__xludf.DUMMYFUNCTION("""COMPUTED_VALUE"""),223.3)</f>
        <v>223.3</v>
      </c>
      <c r="F61" s="2">
        <f>IFERROR(__xludf.DUMMYFUNCTION("""COMPUTED_VALUE"""),4482956.0)</f>
        <v>4482956</v>
      </c>
    </row>
    <row r="62">
      <c r="A62" s="3">
        <f>IFERROR(__xludf.DUMMYFUNCTION("""COMPUTED_VALUE"""),45015.66666666667)</f>
        <v>45015.66667</v>
      </c>
      <c r="B62" s="2">
        <f>IFERROR(__xludf.DUMMYFUNCTION("""COMPUTED_VALUE"""),223.92)</f>
        <v>223.92</v>
      </c>
      <c r="C62" s="2">
        <f>IFERROR(__xludf.DUMMYFUNCTION("""COMPUTED_VALUE"""),224.24)</f>
        <v>224.24</v>
      </c>
      <c r="D62" s="2">
        <f>IFERROR(__xludf.DUMMYFUNCTION("""COMPUTED_VALUE"""),221.21)</f>
        <v>221.21</v>
      </c>
      <c r="E62" s="2">
        <f>IFERROR(__xludf.DUMMYFUNCTION("""COMPUTED_VALUE"""),222.36)</f>
        <v>222.36</v>
      </c>
      <c r="F62" s="2">
        <f>IFERROR(__xludf.DUMMYFUNCTION("""COMPUTED_VALUE"""),5383945.0)</f>
        <v>5383945</v>
      </c>
    </row>
    <row r="63">
      <c r="A63" s="3">
        <f>IFERROR(__xludf.DUMMYFUNCTION("""COMPUTED_VALUE"""),45016.66666666667)</f>
        <v>45016.66667</v>
      </c>
      <c r="B63" s="2">
        <f>IFERROR(__xludf.DUMMYFUNCTION("""COMPUTED_VALUE"""),223.6)</f>
        <v>223.6</v>
      </c>
      <c r="C63" s="2">
        <f>IFERROR(__xludf.DUMMYFUNCTION("""COMPUTED_VALUE"""),225.84)</f>
        <v>225.84</v>
      </c>
      <c r="D63" s="2">
        <f>IFERROR(__xludf.DUMMYFUNCTION("""COMPUTED_VALUE"""),223.29)</f>
        <v>223.29</v>
      </c>
      <c r="E63" s="2">
        <f>IFERROR(__xludf.DUMMYFUNCTION("""COMPUTED_VALUE"""),225.46)</f>
        <v>225.46</v>
      </c>
      <c r="F63" s="2">
        <f>IFERROR(__xludf.DUMMYFUNCTION("""COMPUTED_VALUE"""),9508978.0)</f>
        <v>9508978</v>
      </c>
    </row>
    <row r="64">
      <c r="A64" s="3">
        <f>IFERROR(__xludf.DUMMYFUNCTION("""COMPUTED_VALUE"""),45019.66666666667)</f>
        <v>45019.66667</v>
      </c>
      <c r="B64" s="2">
        <f>IFERROR(__xludf.DUMMYFUNCTION("""COMPUTED_VALUE"""),225.23)</f>
        <v>225.23</v>
      </c>
      <c r="C64" s="2">
        <f>IFERROR(__xludf.DUMMYFUNCTION("""COMPUTED_VALUE"""),229.16)</f>
        <v>229.16</v>
      </c>
      <c r="D64" s="2">
        <f>IFERROR(__xludf.DUMMYFUNCTION("""COMPUTED_VALUE"""),224.12)</f>
        <v>224.12</v>
      </c>
      <c r="E64" s="2">
        <f>IFERROR(__xludf.DUMMYFUNCTION("""COMPUTED_VALUE"""),229.0)</f>
        <v>229</v>
      </c>
      <c r="F64" s="2">
        <f>IFERROR(__xludf.DUMMYFUNCTION("""COMPUTED_VALUE"""),6421512.0)</f>
        <v>6421512</v>
      </c>
    </row>
    <row r="65">
      <c r="A65" s="3">
        <f>IFERROR(__xludf.DUMMYFUNCTION("""COMPUTED_VALUE"""),45020.66666666667)</f>
        <v>45020.66667</v>
      </c>
      <c r="B65" s="2">
        <f>IFERROR(__xludf.DUMMYFUNCTION("""COMPUTED_VALUE"""),229.0)</f>
        <v>229</v>
      </c>
      <c r="C65" s="2">
        <f>IFERROR(__xludf.DUMMYFUNCTION("""COMPUTED_VALUE"""),230.05)</f>
        <v>230.05</v>
      </c>
      <c r="D65" s="2">
        <f>IFERROR(__xludf.DUMMYFUNCTION("""COMPUTED_VALUE"""),226.83)</f>
        <v>226.83</v>
      </c>
      <c r="E65" s="2">
        <f>IFERROR(__xludf.DUMMYFUNCTION("""COMPUTED_VALUE"""),227.66)</f>
        <v>227.66</v>
      </c>
      <c r="F65" s="2">
        <f>IFERROR(__xludf.DUMMYFUNCTION("""COMPUTED_VALUE"""),5254725.0)</f>
        <v>5254725</v>
      </c>
    </row>
    <row r="66">
      <c r="A66" s="3">
        <f>IFERROR(__xludf.DUMMYFUNCTION("""COMPUTED_VALUE"""),45021.66666666667)</f>
        <v>45021.66667</v>
      </c>
      <c r="B66" s="2">
        <f>IFERROR(__xludf.DUMMYFUNCTION("""COMPUTED_VALUE"""),226.78)</f>
        <v>226.78</v>
      </c>
      <c r="C66" s="2">
        <f>IFERROR(__xludf.DUMMYFUNCTION("""COMPUTED_VALUE"""),228.47)</f>
        <v>228.47</v>
      </c>
      <c r="D66" s="2">
        <f>IFERROR(__xludf.DUMMYFUNCTION("""COMPUTED_VALUE"""),226.55)</f>
        <v>226.55</v>
      </c>
      <c r="E66" s="2">
        <f>IFERROR(__xludf.DUMMYFUNCTION("""COMPUTED_VALUE"""),228.17)</f>
        <v>228.17</v>
      </c>
      <c r="F66" s="2">
        <f>IFERROR(__xludf.DUMMYFUNCTION("""COMPUTED_VALUE"""),4813750.0)</f>
        <v>4813750</v>
      </c>
    </row>
    <row r="67">
      <c r="A67" s="3">
        <f>IFERROR(__xludf.DUMMYFUNCTION("""COMPUTED_VALUE"""),45022.66666666667)</f>
        <v>45022.66667</v>
      </c>
      <c r="B67" s="2">
        <f>IFERROR(__xludf.DUMMYFUNCTION("""COMPUTED_VALUE"""),226.16)</f>
        <v>226.16</v>
      </c>
      <c r="C67" s="2">
        <f>IFERROR(__xludf.DUMMYFUNCTION("""COMPUTED_VALUE"""),226.73)</f>
        <v>226.73</v>
      </c>
      <c r="D67" s="2">
        <f>IFERROR(__xludf.DUMMYFUNCTION("""COMPUTED_VALUE"""),224.68)</f>
        <v>224.68</v>
      </c>
      <c r="E67" s="2">
        <f>IFERROR(__xludf.DUMMYFUNCTION("""COMPUTED_VALUE"""),225.99)</f>
        <v>225.99</v>
      </c>
      <c r="F67" s="2">
        <f>IFERROR(__xludf.DUMMYFUNCTION("""COMPUTED_VALUE"""),4285206.0)</f>
        <v>4285206</v>
      </c>
    </row>
    <row r="68">
      <c r="A68" s="3">
        <f>IFERROR(__xludf.DUMMYFUNCTION("""COMPUTED_VALUE"""),45026.66666666667)</f>
        <v>45026.66667</v>
      </c>
      <c r="B68" s="2">
        <f>IFERROR(__xludf.DUMMYFUNCTION("""COMPUTED_VALUE"""),225.56)</f>
        <v>225.56</v>
      </c>
      <c r="C68" s="2">
        <f>IFERROR(__xludf.DUMMYFUNCTION("""COMPUTED_VALUE"""),226.48)</f>
        <v>226.48</v>
      </c>
      <c r="D68" s="2">
        <f>IFERROR(__xludf.DUMMYFUNCTION("""COMPUTED_VALUE"""),224.32)</f>
        <v>224.32</v>
      </c>
      <c r="E68" s="2">
        <f>IFERROR(__xludf.DUMMYFUNCTION("""COMPUTED_VALUE"""),226.43)</f>
        <v>226.43</v>
      </c>
      <c r="F68" s="2">
        <f>IFERROR(__xludf.DUMMYFUNCTION("""COMPUTED_VALUE"""),4952351.0)</f>
        <v>4952351</v>
      </c>
    </row>
    <row r="69">
      <c r="A69" s="3">
        <f>IFERROR(__xludf.DUMMYFUNCTION("""COMPUTED_VALUE"""),45027.66666666667)</f>
        <v>45027.66667</v>
      </c>
      <c r="B69" s="2">
        <f>IFERROR(__xludf.DUMMYFUNCTION("""COMPUTED_VALUE"""),227.0)</f>
        <v>227</v>
      </c>
      <c r="C69" s="2">
        <f>IFERROR(__xludf.DUMMYFUNCTION("""COMPUTED_VALUE"""),229.14)</f>
        <v>229.14</v>
      </c>
      <c r="D69" s="2">
        <f>IFERROR(__xludf.DUMMYFUNCTION("""COMPUTED_VALUE"""),226.2)</f>
        <v>226.2</v>
      </c>
      <c r="E69" s="2">
        <f>IFERROR(__xludf.DUMMYFUNCTION("""COMPUTED_VALUE"""),228.45)</f>
        <v>228.45</v>
      </c>
      <c r="F69" s="2">
        <f>IFERROR(__xludf.DUMMYFUNCTION("""COMPUTED_VALUE"""),4513395.0)</f>
        <v>4513395</v>
      </c>
    </row>
    <row r="70">
      <c r="A70" s="3">
        <f>IFERROR(__xludf.DUMMYFUNCTION("""COMPUTED_VALUE"""),45028.66666666667)</f>
        <v>45028.66667</v>
      </c>
      <c r="B70" s="2">
        <f>IFERROR(__xludf.DUMMYFUNCTION("""COMPUTED_VALUE"""),229.93)</f>
        <v>229.93</v>
      </c>
      <c r="C70" s="2">
        <f>IFERROR(__xludf.DUMMYFUNCTION("""COMPUTED_VALUE"""),231.59)</f>
        <v>231.59</v>
      </c>
      <c r="D70" s="2">
        <f>IFERROR(__xludf.DUMMYFUNCTION("""COMPUTED_VALUE"""),227.33)</f>
        <v>227.33</v>
      </c>
      <c r="E70" s="2">
        <f>IFERROR(__xludf.DUMMYFUNCTION("""COMPUTED_VALUE"""),227.81)</f>
        <v>227.81</v>
      </c>
      <c r="F70" s="2">
        <f>IFERROR(__xludf.DUMMYFUNCTION("""COMPUTED_VALUE"""),4373002.0)</f>
        <v>4373002</v>
      </c>
    </row>
    <row r="71">
      <c r="A71" s="3">
        <f>IFERROR(__xludf.DUMMYFUNCTION("""COMPUTED_VALUE"""),45029.66666666667)</f>
        <v>45029.66667</v>
      </c>
      <c r="B71" s="2">
        <f>IFERROR(__xludf.DUMMYFUNCTION("""COMPUTED_VALUE"""),229.46)</f>
        <v>229.46</v>
      </c>
      <c r="C71" s="2">
        <f>IFERROR(__xludf.DUMMYFUNCTION("""COMPUTED_VALUE"""),232.84)</f>
        <v>232.84</v>
      </c>
      <c r="D71" s="2">
        <f>IFERROR(__xludf.DUMMYFUNCTION("""COMPUTED_VALUE"""),228.8)</f>
        <v>228.8</v>
      </c>
      <c r="E71" s="2">
        <f>IFERROR(__xludf.DUMMYFUNCTION("""COMPUTED_VALUE"""),232.69)</f>
        <v>232.69</v>
      </c>
      <c r="F71" s="2">
        <f>IFERROR(__xludf.DUMMYFUNCTION("""COMPUTED_VALUE"""),7615523.0)</f>
        <v>7615523</v>
      </c>
    </row>
    <row r="72">
      <c r="A72" s="3">
        <f>IFERROR(__xludf.DUMMYFUNCTION("""COMPUTED_VALUE"""),45030.66666666667)</f>
        <v>45030.66667</v>
      </c>
      <c r="B72" s="2">
        <f>IFERROR(__xludf.DUMMYFUNCTION("""COMPUTED_VALUE"""),232.99)</f>
        <v>232.99</v>
      </c>
      <c r="C72" s="2">
        <f>IFERROR(__xludf.DUMMYFUNCTION("""COMPUTED_VALUE"""),234.99)</f>
        <v>234.99</v>
      </c>
      <c r="D72" s="2">
        <f>IFERROR(__xludf.DUMMYFUNCTION("""COMPUTED_VALUE"""),232.24)</f>
        <v>232.24</v>
      </c>
      <c r="E72" s="2">
        <f>IFERROR(__xludf.DUMMYFUNCTION("""COMPUTED_VALUE"""),234.02)</f>
        <v>234.02</v>
      </c>
      <c r="F72" s="2">
        <f>IFERROR(__xludf.DUMMYFUNCTION("""COMPUTED_VALUE"""),9781266.0)</f>
        <v>9781266</v>
      </c>
    </row>
    <row r="73">
      <c r="A73" s="3">
        <f>IFERROR(__xludf.DUMMYFUNCTION("""COMPUTED_VALUE"""),45033.66666666667)</f>
        <v>45033.66667</v>
      </c>
      <c r="B73" s="2">
        <f>IFERROR(__xludf.DUMMYFUNCTION("""COMPUTED_VALUE"""),234.02)</f>
        <v>234.02</v>
      </c>
      <c r="C73" s="2">
        <f>IFERROR(__xludf.DUMMYFUNCTION("""COMPUTED_VALUE"""),234.05)</f>
        <v>234.05</v>
      </c>
      <c r="D73" s="2">
        <f>IFERROR(__xludf.DUMMYFUNCTION("""COMPUTED_VALUE"""),230.94)</f>
        <v>230.94</v>
      </c>
      <c r="E73" s="2">
        <f>IFERROR(__xludf.DUMMYFUNCTION("""COMPUTED_VALUE"""),233.48)</f>
        <v>233.48</v>
      </c>
      <c r="F73" s="2">
        <f>IFERROR(__xludf.DUMMYFUNCTION("""COMPUTED_VALUE"""),4865041.0)</f>
        <v>4865041</v>
      </c>
    </row>
    <row r="74">
      <c r="A74" s="3">
        <f>IFERROR(__xludf.DUMMYFUNCTION("""COMPUTED_VALUE"""),45034.66666666667)</f>
        <v>45034.66667</v>
      </c>
      <c r="B74" s="2">
        <f>IFERROR(__xludf.DUMMYFUNCTION("""COMPUTED_VALUE"""),233.75)</f>
        <v>233.75</v>
      </c>
      <c r="C74" s="2">
        <f>IFERROR(__xludf.DUMMYFUNCTION("""COMPUTED_VALUE"""),234.33)</f>
        <v>234.33</v>
      </c>
      <c r="D74" s="2">
        <f>IFERROR(__xludf.DUMMYFUNCTION("""COMPUTED_VALUE"""),231.69)</f>
        <v>231.69</v>
      </c>
      <c r="E74" s="2">
        <f>IFERROR(__xludf.DUMMYFUNCTION("""COMPUTED_VALUE"""),233.6)</f>
        <v>233.6</v>
      </c>
      <c r="F74" s="2">
        <f>IFERROR(__xludf.DUMMYFUNCTION("""COMPUTED_VALUE"""),4796178.0)</f>
        <v>4796178</v>
      </c>
    </row>
    <row r="75">
      <c r="A75" s="3">
        <f>IFERROR(__xludf.DUMMYFUNCTION("""COMPUTED_VALUE"""),45035.66666666667)</f>
        <v>45035.66667</v>
      </c>
      <c r="B75" s="2">
        <f>IFERROR(__xludf.DUMMYFUNCTION("""COMPUTED_VALUE"""),234.0)</f>
        <v>234</v>
      </c>
      <c r="C75" s="2">
        <f>IFERROR(__xludf.DUMMYFUNCTION("""COMPUTED_VALUE"""),234.06)</f>
        <v>234.06</v>
      </c>
      <c r="D75" s="2">
        <f>IFERROR(__xludf.DUMMYFUNCTION("""COMPUTED_VALUE"""),231.85)</f>
        <v>231.85</v>
      </c>
      <c r="E75" s="2">
        <f>IFERROR(__xludf.DUMMYFUNCTION("""COMPUTED_VALUE"""),232.57)</f>
        <v>232.57</v>
      </c>
      <c r="F75" s="2">
        <f>IFERROR(__xludf.DUMMYFUNCTION("""COMPUTED_VALUE"""),3833933.0)</f>
        <v>3833933</v>
      </c>
    </row>
    <row r="76">
      <c r="A76" s="3">
        <f>IFERROR(__xludf.DUMMYFUNCTION("""COMPUTED_VALUE"""),45036.66666666667)</f>
        <v>45036.66667</v>
      </c>
      <c r="B76" s="2">
        <f>IFERROR(__xludf.DUMMYFUNCTION("""COMPUTED_VALUE"""),232.46)</f>
        <v>232.46</v>
      </c>
      <c r="C76" s="2">
        <f>IFERROR(__xludf.DUMMYFUNCTION("""COMPUTED_VALUE"""),234.67)</f>
        <v>234.67</v>
      </c>
      <c r="D76" s="2">
        <f>IFERROR(__xludf.DUMMYFUNCTION("""COMPUTED_VALUE"""),231.5)</f>
        <v>231.5</v>
      </c>
      <c r="E76" s="2">
        <f>IFERROR(__xludf.DUMMYFUNCTION("""COMPUTED_VALUE"""),234.6)</f>
        <v>234.6</v>
      </c>
      <c r="F76" s="2">
        <f>IFERROR(__xludf.DUMMYFUNCTION("""COMPUTED_VALUE"""),4925659.0)</f>
        <v>4925659</v>
      </c>
    </row>
    <row r="77">
      <c r="A77" s="3">
        <f>IFERROR(__xludf.DUMMYFUNCTION("""COMPUTED_VALUE"""),45037.66666666667)</f>
        <v>45037.66667</v>
      </c>
      <c r="B77" s="2">
        <f>IFERROR(__xludf.DUMMYFUNCTION("""COMPUTED_VALUE"""),235.0)</f>
        <v>235</v>
      </c>
      <c r="C77" s="2">
        <f>IFERROR(__xludf.DUMMYFUNCTION("""COMPUTED_VALUE"""),235.57)</f>
        <v>235.57</v>
      </c>
      <c r="D77" s="2">
        <f>IFERROR(__xludf.DUMMYFUNCTION("""COMPUTED_VALUE"""),233.38)</f>
        <v>233.38</v>
      </c>
      <c r="E77" s="2">
        <f>IFERROR(__xludf.DUMMYFUNCTION("""COMPUTED_VALUE"""),234.05)</f>
        <v>234.05</v>
      </c>
      <c r="F77" s="2">
        <f>IFERROR(__xludf.DUMMYFUNCTION("""COMPUTED_VALUE"""),6771589.0)</f>
        <v>6771589</v>
      </c>
    </row>
    <row r="78">
      <c r="A78" s="3">
        <f>IFERROR(__xludf.DUMMYFUNCTION("""COMPUTED_VALUE"""),45040.66666666667)</f>
        <v>45040.66667</v>
      </c>
      <c r="B78" s="2">
        <f>IFERROR(__xludf.DUMMYFUNCTION("""COMPUTED_VALUE"""),234.23)</f>
        <v>234.23</v>
      </c>
      <c r="C78" s="2">
        <f>IFERROR(__xludf.DUMMYFUNCTION("""COMPUTED_VALUE"""),235.15)</f>
        <v>235.15</v>
      </c>
      <c r="D78" s="2">
        <f>IFERROR(__xludf.DUMMYFUNCTION("""COMPUTED_VALUE"""),231.51)</f>
        <v>231.51</v>
      </c>
      <c r="E78" s="2">
        <f>IFERROR(__xludf.DUMMYFUNCTION("""COMPUTED_VALUE"""),232.76)</f>
        <v>232.76</v>
      </c>
      <c r="F78" s="2">
        <f>IFERROR(__xludf.DUMMYFUNCTION("""COMPUTED_VALUE"""),9124050.0)</f>
        <v>9124050</v>
      </c>
    </row>
    <row r="79">
      <c r="A79" s="3">
        <f>IFERROR(__xludf.DUMMYFUNCTION("""COMPUTED_VALUE"""),45041.66666666667)</f>
        <v>45041.66667</v>
      </c>
      <c r="B79" s="2">
        <f>IFERROR(__xludf.DUMMYFUNCTION("""COMPUTED_VALUE"""),233.02)</f>
        <v>233.02</v>
      </c>
      <c r="C79" s="2">
        <f>IFERROR(__xludf.DUMMYFUNCTION("""COMPUTED_VALUE"""),235.02)</f>
        <v>235.02</v>
      </c>
      <c r="D79" s="2">
        <f>IFERROR(__xludf.DUMMYFUNCTION("""COMPUTED_VALUE"""),229.43)</f>
        <v>229.43</v>
      </c>
      <c r="E79" s="2">
        <f>IFERROR(__xludf.DUMMYFUNCTION("""COMPUTED_VALUE"""),229.59)</f>
        <v>229.59</v>
      </c>
      <c r="F79" s="2">
        <f>IFERROR(__xludf.DUMMYFUNCTION("""COMPUTED_VALUE"""),6076450.0)</f>
        <v>6076450</v>
      </c>
    </row>
    <row r="80">
      <c r="A80" s="3">
        <f>IFERROR(__xludf.DUMMYFUNCTION("""COMPUTED_VALUE"""),45042.66666666667)</f>
        <v>45042.66667</v>
      </c>
      <c r="B80" s="2">
        <f>IFERROR(__xludf.DUMMYFUNCTION("""COMPUTED_VALUE"""),231.22)</f>
        <v>231.22</v>
      </c>
      <c r="C80" s="2">
        <f>IFERROR(__xludf.DUMMYFUNCTION("""COMPUTED_VALUE"""),232.77)</f>
        <v>232.77</v>
      </c>
      <c r="D80" s="2">
        <f>IFERROR(__xludf.DUMMYFUNCTION("""COMPUTED_VALUE"""),226.72)</f>
        <v>226.72</v>
      </c>
      <c r="E80" s="2">
        <f>IFERROR(__xludf.DUMMYFUNCTION("""COMPUTED_VALUE"""),228.15)</f>
        <v>228.15</v>
      </c>
      <c r="F80" s="2">
        <f>IFERROR(__xludf.DUMMYFUNCTION("""COMPUTED_VALUE"""),8400370.0)</f>
        <v>8400370</v>
      </c>
    </row>
    <row r="81">
      <c r="A81" s="3">
        <f>IFERROR(__xludf.DUMMYFUNCTION("""COMPUTED_VALUE"""),45043.66666666667)</f>
        <v>45043.66667</v>
      </c>
      <c r="B81" s="2">
        <f>IFERROR(__xludf.DUMMYFUNCTION("""COMPUTED_VALUE"""),228.67)</f>
        <v>228.67</v>
      </c>
      <c r="C81" s="2">
        <f>IFERROR(__xludf.DUMMYFUNCTION("""COMPUTED_VALUE"""),229.63)</f>
        <v>229.63</v>
      </c>
      <c r="D81" s="2">
        <f>IFERROR(__xludf.DUMMYFUNCTION("""COMPUTED_VALUE"""),226.61)</f>
        <v>226.61</v>
      </c>
      <c r="E81" s="2">
        <f>IFERROR(__xludf.DUMMYFUNCTION("""COMPUTED_VALUE"""),229.01)</f>
        <v>229.01</v>
      </c>
      <c r="F81" s="2">
        <f>IFERROR(__xludf.DUMMYFUNCTION("""COMPUTED_VALUE"""),7128188.0)</f>
        <v>7128188</v>
      </c>
    </row>
    <row r="82">
      <c r="A82" s="3">
        <f>IFERROR(__xludf.DUMMYFUNCTION("""COMPUTED_VALUE"""),45044.66666666667)</f>
        <v>45044.66667</v>
      </c>
      <c r="B82" s="2">
        <f>IFERROR(__xludf.DUMMYFUNCTION("""COMPUTED_VALUE"""),228.65)</f>
        <v>228.65</v>
      </c>
      <c r="C82" s="2">
        <f>IFERROR(__xludf.DUMMYFUNCTION("""COMPUTED_VALUE"""),233.57)</f>
        <v>233.57</v>
      </c>
      <c r="D82" s="2">
        <f>IFERROR(__xludf.DUMMYFUNCTION("""COMPUTED_VALUE"""),228.06)</f>
        <v>228.06</v>
      </c>
      <c r="E82" s="2">
        <f>IFERROR(__xludf.DUMMYFUNCTION("""COMPUTED_VALUE"""),232.73)</f>
        <v>232.73</v>
      </c>
      <c r="F82" s="2">
        <f>IFERROR(__xludf.DUMMYFUNCTION("""COMPUTED_VALUE"""),1.1627877E7)</f>
        <v>11627877</v>
      </c>
    </row>
    <row r="83">
      <c r="A83" s="3">
        <f>IFERROR(__xludf.DUMMYFUNCTION("""COMPUTED_VALUE"""),45047.66666666667)</f>
        <v>45047.66667</v>
      </c>
      <c r="B83" s="2">
        <f>IFERROR(__xludf.DUMMYFUNCTION("""COMPUTED_VALUE"""),232.87)</f>
        <v>232.87</v>
      </c>
      <c r="C83" s="2">
        <f>IFERROR(__xludf.DUMMYFUNCTION("""COMPUTED_VALUE"""),234.59)</f>
        <v>234.59</v>
      </c>
      <c r="D83" s="2">
        <f>IFERROR(__xludf.DUMMYFUNCTION("""COMPUTED_VALUE"""),231.51)</f>
        <v>231.51</v>
      </c>
      <c r="E83" s="2">
        <f>IFERROR(__xludf.DUMMYFUNCTION("""COMPUTED_VALUE"""),232.51)</f>
        <v>232.51</v>
      </c>
      <c r="F83" s="2">
        <f>IFERROR(__xludf.DUMMYFUNCTION("""COMPUTED_VALUE"""),4571070.0)</f>
        <v>4571070</v>
      </c>
    </row>
    <row r="84">
      <c r="A84" s="3">
        <f>IFERROR(__xludf.DUMMYFUNCTION("""COMPUTED_VALUE"""),45048.66666666667)</f>
        <v>45048.66667</v>
      </c>
      <c r="B84" s="2">
        <f>IFERROR(__xludf.DUMMYFUNCTION("""COMPUTED_VALUE"""),231.95)</f>
        <v>231.95</v>
      </c>
      <c r="C84" s="2">
        <f>IFERROR(__xludf.DUMMYFUNCTION("""COMPUTED_VALUE"""),232.37)</f>
        <v>232.37</v>
      </c>
      <c r="D84" s="2">
        <f>IFERROR(__xludf.DUMMYFUNCTION("""COMPUTED_VALUE"""),226.21)</f>
        <v>226.21</v>
      </c>
      <c r="E84" s="2">
        <f>IFERROR(__xludf.DUMMYFUNCTION("""COMPUTED_VALUE"""),226.98)</f>
        <v>226.98</v>
      </c>
      <c r="F84" s="2">
        <f>IFERROR(__xludf.DUMMYFUNCTION("""COMPUTED_VALUE"""),5244016.0)</f>
        <v>5244016</v>
      </c>
    </row>
    <row r="85">
      <c r="A85" s="3">
        <f>IFERROR(__xludf.DUMMYFUNCTION("""COMPUTED_VALUE"""),45049.66666666667)</f>
        <v>45049.66667</v>
      </c>
      <c r="B85" s="2">
        <f>IFERROR(__xludf.DUMMYFUNCTION("""COMPUTED_VALUE"""),226.98)</f>
        <v>226.98</v>
      </c>
      <c r="C85" s="2">
        <f>IFERROR(__xludf.DUMMYFUNCTION("""COMPUTED_VALUE"""),228.67)</f>
        <v>228.67</v>
      </c>
      <c r="D85" s="2">
        <f>IFERROR(__xludf.DUMMYFUNCTION("""COMPUTED_VALUE"""),225.92)</f>
        <v>225.92</v>
      </c>
      <c r="E85" s="2">
        <f>IFERROR(__xludf.DUMMYFUNCTION("""COMPUTED_VALUE"""),225.98)</f>
        <v>225.98</v>
      </c>
      <c r="F85" s="2">
        <f>IFERROR(__xludf.DUMMYFUNCTION("""COMPUTED_VALUE"""),4093320.0)</f>
        <v>4093320</v>
      </c>
    </row>
    <row r="86">
      <c r="A86" s="3">
        <f>IFERROR(__xludf.DUMMYFUNCTION("""COMPUTED_VALUE"""),45050.66666666667)</f>
        <v>45050.66667</v>
      </c>
      <c r="B86" s="2">
        <f>IFERROR(__xludf.DUMMYFUNCTION("""COMPUTED_VALUE"""),224.84)</f>
        <v>224.84</v>
      </c>
      <c r="C86" s="2">
        <f>IFERROR(__xludf.DUMMYFUNCTION("""COMPUTED_VALUE"""),226.06)</f>
        <v>226.06</v>
      </c>
      <c r="D86" s="2">
        <f>IFERROR(__xludf.DUMMYFUNCTION("""COMPUTED_VALUE"""),223.48)</f>
        <v>223.48</v>
      </c>
      <c r="E86" s="2">
        <f>IFERROR(__xludf.DUMMYFUNCTION("""COMPUTED_VALUE"""),225.6)</f>
        <v>225.6</v>
      </c>
      <c r="F86" s="2">
        <f>IFERROR(__xludf.DUMMYFUNCTION("""COMPUTED_VALUE"""),5648862.0)</f>
        <v>5648862</v>
      </c>
    </row>
    <row r="87">
      <c r="A87" s="3">
        <f>IFERROR(__xludf.DUMMYFUNCTION("""COMPUTED_VALUE"""),45051.66666666667)</f>
        <v>45051.66667</v>
      </c>
      <c r="B87" s="2">
        <f>IFERROR(__xludf.DUMMYFUNCTION("""COMPUTED_VALUE"""),228.34)</f>
        <v>228.34</v>
      </c>
      <c r="C87" s="2">
        <f>IFERROR(__xludf.DUMMYFUNCTION("""COMPUTED_VALUE"""),232.34)</f>
        <v>232.34</v>
      </c>
      <c r="D87" s="2">
        <f>IFERROR(__xludf.DUMMYFUNCTION("""COMPUTED_VALUE"""),227.29)</f>
        <v>227.29</v>
      </c>
      <c r="E87" s="2">
        <f>IFERROR(__xludf.DUMMYFUNCTION("""COMPUTED_VALUE"""),231.78)</f>
        <v>231.78</v>
      </c>
      <c r="F87" s="2">
        <f>IFERROR(__xludf.DUMMYFUNCTION("""COMPUTED_VALUE"""),6237483.0)</f>
        <v>6237483</v>
      </c>
    </row>
    <row r="88">
      <c r="A88" s="3">
        <f>IFERROR(__xludf.DUMMYFUNCTION("""COMPUTED_VALUE"""),45054.66666666667)</f>
        <v>45054.66667</v>
      </c>
      <c r="B88" s="2">
        <f>IFERROR(__xludf.DUMMYFUNCTION("""COMPUTED_VALUE"""),231.25)</f>
        <v>231.25</v>
      </c>
      <c r="C88" s="2">
        <f>IFERROR(__xludf.DUMMYFUNCTION("""COMPUTED_VALUE"""),233.45)</f>
        <v>233.45</v>
      </c>
      <c r="D88" s="2">
        <f>IFERROR(__xludf.DUMMYFUNCTION("""COMPUTED_VALUE"""),231.25)</f>
        <v>231.25</v>
      </c>
      <c r="E88" s="2">
        <f>IFERROR(__xludf.DUMMYFUNCTION("""COMPUTED_VALUE"""),232.23)</f>
        <v>232.23</v>
      </c>
      <c r="F88" s="2">
        <f>IFERROR(__xludf.DUMMYFUNCTION("""COMPUTED_VALUE"""),2938546.0)</f>
        <v>2938546</v>
      </c>
    </row>
    <row r="89">
      <c r="A89" s="3">
        <f>IFERROR(__xludf.DUMMYFUNCTION("""COMPUTED_VALUE"""),45055.66666666667)</f>
        <v>45055.66667</v>
      </c>
      <c r="B89" s="2">
        <f>IFERROR(__xludf.DUMMYFUNCTION("""COMPUTED_VALUE"""),231.08)</f>
        <v>231.08</v>
      </c>
      <c r="C89" s="2">
        <f>IFERROR(__xludf.DUMMYFUNCTION("""COMPUTED_VALUE"""),234.09)</f>
        <v>234.09</v>
      </c>
      <c r="D89" s="2">
        <f>IFERROR(__xludf.DUMMYFUNCTION("""COMPUTED_VALUE"""),230.82)</f>
        <v>230.82</v>
      </c>
      <c r="E89" s="2">
        <f>IFERROR(__xludf.DUMMYFUNCTION("""COMPUTED_VALUE"""),233.26)</f>
        <v>233.26</v>
      </c>
      <c r="F89" s="2">
        <f>IFERROR(__xludf.DUMMYFUNCTION("""COMPUTED_VALUE"""),4352067.0)</f>
        <v>4352067</v>
      </c>
    </row>
    <row r="90">
      <c r="A90" s="3">
        <f>IFERROR(__xludf.DUMMYFUNCTION("""COMPUTED_VALUE"""),45056.66666666667)</f>
        <v>45056.66667</v>
      </c>
      <c r="B90" s="2">
        <f>IFERROR(__xludf.DUMMYFUNCTION("""COMPUTED_VALUE"""),234.3)</f>
        <v>234.3</v>
      </c>
      <c r="C90" s="2">
        <f>IFERROR(__xludf.DUMMYFUNCTION("""COMPUTED_VALUE"""),234.81)</f>
        <v>234.81</v>
      </c>
      <c r="D90" s="2">
        <f>IFERROR(__xludf.DUMMYFUNCTION("""COMPUTED_VALUE"""),228.9)</f>
        <v>228.9</v>
      </c>
      <c r="E90" s="2">
        <f>IFERROR(__xludf.DUMMYFUNCTION("""COMPUTED_VALUE"""),231.27)</f>
        <v>231.27</v>
      </c>
      <c r="F90" s="2">
        <f>IFERROR(__xludf.DUMMYFUNCTION("""COMPUTED_VALUE"""),5245220.0)</f>
        <v>5245220</v>
      </c>
    </row>
    <row r="91">
      <c r="A91" s="3">
        <f>IFERROR(__xludf.DUMMYFUNCTION("""COMPUTED_VALUE"""),45057.66666666667)</f>
        <v>45057.66667</v>
      </c>
      <c r="B91" s="2">
        <f>IFERROR(__xludf.DUMMYFUNCTION("""COMPUTED_VALUE"""),230.75)</f>
        <v>230.75</v>
      </c>
      <c r="C91" s="2">
        <f>IFERROR(__xludf.DUMMYFUNCTION("""COMPUTED_VALUE"""),231.52)</f>
        <v>231.52</v>
      </c>
      <c r="D91" s="2">
        <f>IFERROR(__xludf.DUMMYFUNCTION("""COMPUTED_VALUE"""),228.27)</f>
        <v>228.27</v>
      </c>
      <c r="E91" s="2">
        <f>IFERROR(__xludf.DUMMYFUNCTION("""COMPUTED_VALUE"""),231.01)</f>
        <v>231.01</v>
      </c>
      <c r="F91" s="2">
        <f>IFERROR(__xludf.DUMMYFUNCTION("""COMPUTED_VALUE"""),3818035.0)</f>
        <v>3818035</v>
      </c>
    </row>
    <row r="92">
      <c r="A92" s="3">
        <f>IFERROR(__xludf.DUMMYFUNCTION("""COMPUTED_VALUE"""),45058.66666666667)</f>
        <v>45058.66667</v>
      </c>
      <c r="B92" s="2">
        <f>IFERROR(__xludf.DUMMYFUNCTION("""COMPUTED_VALUE"""),232.0)</f>
        <v>232</v>
      </c>
      <c r="C92" s="2">
        <f>IFERROR(__xludf.DUMMYFUNCTION("""COMPUTED_VALUE"""),232.73)</f>
        <v>232.73</v>
      </c>
      <c r="D92" s="2">
        <f>IFERROR(__xludf.DUMMYFUNCTION("""COMPUTED_VALUE"""),229.82)</f>
        <v>229.82</v>
      </c>
      <c r="E92" s="2">
        <f>IFERROR(__xludf.DUMMYFUNCTION("""COMPUTED_VALUE"""),231.38)</f>
        <v>231.38</v>
      </c>
      <c r="F92" s="2">
        <f>IFERROR(__xludf.DUMMYFUNCTION("""COMPUTED_VALUE"""),3432730.0)</f>
        <v>3432730</v>
      </c>
    </row>
    <row r="93">
      <c r="A93" s="3">
        <f>IFERROR(__xludf.DUMMYFUNCTION("""COMPUTED_VALUE"""),45061.66666666667)</f>
        <v>45061.66667</v>
      </c>
      <c r="B93" s="2">
        <f>IFERROR(__xludf.DUMMYFUNCTION("""COMPUTED_VALUE"""),231.19)</f>
        <v>231.19</v>
      </c>
      <c r="C93" s="2">
        <f>IFERROR(__xludf.DUMMYFUNCTION("""COMPUTED_VALUE"""),232.83)</f>
        <v>232.83</v>
      </c>
      <c r="D93" s="2">
        <f>IFERROR(__xludf.DUMMYFUNCTION("""COMPUTED_VALUE"""),230.55)</f>
        <v>230.55</v>
      </c>
      <c r="E93" s="2">
        <f>IFERROR(__xludf.DUMMYFUNCTION("""COMPUTED_VALUE"""),232.81)</f>
        <v>232.81</v>
      </c>
      <c r="F93" s="2">
        <f>IFERROR(__xludf.DUMMYFUNCTION("""COMPUTED_VALUE"""),2843284.0)</f>
        <v>2843284</v>
      </c>
    </row>
    <row r="94">
      <c r="A94" s="3">
        <f>IFERROR(__xludf.DUMMYFUNCTION("""COMPUTED_VALUE"""),45062.66666666667)</f>
        <v>45062.66667</v>
      </c>
      <c r="B94" s="2">
        <f>IFERROR(__xludf.DUMMYFUNCTION("""COMPUTED_VALUE"""),232.56)</f>
        <v>232.56</v>
      </c>
      <c r="C94" s="2">
        <f>IFERROR(__xludf.DUMMYFUNCTION("""COMPUTED_VALUE"""),233.1)</f>
        <v>233.1</v>
      </c>
      <c r="D94" s="2">
        <f>IFERROR(__xludf.DUMMYFUNCTION("""COMPUTED_VALUE"""),229.63)</f>
        <v>229.63</v>
      </c>
      <c r="E94" s="2">
        <f>IFERROR(__xludf.DUMMYFUNCTION("""COMPUTED_VALUE"""),230.47)</f>
        <v>230.47</v>
      </c>
      <c r="F94" s="2">
        <f>IFERROR(__xludf.DUMMYFUNCTION("""COMPUTED_VALUE"""),4289809.0)</f>
        <v>4289809</v>
      </c>
    </row>
    <row r="95">
      <c r="A95" s="3">
        <f>IFERROR(__xludf.DUMMYFUNCTION("""COMPUTED_VALUE"""),45063.66666666667)</f>
        <v>45063.66667</v>
      </c>
      <c r="B95" s="2">
        <f>IFERROR(__xludf.DUMMYFUNCTION("""COMPUTED_VALUE"""),232.73)</f>
        <v>232.73</v>
      </c>
      <c r="C95" s="2">
        <f>IFERROR(__xludf.DUMMYFUNCTION("""COMPUTED_VALUE"""),233.89)</f>
        <v>233.89</v>
      </c>
      <c r="D95" s="2">
        <f>IFERROR(__xludf.DUMMYFUNCTION("""COMPUTED_VALUE"""),230.55)</f>
        <v>230.55</v>
      </c>
      <c r="E95" s="2">
        <f>IFERROR(__xludf.DUMMYFUNCTION("""COMPUTED_VALUE"""),232.65)</f>
        <v>232.65</v>
      </c>
      <c r="F95" s="2">
        <f>IFERROR(__xludf.DUMMYFUNCTION("""COMPUTED_VALUE"""),4990276.0)</f>
        <v>4990276</v>
      </c>
    </row>
    <row r="96">
      <c r="A96" s="3">
        <f>IFERROR(__xludf.DUMMYFUNCTION("""COMPUTED_VALUE"""),45064.66666666667)</f>
        <v>45064.66667</v>
      </c>
      <c r="B96" s="2">
        <f>IFERROR(__xludf.DUMMYFUNCTION("""COMPUTED_VALUE"""),232.4)</f>
        <v>232.4</v>
      </c>
      <c r="C96" s="2">
        <f>IFERROR(__xludf.DUMMYFUNCTION("""COMPUTED_VALUE"""),234.15)</f>
        <v>234.15</v>
      </c>
      <c r="D96" s="2">
        <f>IFERROR(__xludf.DUMMYFUNCTION("""COMPUTED_VALUE"""),231.13)</f>
        <v>231.13</v>
      </c>
      <c r="E96" s="2">
        <f>IFERROR(__xludf.DUMMYFUNCTION("""COMPUTED_VALUE"""),233.6)</f>
        <v>233.6</v>
      </c>
      <c r="F96" s="2">
        <f>IFERROR(__xludf.DUMMYFUNCTION("""COMPUTED_VALUE"""),6621870.0)</f>
        <v>6621870</v>
      </c>
    </row>
    <row r="97">
      <c r="A97" s="3">
        <f>IFERROR(__xludf.DUMMYFUNCTION("""COMPUTED_VALUE"""),45065.66666666667)</f>
        <v>45065.66667</v>
      </c>
      <c r="B97" s="2">
        <f>IFERROR(__xludf.DUMMYFUNCTION("""COMPUTED_VALUE"""),234.0)</f>
        <v>234</v>
      </c>
      <c r="C97" s="2">
        <f>IFERROR(__xludf.DUMMYFUNCTION("""COMPUTED_VALUE"""),234.34)</f>
        <v>234.34</v>
      </c>
      <c r="D97" s="2">
        <f>IFERROR(__xludf.DUMMYFUNCTION("""COMPUTED_VALUE"""),231.94)</f>
        <v>231.94</v>
      </c>
      <c r="E97" s="2">
        <f>IFERROR(__xludf.DUMMYFUNCTION("""COMPUTED_VALUE"""),233.31)</f>
        <v>233.31</v>
      </c>
      <c r="F97" s="2">
        <f>IFERROR(__xludf.DUMMYFUNCTION("""COMPUTED_VALUE"""),5399403.0)</f>
        <v>5399403</v>
      </c>
    </row>
    <row r="98">
      <c r="A98" s="3">
        <f>IFERROR(__xludf.DUMMYFUNCTION("""COMPUTED_VALUE"""),45068.66666666667)</f>
        <v>45068.66667</v>
      </c>
      <c r="B98" s="2">
        <f>IFERROR(__xludf.DUMMYFUNCTION("""COMPUTED_VALUE"""),233.31)</f>
        <v>233.31</v>
      </c>
      <c r="C98" s="2">
        <f>IFERROR(__xludf.DUMMYFUNCTION("""COMPUTED_VALUE"""),233.87)</f>
        <v>233.87</v>
      </c>
      <c r="D98" s="2">
        <f>IFERROR(__xludf.DUMMYFUNCTION("""COMPUTED_VALUE"""),231.18)</f>
        <v>231.18</v>
      </c>
      <c r="E98" s="2">
        <f>IFERROR(__xludf.DUMMYFUNCTION("""COMPUTED_VALUE"""),231.28)</f>
        <v>231.28</v>
      </c>
      <c r="F98" s="2">
        <f>IFERROR(__xludf.DUMMYFUNCTION("""COMPUTED_VALUE"""),3987775.0)</f>
        <v>3987775</v>
      </c>
    </row>
    <row r="99">
      <c r="A99" s="3">
        <f>IFERROR(__xludf.DUMMYFUNCTION("""COMPUTED_VALUE"""),45069.66666666667)</f>
        <v>45069.66667</v>
      </c>
      <c r="B99" s="2">
        <f>IFERROR(__xludf.DUMMYFUNCTION("""COMPUTED_VALUE"""),229.27)</f>
        <v>229.27</v>
      </c>
      <c r="C99" s="2">
        <f>IFERROR(__xludf.DUMMYFUNCTION("""COMPUTED_VALUE"""),229.49)</f>
        <v>229.49</v>
      </c>
      <c r="D99" s="2">
        <f>IFERROR(__xludf.DUMMYFUNCTION("""COMPUTED_VALUE"""),223.66)</f>
        <v>223.66</v>
      </c>
      <c r="E99" s="2">
        <f>IFERROR(__xludf.DUMMYFUNCTION("""COMPUTED_VALUE"""),224.58)</f>
        <v>224.58</v>
      </c>
      <c r="F99" s="2">
        <f>IFERROR(__xludf.DUMMYFUNCTION("""COMPUTED_VALUE"""),8537241.0)</f>
        <v>8537241</v>
      </c>
    </row>
    <row r="100">
      <c r="A100" s="3">
        <f>IFERROR(__xludf.DUMMYFUNCTION("""COMPUTED_VALUE"""),45070.66666666667)</f>
        <v>45070.66667</v>
      </c>
      <c r="B100" s="2">
        <f>IFERROR(__xludf.DUMMYFUNCTION("""COMPUTED_VALUE"""),222.55)</f>
        <v>222.55</v>
      </c>
      <c r="C100" s="2">
        <f>IFERROR(__xludf.DUMMYFUNCTION("""COMPUTED_VALUE"""),223.1)</f>
        <v>223.1</v>
      </c>
      <c r="D100" s="2">
        <f>IFERROR(__xludf.DUMMYFUNCTION("""COMPUTED_VALUE"""),220.03)</f>
        <v>220.03</v>
      </c>
      <c r="E100" s="2">
        <f>IFERROR(__xludf.DUMMYFUNCTION("""COMPUTED_VALUE"""),222.25)</f>
        <v>222.25</v>
      </c>
      <c r="F100" s="2">
        <f>IFERROR(__xludf.DUMMYFUNCTION("""COMPUTED_VALUE"""),6730750.0)</f>
        <v>6730750</v>
      </c>
    </row>
    <row r="101">
      <c r="A101" s="3">
        <f>IFERROR(__xludf.DUMMYFUNCTION("""COMPUTED_VALUE"""),45071.66666666667)</f>
        <v>45071.66667</v>
      </c>
      <c r="B101" s="2">
        <f>IFERROR(__xludf.DUMMYFUNCTION("""COMPUTED_VALUE"""),222.45)</f>
        <v>222.45</v>
      </c>
      <c r="C101" s="2">
        <f>IFERROR(__xludf.DUMMYFUNCTION("""COMPUTED_VALUE"""),224.69)</f>
        <v>224.69</v>
      </c>
      <c r="D101" s="2">
        <f>IFERROR(__xludf.DUMMYFUNCTION("""COMPUTED_VALUE"""),220.49)</f>
        <v>220.49</v>
      </c>
      <c r="E101" s="2">
        <f>IFERROR(__xludf.DUMMYFUNCTION("""COMPUTED_VALUE"""),223.38)</f>
        <v>223.38</v>
      </c>
      <c r="F101" s="2">
        <f>IFERROR(__xludf.DUMMYFUNCTION("""COMPUTED_VALUE"""),6827756.0)</f>
        <v>6827756</v>
      </c>
    </row>
    <row r="102">
      <c r="A102" s="3">
        <f>IFERROR(__xludf.DUMMYFUNCTION("""COMPUTED_VALUE"""),45072.66666666667)</f>
        <v>45072.66667</v>
      </c>
      <c r="B102" s="2">
        <f>IFERROR(__xludf.DUMMYFUNCTION("""COMPUTED_VALUE"""),223.82)</f>
        <v>223.82</v>
      </c>
      <c r="C102" s="2">
        <f>IFERROR(__xludf.DUMMYFUNCTION("""COMPUTED_VALUE"""),226.21)</f>
        <v>226.21</v>
      </c>
      <c r="D102" s="2">
        <f>IFERROR(__xludf.DUMMYFUNCTION("""COMPUTED_VALUE"""),223.34)</f>
        <v>223.34</v>
      </c>
      <c r="E102" s="2">
        <f>IFERROR(__xludf.DUMMYFUNCTION("""COMPUTED_VALUE"""),225.01)</f>
        <v>225.01</v>
      </c>
      <c r="F102" s="2">
        <f>IFERROR(__xludf.DUMMYFUNCTION("""COMPUTED_VALUE"""),5067460.0)</f>
        <v>5067460</v>
      </c>
    </row>
    <row r="103">
      <c r="A103" s="3">
        <f>IFERROR(__xludf.DUMMYFUNCTION("""COMPUTED_VALUE"""),45076.66666666667)</f>
        <v>45076.66667</v>
      </c>
      <c r="B103" s="2">
        <f>IFERROR(__xludf.DUMMYFUNCTION("""COMPUTED_VALUE"""),225.01)</f>
        <v>225.01</v>
      </c>
      <c r="C103" s="2">
        <f>IFERROR(__xludf.DUMMYFUNCTION("""COMPUTED_VALUE"""),225.47)</f>
        <v>225.47</v>
      </c>
      <c r="D103" s="2">
        <f>IFERROR(__xludf.DUMMYFUNCTION("""COMPUTED_VALUE"""),219.75)</f>
        <v>219.75</v>
      </c>
      <c r="E103" s="2">
        <f>IFERROR(__xludf.DUMMYFUNCTION("""COMPUTED_VALUE"""),221.64)</f>
        <v>221.64</v>
      </c>
      <c r="F103" s="2">
        <f>IFERROR(__xludf.DUMMYFUNCTION("""COMPUTED_VALUE"""),6916013.0)</f>
        <v>6916013</v>
      </c>
    </row>
    <row r="104">
      <c r="A104" s="3">
        <f>IFERROR(__xludf.DUMMYFUNCTION("""COMPUTED_VALUE"""),45077.66666666667)</f>
        <v>45077.66667</v>
      </c>
      <c r="B104" s="2">
        <f>IFERROR(__xludf.DUMMYFUNCTION("""COMPUTED_VALUE"""),219.96)</f>
        <v>219.96</v>
      </c>
      <c r="C104" s="2">
        <f>IFERROR(__xludf.DUMMYFUNCTION("""COMPUTED_VALUE"""),221.53)</f>
        <v>221.53</v>
      </c>
      <c r="D104" s="2">
        <f>IFERROR(__xludf.DUMMYFUNCTION("""COMPUTED_VALUE"""),216.14)</f>
        <v>216.14</v>
      </c>
      <c r="E104" s="2">
        <f>IFERROR(__xludf.DUMMYFUNCTION("""COMPUTED_VALUE"""),221.03)</f>
        <v>221.03</v>
      </c>
      <c r="F104" s="2">
        <f>IFERROR(__xludf.DUMMYFUNCTION("""COMPUTED_VALUE"""),2.0460616E7)</f>
        <v>20460616</v>
      </c>
    </row>
    <row r="105">
      <c r="A105" s="3">
        <f>IFERROR(__xludf.DUMMYFUNCTION("""COMPUTED_VALUE"""),45078.66666666667)</f>
        <v>45078.66667</v>
      </c>
      <c r="B105" s="2">
        <f>IFERROR(__xludf.DUMMYFUNCTION("""COMPUTED_VALUE"""),222.73)</f>
        <v>222.73</v>
      </c>
      <c r="C105" s="2">
        <f>IFERROR(__xludf.DUMMYFUNCTION("""COMPUTED_VALUE"""),226.71)</f>
        <v>226.71</v>
      </c>
      <c r="D105" s="2">
        <f>IFERROR(__xludf.DUMMYFUNCTION("""COMPUTED_VALUE"""),222.43)</f>
        <v>222.43</v>
      </c>
      <c r="E105" s="2">
        <f>IFERROR(__xludf.DUMMYFUNCTION("""COMPUTED_VALUE"""),226.5)</f>
        <v>226.5</v>
      </c>
      <c r="F105" s="2">
        <f>IFERROR(__xludf.DUMMYFUNCTION("""COMPUTED_VALUE"""),7003563.0)</f>
        <v>7003563</v>
      </c>
    </row>
    <row r="106">
      <c r="A106" s="3">
        <f>IFERROR(__xludf.DUMMYFUNCTION("""COMPUTED_VALUE"""),45079.66666666667)</f>
        <v>45079.66667</v>
      </c>
      <c r="B106" s="2">
        <f>IFERROR(__xludf.DUMMYFUNCTION("""COMPUTED_VALUE"""),228.81)</f>
        <v>228.81</v>
      </c>
      <c r="C106" s="2">
        <f>IFERROR(__xludf.DUMMYFUNCTION("""COMPUTED_VALUE"""),230.27)</f>
        <v>230.27</v>
      </c>
      <c r="D106" s="2">
        <f>IFERROR(__xludf.DUMMYFUNCTION("""COMPUTED_VALUE"""),227.42)</f>
        <v>227.42</v>
      </c>
      <c r="E106" s="2">
        <f>IFERROR(__xludf.DUMMYFUNCTION("""COMPUTED_VALUE"""),228.79)</f>
        <v>228.79</v>
      </c>
      <c r="F106" s="2">
        <f>IFERROR(__xludf.DUMMYFUNCTION("""COMPUTED_VALUE"""),5897069.0)</f>
        <v>5897069</v>
      </c>
    </row>
    <row r="107">
      <c r="A107" s="3">
        <f>IFERROR(__xludf.DUMMYFUNCTION("""COMPUTED_VALUE"""),45082.66666666667)</f>
        <v>45082.66667</v>
      </c>
      <c r="B107" s="2">
        <f>IFERROR(__xludf.DUMMYFUNCTION("""COMPUTED_VALUE"""),227.91)</f>
        <v>227.91</v>
      </c>
      <c r="C107" s="2">
        <f>IFERROR(__xludf.DUMMYFUNCTION("""COMPUTED_VALUE"""),228.33)</f>
        <v>228.33</v>
      </c>
      <c r="D107" s="2">
        <f>IFERROR(__xludf.DUMMYFUNCTION("""COMPUTED_VALUE"""),225.31)</f>
        <v>225.31</v>
      </c>
      <c r="E107" s="2">
        <f>IFERROR(__xludf.DUMMYFUNCTION("""COMPUTED_VALUE"""),226.77)</f>
        <v>226.77</v>
      </c>
      <c r="F107" s="2">
        <f>IFERROR(__xludf.DUMMYFUNCTION("""COMPUTED_VALUE"""),4858949.0)</f>
        <v>4858949</v>
      </c>
    </row>
    <row r="108">
      <c r="A108" s="3">
        <f>IFERROR(__xludf.DUMMYFUNCTION("""COMPUTED_VALUE"""),45083.66666666667)</f>
        <v>45083.66667</v>
      </c>
      <c r="B108" s="2">
        <f>IFERROR(__xludf.DUMMYFUNCTION("""COMPUTED_VALUE"""),226.69)</f>
        <v>226.69</v>
      </c>
      <c r="C108" s="2">
        <f>IFERROR(__xludf.DUMMYFUNCTION("""COMPUTED_VALUE"""),229.25)</f>
        <v>229.25</v>
      </c>
      <c r="D108" s="2">
        <f>IFERROR(__xludf.DUMMYFUNCTION("""COMPUTED_VALUE"""),226.16)</f>
        <v>226.16</v>
      </c>
      <c r="E108" s="2">
        <f>IFERROR(__xludf.DUMMYFUNCTION("""COMPUTED_VALUE"""),228.22)</f>
        <v>228.22</v>
      </c>
      <c r="F108" s="2">
        <f>IFERROR(__xludf.DUMMYFUNCTION("""COMPUTED_VALUE"""),6020168.0)</f>
        <v>6020168</v>
      </c>
    </row>
    <row r="109">
      <c r="A109" s="3">
        <f>IFERROR(__xludf.DUMMYFUNCTION("""COMPUTED_VALUE"""),45084.66666666667)</f>
        <v>45084.66667</v>
      </c>
      <c r="B109" s="2">
        <f>IFERROR(__xludf.DUMMYFUNCTION("""COMPUTED_VALUE"""),227.0)</f>
        <v>227</v>
      </c>
      <c r="C109" s="2">
        <f>IFERROR(__xludf.DUMMYFUNCTION("""COMPUTED_VALUE"""),227.55)</f>
        <v>227.55</v>
      </c>
      <c r="D109" s="2">
        <f>IFERROR(__xludf.DUMMYFUNCTION("""COMPUTED_VALUE"""),221.02)</f>
        <v>221.02</v>
      </c>
      <c r="E109" s="2">
        <f>IFERROR(__xludf.DUMMYFUNCTION("""COMPUTED_VALUE"""),225.27)</f>
        <v>225.27</v>
      </c>
      <c r="F109" s="2">
        <f>IFERROR(__xludf.DUMMYFUNCTION("""COMPUTED_VALUE"""),8517188.0)</f>
        <v>8517188</v>
      </c>
    </row>
    <row r="110">
      <c r="A110" s="3">
        <f>IFERROR(__xludf.DUMMYFUNCTION("""COMPUTED_VALUE"""),45085.66666666667)</f>
        <v>45085.66667</v>
      </c>
      <c r="B110" s="2">
        <f>IFERROR(__xludf.DUMMYFUNCTION("""COMPUTED_VALUE"""),225.09)</f>
        <v>225.09</v>
      </c>
      <c r="C110" s="2">
        <f>IFERROR(__xludf.DUMMYFUNCTION("""COMPUTED_VALUE"""),225.14)</f>
        <v>225.14</v>
      </c>
      <c r="D110" s="2">
        <f>IFERROR(__xludf.DUMMYFUNCTION("""COMPUTED_VALUE"""),222.41)</f>
        <v>222.41</v>
      </c>
      <c r="E110" s="2">
        <f>IFERROR(__xludf.DUMMYFUNCTION("""COMPUTED_VALUE"""),223.05)</f>
        <v>223.05</v>
      </c>
      <c r="F110" s="2">
        <f>IFERROR(__xludf.DUMMYFUNCTION("""COMPUTED_VALUE"""),6250073.0)</f>
        <v>6250073</v>
      </c>
    </row>
    <row r="111">
      <c r="A111" s="3">
        <f>IFERROR(__xludf.DUMMYFUNCTION("""COMPUTED_VALUE"""),45086.66666666667)</f>
        <v>45086.66667</v>
      </c>
      <c r="B111" s="2">
        <f>IFERROR(__xludf.DUMMYFUNCTION("""COMPUTED_VALUE"""),223.64)</f>
        <v>223.64</v>
      </c>
      <c r="C111" s="2">
        <f>IFERROR(__xludf.DUMMYFUNCTION("""COMPUTED_VALUE"""),225.18)</f>
        <v>225.18</v>
      </c>
      <c r="D111" s="2">
        <f>IFERROR(__xludf.DUMMYFUNCTION("""COMPUTED_VALUE"""),222.76)</f>
        <v>222.76</v>
      </c>
      <c r="E111" s="2">
        <f>IFERROR(__xludf.DUMMYFUNCTION("""COMPUTED_VALUE"""),223.56)</f>
        <v>223.56</v>
      </c>
      <c r="F111" s="2">
        <f>IFERROR(__xludf.DUMMYFUNCTION("""COMPUTED_VALUE"""),6385287.0)</f>
        <v>6385287</v>
      </c>
    </row>
    <row r="112">
      <c r="A112" s="3">
        <f>IFERROR(__xludf.DUMMYFUNCTION("""COMPUTED_VALUE"""),45089.66666666667)</f>
        <v>45089.66667</v>
      </c>
      <c r="B112" s="2">
        <f>IFERROR(__xludf.DUMMYFUNCTION("""COMPUTED_VALUE"""),224.41)</f>
        <v>224.41</v>
      </c>
      <c r="C112" s="2">
        <f>IFERROR(__xludf.DUMMYFUNCTION("""COMPUTED_VALUE"""),226.45)</f>
        <v>226.45</v>
      </c>
      <c r="D112" s="2">
        <f>IFERROR(__xludf.DUMMYFUNCTION("""COMPUTED_VALUE"""),223.63)</f>
        <v>223.63</v>
      </c>
      <c r="E112" s="2">
        <f>IFERROR(__xludf.DUMMYFUNCTION("""COMPUTED_VALUE"""),226.17)</f>
        <v>226.17</v>
      </c>
      <c r="F112" s="2">
        <f>IFERROR(__xludf.DUMMYFUNCTION("""COMPUTED_VALUE"""),8621521.0)</f>
        <v>8621521</v>
      </c>
    </row>
    <row r="113">
      <c r="A113" s="3">
        <f>IFERROR(__xludf.DUMMYFUNCTION("""COMPUTED_VALUE"""),45090.66666666667)</f>
        <v>45090.66667</v>
      </c>
      <c r="B113" s="2">
        <f>IFERROR(__xludf.DUMMYFUNCTION("""COMPUTED_VALUE"""),225.62)</f>
        <v>225.62</v>
      </c>
      <c r="C113" s="2">
        <f>IFERROR(__xludf.DUMMYFUNCTION("""COMPUTED_VALUE"""),227.15)</f>
        <v>227.15</v>
      </c>
      <c r="D113" s="2">
        <f>IFERROR(__xludf.DUMMYFUNCTION("""COMPUTED_VALUE"""),222.63)</f>
        <v>222.63</v>
      </c>
      <c r="E113" s="2">
        <f>IFERROR(__xludf.DUMMYFUNCTION("""COMPUTED_VALUE"""),223.4)</f>
        <v>223.4</v>
      </c>
      <c r="F113" s="2">
        <f>IFERROR(__xludf.DUMMYFUNCTION("""COMPUTED_VALUE"""),6868741.0)</f>
        <v>6868741</v>
      </c>
    </row>
    <row r="114">
      <c r="A114" s="3">
        <f>IFERROR(__xludf.DUMMYFUNCTION("""COMPUTED_VALUE"""),45091.66666666667)</f>
        <v>45091.66667</v>
      </c>
      <c r="B114" s="2">
        <f>IFERROR(__xludf.DUMMYFUNCTION("""COMPUTED_VALUE"""),223.74)</f>
        <v>223.74</v>
      </c>
      <c r="C114" s="2">
        <f>IFERROR(__xludf.DUMMYFUNCTION("""COMPUTED_VALUE"""),225.47)</f>
        <v>225.47</v>
      </c>
      <c r="D114" s="2">
        <f>IFERROR(__xludf.DUMMYFUNCTION("""COMPUTED_VALUE"""),222.58)</f>
        <v>222.58</v>
      </c>
      <c r="E114" s="2">
        <f>IFERROR(__xludf.DUMMYFUNCTION("""COMPUTED_VALUE"""),223.44)</f>
        <v>223.44</v>
      </c>
      <c r="F114" s="2">
        <f>IFERROR(__xludf.DUMMYFUNCTION("""COMPUTED_VALUE"""),9160723.0)</f>
        <v>9160723</v>
      </c>
    </row>
    <row r="115">
      <c r="A115" s="3">
        <f>IFERROR(__xludf.DUMMYFUNCTION("""COMPUTED_VALUE"""),45092.66666666667)</f>
        <v>45092.66667</v>
      </c>
      <c r="B115" s="2">
        <f>IFERROR(__xludf.DUMMYFUNCTION("""COMPUTED_VALUE"""),222.02)</f>
        <v>222.02</v>
      </c>
      <c r="C115" s="2">
        <f>IFERROR(__xludf.DUMMYFUNCTION("""COMPUTED_VALUE"""),227.11)</f>
        <v>227.11</v>
      </c>
      <c r="D115" s="2">
        <f>IFERROR(__xludf.DUMMYFUNCTION("""COMPUTED_VALUE"""),221.37)</f>
        <v>221.37</v>
      </c>
      <c r="E115" s="2">
        <f>IFERROR(__xludf.DUMMYFUNCTION("""COMPUTED_VALUE"""),226.17)</f>
        <v>226.17</v>
      </c>
      <c r="F115" s="2">
        <f>IFERROR(__xludf.DUMMYFUNCTION("""COMPUTED_VALUE"""),1.253397E7)</f>
        <v>12533970</v>
      </c>
    </row>
    <row r="116">
      <c r="A116" s="3">
        <f>IFERROR(__xludf.DUMMYFUNCTION("""COMPUTED_VALUE"""),45093.66666666667)</f>
        <v>45093.66667</v>
      </c>
      <c r="B116" s="2">
        <f>IFERROR(__xludf.DUMMYFUNCTION("""COMPUTED_VALUE"""),226.45)</f>
        <v>226.45</v>
      </c>
      <c r="C116" s="2">
        <f>IFERROR(__xludf.DUMMYFUNCTION("""COMPUTED_VALUE"""),229.8)</f>
        <v>229.8</v>
      </c>
      <c r="D116" s="2">
        <f>IFERROR(__xludf.DUMMYFUNCTION("""COMPUTED_VALUE"""),226.08)</f>
        <v>226.08</v>
      </c>
      <c r="E116" s="2">
        <f>IFERROR(__xludf.DUMMYFUNCTION("""COMPUTED_VALUE"""),228.91)</f>
        <v>228.91</v>
      </c>
      <c r="F116" s="2">
        <f>IFERROR(__xludf.DUMMYFUNCTION("""COMPUTED_VALUE"""),1.3628902E7)</f>
        <v>13628902</v>
      </c>
    </row>
    <row r="117">
      <c r="A117" s="3">
        <f>IFERROR(__xludf.DUMMYFUNCTION("""COMPUTED_VALUE"""),45097.66666666667)</f>
        <v>45097.66667</v>
      </c>
      <c r="B117" s="2">
        <f>IFERROR(__xludf.DUMMYFUNCTION("""COMPUTED_VALUE"""),227.0)</f>
        <v>227</v>
      </c>
      <c r="C117" s="2">
        <f>IFERROR(__xludf.DUMMYFUNCTION("""COMPUTED_VALUE"""),229.57)</f>
        <v>229.57</v>
      </c>
      <c r="D117" s="2">
        <f>IFERROR(__xludf.DUMMYFUNCTION("""COMPUTED_VALUE"""),226.18)</f>
        <v>226.18</v>
      </c>
      <c r="E117" s="2">
        <f>IFERROR(__xludf.DUMMYFUNCTION("""COMPUTED_VALUE"""),226.47)</f>
        <v>226.47</v>
      </c>
      <c r="F117" s="2">
        <f>IFERROR(__xludf.DUMMYFUNCTION("""COMPUTED_VALUE"""),1.2312629E7)</f>
        <v>12312629</v>
      </c>
    </row>
    <row r="118">
      <c r="A118" s="3">
        <f>IFERROR(__xludf.DUMMYFUNCTION("""COMPUTED_VALUE"""),45098.66666666667)</f>
        <v>45098.66667</v>
      </c>
      <c r="B118" s="2">
        <f>IFERROR(__xludf.DUMMYFUNCTION("""COMPUTED_VALUE"""),226.12)</f>
        <v>226.12</v>
      </c>
      <c r="C118" s="2">
        <f>IFERROR(__xludf.DUMMYFUNCTION("""COMPUTED_VALUE"""),228.63)</f>
        <v>228.63</v>
      </c>
      <c r="D118" s="2">
        <f>IFERROR(__xludf.DUMMYFUNCTION("""COMPUTED_VALUE"""),224.98)</f>
        <v>224.98</v>
      </c>
      <c r="E118" s="2">
        <f>IFERROR(__xludf.DUMMYFUNCTION("""COMPUTED_VALUE"""),227.25)</f>
        <v>227.25</v>
      </c>
      <c r="F118" s="2">
        <f>IFERROR(__xludf.DUMMYFUNCTION("""COMPUTED_VALUE"""),7032143.0)</f>
        <v>7032143</v>
      </c>
    </row>
    <row r="119">
      <c r="A119" s="3">
        <f>IFERROR(__xludf.DUMMYFUNCTION("""COMPUTED_VALUE"""),45099.66666666667)</f>
        <v>45099.66667</v>
      </c>
      <c r="B119" s="2">
        <f>IFERROR(__xludf.DUMMYFUNCTION("""COMPUTED_VALUE"""),226.36)</f>
        <v>226.36</v>
      </c>
      <c r="C119" s="2">
        <f>IFERROR(__xludf.DUMMYFUNCTION("""COMPUTED_VALUE"""),228.93)</f>
        <v>228.93</v>
      </c>
      <c r="D119" s="2">
        <f>IFERROR(__xludf.DUMMYFUNCTION("""COMPUTED_VALUE"""),225.5)</f>
        <v>225.5</v>
      </c>
      <c r="E119" s="2">
        <f>IFERROR(__xludf.DUMMYFUNCTION("""COMPUTED_VALUE"""),228.39)</f>
        <v>228.39</v>
      </c>
      <c r="F119" s="2">
        <f>IFERROR(__xludf.DUMMYFUNCTION("""COMPUTED_VALUE"""),6275806.0)</f>
        <v>6275806</v>
      </c>
    </row>
    <row r="120">
      <c r="A120" s="3">
        <f>IFERROR(__xludf.DUMMYFUNCTION("""COMPUTED_VALUE"""),45100.66666666667)</f>
        <v>45100.66667</v>
      </c>
      <c r="B120" s="2">
        <f>IFERROR(__xludf.DUMMYFUNCTION("""COMPUTED_VALUE"""),227.22)</f>
        <v>227.22</v>
      </c>
      <c r="C120" s="2">
        <f>IFERROR(__xludf.DUMMYFUNCTION("""COMPUTED_VALUE"""),229.98)</f>
        <v>229.98</v>
      </c>
      <c r="D120" s="2">
        <f>IFERROR(__xludf.DUMMYFUNCTION("""COMPUTED_VALUE"""),226.39)</f>
        <v>226.39</v>
      </c>
      <c r="E120" s="2">
        <f>IFERROR(__xludf.DUMMYFUNCTION("""COMPUTED_VALUE"""),229.55)</f>
        <v>229.55</v>
      </c>
      <c r="F120" s="2">
        <f>IFERROR(__xludf.DUMMYFUNCTION("""COMPUTED_VALUE"""),5424352.0)</f>
        <v>5424352</v>
      </c>
    </row>
    <row r="121">
      <c r="A121" s="3">
        <f>IFERROR(__xludf.DUMMYFUNCTION("""COMPUTED_VALUE"""),45103.66666666667)</f>
        <v>45103.66667</v>
      </c>
      <c r="B121" s="2">
        <f>IFERROR(__xludf.DUMMYFUNCTION("""COMPUTED_VALUE"""),229.44)</f>
        <v>229.44</v>
      </c>
      <c r="C121" s="2">
        <f>IFERROR(__xludf.DUMMYFUNCTION("""COMPUTED_VALUE"""),230.1)</f>
        <v>230.1</v>
      </c>
      <c r="D121" s="2">
        <f>IFERROR(__xludf.DUMMYFUNCTION("""COMPUTED_VALUE"""),226.2)</f>
        <v>226.2</v>
      </c>
      <c r="E121" s="2">
        <f>IFERROR(__xludf.DUMMYFUNCTION("""COMPUTED_VALUE"""),226.3)</f>
        <v>226.3</v>
      </c>
      <c r="F121" s="2">
        <f>IFERROR(__xludf.DUMMYFUNCTION("""COMPUTED_VALUE"""),5165372.0)</f>
        <v>5165372</v>
      </c>
    </row>
    <row r="122">
      <c r="A122" s="3">
        <f>IFERROR(__xludf.DUMMYFUNCTION("""COMPUTED_VALUE"""),45104.66666666667)</f>
        <v>45104.66667</v>
      </c>
      <c r="B122" s="2">
        <f>IFERROR(__xludf.DUMMYFUNCTION("""COMPUTED_VALUE"""),227.48)</f>
        <v>227.48</v>
      </c>
      <c r="C122" s="2">
        <f>IFERROR(__xludf.DUMMYFUNCTION("""COMPUTED_VALUE"""),228.61)</f>
        <v>228.61</v>
      </c>
      <c r="D122" s="2">
        <f>IFERROR(__xludf.DUMMYFUNCTION("""COMPUTED_VALUE"""),226.52)</f>
        <v>226.52</v>
      </c>
      <c r="E122" s="2">
        <f>IFERROR(__xludf.DUMMYFUNCTION("""COMPUTED_VALUE"""),227.34)</f>
        <v>227.34</v>
      </c>
      <c r="F122" s="2">
        <f>IFERROR(__xludf.DUMMYFUNCTION("""COMPUTED_VALUE"""),4628474.0)</f>
        <v>4628474</v>
      </c>
    </row>
    <row r="123">
      <c r="A123" s="3">
        <f>IFERROR(__xludf.DUMMYFUNCTION("""COMPUTED_VALUE"""),45105.66666666667)</f>
        <v>45105.66667</v>
      </c>
      <c r="B123" s="2">
        <f>IFERROR(__xludf.DUMMYFUNCTION("""COMPUTED_VALUE"""),227.5)</f>
        <v>227.5</v>
      </c>
      <c r="C123" s="2">
        <f>IFERROR(__xludf.DUMMYFUNCTION("""COMPUTED_VALUE"""),228.06)</f>
        <v>228.06</v>
      </c>
      <c r="D123" s="2">
        <f>IFERROR(__xludf.DUMMYFUNCTION("""COMPUTED_VALUE"""),226.02)</f>
        <v>226.02</v>
      </c>
      <c r="E123" s="2">
        <f>IFERROR(__xludf.DUMMYFUNCTION("""COMPUTED_VALUE"""),227.96)</f>
        <v>227.96</v>
      </c>
      <c r="F123" s="2">
        <f>IFERROR(__xludf.DUMMYFUNCTION("""COMPUTED_VALUE"""),5324532.0)</f>
        <v>5324532</v>
      </c>
    </row>
    <row r="124">
      <c r="A124" s="3">
        <f>IFERROR(__xludf.DUMMYFUNCTION("""COMPUTED_VALUE"""),45106.66666666667)</f>
        <v>45106.66667</v>
      </c>
      <c r="B124" s="2">
        <f>IFERROR(__xludf.DUMMYFUNCTION("""COMPUTED_VALUE"""),228.79)</f>
        <v>228.79</v>
      </c>
      <c r="C124" s="2">
        <f>IFERROR(__xludf.DUMMYFUNCTION("""COMPUTED_VALUE"""),234.7)</f>
        <v>234.7</v>
      </c>
      <c r="D124" s="2">
        <f>IFERROR(__xludf.DUMMYFUNCTION("""COMPUTED_VALUE"""),228.6)</f>
        <v>228.6</v>
      </c>
      <c r="E124" s="2">
        <f>IFERROR(__xludf.DUMMYFUNCTION("""COMPUTED_VALUE"""),234.32)</f>
        <v>234.32</v>
      </c>
      <c r="F124" s="2">
        <f>IFERROR(__xludf.DUMMYFUNCTION("""COMPUTED_VALUE"""),7118889.0)</f>
        <v>7118889</v>
      </c>
    </row>
    <row r="125">
      <c r="A125" s="3">
        <f>IFERROR(__xludf.DUMMYFUNCTION("""COMPUTED_VALUE"""),45107.66666666667)</f>
        <v>45107.66667</v>
      </c>
      <c r="B125" s="2">
        <f>IFERROR(__xludf.DUMMYFUNCTION("""COMPUTED_VALUE"""),236.27)</f>
        <v>236.27</v>
      </c>
      <c r="C125" s="2">
        <f>IFERROR(__xludf.DUMMYFUNCTION("""COMPUTED_VALUE"""),238.28)</f>
        <v>238.28</v>
      </c>
      <c r="D125" s="2">
        <f>IFERROR(__xludf.DUMMYFUNCTION("""COMPUTED_VALUE"""),235.95)</f>
        <v>235.95</v>
      </c>
      <c r="E125" s="2">
        <f>IFERROR(__xludf.DUMMYFUNCTION("""COMPUTED_VALUE"""),237.48)</f>
        <v>237.48</v>
      </c>
      <c r="F125" s="2">
        <f>IFERROR(__xludf.DUMMYFUNCTION("""COMPUTED_VALUE"""),6879444.0)</f>
        <v>6879444</v>
      </c>
    </row>
    <row r="126">
      <c r="A126" s="3">
        <f>IFERROR(__xludf.DUMMYFUNCTION("""COMPUTED_VALUE"""),45110.54166666667)</f>
        <v>45110.54167</v>
      </c>
      <c r="B126" s="2">
        <f>IFERROR(__xludf.DUMMYFUNCTION("""COMPUTED_VALUE"""),237.0)</f>
        <v>237</v>
      </c>
      <c r="C126" s="2">
        <f>IFERROR(__xludf.DUMMYFUNCTION("""COMPUTED_VALUE"""),238.4)</f>
        <v>238.4</v>
      </c>
      <c r="D126" s="2">
        <f>IFERROR(__xludf.DUMMYFUNCTION("""COMPUTED_VALUE"""),235.41)</f>
        <v>235.41</v>
      </c>
      <c r="E126" s="2">
        <f>IFERROR(__xludf.DUMMYFUNCTION("""COMPUTED_VALUE"""),237.97)</f>
        <v>237.97</v>
      </c>
      <c r="F126" s="2">
        <f>IFERROR(__xludf.DUMMYFUNCTION("""COMPUTED_VALUE"""),3087351.0)</f>
        <v>3087351</v>
      </c>
    </row>
    <row r="127">
      <c r="A127" s="3">
        <f>IFERROR(__xludf.DUMMYFUNCTION("""COMPUTED_VALUE"""),45112.66666666667)</f>
        <v>45112.66667</v>
      </c>
      <c r="B127" s="2">
        <f>IFERROR(__xludf.DUMMYFUNCTION("""COMPUTED_VALUE"""),234.41)</f>
        <v>234.41</v>
      </c>
      <c r="C127" s="2">
        <f>IFERROR(__xludf.DUMMYFUNCTION("""COMPUTED_VALUE"""),240.0)</f>
        <v>240</v>
      </c>
      <c r="D127" s="2">
        <f>IFERROR(__xludf.DUMMYFUNCTION("""COMPUTED_VALUE"""),233.99)</f>
        <v>233.99</v>
      </c>
      <c r="E127" s="2">
        <f>IFERROR(__xludf.DUMMYFUNCTION("""COMPUTED_VALUE"""),239.45)</f>
        <v>239.45</v>
      </c>
      <c r="F127" s="2">
        <f>IFERROR(__xludf.DUMMYFUNCTION("""COMPUTED_VALUE"""),7601399.0)</f>
        <v>7601399</v>
      </c>
    </row>
    <row r="128">
      <c r="A128" s="3">
        <f>IFERROR(__xludf.DUMMYFUNCTION("""COMPUTED_VALUE"""),45113.66666666667)</f>
        <v>45113.66667</v>
      </c>
      <c r="B128" s="2">
        <f>IFERROR(__xludf.DUMMYFUNCTION("""COMPUTED_VALUE"""),238.27)</f>
        <v>238.27</v>
      </c>
      <c r="C128" s="2">
        <f>IFERROR(__xludf.DUMMYFUNCTION("""COMPUTED_VALUE"""),239.6)</f>
        <v>239.6</v>
      </c>
      <c r="D128" s="2">
        <f>IFERROR(__xludf.DUMMYFUNCTION("""COMPUTED_VALUE"""),236.69)</f>
        <v>236.69</v>
      </c>
      <c r="E128" s="2">
        <f>IFERROR(__xludf.DUMMYFUNCTION("""COMPUTED_VALUE"""),238.88)</f>
        <v>238.88</v>
      </c>
      <c r="F128" s="2">
        <f>IFERROR(__xludf.DUMMYFUNCTION("""COMPUTED_VALUE"""),6442089.0)</f>
        <v>6442089</v>
      </c>
    </row>
    <row r="129">
      <c r="A129" s="3">
        <f>IFERROR(__xludf.DUMMYFUNCTION("""COMPUTED_VALUE"""),45114.66666666667)</f>
        <v>45114.66667</v>
      </c>
      <c r="B129" s="2">
        <f>IFERROR(__xludf.DUMMYFUNCTION("""COMPUTED_VALUE"""),236.73)</f>
        <v>236.73</v>
      </c>
      <c r="C129" s="2">
        <f>IFERROR(__xludf.DUMMYFUNCTION("""COMPUTED_VALUE"""),238.44)</f>
        <v>238.44</v>
      </c>
      <c r="D129" s="2">
        <f>IFERROR(__xludf.DUMMYFUNCTION("""COMPUTED_VALUE"""),236.13)</f>
        <v>236.13</v>
      </c>
      <c r="E129" s="2">
        <f>IFERROR(__xludf.DUMMYFUNCTION("""COMPUTED_VALUE"""),236.45)</f>
        <v>236.45</v>
      </c>
      <c r="F129" s="2">
        <f>IFERROR(__xludf.DUMMYFUNCTION("""COMPUTED_VALUE"""),5729515.0)</f>
        <v>5729515</v>
      </c>
    </row>
    <row r="130">
      <c r="A130" s="3">
        <f>IFERROR(__xludf.DUMMYFUNCTION("""COMPUTED_VALUE"""),45117.66666666667)</f>
        <v>45117.66667</v>
      </c>
      <c r="B130" s="2">
        <f>IFERROR(__xludf.DUMMYFUNCTION("""COMPUTED_VALUE"""),237.01)</f>
        <v>237.01</v>
      </c>
      <c r="C130" s="2">
        <f>IFERROR(__xludf.DUMMYFUNCTION("""COMPUTED_VALUE"""),239.1)</f>
        <v>239.1</v>
      </c>
      <c r="D130" s="2">
        <f>IFERROR(__xludf.DUMMYFUNCTION("""COMPUTED_VALUE"""),236.5)</f>
        <v>236.5</v>
      </c>
      <c r="E130" s="2">
        <f>IFERROR(__xludf.DUMMYFUNCTION("""COMPUTED_VALUE"""),238.16)</f>
        <v>238.16</v>
      </c>
      <c r="F130" s="2">
        <f>IFERROR(__xludf.DUMMYFUNCTION("""COMPUTED_VALUE"""),4858862.0)</f>
        <v>4858862</v>
      </c>
    </row>
    <row r="131">
      <c r="A131" s="3">
        <f>IFERROR(__xludf.DUMMYFUNCTION("""COMPUTED_VALUE"""),45118.66666666667)</f>
        <v>45118.66667</v>
      </c>
      <c r="B131" s="2">
        <f>IFERROR(__xludf.DUMMYFUNCTION("""COMPUTED_VALUE"""),238.81)</f>
        <v>238.81</v>
      </c>
      <c r="C131" s="2">
        <f>IFERROR(__xludf.DUMMYFUNCTION("""COMPUTED_VALUE"""),240.7)</f>
        <v>240.7</v>
      </c>
      <c r="D131" s="2">
        <f>IFERROR(__xludf.DUMMYFUNCTION("""COMPUTED_VALUE"""),238.12)</f>
        <v>238.12</v>
      </c>
      <c r="E131" s="2">
        <f>IFERROR(__xludf.DUMMYFUNCTION("""COMPUTED_VALUE"""),240.55)</f>
        <v>240.55</v>
      </c>
      <c r="F131" s="2">
        <f>IFERROR(__xludf.DUMMYFUNCTION("""COMPUTED_VALUE"""),3857069.0)</f>
        <v>3857069</v>
      </c>
    </row>
    <row r="132">
      <c r="A132" s="3">
        <f>IFERROR(__xludf.DUMMYFUNCTION("""COMPUTED_VALUE"""),45119.66666666667)</f>
        <v>45119.66667</v>
      </c>
      <c r="B132" s="2">
        <f>IFERROR(__xludf.DUMMYFUNCTION("""COMPUTED_VALUE"""),241.55)</f>
        <v>241.55</v>
      </c>
      <c r="C132" s="2">
        <f>IFERROR(__xludf.DUMMYFUNCTION("""COMPUTED_VALUE"""),243.95)</f>
        <v>243.95</v>
      </c>
      <c r="D132" s="2">
        <f>IFERROR(__xludf.DUMMYFUNCTION("""COMPUTED_VALUE"""),241.23)</f>
        <v>241.23</v>
      </c>
      <c r="E132" s="2">
        <f>IFERROR(__xludf.DUMMYFUNCTION("""COMPUTED_VALUE"""),242.21)</f>
        <v>242.21</v>
      </c>
      <c r="F132" s="2">
        <f>IFERROR(__xludf.DUMMYFUNCTION("""COMPUTED_VALUE"""),6116018.0)</f>
        <v>6116018</v>
      </c>
    </row>
    <row r="133">
      <c r="A133" s="3">
        <f>IFERROR(__xludf.DUMMYFUNCTION("""COMPUTED_VALUE"""),45120.66666666667)</f>
        <v>45120.66667</v>
      </c>
      <c r="B133" s="2">
        <f>IFERROR(__xludf.DUMMYFUNCTION("""COMPUTED_VALUE"""),243.79)</f>
        <v>243.79</v>
      </c>
      <c r="C133" s="2">
        <f>IFERROR(__xludf.DUMMYFUNCTION("""COMPUTED_VALUE"""),244.27)</f>
        <v>244.27</v>
      </c>
      <c r="D133" s="2">
        <f>IFERROR(__xludf.DUMMYFUNCTION("""COMPUTED_VALUE"""),243.15)</f>
        <v>243.15</v>
      </c>
      <c r="E133" s="2">
        <f>IFERROR(__xludf.DUMMYFUNCTION("""COMPUTED_VALUE"""),243.31)</f>
        <v>243.31</v>
      </c>
      <c r="F133" s="2">
        <f>IFERROR(__xludf.DUMMYFUNCTION("""COMPUTED_VALUE"""),5819609.0)</f>
        <v>5819609</v>
      </c>
    </row>
    <row r="134">
      <c r="A134" s="3">
        <f>IFERROR(__xludf.DUMMYFUNCTION("""COMPUTED_VALUE"""),45121.66666666667)</f>
        <v>45121.66667</v>
      </c>
      <c r="B134" s="2">
        <f>IFERROR(__xludf.DUMMYFUNCTION("""COMPUTED_VALUE"""),244.73)</f>
        <v>244.73</v>
      </c>
      <c r="C134" s="2">
        <f>IFERROR(__xludf.DUMMYFUNCTION("""COMPUTED_VALUE"""),244.74)</f>
        <v>244.74</v>
      </c>
      <c r="D134" s="2">
        <f>IFERROR(__xludf.DUMMYFUNCTION("""COMPUTED_VALUE"""),241.96)</f>
        <v>241.96</v>
      </c>
      <c r="E134" s="2">
        <f>IFERROR(__xludf.DUMMYFUNCTION("""COMPUTED_VALUE"""),243.16)</f>
        <v>243.16</v>
      </c>
      <c r="F134" s="2">
        <f>IFERROR(__xludf.DUMMYFUNCTION("""COMPUTED_VALUE"""),4941178.0)</f>
        <v>4941178</v>
      </c>
    </row>
    <row r="135">
      <c r="A135" s="3">
        <f>IFERROR(__xludf.DUMMYFUNCTION("""COMPUTED_VALUE"""),45124.66666666667)</f>
        <v>45124.66667</v>
      </c>
      <c r="B135" s="2">
        <f>IFERROR(__xludf.DUMMYFUNCTION("""COMPUTED_VALUE"""),243.11)</f>
        <v>243.11</v>
      </c>
      <c r="C135" s="2">
        <f>IFERROR(__xludf.DUMMYFUNCTION("""COMPUTED_VALUE"""),245.37)</f>
        <v>245.37</v>
      </c>
      <c r="D135" s="2">
        <f>IFERROR(__xludf.DUMMYFUNCTION("""COMPUTED_VALUE"""),243.0)</f>
        <v>243</v>
      </c>
      <c r="E135" s="2">
        <f>IFERROR(__xludf.DUMMYFUNCTION("""COMPUTED_VALUE"""),243.99)</f>
        <v>243.99</v>
      </c>
      <c r="F135" s="2">
        <f>IFERROR(__xludf.DUMMYFUNCTION("""COMPUTED_VALUE"""),4328605.0)</f>
        <v>4328605</v>
      </c>
    </row>
    <row r="136">
      <c r="A136" s="3">
        <f>IFERROR(__xludf.DUMMYFUNCTION("""COMPUTED_VALUE"""),45125.66666666667)</f>
        <v>45125.66667</v>
      </c>
      <c r="B136" s="2">
        <f>IFERROR(__xludf.DUMMYFUNCTION("""COMPUTED_VALUE"""),243.1)</f>
        <v>243.1</v>
      </c>
      <c r="C136" s="2">
        <f>IFERROR(__xludf.DUMMYFUNCTION("""COMPUTED_VALUE"""),243.18)</f>
        <v>243.18</v>
      </c>
      <c r="D136" s="2">
        <f>IFERROR(__xludf.DUMMYFUNCTION("""COMPUTED_VALUE"""),237.68)</f>
        <v>237.68</v>
      </c>
      <c r="E136" s="2">
        <f>IFERROR(__xludf.DUMMYFUNCTION("""COMPUTED_VALUE"""),240.77)</f>
        <v>240.77</v>
      </c>
      <c r="F136" s="2">
        <f>IFERROR(__xludf.DUMMYFUNCTION("""COMPUTED_VALUE"""),7674704.0)</f>
        <v>7674704</v>
      </c>
    </row>
    <row r="137">
      <c r="A137" s="3">
        <f>IFERROR(__xludf.DUMMYFUNCTION("""COMPUTED_VALUE"""),45126.66666666667)</f>
        <v>45126.66667</v>
      </c>
      <c r="B137" s="2">
        <f>IFERROR(__xludf.DUMMYFUNCTION("""COMPUTED_VALUE"""),241.25)</f>
        <v>241.25</v>
      </c>
      <c r="C137" s="2">
        <f>IFERROR(__xludf.DUMMYFUNCTION("""COMPUTED_VALUE"""),242.59)</f>
        <v>242.59</v>
      </c>
      <c r="D137" s="2">
        <f>IFERROR(__xludf.DUMMYFUNCTION("""COMPUTED_VALUE"""),240.12)</f>
        <v>240.12</v>
      </c>
      <c r="E137" s="2">
        <f>IFERROR(__xludf.DUMMYFUNCTION("""COMPUTED_VALUE"""),241.42)</f>
        <v>241.42</v>
      </c>
      <c r="F137" s="2">
        <f>IFERROR(__xludf.DUMMYFUNCTION("""COMPUTED_VALUE"""),4835518.0)</f>
        <v>4835518</v>
      </c>
    </row>
    <row r="138">
      <c r="A138" s="3">
        <f>IFERROR(__xludf.DUMMYFUNCTION("""COMPUTED_VALUE"""),45127.66666666667)</f>
        <v>45127.66667</v>
      </c>
      <c r="B138" s="2">
        <f>IFERROR(__xludf.DUMMYFUNCTION("""COMPUTED_VALUE"""),241.16)</f>
        <v>241.16</v>
      </c>
      <c r="C138" s="2">
        <f>IFERROR(__xludf.DUMMYFUNCTION("""COMPUTED_VALUE"""),241.61)</f>
        <v>241.61</v>
      </c>
      <c r="D138" s="2">
        <f>IFERROR(__xludf.DUMMYFUNCTION("""COMPUTED_VALUE"""),239.07)</f>
        <v>239.07</v>
      </c>
      <c r="E138" s="2">
        <f>IFERROR(__xludf.DUMMYFUNCTION("""COMPUTED_VALUE"""),239.62)</f>
        <v>239.62</v>
      </c>
      <c r="F138" s="2">
        <f>IFERROR(__xludf.DUMMYFUNCTION("""COMPUTED_VALUE"""),4694950.0)</f>
        <v>4694950</v>
      </c>
    </row>
    <row r="139">
      <c r="A139" s="3">
        <f>IFERROR(__xludf.DUMMYFUNCTION("""COMPUTED_VALUE"""),45128.66666666667)</f>
        <v>45128.66667</v>
      </c>
      <c r="B139" s="2">
        <f>IFERROR(__xludf.DUMMYFUNCTION("""COMPUTED_VALUE"""),239.74)</f>
        <v>239.74</v>
      </c>
      <c r="C139" s="2">
        <f>IFERROR(__xludf.DUMMYFUNCTION("""COMPUTED_VALUE"""),240.35)</f>
        <v>240.35</v>
      </c>
      <c r="D139" s="2">
        <f>IFERROR(__xludf.DUMMYFUNCTION("""COMPUTED_VALUE"""),238.73)</f>
        <v>238.73</v>
      </c>
      <c r="E139" s="2">
        <f>IFERROR(__xludf.DUMMYFUNCTION("""COMPUTED_VALUE"""),239.25)</f>
        <v>239.25</v>
      </c>
      <c r="F139" s="2">
        <f>IFERROR(__xludf.DUMMYFUNCTION("""COMPUTED_VALUE"""),5427353.0)</f>
        <v>5427353</v>
      </c>
    </row>
    <row r="140">
      <c r="A140" s="3">
        <f>IFERROR(__xludf.DUMMYFUNCTION("""COMPUTED_VALUE"""),45131.66666666667)</f>
        <v>45131.66667</v>
      </c>
      <c r="B140" s="2">
        <f>IFERROR(__xludf.DUMMYFUNCTION("""COMPUTED_VALUE"""),239.68)</f>
        <v>239.68</v>
      </c>
      <c r="C140" s="2">
        <f>IFERROR(__xludf.DUMMYFUNCTION("""COMPUTED_VALUE"""),241.28)</f>
        <v>241.28</v>
      </c>
      <c r="D140" s="2">
        <f>IFERROR(__xludf.DUMMYFUNCTION("""COMPUTED_VALUE"""),238.19)</f>
        <v>238.19</v>
      </c>
      <c r="E140" s="2">
        <f>IFERROR(__xludf.DUMMYFUNCTION("""COMPUTED_VALUE"""),240.74)</f>
        <v>240.74</v>
      </c>
      <c r="F140" s="2">
        <f>IFERROR(__xludf.DUMMYFUNCTION("""COMPUTED_VALUE"""),6009950.0)</f>
        <v>6009950</v>
      </c>
    </row>
    <row r="141">
      <c r="A141" s="3">
        <f>IFERROR(__xludf.DUMMYFUNCTION("""COMPUTED_VALUE"""),45132.66666666667)</f>
        <v>45132.66667</v>
      </c>
      <c r="B141" s="2">
        <f>IFERROR(__xludf.DUMMYFUNCTION("""COMPUTED_VALUE"""),240.02)</f>
        <v>240.02</v>
      </c>
      <c r="C141" s="2">
        <f>IFERROR(__xludf.DUMMYFUNCTION("""COMPUTED_VALUE"""),240.8)</f>
        <v>240.8</v>
      </c>
      <c r="D141" s="2">
        <f>IFERROR(__xludf.DUMMYFUNCTION("""COMPUTED_VALUE"""),238.56)</f>
        <v>238.56</v>
      </c>
      <c r="E141" s="2">
        <f>IFERROR(__xludf.DUMMYFUNCTION("""COMPUTED_VALUE"""),238.69)</f>
        <v>238.69</v>
      </c>
      <c r="F141" s="2">
        <f>IFERROR(__xludf.DUMMYFUNCTION("""COMPUTED_VALUE"""),4997534.0)</f>
        <v>4997534</v>
      </c>
    </row>
    <row r="142">
      <c r="A142" s="3">
        <f>IFERROR(__xludf.DUMMYFUNCTION("""COMPUTED_VALUE"""),45133.66666666667)</f>
        <v>45133.66667</v>
      </c>
      <c r="B142" s="2">
        <f>IFERROR(__xludf.DUMMYFUNCTION("""COMPUTED_VALUE"""),231.42)</f>
        <v>231.42</v>
      </c>
      <c r="C142" s="2">
        <f>IFERROR(__xludf.DUMMYFUNCTION("""COMPUTED_VALUE"""),238.85)</f>
        <v>238.85</v>
      </c>
      <c r="D142" s="2">
        <f>IFERROR(__xludf.DUMMYFUNCTION("""COMPUTED_VALUE"""),227.68)</f>
        <v>227.68</v>
      </c>
      <c r="E142" s="2">
        <f>IFERROR(__xludf.DUMMYFUNCTION("""COMPUTED_VALUE"""),237.1)</f>
        <v>237.1</v>
      </c>
      <c r="F142" s="2">
        <f>IFERROR(__xludf.DUMMYFUNCTION("""COMPUTED_VALUE"""),7551396.0)</f>
        <v>7551396</v>
      </c>
    </row>
    <row r="143">
      <c r="A143" s="3">
        <f>IFERROR(__xludf.DUMMYFUNCTION("""COMPUTED_VALUE"""),45134.66666666667)</f>
        <v>45134.66667</v>
      </c>
      <c r="B143" s="2">
        <f>IFERROR(__xludf.DUMMYFUNCTION("""COMPUTED_VALUE"""),237.42)</f>
        <v>237.42</v>
      </c>
      <c r="C143" s="2">
        <f>IFERROR(__xludf.DUMMYFUNCTION("""COMPUTED_VALUE"""),238.66)</f>
        <v>238.66</v>
      </c>
      <c r="D143" s="2">
        <f>IFERROR(__xludf.DUMMYFUNCTION("""COMPUTED_VALUE"""),232.96)</f>
        <v>232.96</v>
      </c>
      <c r="E143" s="2">
        <f>IFERROR(__xludf.DUMMYFUNCTION("""COMPUTED_VALUE"""),234.44)</f>
        <v>234.44</v>
      </c>
      <c r="F143" s="2">
        <f>IFERROR(__xludf.DUMMYFUNCTION("""COMPUTED_VALUE"""),8160062.0)</f>
        <v>8160062</v>
      </c>
    </row>
    <row r="144">
      <c r="A144" s="3">
        <f>IFERROR(__xludf.DUMMYFUNCTION("""COMPUTED_VALUE"""),45135.66666666667)</f>
        <v>45135.66667</v>
      </c>
      <c r="B144" s="2">
        <f>IFERROR(__xludf.DUMMYFUNCTION("""COMPUTED_VALUE"""),234.58)</f>
        <v>234.58</v>
      </c>
      <c r="C144" s="2">
        <f>IFERROR(__xludf.DUMMYFUNCTION("""COMPUTED_VALUE"""),235.88)</f>
        <v>235.88</v>
      </c>
      <c r="D144" s="2">
        <f>IFERROR(__xludf.DUMMYFUNCTION("""COMPUTED_VALUE"""),233.71)</f>
        <v>233.71</v>
      </c>
      <c r="E144" s="2">
        <f>IFERROR(__xludf.DUMMYFUNCTION("""COMPUTED_VALUE"""),235.75)</f>
        <v>235.75</v>
      </c>
      <c r="F144" s="2">
        <f>IFERROR(__xludf.DUMMYFUNCTION("""COMPUTED_VALUE"""),6795307.0)</f>
        <v>6795307</v>
      </c>
    </row>
    <row r="145">
      <c r="A145" s="3">
        <f>IFERROR(__xludf.DUMMYFUNCTION("""COMPUTED_VALUE"""),45138.66666666667)</f>
        <v>45138.66667</v>
      </c>
      <c r="B145" s="2">
        <f>IFERROR(__xludf.DUMMYFUNCTION("""COMPUTED_VALUE"""),236.0)</f>
        <v>236</v>
      </c>
      <c r="C145" s="2">
        <f>IFERROR(__xludf.DUMMYFUNCTION("""COMPUTED_VALUE"""),238.42)</f>
        <v>238.42</v>
      </c>
      <c r="D145" s="2">
        <f>IFERROR(__xludf.DUMMYFUNCTION("""COMPUTED_VALUE"""),236.0)</f>
        <v>236</v>
      </c>
      <c r="E145" s="2">
        <f>IFERROR(__xludf.DUMMYFUNCTION("""COMPUTED_VALUE"""),237.73)</f>
        <v>237.73</v>
      </c>
      <c r="F145" s="2">
        <f>IFERROR(__xludf.DUMMYFUNCTION("""COMPUTED_VALUE"""),4799690.0)</f>
        <v>4799690</v>
      </c>
    </row>
    <row r="146">
      <c r="A146" s="3">
        <f>IFERROR(__xludf.DUMMYFUNCTION("""COMPUTED_VALUE"""),45139.66666666667)</f>
        <v>45139.66667</v>
      </c>
      <c r="B146" s="2">
        <f>IFERROR(__xludf.DUMMYFUNCTION("""COMPUTED_VALUE"""),237.14)</f>
        <v>237.14</v>
      </c>
      <c r="C146" s="2">
        <f>IFERROR(__xludf.DUMMYFUNCTION("""COMPUTED_VALUE"""),240.73)</f>
        <v>240.73</v>
      </c>
      <c r="D146" s="2">
        <f>IFERROR(__xludf.DUMMYFUNCTION("""COMPUTED_VALUE"""),237.0)</f>
        <v>237</v>
      </c>
      <c r="E146" s="2">
        <f>IFERROR(__xludf.DUMMYFUNCTION("""COMPUTED_VALUE"""),239.78)</f>
        <v>239.78</v>
      </c>
      <c r="F146" s="2">
        <f>IFERROR(__xludf.DUMMYFUNCTION("""COMPUTED_VALUE"""),4629291.0)</f>
        <v>4629291</v>
      </c>
    </row>
    <row r="147">
      <c r="A147" s="3">
        <f>IFERROR(__xludf.DUMMYFUNCTION("""COMPUTED_VALUE"""),45140.66666666667)</f>
        <v>45140.66667</v>
      </c>
      <c r="B147" s="2">
        <f>IFERROR(__xludf.DUMMYFUNCTION("""COMPUTED_VALUE"""),238.63)</f>
        <v>238.63</v>
      </c>
      <c r="C147" s="2">
        <f>IFERROR(__xludf.DUMMYFUNCTION("""COMPUTED_VALUE"""),238.79)</f>
        <v>238.79</v>
      </c>
      <c r="D147" s="2">
        <f>IFERROR(__xludf.DUMMYFUNCTION("""COMPUTED_VALUE"""),236.79)</f>
        <v>236.79</v>
      </c>
      <c r="E147" s="2">
        <f>IFERROR(__xludf.DUMMYFUNCTION("""COMPUTED_VALUE"""),237.56)</f>
        <v>237.56</v>
      </c>
      <c r="F147" s="2">
        <f>IFERROR(__xludf.DUMMYFUNCTION("""COMPUTED_VALUE"""),4868402.0)</f>
        <v>4868402</v>
      </c>
    </row>
    <row r="148">
      <c r="A148" s="3">
        <f>IFERROR(__xludf.DUMMYFUNCTION("""COMPUTED_VALUE"""),45141.66666666667)</f>
        <v>45141.66667</v>
      </c>
      <c r="B148" s="2">
        <f>IFERROR(__xludf.DUMMYFUNCTION("""COMPUTED_VALUE"""),236.0)</f>
        <v>236</v>
      </c>
      <c r="C148" s="2">
        <f>IFERROR(__xludf.DUMMYFUNCTION("""COMPUTED_VALUE"""),239.05)</f>
        <v>239.05</v>
      </c>
      <c r="D148" s="2">
        <f>IFERROR(__xludf.DUMMYFUNCTION("""COMPUTED_VALUE"""),235.25)</f>
        <v>235.25</v>
      </c>
      <c r="E148" s="2">
        <f>IFERROR(__xludf.DUMMYFUNCTION("""COMPUTED_VALUE"""),238.76)</f>
        <v>238.76</v>
      </c>
      <c r="F148" s="2">
        <f>IFERROR(__xludf.DUMMYFUNCTION("""COMPUTED_VALUE"""),5034095.0)</f>
        <v>5034095</v>
      </c>
    </row>
    <row r="149">
      <c r="A149" s="3">
        <f>IFERROR(__xludf.DUMMYFUNCTION("""COMPUTED_VALUE"""),45142.66666666667)</f>
        <v>45142.66667</v>
      </c>
      <c r="B149" s="2">
        <f>IFERROR(__xludf.DUMMYFUNCTION("""COMPUTED_VALUE"""),238.0)</f>
        <v>238</v>
      </c>
      <c r="C149" s="2">
        <f>IFERROR(__xludf.DUMMYFUNCTION("""COMPUTED_VALUE"""),241.91)</f>
        <v>241.91</v>
      </c>
      <c r="D149" s="2">
        <f>IFERROR(__xludf.DUMMYFUNCTION("""COMPUTED_VALUE"""),237.84)</f>
        <v>237.84</v>
      </c>
      <c r="E149" s="2">
        <f>IFERROR(__xludf.DUMMYFUNCTION("""COMPUTED_VALUE"""),238.99)</f>
        <v>238.99</v>
      </c>
      <c r="F149" s="2">
        <f>IFERROR(__xludf.DUMMYFUNCTION("""COMPUTED_VALUE"""),5169670.0)</f>
        <v>5169670</v>
      </c>
    </row>
    <row r="150">
      <c r="A150" s="3">
        <f>IFERROR(__xludf.DUMMYFUNCTION("""COMPUTED_VALUE"""),45145.66666666667)</f>
        <v>45145.66667</v>
      </c>
      <c r="B150" s="2">
        <f>IFERROR(__xludf.DUMMYFUNCTION("""COMPUTED_VALUE"""),239.22)</f>
        <v>239.22</v>
      </c>
      <c r="C150" s="2">
        <f>IFERROR(__xludf.DUMMYFUNCTION("""COMPUTED_VALUE"""),242.18)</f>
        <v>242.18</v>
      </c>
      <c r="D150" s="2">
        <f>IFERROR(__xludf.DUMMYFUNCTION("""COMPUTED_VALUE"""),239.21)</f>
        <v>239.21</v>
      </c>
      <c r="E150" s="2">
        <f>IFERROR(__xludf.DUMMYFUNCTION("""COMPUTED_VALUE"""),241.51)</f>
        <v>241.51</v>
      </c>
      <c r="F150" s="2">
        <f>IFERROR(__xludf.DUMMYFUNCTION("""COMPUTED_VALUE"""),5649780.0)</f>
        <v>5649780</v>
      </c>
    </row>
    <row r="151">
      <c r="A151" s="3">
        <f>IFERROR(__xludf.DUMMYFUNCTION("""COMPUTED_VALUE"""),45146.66666666667)</f>
        <v>45146.66667</v>
      </c>
      <c r="B151" s="2">
        <f>IFERROR(__xludf.DUMMYFUNCTION("""COMPUTED_VALUE"""),240.42)</f>
        <v>240.42</v>
      </c>
      <c r="C151" s="2">
        <f>IFERROR(__xludf.DUMMYFUNCTION("""COMPUTED_VALUE"""),241.36)</f>
        <v>241.36</v>
      </c>
      <c r="D151" s="2">
        <f>IFERROR(__xludf.DUMMYFUNCTION("""COMPUTED_VALUE"""),237.39)</f>
        <v>237.39</v>
      </c>
      <c r="E151" s="2">
        <f>IFERROR(__xludf.DUMMYFUNCTION("""COMPUTED_VALUE"""),239.29)</f>
        <v>239.29</v>
      </c>
      <c r="F151" s="2">
        <f>IFERROR(__xludf.DUMMYFUNCTION("""COMPUTED_VALUE"""),5080585.0)</f>
        <v>5080585</v>
      </c>
    </row>
    <row r="152">
      <c r="A152" s="3">
        <f>IFERROR(__xludf.DUMMYFUNCTION("""COMPUTED_VALUE"""),45147.66666666667)</f>
        <v>45147.66667</v>
      </c>
      <c r="B152" s="2">
        <f>IFERROR(__xludf.DUMMYFUNCTION("""COMPUTED_VALUE"""),240.5)</f>
        <v>240.5</v>
      </c>
      <c r="C152" s="2">
        <f>IFERROR(__xludf.DUMMYFUNCTION("""COMPUTED_VALUE"""),241.97)</f>
        <v>241.97</v>
      </c>
      <c r="D152" s="2">
        <f>IFERROR(__xludf.DUMMYFUNCTION("""COMPUTED_VALUE"""),239.49)</f>
        <v>239.49</v>
      </c>
      <c r="E152" s="2">
        <f>IFERROR(__xludf.DUMMYFUNCTION("""COMPUTED_VALUE"""),239.76)</f>
        <v>239.76</v>
      </c>
      <c r="F152" s="2">
        <f>IFERROR(__xludf.DUMMYFUNCTION("""COMPUTED_VALUE"""),4055027.0)</f>
        <v>4055027</v>
      </c>
    </row>
    <row r="153">
      <c r="A153" s="3">
        <f>IFERROR(__xludf.DUMMYFUNCTION("""COMPUTED_VALUE"""),45148.66666666667)</f>
        <v>45148.66667</v>
      </c>
      <c r="B153" s="2">
        <f>IFERROR(__xludf.DUMMYFUNCTION("""COMPUTED_VALUE"""),240.62)</f>
        <v>240.62</v>
      </c>
      <c r="C153" s="2">
        <f>IFERROR(__xludf.DUMMYFUNCTION("""COMPUTED_VALUE"""),243.95)</f>
        <v>243.95</v>
      </c>
      <c r="D153" s="2">
        <f>IFERROR(__xludf.DUMMYFUNCTION("""COMPUTED_VALUE"""),240.09)</f>
        <v>240.09</v>
      </c>
      <c r="E153" s="2">
        <f>IFERROR(__xludf.DUMMYFUNCTION("""COMPUTED_VALUE"""),240.16)</f>
        <v>240.16</v>
      </c>
      <c r="F153" s="2">
        <f>IFERROR(__xludf.DUMMYFUNCTION("""COMPUTED_VALUE"""),4778017.0)</f>
        <v>4778017</v>
      </c>
    </row>
    <row r="154">
      <c r="A154" s="3">
        <f>IFERROR(__xludf.DUMMYFUNCTION("""COMPUTED_VALUE"""),45149.66666666667)</f>
        <v>45149.66667</v>
      </c>
      <c r="B154" s="2">
        <f>IFERROR(__xludf.DUMMYFUNCTION("""COMPUTED_VALUE"""),240.0)</f>
        <v>240</v>
      </c>
      <c r="C154" s="2">
        <f>IFERROR(__xludf.DUMMYFUNCTION("""COMPUTED_VALUE"""),240.72)</f>
        <v>240.72</v>
      </c>
      <c r="D154" s="2">
        <f>IFERROR(__xludf.DUMMYFUNCTION("""COMPUTED_VALUE"""),238.42)</f>
        <v>238.42</v>
      </c>
      <c r="E154" s="2">
        <f>IFERROR(__xludf.DUMMYFUNCTION("""COMPUTED_VALUE"""),240.04)</f>
        <v>240.04</v>
      </c>
      <c r="F154" s="2">
        <f>IFERROR(__xludf.DUMMYFUNCTION("""COMPUTED_VALUE"""),3607104.0)</f>
        <v>3607104</v>
      </c>
    </row>
    <row r="155">
      <c r="A155" s="3">
        <f>IFERROR(__xludf.DUMMYFUNCTION("""COMPUTED_VALUE"""),45152.66666666667)</f>
        <v>45152.66667</v>
      </c>
      <c r="B155" s="2">
        <f>IFERROR(__xludf.DUMMYFUNCTION("""COMPUTED_VALUE"""),240.72)</f>
        <v>240.72</v>
      </c>
      <c r="C155" s="2">
        <f>IFERROR(__xludf.DUMMYFUNCTION("""COMPUTED_VALUE"""),243.33)</f>
        <v>243.33</v>
      </c>
      <c r="D155" s="2">
        <f>IFERROR(__xludf.DUMMYFUNCTION("""COMPUTED_VALUE"""),240.26)</f>
        <v>240.26</v>
      </c>
      <c r="E155" s="2">
        <f>IFERROR(__xludf.DUMMYFUNCTION("""COMPUTED_VALUE"""),242.9)</f>
        <v>242.9</v>
      </c>
      <c r="F155" s="2">
        <f>IFERROR(__xludf.DUMMYFUNCTION("""COMPUTED_VALUE"""),4351136.0)</f>
        <v>4351136</v>
      </c>
    </row>
    <row r="156">
      <c r="A156" s="3">
        <f>IFERROR(__xludf.DUMMYFUNCTION("""COMPUTED_VALUE"""),45153.66666666667)</f>
        <v>45153.66667</v>
      </c>
      <c r="B156" s="2">
        <f>IFERROR(__xludf.DUMMYFUNCTION("""COMPUTED_VALUE"""),242.01)</f>
        <v>242.01</v>
      </c>
      <c r="C156" s="2">
        <f>IFERROR(__xludf.DUMMYFUNCTION("""COMPUTED_VALUE"""),242.67)</f>
        <v>242.67</v>
      </c>
      <c r="D156" s="2">
        <f>IFERROR(__xludf.DUMMYFUNCTION("""COMPUTED_VALUE"""),239.35)</f>
        <v>239.35</v>
      </c>
      <c r="E156" s="2">
        <f>IFERROR(__xludf.DUMMYFUNCTION("""COMPUTED_VALUE"""),239.83)</f>
        <v>239.83</v>
      </c>
      <c r="F156" s="2">
        <f>IFERROR(__xludf.DUMMYFUNCTION("""COMPUTED_VALUE"""),3770078.0)</f>
        <v>3770078</v>
      </c>
    </row>
    <row r="157">
      <c r="A157" s="3">
        <f>IFERROR(__xludf.DUMMYFUNCTION("""COMPUTED_VALUE"""),45154.66666666667)</f>
        <v>45154.66667</v>
      </c>
      <c r="B157" s="2">
        <f>IFERROR(__xludf.DUMMYFUNCTION("""COMPUTED_VALUE"""),236.53)</f>
        <v>236.53</v>
      </c>
      <c r="C157" s="2">
        <f>IFERROR(__xludf.DUMMYFUNCTION("""COMPUTED_VALUE"""),241.07)</f>
        <v>241.07</v>
      </c>
      <c r="D157" s="2">
        <f>IFERROR(__xludf.DUMMYFUNCTION("""COMPUTED_VALUE"""),236.02)</f>
        <v>236.02</v>
      </c>
      <c r="E157" s="2">
        <f>IFERROR(__xludf.DUMMYFUNCTION("""COMPUTED_VALUE"""),239.29)</f>
        <v>239.29</v>
      </c>
      <c r="F157" s="2">
        <f>IFERROR(__xludf.DUMMYFUNCTION("""COMPUTED_VALUE"""),3218574.0)</f>
        <v>3218574</v>
      </c>
    </row>
    <row r="158">
      <c r="A158" s="3">
        <f>IFERROR(__xludf.DUMMYFUNCTION("""COMPUTED_VALUE"""),45155.66666666667)</f>
        <v>45155.66667</v>
      </c>
      <c r="B158" s="2">
        <f>IFERROR(__xludf.DUMMYFUNCTION("""COMPUTED_VALUE"""),240.0)</f>
        <v>240</v>
      </c>
      <c r="C158" s="2">
        <f>IFERROR(__xludf.DUMMYFUNCTION("""COMPUTED_VALUE"""),240.38)</f>
        <v>240.38</v>
      </c>
      <c r="D158" s="2">
        <f>IFERROR(__xludf.DUMMYFUNCTION("""COMPUTED_VALUE"""),236.49)</f>
        <v>236.49</v>
      </c>
      <c r="E158" s="2">
        <f>IFERROR(__xludf.DUMMYFUNCTION("""COMPUTED_VALUE"""),237.37)</f>
        <v>237.37</v>
      </c>
      <c r="F158" s="2">
        <f>IFERROR(__xludf.DUMMYFUNCTION("""COMPUTED_VALUE"""),4177578.0)</f>
        <v>4177578</v>
      </c>
    </row>
    <row r="159">
      <c r="A159" s="3">
        <f>IFERROR(__xludf.DUMMYFUNCTION("""COMPUTED_VALUE"""),45156.66666666667)</f>
        <v>45156.66667</v>
      </c>
      <c r="B159" s="2">
        <f>IFERROR(__xludf.DUMMYFUNCTION("""COMPUTED_VALUE"""),235.58)</f>
        <v>235.58</v>
      </c>
      <c r="C159" s="2">
        <f>IFERROR(__xludf.DUMMYFUNCTION("""COMPUTED_VALUE"""),239.05)</f>
        <v>239.05</v>
      </c>
      <c r="D159" s="2">
        <f>IFERROR(__xludf.DUMMYFUNCTION("""COMPUTED_VALUE"""),235.3)</f>
        <v>235.3</v>
      </c>
      <c r="E159" s="2">
        <f>IFERROR(__xludf.DUMMYFUNCTION("""COMPUTED_VALUE"""),238.17)</f>
        <v>238.17</v>
      </c>
      <c r="F159" s="2">
        <f>IFERROR(__xludf.DUMMYFUNCTION("""COMPUTED_VALUE"""),4344962.0)</f>
        <v>4344962</v>
      </c>
    </row>
    <row r="160">
      <c r="A160" s="3">
        <f>IFERROR(__xludf.DUMMYFUNCTION("""COMPUTED_VALUE"""),45159.66666666667)</f>
        <v>45159.66667</v>
      </c>
      <c r="B160" s="2">
        <f>IFERROR(__xludf.DUMMYFUNCTION("""COMPUTED_VALUE"""),239.38)</f>
        <v>239.38</v>
      </c>
      <c r="C160" s="2">
        <f>IFERROR(__xludf.DUMMYFUNCTION("""COMPUTED_VALUE"""),240.53)</f>
        <v>240.53</v>
      </c>
      <c r="D160" s="2">
        <f>IFERROR(__xludf.DUMMYFUNCTION("""COMPUTED_VALUE"""),237.76)</f>
        <v>237.76</v>
      </c>
      <c r="E160" s="2">
        <f>IFERROR(__xludf.DUMMYFUNCTION("""COMPUTED_VALUE"""),239.46)</f>
        <v>239.46</v>
      </c>
      <c r="F160" s="2">
        <f>IFERROR(__xludf.DUMMYFUNCTION("""COMPUTED_VALUE"""),3573630.0)</f>
        <v>3573630</v>
      </c>
    </row>
    <row r="161">
      <c r="A161" s="3">
        <f>IFERROR(__xludf.DUMMYFUNCTION("""COMPUTED_VALUE"""),45160.66666666667)</f>
        <v>45160.66667</v>
      </c>
      <c r="B161" s="2">
        <f>IFERROR(__xludf.DUMMYFUNCTION("""COMPUTED_VALUE"""),240.0)</f>
        <v>240</v>
      </c>
      <c r="C161" s="2">
        <f>IFERROR(__xludf.DUMMYFUNCTION("""COMPUTED_VALUE"""),241.43)</f>
        <v>241.43</v>
      </c>
      <c r="D161" s="2">
        <f>IFERROR(__xludf.DUMMYFUNCTION("""COMPUTED_VALUE"""),238.67)</f>
        <v>238.67</v>
      </c>
      <c r="E161" s="2">
        <f>IFERROR(__xludf.DUMMYFUNCTION("""COMPUTED_VALUE"""),240.57)</f>
        <v>240.57</v>
      </c>
      <c r="F161" s="2">
        <f>IFERROR(__xludf.DUMMYFUNCTION("""COMPUTED_VALUE"""),3848688.0)</f>
        <v>3848688</v>
      </c>
    </row>
    <row r="162">
      <c r="A162" s="3">
        <f>IFERROR(__xludf.DUMMYFUNCTION("""COMPUTED_VALUE"""),45161.66666666667)</f>
        <v>45161.66667</v>
      </c>
      <c r="B162" s="2">
        <f>IFERROR(__xludf.DUMMYFUNCTION("""COMPUTED_VALUE"""),241.32)</f>
        <v>241.32</v>
      </c>
      <c r="C162" s="2">
        <f>IFERROR(__xludf.DUMMYFUNCTION("""COMPUTED_VALUE"""),242.54)</f>
        <v>242.54</v>
      </c>
      <c r="D162" s="2">
        <f>IFERROR(__xludf.DUMMYFUNCTION("""COMPUTED_VALUE"""),240.72)</f>
        <v>240.72</v>
      </c>
      <c r="E162" s="2">
        <f>IFERROR(__xludf.DUMMYFUNCTION("""COMPUTED_VALUE"""),242.3)</f>
        <v>242.3</v>
      </c>
      <c r="F162" s="2">
        <f>IFERROR(__xludf.DUMMYFUNCTION("""COMPUTED_VALUE"""),4947728.0)</f>
        <v>4947728</v>
      </c>
    </row>
    <row r="163">
      <c r="A163" s="3">
        <f>IFERROR(__xludf.DUMMYFUNCTION("""COMPUTED_VALUE"""),45162.66666666667)</f>
        <v>45162.66667</v>
      </c>
      <c r="B163" s="2">
        <f>IFERROR(__xludf.DUMMYFUNCTION("""COMPUTED_VALUE"""),242.25)</f>
        <v>242.25</v>
      </c>
      <c r="C163" s="2">
        <f>IFERROR(__xludf.DUMMYFUNCTION("""COMPUTED_VALUE"""),243.56)</f>
        <v>243.56</v>
      </c>
      <c r="D163" s="2">
        <f>IFERROR(__xludf.DUMMYFUNCTION("""COMPUTED_VALUE"""),239.36)</f>
        <v>239.36</v>
      </c>
      <c r="E163" s="2">
        <f>IFERROR(__xludf.DUMMYFUNCTION("""COMPUTED_VALUE"""),239.47)</f>
        <v>239.47</v>
      </c>
      <c r="F163" s="2">
        <f>IFERROR(__xludf.DUMMYFUNCTION("""COMPUTED_VALUE"""),4570869.0)</f>
        <v>4570869</v>
      </c>
    </row>
    <row r="164">
      <c r="A164" s="3">
        <f>IFERROR(__xludf.DUMMYFUNCTION("""COMPUTED_VALUE"""),45163.66666666667)</f>
        <v>45163.66667</v>
      </c>
      <c r="B164" s="2">
        <f>IFERROR(__xludf.DUMMYFUNCTION("""COMPUTED_VALUE"""),241.38)</f>
        <v>241.38</v>
      </c>
      <c r="C164" s="2">
        <f>IFERROR(__xludf.DUMMYFUNCTION("""COMPUTED_VALUE"""),243.41)</f>
        <v>243.41</v>
      </c>
      <c r="D164" s="2">
        <f>IFERROR(__xludf.DUMMYFUNCTION("""COMPUTED_VALUE"""),240.21)</f>
        <v>240.21</v>
      </c>
      <c r="E164" s="2">
        <f>IFERROR(__xludf.DUMMYFUNCTION("""COMPUTED_VALUE"""),242.57)</f>
        <v>242.57</v>
      </c>
      <c r="F164" s="2">
        <f>IFERROR(__xludf.DUMMYFUNCTION("""COMPUTED_VALUE"""),3541533.0)</f>
        <v>3541533</v>
      </c>
    </row>
    <row r="165">
      <c r="A165" s="3">
        <f>IFERROR(__xludf.DUMMYFUNCTION("""COMPUTED_VALUE"""),45166.66666666667)</f>
        <v>45166.66667</v>
      </c>
      <c r="B165" s="2">
        <f>IFERROR(__xludf.DUMMYFUNCTION("""COMPUTED_VALUE"""),243.01)</f>
        <v>243.01</v>
      </c>
      <c r="C165" s="2">
        <f>IFERROR(__xludf.DUMMYFUNCTION("""COMPUTED_VALUE"""),245.23)</f>
        <v>245.23</v>
      </c>
      <c r="D165" s="2">
        <f>IFERROR(__xludf.DUMMYFUNCTION("""COMPUTED_VALUE"""),242.6)</f>
        <v>242.6</v>
      </c>
      <c r="E165" s="2">
        <f>IFERROR(__xludf.DUMMYFUNCTION("""COMPUTED_VALUE"""),243.83)</f>
        <v>243.83</v>
      </c>
      <c r="F165" s="2">
        <f>IFERROR(__xludf.DUMMYFUNCTION("""COMPUTED_VALUE"""),3741458.0)</f>
        <v>3741458</v>
      </c>
    </row>
    <row r="166">
      <c r="A166" s="3">
        <f>IFERROR(__xludf.DUMMYFUNCTION("""COMPUTED_VALUE"""),45167.66666666667)</f>
        <v>45167.66667</v>
      </c>
      <c r="B166" s="2">
        <f>IFERROR(__xludf.DUMMYFUNCTION("""COMPUTED_VALUE"""),243.5)</f>
        <v>243.5</v>
      </c>
      <c r="C166" s="2">
        <f>IFERROR(__xludf.DUMMYFUNCTION("""COMPUTED_VALUE"""),245.83)</f>
        <v>245.83</v>
      </c>
      <c r="D166" s="2">
        <f>IFERROR(__xludf.DUMMYFUNCTION("""COMPUTED_VALUE"""),243.4)</f>
        <v>243.4</v>
      </c>
      <c r="E166" s="2">
        <f>IFERROR(__xludf.DUMMYFUNCTION("""COMPUTED_VALUE"""),245.34)</f>
        <v>245.34</v>
      </c>
      <c r="F166" s="2">
        <f>IFERROR(__xludf.DUMMYFUNCTION("""COMPUTED_VALUE"""),3975738.0)</f>
        <v>3975738</v>
      </c>
    </row>
    <row r="167">
      <c r="A167" s="3">
        <f>IFERROR(__xludf.DUMMYFUNCTION("""COMPUTED_VALUE"""),45168.66666666667)</f>
        <v>45168.66667</v>
      </c>
      <c r="B167" s="2">
        <f>IFERROR(__xludf.DUMMYFUNCTION("""COMPUTED_VALUE"""),246.42)</f>
        <v>246.42</v>
      </c>
      <c r="C167" s="2">
        <f>IFERROR(__xludf.DUMMYFUNCTION("""COMPUTED_VALUE"""),248.23)</f>
        <v>248.23</v>
      </c>
      <c r="D167" s="2">
        <f>IFERROR(__xludf.DUMMYFUNCTION("""COMPUTED_VALUE"""),246.05)</f>
        <v>246.05</v>
      </c>
      <c r="E167" s="2">
        <f>IFERROR(__xludf.DUMMYFUNCTION("""COMPUTED_VALUE"""),246.23)</f>
        <v>246.23</v>
      </c>
      <c r="F167" s="2">
        <f>IFERROR(__xludf.DUMMYFUNCTION("""COMPUTED_VALUE"""),4573291.0)</f>
        <v>4573291</v>
      </c>
    </row>
    <row r="168">
      <c r="A168" s="3">
        <f>IFERROR(__xludf.DUMMYFUNCTION("""COMPUTED_VALUE"""),45169.66666666667)</f>
        <v>45169.66667</v>
      </c>
      <c r="B168" s="2">
        <f>IFERROR(__xludf.DUMMYFUNCTION("""COMPUTED_VALUE"""),245.59)</f>
        <v>245.59</v>
      </c>
      <c r="C168" s="2">
        <f>IFERROR(__xludf.DUMMYFUNCTION("""COMPUTED_VALUE"""),248.02)</f>
        <v>248.02</v>
      </c>
      <c r="D168" s="2">
        <f>IFERROR(__xludf.DUMMYFUNCTION("""COMPUTED_VALUE"""),245.45)</f>
        <v>245.45</v>
      </c>
      <c r="E168" s="2">
        <f>IFERROR(__xludf.DUMMYFUNCTION("""COMPUTED_VALUE"""),245.68)</f>
        <v>245.68</v>
      </c>
      <c r="F168" s="2">
        <f>IFERROR(__xludf.DUMMYFUNCTION("""COMPUTED_VALUE"""),5532610.0)</f>
        <v>5532610</v>
      </c>
    </row>
    <row r="169">
      <c r="A169" s="3">
        <f>IFERROR(__xludf.DUMMYFUNCTION("""COMPUTED_VALUE"""),45170.66666666667)</f>
        <v>45170.66667</v>
      </c>
      <c r="B169" s="2">
        <f>IFERROR(__xludf.DUMMYFUNCTION("""COMPUTED_VALUE"""),247.47)</f>
        <v>247.47</v>
      </c>
      <c r="C169" s="2">
        <f>IFERROR(__xludf.DUMMYFUNCTION("""COMPUTED_VALUE"""),248.87)</f>
        <v>248.87</v>
      </c>
      <c r="D169" s="2">
        <f>IFERROR(__xludf.DUMMYFUNCTION("""COMPUTED_VALUE"""),246.77)</f>
        <v>246.77</v>
      </c>
      <c r="E169" s="2">
        <f>IFERROR(__xludf.DUMMYFUNCTION("""COMPUTED_VALUE"""),248.11)</f>
        <v>248.11</v>
      </c>
      <c r="F169" s="2">
        <f>IFERROR(__xludf.DUMMYFUNCTION("""COMPUTED_VALUE"""),4112905.0)</f>
        <v>4112905</v>
      </c>
    </row>
    <row r="170">
      <c r="A170" s="3">
        <f>IFERROR(__xludf.DUMMYFUNCTION("""COMPUTED_VALUE"""),45174.66666666667)</f>
        <v>45174.66667</v>
      </c>
      <c r="B170" s="2">
        <f>IFERROR(__xludf.DUMMYFUNCTION("""COMPUTED_VALUE"""),248.35)</f>
        <v>248.35</v>
      </c>
      <c r="C170" s="2">
        <f>IFERROR(__xludf.DUMMYFUNCTION("""COMPUTED_VALUE"""),248.69)</f>
        <v>248.69</v>
      </c>
      <c r="D170" s="2">
        <f>IFERROR(__xludf.DUMMYFUNCTION("""COMPUTED_VALUE"""),245.2)</f>
        <v>245.2</v>
      </c>
      <c r="E170" s="2">
        <f>IFERROR(__xludf.DUMMYFUNCTION("""COMPUTED_VALUE"""),245.34)</f>
        <v>245.34</v>
      </c>
      <c r="F170" s="2">
        <f>IFERROR(__xludf.DUMMYFUNCTION("""COMPUTED_VALUE"""),4459645.0)</f>
        <v>4459645</v>
      </c>
    </row>
    <row r="171">
      <c r="A171" s="3">
        <f>IFERROR(__xludf.DUMMYFUNCTION("""COMPUTED_VALUE"""),45175.66666666667)</f>
        <v>45175.66667</v>
      </c>
      <c r="B171" s="2">
        <f>IFERROR(__xludf.DUMMYFUNCTION("""COMPUTED_VALUE"""),245.42)</f>
        <v>245.42</v>
      </c>
      <c r="C171" s="2">
        <f>IFERROR(__xludf.DUMMYFUNCTION("""COMPUTED_VALUE"""),246.66)</f>
        <v>246.66</v>
      </c>
      <c r="D171" s="2">
        <f>IFERROR(__xludf.DUMMYFUNCTION("""COMPUTED_VALUE"""),244.21)</f>
        <v>244.21</v>
      </c>
      <c r="E171" s="2">
        <f>IFERROR(__xludf.DUMMYFUNCTION("""COMPUTED_VALUE"""),246.16)</f>
        <v>246.16</v>
      </c>
      <c r="F171" s="2">
        <f>IFERROR(__xludf.DUMMYFUNCTION("""COMPUTED_VALUE"""),4520355.0)</f>
        <v>4520355</v>
      </c>
    </row>
    <row r="172">
      <c r="A172" s="3">
        <f>IFERROR(__xludf.DUMMYFUNCTION("""COMPUTED_VALUE"""),45176.66666666667)</f>
        <v>45176.66667</v>
      </c>
      <c r="B172" s="2">
        <f>IFERROR(__xludf.DUMMYFUNCTION("""COMPUTED_VALUE"""),245.5)</f>
        <v>245.5</v>
      </c>
      <c r="C172" s="2">
        <f>IFERROR(__xludf.DUMMYFUNCTION("""COMPUTED_VALUE"""),247.4)</f>
        <v>247.4</v>
      </c>
      <c r="D172" s="2">
        <f>IFERROR(__xludf.DUMMYFUNCTION("""COMPUTED_VALUE"""),245.11)</f>
        <v>245.11</v>
      </c>
      <c r="E172" s="2">
        <f>IFERROR(__xludf.DUMMYFUNCTION("""COMPUTED_VALUE"""),247.14)</f>
        <v>247.14</v>
      </c>
      <c r="F172" s="2">
        <f>IFERROR(__xludf.DUMMYFUNCTION("""COMPUTED_VALUE"""),4008017.0)</f>
        <v>4008017</v>
      </c>
    </row>
    <row r="173">
      <c r="A173" s="3">
        <f>IFERROR(__xludf.DUMMYFUNCTION("""COMPUTED_VALUE"""),45177.66666666667)</f>
        <v>45177.66667</v>
      </c>
      <c r="B173" s="2">
        <f>IFERROR(__xludf.DUMMYFUNCTION("""COMPUTED_VALUE"""),247.79)</f>
        <v>247.79</v>
      </c>
      <c r="C173" s="2">
        <f>IFERROR(__xludf.DUMMYFUNCTION("""COMPUTED_VALUE"""),248.14)</f>
        <v>248.14</v>
      </c>
      <c r="D173" s="2">
        <f>IFERROR(__xludf.DUMMYFUNCTION("""COMPUTED_VALUE"""),246.44)</f>
        <v>246.44</v>
      </c>
      <c r="E173" s="2">
        <f>IFERROR(__xludf.DUMMYFUNCTION("""COMPUTED_VALUE"""),247.29)</f>
        <v>247.29</v>
      </c>
      <c r="F173" s="2">
        <f>IFERROR(__xludf.DUMMYFUNCTION("""COMPUTED_VALUE"""),3309819.0)</f>
        <v>3309819</v>
      </c>
    </row>
    <row r="174">
      <c r="A174" s="3">
        <f>IFERROR(__xludf.DUMMYFUNCTION("""COMPUTED_VALUE"""),45180.66666666667)</f>
        <v>45180.66667</v>
      </c>
      <c r="B174" s="2">
        <f>IFERROR(__xludf.DUMMYFUNCTION("""COMPUTED_VALUE"""),247.33)</f>
        <v>247.33</v>
      </c>
      <c r="C174" s="2">
        <f>IFERROR(__xludf.DUMMYFUNCTION("""COMPUTED_VALUE"""),248.36)</f>
        <v>248.36</v>
      </c>
      <c r="D174" s="2">
        <f>IFERROR(__xludf.DUMMYFUNCTION("""COMPUTED_VALUE"""),246.27)</f>
        <v>246.27</v>
      </c>
      <c r="E174" s="2">
        <f>IFERROR(__xludf.DUMMYFUNCTION("""COMPUTED_VALUE"""),247.22)</f>
        <v>247.22</v>
      </c>
      <c r="F174" s="2">
        <f>IFERROR(__xludf.DUMMYFUNCTION("""COMPUTED_VALUE"""),2995835.0)</f>
        <v>2995835</v>
      </c>
    </row>
    <row r="175">
      <c r="A175" s="3">
        <f>IFERROR(__xludf.DUMMYFUNCTION("""COMPUTED_VALUE"""),45181.66666666667)</f>
        <v>45181.66667</v>
      </c>
      <c r="B175" s="2">
        <f>IFERROR(__xludf.DUMMYFUNCTION("""COMPUTED_VALUE"""),246.94)</f>
        <v>246.94</v>
      </c>
      <c r="C175" s="2">
        <f>IFERROR(__xludf.DUMMYFUNCTION("""COMPUTED_VALUE"""),247.76)</f>
        <v>247.76</v>
      </c>
      <c r="D175" s="2">
        <f>IFERROR(__xludf.DUMMYFUNCTION("""COMPUTED_VALUE"""),246.01)</f>
        <v>246.01</v>
      </c>
      <c r="E175" s="2">
        <f>IFERROR(__xludf.DUMMYFUNCTION("""COMPUTED_VALUE"""),247.3)</f>
        <v>247.3</v>
      </c>
      <c r="F175" s="2">
        <f>IFERROR(__xludf.DUMMYFUNCTION("""COMPUTED_VALUE"""),3499561.0)</f>
        <v>3499561</v>
      </c>
    </row>
    <row r="176">
      <c r="A176" s="3">
        <f>IFERROR(__xludf.DUMMYFUNCTION("""COMPUTED_VALUE"""),45182.66666666667)</f>
        <v>45182.66667</v>
      </c>
      <c r="B176" s="2">
        <f>IFERROR(__xludf.DUMMYFUNCTION("""COMPUTED_VALUE"""),247.15)</f>
        <v>247.15</v>
      </c>
      <c r="C176" s="2">
        <f>IFERROR(__xludf.DUMMYFUNCTION("""COMPUTED_VALUE"""),250.06)</f>
        <v>250.06</v>
      </c>
      <c r="D176" s="2">
        <f>IFERROR(__xludf.DUMMYFUNCTION("""COMPUTED_VALUE"""),246.61)</f>
        <v>246.61</v>
      </c>
      <c r="E176" s="2">
        <f>IFERROR(__xludf.DUMMYFUNCTION("""COMPUTED_VALUE"""),247.83)</f>
        <v>247.83</v>
      </c>
      <c r="F176" s="2">
        <f>IFERROR(__xludf.DUMMYFUNCTION("""COMPUTED_VALUE"""),5657025.0)</f>
        <v>5657025</v>
      </c>
    </row>
    <row r="177">
      <c r="A177" s="3">
        <f>IFERROR(__xludf.DUMMYFUNCTION("""COMPUTED_VALUE"""),45183.66666666667)</f>
        <v>45183.66667</v>
      </c>
      <c r="B177" s="2">
        <f>IFERROR(__xludf.DUMMYFUNCTION("""COMPUTED_VALUE"""),245.0)</f>
        <v>245</v>
      </c>
      <c r="C177" s="2">
        <f>IFERROR(__xludf.DUMMYFUNCTION("""COMPUTED_VALUE"""),245.54)</f>
        <v>245.54</v>
      </c>
      <c r="D177" s="2">
        <f>IFERROR(__xludf.DUMMYFUNCTION("""COMPUTED_VALUE"""),238.75)</f>
        <v>238.75</v>
      </c>
      <c r="E177" s="2">
        <f>IFERROR(__xludf.DUMMYFUNCTION("""COMPUTED_VALUE"""),241.5)</f>
        <v>241.5</v>
      </c>
      <c r="F177" s="2">
        <f>IFERROR(__xludf.DUMMYFUNCTION("""COMPUTED_VALUE"""),1.1999981E7)</f>
        <v>11999981</v>
      </c>
    </row>
    <row r="178">
      <c r="A178" s="3">
        <f>IFERROR(__xludf.DUMMYFUNCTION("""COMPUTED_VALUE"""),45184.66666666667)</f>
        <v>45184.66667</v>
      </c>
      <c r="B178" s="2">
        <f>IFERROR(__xludf.DUMMYFUNCTION("""COMPUTED_VALUE"""),241.9)</f>
        <v>241.9</v>
      </c>
      <c r="C178" s="2">
        <f>IFERROR(__xludf.DUMMYFUNCTION("""COMPUTED_VALUE"""),244.1)</f>
        <v>244.1</v>
      </c>
      <c r="D178" s="2">
        <f>IFERROR(__xludf.DUMMYFUNCTION("""COMPUTED_VALUE"""),240.03)</f>
        <v>240.03</v>
      </c>
      <c r="E178" s="2">
        <f>IFERROR(__xludf.DUMMYFUNCTION("""COMPUTED_VALUE"""),241.07)</f>
        <v>241.07</v>
      </c>
      <c r="F178" s="2">
        <f>IFERROR(__xludf.DUMMYFUNCTION("""COMPUTED_VALUE"""),1.3077932E7)</f>
        <v>13077932</v>
      </c>
    </row>
    <row r="179">
      <c r="A179" s="3">
        <f>IFERROR(__xludf.DUMMYFUNCTION("""COMPUTED_VALUE"""),45187.66666666667)</f>
        <v>45187.66667</v>
      </c>
      <c r="B179" s="2">
        <f>IFERROR(__xludf.DUMMYFUNCTION("""COMPUTED_VALUE"""),240.94)</f>
        <v>240.94</v>
      </c>
      <c r="C179" s="2">
        <f>IFERROR(__xludf.DUMMYFUNCTION("""COMPUTED_VALUE"""),245.23)</f>
        <v>245.23</v>
      </c>
      <c r="D179" s="2">
        <f>IFERROR(__xludf.DUMMYFUNCTION("""COMPUTED_VALUE"""),240.77)</f>
        <v>240.77</v>
      </c>
      <c r="E179" s="2">
        <f>IFERROR(__xludf.DUMMYFUNCTION("""COMPUTED_VALUE"""),244.66)</f>
        <v>244.66</v>
      </c>
      <c r="F179" s="2">
        <f>IFERROR(__xludf.DUMMYFUNCTION("""COMPUTED_VALUE"""),4771567.0)</f>
        <v>4771567</v>
      </c>
    </row>
    <row r="180">
      <c r="A180" s="3">
        <f>IFERROR(__xludf.DUMMYFUNCTION("""COMPUTED_VALUE"""),45188.66666666667)</f>
        <v>45188.66667</v>
      </c>
      <c r="B180" s="2">
        <f>IFERROR(__xludf.DUMMYFUNCTION("""COMPUTED_VALUE"""),245.0)</f>
        <v>245</v>
      </c>
      <c r="C180" s="2">
        <f>IFERROR(__xludf.DUMMYFUNCTION("""COMPUTED_VALUE"""),245.12)</f>
        <v>245.12</v>
      </c>
      <c r="D180" s="2">
        <f>IFERROR(__xludf.DUMMYFUNCTION("""COMPUTED_VALUE"""),241.46)</f>
        <v>241.46</v>
      </c>
      <c r="E180" s="2">
        <f>IFERROR(__xludf.DUMMYFUNCTION("""COMPUTED_VALUE"""),243.56)</f>
        <v>243.56</v>
      </c>
      <c r="F180" s="2">
        <f>IFERROR(__xludf.DUMMYFUNCTION("""COMPUTED_VALUE"""),4709207.0)</f>
        <v>4709207</v>
      </c>
    </row>
    <row r="181">
      <c r="A181" s="3">
        <f>IFERROR(__xludf.DUMMYFUNCTION("""COMPUTED_VALUE"""),45189.66666666667)</f>
        <v>45189.66667</v>
      </c>
      <c r="B181" s="2">
        <f>IFERROR(__xludf.DUMMYFUNCTION("""COMPUTED_VALUE"""),243.63)</f>
        <v>243.63</v>
      </c>
      <c r="C181" s="2">
        <f>IFERROR(__xludf.DUMMYFUNCTION("""COMPUTED_VALUE"""),244.53)</f>
        <v>244.53</v>
      </c>
      <c r="D181" s="2">
        <f>IFERROR(__xludf.DUMMYFUNCTION("""COMPUTED_VALUE"""),241.67)</f>
        <v>241.67</v>
      </c>
      <c r="E181" s="2">
        <f>IFERROR(__xludf.DUMMYFUNCTION("""COMPUTED_VALUE"""),241.86)</f>
        <v>241.86</v>
      </c>
      <c r="F181" s="2">
        <f>IFERROR(__xludf.DUMMYFUNCTION("""COMPUTED_VALUE"""),5756898.0)</f>
        <v>5756898</v>
      </c>
    </row>
    <row r="182">
      <c r="A182" s="3">
        <f>IFERROR(__xludf.DUMMYFUNCTION("""COMPUTED_VALUE"""),45190.66666666667)</f>
        <v>45190.66667</v>
      </c>
      <c r="B182" s="2">
        <f>IFERROR(__xludf.DUMMYFUNCTION("""COMPUTED_VALUE"""),240.77)</f>
        <v>240.77</v>
      </c>
      <c r="C182" s="2">
        <f>IFERROR(__xludf.DUMMYFUNCTION("""COMPUTED_VALUE"""),240.78)</f>
        <v>240.78</v>
      </c>
      <c r="D182" s="2">
        <f>IFERROR(__xludf.DUMMYFUNCTION("""COMPUTED_VALUE"""),236.27)</f>
        <v>236.27</v>
      </c>
      <c r="E182" s="2">
        <f>IFERROR(__xludf.DUMMYFUNCTION("""COMPUTED_VALUE"""),236.61)</f>
        <v>236.61</v>
      </c>
      <c r="F182" s="2">
        <f>IFERROR(__xludf.DUMMYFUNCTION("""COMPUTED_VALUE"""),6881943.0)</f>
        <v>6881943</v>
      </c>
    </row>
    <row r="183">
      <c r="A183" s="3">
        <f>IFERROR(__xludf.DUMMYFUNCTION("""COMPUTED_VALUE"""),45191.66666666667)</f>
        <v>45191.66667</v>
      </c>
      <c r="B183" s="2">
        <f>IFERROR(__xludf.DUMMYFUNCTION("""COMPUTED_VALUE"""),236.75)</f>
        <v>236.75</v>
      </c>
      <c r="C183" s="2">
        <f>IFERROR(__xludf.DUMMYFUNCTION("""COMPUTED_VALUE"""),237.79)</f>
        <v>237.79</v>
      </c>
      <c r="D183" s="2">
        <f>IFERROR(__xludf.DUMMYFUNCTION("""COMPUTED_VALUE"""),234.88)</f>
        <v>234.88</v>
      </c>
      <c r="E183" s="2">
        <f>IFERROR(__xludf.DUMMYFUNCTION("""COMPUTED_VALUE"""),235.08)</f>
        <v>235.08</v>
      </c>
      <c r="F183" s="2">
        <f>IFERROR(__xludf.DUMMYFUNCTION("""COMPUTED_VALUE"""),5935586.0)</f>
        <v>5935586</v>
      </c>
    </row>
    <row r="184">
      <c r="A184" s="3">
        <f>IFERROR(__xludf.DUMMYFUNCTION("""COMPUTED_VALUE"""),45194.66666666667)</f>
        <v>45194.66667</v>
      </c>
      <c r="B184" s="2">
        <f>IFERROR(__xludf.DUMMYFUNCTION("""COMPUTED_VALUE"""),235.38)</f>
        <v>235.38</v>
      </c>
      <c r="C184" s="2">
        <f>IFERROR(__xludf.DUMMYFUNCTION("""COMPUTED_VALUE"""),235.47)</f>
        <v>235.47</v>
      </c>
      <c r="D184" s="2">
        <f>IFERROR(__xludf.DUMMYFUNCTION("""COMPUTED_VALUE"""),232.21)</f>
        <v>232.21</v>
      </c>
      <c r="E184" s="2">
        <f>IFERROR(__xludf.DUMMYFUNCTION("""COMPUTED_VALUE"""),233.36)</f>
        <v>233.36</v>
      </c>
      <c r="F184" s="2">
        <f>IFERROR(__xludf.DUMMYFUNCTION("""COMPUTED_VALUE"""),5921753.0)</f>
        <v>5921753</v>
      </c>
    </row>
    <row r="185">
      <c r="A185" s="3">
        <f>IFERROR(__xludf.DUMMYFUNCTION("""COMPUTED_VALUE"""),45195.66666666667)</f>
        <v>45195.66667</v>
      </c>
      <c r="B185" s="2">
        <f>IFERROR(__xludf.DUMMYFUNCTION("""COMPUTED_VALUE"""),231.93)</f>
        <v>231.93</v>
      </c>
      <c r="C185" s="2">
        <f>IFERROR(__xludf.DUMMYFUNCTION("""COMPUTED_VALUE"""),232.67)</f>
        <v>232.67</v>
      </c>
      <c r="D185" s="2">
        <f>IFERROR(__xludf.DUMMYFUNCTION("""COMPUTED_VALUE"""),229.6)</f>
        <v>229.6</v>
      </c>
      <c r="E185" s="2">
        <f>IFERROR(__xludf.DUMMYFUNCTION("""COMPUTED_VALUE"""),229.65)</f>
        <v>229.65</v>
      </c>
      <c r="F185" s="2">
        <f>IFERROR(__xludf.DUMMYFUNCTION("""COMPUTED_VALUE"""),6193243.0)</f>
        <v>6193243</v>
      </c>
    </row>
    <row r="186">
      <c r="A186" s="3">
        <f>IFERROR(__xludf.DUMMYFUNCTION("""COMPUTED_VALUE"""),45196.66666666667)</f>
        <v>45196.66667</v>
      </c>
      <c r="B186" s="2">
        <f>IFERROR(__xludf.DUMMYFUNCTION("""COMPUTED_VALUE"""),230.26)</f>
        <v>230.26</v>
      </c>
      <c r="C186" s="2">
        <f>IFERROR(__xludf.DUMMYFUNCTION("""COMPUTED_VALUE"""),230.68)</f>
        <v>230.68</v>
      </c>
      <c r="D186" s="2">
        <f>IFERROR(__xludf.DUMMYFUNCTION("""COMPUTED_VALUE"""),227.92)</f>
        <v>227.92</v>
      </c>
      <c r="E186" s="2">
        <f>IFERROR(__xludf.DUMMYFUNCTION("""COMPUTED_VALUE"""),229.5)</f>
        <v>229.5</v>
      </c>
      <c r="F186" s="2">
        <f>IFERROR(__xludf.DUMMYFUNCTION("""COMPUTED_VALUE"""),6006676.0)</f>
        <v>6006676</v>
      </c>
    </row>
    <row r="187">
      <c r="A187" s="3">
        <f>IFERROR(__xludf.DUMMYFUNCTION("""COMPUTED_VALUE"""),45197.66666666667)</f>
        <v>45197.66667</v>
      </c>
      <c r="B187" s="2">
        <f>IFERROR(__xludf.DUMMYFUNCTION("""COMPUTED_VALUE"""),230.67)</f>
        <v>230.67</v>
      </c>
      <c r="C187" s="2">
        <f>IFERROR(__xludf.DUMMYFUNCTION("""COMPUTED_VALUE"""),232.54)</f>
        <v>232.54</v>
      </c>
      <c r="D187" s="2">
        <f>IFERROR(__xludf.DUMMYFUNCTION("""COMPUTED_VALUE"""),229.67)</f>
        <v>229.67</v>
      </c>
      <c r="E187" s="2">
        <f>IFERROR(__xludf.DUMMYFUNCTION("""COMPUTED_VALUE"""),231.66)</f>
        <v>231.66</v>
      </c>
      <c r="F187" s="2">
        <f>IFERROR(__xludf.DUMMYFUNCTION("""COMPUTED_VALUE"""),4203886.0)</f>
        <v>4203886</v>
      </c>
    </row>
    <row r="188">
      <c r="A188" s="3">
        <f>IFERROR(__xludf.DUMMYFUNCTION("""COMPUTED_VALUE"""),45198.66666666667)</f>
        <v>45198.66667</v>
      </c>
      <c r="B188" s="2">
        <f>IFERROR(__xludf.DUMMYFUNCTION("""COMPUTED_VALUE"""),232.84)</f>
        <v>232.84</v>
      </c>
      <c r="C188" s="2">
        <f>IFERROR(__xludf.DUMMYFUNCTION("""COMPUTED_VALUE"""),233.03)</f>
        <v>233.03</v>
      </c>
      <c r="D188" s="2">
        <f>IFERROR(__xludf.DUMMYFUNCTION("""COMPUTED_VALUE"""),229.65)</f>
        <v>229.65</v>
      </c>
      <c r="E188" s="2">
        <f>IFERROR(__xludf.DUMMYFUNCTION("""COMPUTED_VALUE"""),230.01)</f>
        <v>230.01</v>
      </c>
      <c r="F188" s="2">
        <f>IFERROR(__xludf.DUMMYFUNCTION("""COMPUTED_VALUE"""),6045177.0)</f>
        <v>6045177</v>
      </c>
    </row>
    <row r="189">
      <c r="A189" s="3">
        <f>IFERROR(__xludf.DUMMYFUNCTION("""COMPUTED_VALUE"""),45201.66666666667)</f>
        <v>45201.66667</v>
      </c>
      <c r="B189" s="2">
        <f>IFERROR(__xludf.DUMMYFUNCTION("""COMPUTED_VALUE"""),229.24)</f>
        <v>229.24</v>
      </c>
      <c r="C189" s="2">
        <f>IFERROR(__xludf.DUMMYFUNCTION("""COMPUTED_VALUE"""),231.37)</f>
        <v>231.37</v>
      </c>
      <c r="D189" s="2">
        <f>IFERROR(__xludf.DUMMYFUNCTION("""COMPUTED_VALUE"""),228.77)</f>
        <v>228.77</v>
      </c>
      <c r="E189" s="2">
        <f>IFERROR(__xludf.DUMMYFUNCTION("""COMPUTED_VALUE"""),231.27)</f>
        <v>231.27</v>
      </c>
      <c r="F189" s="2">
        <f>IFERROR(__xludf.DUMMYFUNCTION("""COMPUTED_VALUE"""),5175345.0)</f>
        <v>5175345</v>
      </c>
    </row>
    <row r="190">
      <c r="A190" s="3">
        <f>IFERROR(__xludf.DUMMYFUNCTION("""COMPUTED_VALUE"""),45202.66666666667)</f>
        <v>45202.66667</v>
      </c>
      <c r="B190" s="2">
        <f>IFERROR(__xludf.DUMMYFUNCTION("""COMPUTED_VALUE"""),230.47)</f>
        <v>230.47</v>
      </c>
      <c r="C190" s="2">
        <f>IFERROR(__xludf.DUMMYFUNCTION("""COMPUTED_VALUE"""),231.75)</f>
        <v>231.75</v>
      </c>
      <c r="D190" s="2">
        <f>IFERROR(__xludf.DUMMYFUNCTION("""COMPUTED_VALUE"""),227.78)</f>
        <v>227.78</v>
      </c>
      <c r="E190" s="2">
        <f>IFERROR(__xludf.DUMMYFUNCTION("""COMPUTED_VALUE"""),228.81)</f>
        <v>228.81</v>
      </c>
      <c r="F190" s="2">
        <f>IFERROR(__xludf.DUMMYFUNCTION("""COMPUTED_VALUE"""),5585744.0)</f>
        <v>5585744</v>
      </c>
    </row>
    <row r="191">
      <c r="A191" s="3">
        <f>IFERROR(__xludf.DUMMYFUNCTION("""COMPUTED_VALUE"""),45203.66666666667)</f>
        <v>45203.66667</v>
      </c>
      <c r="B191" s="2">
        <f>IFERROR(__xludf.DUMMYFUNCTION("""COMPUTED_VALUE"""),229.48)</f>
        <v>229.48</v>
      </c>
      <c r="C191" s="2">
        <f>IFERROR(__xludf.DUMMYFUNCTION("""COMPUTED_VALUE"""),231.7)</f>
        <v>231.7</v>
      </c>
      <c r="D191" s="2">
        <f>IFERROR(__xludf.DUMMYFUNCTION("""COMPUTED_VALUE"""),228.88)</f>
        <v>228.88</v>
      </c>
      <c r="E191" s="2">
        <f>IFERROR(__xludf.DUMMYFUNCTION("""COMPUTED_VALUE"""),231.22)</f>
        <v>231.22</v>
      </c>
      <c r="F191" s="2">
        <f>IFERROR(__xludf.DUMMYFUNCTION("""COMPUTED_VALUE"""),5430925.0)</f>
        <v>5430925</v>
      </c>
    </row>
    <row r="192">
      <c r="A192" s="3">
        <f>IFERROR(__xludf.DUMMYFUNCTION("""COMPUTED_VALUE"""),45204.66666666667)</f>
        <v>45204.66667</v>
      </c>
      <c r="B192" s="2">
        <f>IFERROR(__xludf.DUMMYFUNCTION("""COMPUTED_VALUE"""),230.41)</f>
        <v>230.41</v>
      </c>
      <c r="C192" s="2">
        <f>IFERROR(__xludf.DUMMYFUNCTION("""COMPUTED_VALUE"""),234.19)</f>
        <v>234.19</v>
      </c>
      <c r="D192" s="2">
        <f>IFERROR(__xludf.DUMMYFUNCTION("""COMPUTED_VALUE"""),230.22)</f>
        <v>230.22</v>
      </c>
      <c r="E192" s="2">
        <f>IFERROR(__xludf.DUMMYFUNCTION("""COMPUTED_VALUE"""),233.48)</f>
        <v>233.48</v>
      </c>
      <c r="F192" s="2">
        <f>IFERROR(__xludf.DUMMYFUNCTION("""COMPUTED_VALUE"""),6126433.0)</f>
        <v>6126433</v>
      </c>
    </row>
    <row r="193">
      <c r="A193" s="3">
        <f>IFERROR(__xludf.DUMMYFUNCTION("""COMPUTED_VALUE"""),45205.66666666667)</f>
        <v>45205.66667</v>
      </c>
      <c r="B193" s="2">
        <f>IFERROR(__xludf.DUMMYFUNCTION("""COMPUTED_VALUE"""),233.17)</f>
        <v>233.17</v>
      </c>
      <c r="C193" s="2">
        <f>IFERROR(__xludf.DUMMYFUNCTION("""COMPUTED_VALUE"""),236.59)</f>
        <v>236.59</v>
      </c>
      <c r="D193" s="2">
        <f>IFERROR(__xludf.DUMMYFUNCTION("""COMPUTED_VALUE"""),232.75)</f>
        <v>232.75</v>
      </c>
      <c r="E193" s="2">
        <f>IFERROR(__xludf.DUMMYFUNCTION("""COMPUTED_VALUE"""),235.04)</f>
        <v>235.04</v>
      </c>
      <c r="F193" s="2">
        <f>IFERROR(__xludf.DUMMYFUNCTION("""COMPUTED_VALUE"""),6401280.0)</f>
        <v>6401280</v>
      </c>
    </row>
    <row r="194">
      <c r="A194" s="3">
        <f>IFERROR(__xludf.DUMMYFUNCTION("""COMPUTED_VALUE"""),45208.66666666667)</f>
        <v>45208.66667</v>
      </c>
      <c r="B194" s="2">
        <f>IFERROR(__xludf.DUMMYFUNCTION("""COMPUTED_VALUE"""),232.8)</f>
        <v>232.8</v>
      </c>
      <c r="C194" s="2">
        <f>IFERROR(__xludf.DUMMYFUNCTION("""COMPUTED_VALUE"""),235.17)</f>
        <v>235.17</v>
      </c>
      <c r="D194" s="2">
        <f>IFERROR(__xludf.DUMMYFUNCTION("""COMPUTED_VALUE"""),231.7)</f>
        <v>231.7</v>
      </c>
      <c r="E194" s="2">
        <f>IFERROR(__xludf.DUMMYFUNCTION("""COMPUTED_VALUE"""),234.44)</f>
        <v>234.44</v>
      </c>
      <c r="F194" s="2">
        <f>IFERROR(__xludf.DUMMYFUNCTION("""COMPUTED_VALUE"""),5372332.0)</f>
        <v>5372332</v>
      </c>
    </row>
    <row r="195">
      <c r="A195" s="3">
        <f>IFERROR(__xludf.DUMMYFUNCTION("""COMPUTED_VALUE"""),45209.66666666667)</f>
        <v>45209.66667</v>
      </c>
      <c r="B195" s="2">
        <f>IFERROR(__xludf.DUMMYFUNCTION("""COMPUTED_VALUE"""),234.9)</f>
        <v>234.9</v>
      </c>
      <c r="C195" s="2">
        <f>IFERROR(__xludf.DUMMYFUNCTION("""COMPUTED_VALUE"""),238.22)</f>
        <v>238.22</v>
      </c>
      <c r="D195" s="2">
        <f>IFERROR(__xludf.DUMMYFUNCTION("""COMPUTED_VALUE"""),234.28)</f>
        <v>234.28</v>
      </c>
      <c r="E195" s="2">
        <f>IFERROR(__xludf.DUMMYFUNCTION("""COMPUTED_VALUE"""),236.6)</f>
        <v>236.6</v>
      </c>
      <c r="F195" s="2">
        <f>IFERROR(__xludf.DUMMYFUNCTION("""COMPUTED_VALUE"""),4644223.0)</f>
        <v>4644223</v>
      </c>
    </row>
    <row r="196">
      <c r="A196" s="3">
        <f>IFERROR(__xludf.DUMMYFUNCTION("""COMPUTED_VALUE"""),45210.66666666667)</f>
        <v>45210.66667</v>
      </c>
      <c r="B196" s="2">
        <f>IFERROR(__xludf.DUMMYFUNCTION("""COMPUTED_VALUE"""),237.55)</f>
        <v>237.55</v>
      </c>
      <c r="C196" s="2">
        <f>IFERROR(__xludf.DUMMYFUNCTION("""COMPUTED_VALUE"""),238.51)</f>
        <v>238.51</v>
      </c>
      <c r="D196" s="2">
        <f>IFERROR(__xludf.DUMMYFUNCTION("""COMPUTED_VALUE"""),234.89)</f>
        <v>234.89</v>
      </c>
      <c r="E196" s="2">
        <f>IFERROR(__xludf.DUMMYFUNCTION("""COMPUTED_VALUE"""),235.68)</f>
        <v>235.68</v>
      </c>
      <c r="F196" s="2">
        <f>IFERROR(__xludf.DUMMYFUNCTION("""COMPUTED_VALUE"""),4760890.0)</f>
        <v>4760890</v>
      </c>
    </row>
    <row r="197">
      <c r="A197" s="3">
        <f>IFERROR(__xludf.DUMMYFUNCTION("""COMPUTED_VALUE"""),45211.66666666667)</f>
        <v>45211.66667</v>
      </c>
      <c r="B197" s="2">
        <f>IFERROR(__xludf.DUMMYFUNCTION("""COMPUTED_VALUE"""),236.71)</f>
        <v>236.71</v>
      </c>
      <c r="C197" s="2">
        <f>IFERROR(__xludf.DUMMYFUNCTION("""COMPUTED_VALUE"""),237.73)</f>
        <v>237.73</v>
      </c>
      <c r="D197" s="2">
        <f>IFERROR(__xludf.DUMMYFUNCTION("""COMPUTED_VALUE"""),234.89)</f>
        <v>234.89</v>
      </c>
      <c r="E197" s="2">
        <f>IFERROR(__xludf.DUMMYFUNCTION("""COMPUTED_VALUE"""),236.78)</f>
        <v>236.78</v>
      </c>
      <c r="F197" s="2">
        <f>IFERROR(__xludf.DUMMYFUNCTION("""COMPUTED_VALUE"""),4472920.0)</f>
        <v>4472920</v>
      </c>
    </row>
    <row r="198">
      <c r="A198" s="3">
        <f>IFERROR(__xludf.DUMMYFUNCTION("""COMPUTED_VALUE"""),45212.66666666667)</f>
        <v>45212.66667</v>
      </c>
      <c r="B198" s="2">
        <f>IFERROR(__xludf.DUMMYFUNCTION("""COMPUTED_VALUE"""),236.39)</f>
        <v>236.39</v>
      </c>
      <c r="C198" s="2">
        <f>IFERROR(__xludf.DUMMYFUNCTION("""COMPUTED_VALUE"""),238.65)</f>
        <v>238.65</v>
      </c>
      <c r="D198" s="2">
        <f>IFERROR(__xludf.DUMMYFUNCTION("""COMPUTED_VALUE"""),236.23)</f>
        <v>236.23</v>
      </c>
      <c r="E198" s="2">
        <f>IFERROR(__xludf.DUMMYFUNCTION("""COMPUTED_VALUE"""),237.67)</f>
        <v>237.67</v>
      </c>
      <c r="F198" s="2">
        <f>IFERROR(__xludf.DUMMYFUNCTION("""COMPUTED_VALUE"""),4966925.0)</f>
        <v>4966925</v>
      </c>
    </row>
    <row r="199">
      <c r="A199" s="3">
        <f>IFERROR(__xludf.DUMMYFUNCTION("""COMPUTED_VALUE"""),45215.66666666667)</f>
        <v>45215.66667</v>
      </c>
      <c r="B199" s="2">
        <f>IFERROR(__xludf.DUMMYFUNCTION("""COMPUTED_VALUE"""),239.0)</f>
        <v>239</v>
      </c>
      <c r="C199" s="2">
        <f>IFERROR(__xludf.DUMMYFUNCTION("""COMPUTED_VALUE"""),240.71)</f>
        <v>240.71</v>
      </c>
      <c r="D199" s="2">
        <f>IFERROR(__xludf.DUMMYFUNCTION("""COMPUTED_VALUE"""),238.33)</f>
        <v>238.33</v>
      </c>
      <c r="E199" s="2">
        <f>IFERROR(__xludf.DUMMYFUNCTION("""COMPUTED_VALUE"""),240.07)</f>
        <v>240.07</v>
      </c>
      <c r="F199" s="2">
        <f>IFERROR(__xludf.DUMMYFUNCTION("""COMPUTED_VALUE"""),6227475.0)</f>
        <v>6227475</v>
      </c>
    </row>
    <row r="200">
      <c r="A200" s="3">
        <f>IFERROR(__xludf.DUMMYFUNCTION("""COMPUTED_VALUE"""),45216.66666666667)</f>
        <v>45216.66667</v>
      </c>
      <c r="B200" s="2">
        <f>IFERROR(__xludf.DUMMYFUNCTION("""COMPUTED_VALUE"""),239.63)</f>
        <v>239.63</v>
      </c>
      <c r="C200" s="2">
        <f>IFERROR(__xludf.DUMMYFUNCTION("""COMPUTED_VALUE"""),241.48)</f>
        <v>241.48</v>
      </c>
      <c r="D200" s="2">
        <f>IFERROR(__xludf.DUMMYFUNCTION("""COMPUTED_VALUE"""),238.29)</f>
        <v>238.29</v>
      </c>
      <c r="E200" s="2">
        <f>IFERROR(__xludf.DUMMYFUNCTION("""COMPUTED_VALUE"""),241.2)</f>
        <v>241.2</v>
      </c>
      <c r="F200" s="2">
        <f>IFERROR(__xludf.DUMMYFUNCTION("""COMPUTED_VALUE"""),4527629.0)</f>
        <v>4527629</v>
      </c>
    </row>
    <row r="201">
      <c r="A201" s="3">
        <f>IFERROR(__xludf.DUMMYFUNCTION("""COMPUTED_VALUE"""),45217.66666666667)</f>
        <v>45217.66667</v>
      </c>
      <c r="B201" s="2">
        <f>IFERROR(__xludf.DUMMYFUNCTION("""COMPUTED_VALUE"""),239.96)</f>
        <v>239.96</v>
      </c>
      <c r="C201" s="2">
        <f>IFERROR(__xludf.DUMMYFUNCTION("""COMPUTED_VALUE"""),240.83)</f>
        <v>240.83</v>
      </c>
      <c r="D201" s="2">
        <f>IFERROR(__xludf.DUMMYFUNCTION("""COMPUTED_VALUE"""),236.99)</f>
        <v>236.99</v>
      </c>
      <c r="E201" s="2">
        <f>IFERROR(__xludf.DUMMYFUNCTION("""COMPUTED_VALUE"""),237.47)</f>
        <v>237.47</v>
      </c>
      <c r="F201" s="2">
        <f>IFERROR(__xludf.DUMMYFUNCTION("""COMPUTED_VALUE"""),9528487.0)</f>
        <v>9528487</v>
      </c>
    </row>
    <row r="202">
      <c r="A202" s="3">
        <f>IFERROR(__xludf.DUMMYFUNCTION("""COMPUTED_VALUE"""),45218.66666666667)</f>
        <v>45218.66667</v>
      </c>
      <c r="B202" s="2">
        <f>IFERROR(__xludf.DUMMYFUNCTION("""COMPUTED_VALUE"""),237.47)</f>
        <v>237.47</v>
      </c>
      <c r="C202" s="2">
        <f>IFERROR(__xludf.DUMMYFUNCTION("""COMPUTED_VALUE"""),237.92)</f>
        <v>237.92</v>
      </c>
      <c r="D202" s="2">
        <f>IFERROR(__xludf.DUMMYFUNCTION("""COMPUTED_VALUE"""),233.41)</f>
        <v>233.41</v>
      </c>
      <c r="E202" s="2">
        <f>IFERROR(__xludf.DUMMYFUNCTION("""COMPUTED_VALUE"""),233.81)</f>
        <v>233.81</v>
      </c>
      <c r="F202" s="2">
        <f>IFERROR(__xludf.DUMMYFUNCTION("""COMPUTED_VALUE"""),5927439.0)</f>
        <v>5927439</v>
      </c>
    </row>
    <row r="203">
      <c r="A203" s="3">
        <f>IFERROR(__xludf.DUMMYFUNCTION("""COMPUTED_VALUE"""),45219.66666666667)</f>
        <v>45219.66667</v>
      </c>
      <c r="B203" s="2">
        <f>IFERROR(__xludf.DUMMYFUNCTION("""COMPUTED_VALUE"""),234.13)</f>
        <v>234.13</v>
      </c>
      <c r="C203" s="2">
        <f>IFERROR(__xludf.DUMMYFUNCTION("""COMPUTED_VALUE"""),235.77)</f>
        <v>235.77</v>
      </c>
      <c r="D203" s="2">
        <f>IFERROR(__xludf.DUMMYFUNCTION("""COMPUTED_VALUE"""),232.64)</f>
        <v>232.64</v>
      </c>
      <c r="E203" s="2">
        <f>IFERROR(__xludf.DUMMYFUNCTION("""COMPUTED_VALUE"""),233.38)</f>
        <v>233.38</v>
      </c>
      <c r="F203" s="2">
        <f>IFERROR(__xludf.DUMMYFUNCTION("""COMPUTED_VALUE"""),5748421.0)</f>
        <v>5748421</v>
      </c>
    </row>
    <row r="204">
      <c r="A204" s="3">
        <f>IFERROR(__xludf.DUMMYFUNCTION("""COMPUTED_VALUE"""),45222.66666666667)</f>
        <v>45222.66667</v>
      </c>
      <c r="B204" s="2">
        <f>IFERROR(__xludf.DUMMYFUNCTION("""COMPUTED_VALUE"""),231.36)</f>
        <v>231.36</v>
      </c>
      <c r="C204" s="2">
        <f>IFERROR(__xludf.DUMMYFUNCTION("""COMPUTED_VALUE"""),234.46)</f>
        <v>234.46</v>
      </c>
      <c r="D204" s="2">
        <f>IFERROR(__xludf.DUMMYFUNCTION("""COMPUTED_VALUE"""),231.28)</f>
        <v>231.28</v>
      </c>
      <c r="E204" s="2">
        <f>IFERROR(__xludf.DUMMYFUNCTION("""COMPUTED_VALUE"""),231.53)</f>
        <v>231.53</v>
      </c>
      <c r="F204" s="2">
        <f>IFERROR(__xludf.DUMMYFUNCTION("""COMPUTED_VALUE"""),5071710.0)</f>
        <v>5071710</v>
      </c>
    </row>
    <row r="205">
      <c r="A205" s="3">
        <f>IFERROR(__xludf.DUMMYFUNCTION("""COMPUTED_VALUE"""),45223.66666666667)</f>
        <v>45223.66667</v>
      </c>
      <c r="B205" s="2">
        <f>IFERROR(__xludf.DUMMYFUNCTION("""COMPUTED_VALUE"""),232.89)</f>
        <v>232.89</v>
      </c>
      <c r="C205" s="2">
        <f>IFERROR(__xludf.DUMMYFUNCTION("""COMPUTED_VALUE"""),236.53)</f>
        <v>236.53</v>
      </c>
      <c r="D205" s="2">
        <f>IFERROR(__xludf.DUMMYFUNCTION("""COMPUTED_VALUE"""),232.89)</f>
        <v>232.89</v>
      </c>
      <c r="E205" s="2">
        <f>IFERROR(__xludf.DUMMYFUNCTION("""COMPUTED_VALUE"""),234.65)</f>
        <v>234.65</v>
      </c>
      <c r="F205" s="2">
        <f>IFERROR(__xludf.DUMMYFUNCTION("""COMPUTED_VALUE"""),6844055.0)</f>
        <v>6844055</v>
      </c>
    </row>
    <row r="206">
      <c r="A206" s="3">
        <f>IFERROR(__xludf.DUMMYFUNCTION("""COMPUTED_VALUE"""),45224.66666666667)</f>
        <v>45224.66667</v>
      </c>
      <c r="B206" s="2">
        <f>IFERROR(__xludf.DUMMYFUNCTION("""COMPUTED_VALUE"""),232.25)</f>
        <v>232.25</v>
      </c>
      <c r="C206" s="2">
        <f>IFERROR(__xludf.DUMMYFUNCTION("""COMPUTED_VALUE"""),238.48)</f>
        <v>238.48</v>
      </c>
      <c r="D206" s="2">
        <f>IFERROR(__xludf.DUMMYFUNCTION("""COMPUTED_VALUE"""),231.29)</f>
        <v>231.29</v>
      </c>
      <c r="E206" s="2">
        <f>IFERROR(__xludf.DUMMYFUNCTION("""COMPUTED_VALUE"""),236.85)</f>
        <v>236.85</v>
      </c>
      <c r="F206" s="2">
        <f>IFERROR(__xludf.DUMMYFUNCTION("""COMPUTED_VALUE"""),1.0365335E7)</f>
        <v>10365335</v>
      </c>
    </row>
    <row r="207">
      <c r="A207" s="3">
        <f>IFERROR(__xludf.DUMMYFUNCTION("""COMPUTED_VALUE"""),45225.66666666667)</f>
        <v>45225.66667</v>
      </c>
      <c r="B207" s="2">
        <f>IFERROR(__xludf.DUMMYFUNCTION("""COMPUTED_VALUE"""),234.57)</f>
        <v>234.57</v>
      </c>
      <c r="C207" s="2">
        <f>IFERROR(__xludf.DUMMYFUNCTION("""COMPUTED_VALUE"""),235.61)</f>
        <v>235.61</v>
      </c>
      <c r="D207" s="2">
        <f>IFERROR(__xludf.DUMMYFUNCTION("""COMPUTED_VALUE"""),230.36)</f>
        <v>230.36</v>
      </c>
      <c r="E207" s="2">
        <f>IFERROR(__xludf.DUMMYFUNCTION("""COMPUTED_VALUE"""),231.28)</f>
        <v>231.28</v>
      </c>
      <c r="F207" s="2">
        <f>IFERROR(__xludf.DUMMYFUNCTION("""COMPUTED_VALUE"""),6414495.0)</f>
        <v>6414495</v>
      </c>
    </row>
    <row r="208">
      <c r="A208" s="3">
        <f>IFERROR(__xludf.DUMMYFUNCTION("""COMPUTED_VALUE"""),45226.66666666667)</f>
        <v>45226.66667</v>
      </c>
      <c r="B208" s="2">
        <f>IFERROR(__xludf.DUMMYFUNCTION("""COMPUTED_VALUE"""),231.17)</f>
        <v>231.17</v>
      </c>
      <c r="C208" s="2">
        <f>IFERROR(__xludf.DUMMYFUNCTION("""COMPUTED_VALUE"""),231.39)</f>
        <v>231.39</v>
      </c>
      <c r="D208" s="2">
        <f>IFERROR(__xludf.DUMMYFUNCTION("""COMPUTED_VALUE"""),228.03)</f>
        <v>228.03</v>
      </c>
      <c r="E208" s="2">
        <f>IFERROR(__xludf.DUMMYFUNCTION("""COMPUTED_VALUE"""),229.27)</f>
        <v>229.27</v>
      </c>
      <c r="F208" s="2">
        <f>IFERROR(__xludf.DUMMYFUNCTION("""COMPUTED_VALUE"""),5540934.0)</f>
        <v>5540934</v>
      </c>
    </row>
    <row r="209">
      <c r="A209" s="3">
        <f>IFERROR(__xludf.DUMMYFUNCTION("""COMPUTED_VALUE"""),45229.66666666667)</f>
        <v>45229.66667</v>
      </c>
      <c r="B209" s="2">
        <f>IFERROR(__xludf.DUMMYFUNCTION("""COMPUTED_VALUE"""),232.19)</f>
        <v>232.19</v>
      </c>
      <c r="C209" s="2">
        <f>IFERROR(__xludf.DUMMYFUNCTION("""COMPUTED_VALUE"""),233.38)</f>
        <v>233.38</v>
      </c>
      <c r="D209" s="2">
        <f>IFERROR(__xludf.DUMMYFUNCTION("""COMPUTED_VALUE"""),230.03)</f>
        <v>230.03</v>
      </c>
      <c r="E209" s="2">
        <f>IFERROR(__xludf.DUMMYFUNCTION("""COMPUTED_VALUE"""),233.08)</f>
        <v>233.08</v>
      </c>
      <c r="F209" s="2">
        <f>IFERROR(__xludf.DUMMYFUNCTION("""COMPUTED_VALUE"""),5170329.0)</f>
        <v>5170329</v>
      </c>
    </row>
    <row r="210">
      <c r="A210" s="3">
        <f>IFERROR(__xludf.DUMMYFUNCTION("""COMPUTED_VALUE"""),45230.66666666667)</f>
        <v>45230.66667</v>
      </c>
      <c r="B210" s="2">
        <f>IFERROR(__xludf.DUMMYFUNCTION("""COMPUTED_VALUE"""),233.57)</f>
        <v>233.57</v>
      </c>
      <c r="C210" s="2">
        <f>IFERROR(__xludf.DUMMYFUNCTION("""COMPUTED_VALUE"""),235.72)</f>
        <v>235.72</v>
      </c>
      <c r="D210" s="2">
        <f>IFERROR(__xludf.DUMMYFUNCTION("""COMPUTED_VALUE"""),232.99)</f>
        <v>232.99</v>
      </c>
      <c r="E210" s="2">
        <f>IFERROR(__xludf.DUMMYFUNCTION("""COMPUTED_VALUE"""),235.1)</f>
        <v>235.1</v>
      </c>
      <c r="F210" s="2">
        <f>IFERROR(__xludf.DUMMYFUNCTION("""COMPUTED_VALUE"""),4828403.0)</f>
        <v>4828403</v>
      </c>
    </row>
    <row r="211">
      <c r="A211" s="3">
        <f>IFERROR(__xludf.DUMMYFUNCTION("""COMPUTED_VALUE"""),45231.66666666667)</f>
        <v>45231.66667</v>
      </c>
      <c r="B211" s="2">
        <f>IFERROR(__xludf.DUMMYFUNCTION("""COMPUTED_VALUE"""),236.14)</f>
        <v>236.14</v>
      </c>
      <c r="C211" s="2">
        <f>IFERROR(__xludf.DUMMYFUNCTION("""COMPUTED_VALUE"""),239.04)</f>
        <v>239.04</v>
      </c>
      <c r="D211" s="2">
        <f>IFERROR(__xludf.DUMMYFUNCTION("""COMPUTED_VALUE"""),235.68)</f>
        <v>235.68</v>
      </c>
      <c r="E211" s="2">
        <f>IFERROR(__xludf.DUMMYFUNCTION("""COMPUTED_VALUE"""),238.58)</f>
        <v>238.58</v>
      </c>
      <c r="F211" s="2">
        <f>IFERROR(__xludf.DUMMYFUNCTION("""COMPUTED_VALUE"""),4996404.0)</f>
        <v>4996404</v>
      </c>
    </row>
    <row r="212">
      <c r="A212" s="3">
        <f>IFERROR(__xludf.DUMMYFUNCTION("""COMPUTED_VALUE"""),45232.66666666667)</f>
        <v>45232.66667</v>
      </c>
      <c r="B212" s="2">
        <f>IFERROR(__xludf.DUMMYFUNCTION("""COMPUTED_VALUE"""),239.91)</f>
        <v>239.91</v>
      </c>
      <c r="C212" s="2">
        <f>IFERROR(__xludf.DUMMYFUNCTION("""COMPUTED_VALUE"""),243.25)</f>
        <v>243.25</v>
      </c>
      <c r="D212" s="2">
        <f>IFERROR(__xludf.DUMMYFUNCTION("""COMPUTED_VALUE"""),239.2)</f>
        <v>239.2</v>
      </c>
      <c r="E212" s="2">
        <f>IFERROR(__xludf.DUMMYFUNCTION("""COMPUTED_VALUE"""),243.25)</f>
        <v>243.25</v>
      </c>
      <c r="F212" s="2">
        <f>IFERROR(__xludf.DUMMYFUNCTION("""COMPUTED_VALUE"""),6286743.0)</f>
        <v>6286743</v>
      </c>
    </row>
    <row r="213">
      <c r="A213" s="3">
        <f>IFERROR(__xludf.DUMMYFUNCTION("""COMPUTED_VALUE"""),45233.66666666667)</f>
        <v>45233.66667</v>
      </c>
      <c r="B213" s="2">
        <f>IFERROR(__xludf.DUMMYFUNCTION("""COMPUTED_VALUE"""),245.12)</f>
        <v>245.12</v>
      </c>
      <c r="C213" s="2">
        <f>IFERROR(__xludf.DUMMYFUNCTION("""COMPUTED_VALUE"""),245.32)</f>
        <v>245.32</v>
      </c>
      <c r="D213" s="2">
        <f>IFERROR(__xludf.DUMMYFUNCTION("""COMPUTED_VALUE"""),242.26)</f>
        <v>242.26</v>
      </c>
      <c r="E213" s="2">
        <f>IFERROR(__xludf.DUMMYFUNCTION("""COMPUTED_VALUE"""),243.6)</f>
        <v>243.6</v>
      </c>
      <c r="F213" s="2">
        <f>IFERROR(__xludf.DUMMYFUNCTION("""COMPUTED_VALUE"""),5030010.0)</f>
        <v>5030010</v>
      </c>
    </row>
    <row r="214">
      <c r="A214" s="3">
        <f>IFERROR(__xludf.DUMMYFUNCTION("""COMPUTED_VALUE"""),45236.66666666667)</f>
        <v>45236.66667</v>
      </c>
      <c r="B214" s="2">
        <f>IFERROR(__xludf.DUMMYFUNCTION("""COMPUTED_VALUE"""),244.0)</f>
        <v>244</v>
      </c>
      <c r="C214" s="2">
        <f>IFERROR(__xludf.DUMMYFUNCTION("""COMPUTED_VALUE"""),244.78)</f>
        <v>244.78</v>
      </c>
      <c r="D214" s="2">
        <f>IFERROR(__xludf.DUMMYFUNCTION("""COMPUTED_VALUE"""),242.61)</f>
        <v>242.61</v>
      </c>
      <c r="E214" s="2">
        <f>IFERROR(__xludf.DUMMYFUNCTION("""COMPUTED_VALUE"""),243.49)</f>
        <v>243.49</v>
      </c>
      <c r="F214" s="2">
        <f>IFERROR(__xludf.DUMMYFUNCTION("""COMPUTED_VALUE"""),5254340.0)</f>
        <v>5254340</v>
      </c>
    </row>
    <row r="215">
      <c r="A215" s="3">
        <f>IFERROR(__xludf.DUMMYFUNCTION("""COMPUTED_VALUE"""),45237.66666666667)</f>
        <v>45237.66667</v>
      </c>
      <c r="B215" s="2">
        <f>IFERROR(__xludf.DUMMYFUNCTION("""COMPUTED_VALUE"""),243.41)</f>
        <v>243.41</v>
      </c>
      <c r="C215" s="2">
        <f>IFERROR(__xludf.DUMMYFUNCTION("""COMPUTED_VALUE"""),245.07)</f>
        <v>245.07</v>
      </c>
      <c r="D215" s="2">
        <f>IFERROR(__xludf.DUMMYFUNCTION("""COMPUTED_VALUE"""),243.38)</f>
        <v>243.38</v>
      </c>
      <c r="E215" s="2">
        <f>IFERROR(__xludf.DUMMYFUNCTION("""COMPUTED_VALUE"""),244.77)</f>
        <v>244.77</v>
      </c>
      <c r="F215" s="2">
        <f>IFERROR(__xludf.DUMMYFUNCTION("""COMPUTED_VALUE"""),4219744.0)</f>
        <v>4219744</v>
      </c>
    </row>
    <row r="216">
      <c r="A216" s="3">
        <f>IFERROR(__xludf.DUMMYFUNCTION("""COMPUTED_VALUE"""),45238.66666666667)</f>
        <v>45238.66667</v>
      </c>
      <c r="B216" s="2">
        <f>IFERROR(__xludf.DUMMYFUNCTION("""COMPUTED_VALUE"""),243.49)</f>
        <v>243.49</v>
      </c>
      <c r="C216" s="2">
        <f>IFERROR(__xludf.DUMMYFUNCTION("""COMPUTED_VALUE"""),244.75)</f>
        <v>244.75</v>
      </c>
      <c r="D216" s="2">
        <f>IFERROR(__xludf.DUMMYFUNCTION("""COMPUTED_VALUE"""),242.8)</f>
        <v>242.8</v>
      </c>
      <c r="E216" s="2">
        <f>IFERROR(__xludf.DUMMYFUNCTION("""COMPUTED_VALUE"""),243.91)</f>
        <v>243.91</v>
      </c>
      <c r="F216" s="2">
        <f>IFERROR(__xludf.DUMMYFUNCTION("""COMPUTED_VALUE"""),5117726.0)</f>
        <v>5117726</v>
      </c>
    </row>
    <row r="217">
      <c r="A217" s="3">
        <f>IFERROR(__xludf.DUMMYFUNCTION("""COMPUTED_VALUE"""),45239.66666666667)</f>
        <v>45239.66667</v>
      </c>
      <c r="B217" s="2">
        <f>IFERROR(__xludf.DUMMYFUNCTION("""COMPUTED_VALUE"""),244.33)</f>
        <v>244.33</v>
      </c>
      <c r="C217" s="2">
        <f>IFERROR(__xludf.DUMMYFUNCTION("""COMPUTED_VALUE"""),244.48)</f>
        <v>244.48</v>
      </c>
      <c r="D217" s="2">
        <f>IFERROR(__xludf.DUMMYFUNCTION("""COMPUTED_VALUE"""),240.97)</f>
        <v>240.97</v>
      </c>
      <c r="E217" s="2">
        <f>IFERROR(__xludf.DUMMYFUNCTION("""COMPUTED_VALUE"""),241.64)</f>
        <v>241.64</v>
      </c>
      <c r="F217" s="2">
        <f>IFERROR(__xludf.DUMMYFUNCTION("""COMPUTED_VALUE"""),4866610.0)</f>
        <v>4866610</v>
      </c>
    </row>
    <row r="218">
      <c r="A218" s="3">
        <f>IFERROR(__xludf.DUMMYFUNCTION("""COMPUTED_VALUE"""),45240.66666666667)</f>
        <v>45240.66667</v>
      </c>
      <c r="B218" s="2">
        <f>IFERROR(__xludf.DUMMYFUNCTION("""COMPUTED_VALUE"""),243.98)</f>
        <v>243.98</v>
      </c>
      <c r="C218" s="2">
        <f>IFERROR(__xludf.DUMMYFUNCTION("""COMPUTED_VALUE"""),245.27)</f>
        <v>245.27</v>
      </c>
      <c r="D218" s="2">
        <f>IFERROR(__xludf.DUMMYFUNCTION("""COMPUTED_VALUE"""),241.97)</f>
        <v>241.97</v>
      </c>
      <c r="E218" s="2">
        <f>IFERROR(__xludf.DUMMYFUNCTION("""COMPUTED_VALUE"""),245.25)</f>
        <v>245.25</v>
      </c>
      <c r="F218" s="2">
        <f>IFERROR(__xludf.DUMMYFUNCTION("""COMPUTED_VALUE"""),4094940.0)</f>
        <v>4094940</v>
      </c>
    </row>
    <row r="219">
      <c r="A219" s="3">
        <f>IFERROR(__xludf.DUMMYFUNCTION("""COMPUTED_VALUE"""),45243.66666666667)</f>
        <v>45243.66667</v>
      </c>
      <c r="B219" s="2">
        <f>IFERROR(__xludf.DUMMYFUNCTION("""COMPUTED_VALUE"""),245.0)</f>
        <v>245</v>
      </c>
      <c r="C219" s="2">
        <f>IFERROR(__xludf.DUMMYFUNCTION("""COMPUTED_VALUE"""),245.68)</f>
        <v>245.68</v>
      </c>
      <c r="D219" s="2">
        <f>IFERROR(__xludf.DUMMYFUNCTION("""COMPUTED_VALUE"""),244.11)</f>
        <v>244.11</v>
      </c>
      <c r="E219" s="2">
        <f>IFERROR(__xludf.DUMMYFUNCTION("""COMPUTED_VALUE"""),244.67)</f>
        <v>244.67</v>
      </c>
      <c r="F219" s="2">
        <f>IFERROR(__xludf.DUMMYFUNCTION("""COMPUTED_VALUE"""),4088661.0)</f>
        <v>4088661</v>
      </c>
    </row>
    <row r="220">
      <c r="A220" s="3">
        <f>IFERROR(__xludf.DUMMYFUNCTION("""COMPUTED_VALUE"""),45244.66666666667)</f>
        <v>45244.66667</v>
      </c>
      <c r="B220" s="2">
        <f>IFERROR(__xludf.DUMMYFUNCTION("""COMPUTED_VALUE"""),246.17)</f>
        <v>246.17</v>
      </c>
      <c r="C220" s="2">
        <f>IFERROR(__xludf.DUMMYFUNCTION("""COMPUTED_VALUE"""),247.93)</f>
        <v>247.93</v>
      </c>
      <c r="D220" s="2">
        <f>IFERROR(__xludf.DUMMYFUNCTION("""COMPUTED_VALUE"""),245.58)</f>
        <v>245.58</v>
      </c>
      <c r="E220" s="2">
        <f>IFERROR(__xludf.DUMMYFUNCTION("""COMPUTED_VALUE"""),246.94)</f>
        <v>246.94</v>
      </c>
      <c r="F220" s="2">
        <f>IFERROR(__xludf.DUMMYFUNCTION("""COMPUTED_VALUE"""),1.4092026E7)</f>
        <v>14092026</v>
      </c>
    </row>
    <row r="221">
      <c r="A221" s="3">
        <f>IFERROR(__xludf.DUMMYFUNCTION("""COMPUTED_VALUE"""),45245.66666666667)</f>
        <v>45245.66667</v>
      </c>
      <c r="B221" s="2">
        <f>IFERROR(__xludf.DUMMYFUNCTION("""COMPUTED_VALUE"""),246.81)</f>
        <v>246.81</v>
      </c>
      <c r="C221" s="2">
        <f>IFERROR(__xludf.DUMMYFUNCTION("""COMPUTED_VALUE"""),248.24)</f>
        <v>248.24</v>
      </c>
      <c r="D221" s="2">
        <f>IFERROR(__xludf.DUMMYFUNCTION("""COMPUTED_VALUE"""),245.34)</f>
        <v>245.34</v>
      </c>
      <c r="E221" s="2">
        <f>IFERROR(__xludf.DUMMYFUNCTION("""COMPUTED_VALUE"""),248.11)</f>
        <v>248.11</v>
      </c>
      <c r="F221" s="2">
        <f>IFERROR(__xludf.DUMMYFUNCTION("""COMPUTED_VALUE"""),1.3258892E7)</f>
        <v>13258892</v>
      </c>
    </row>
    <row r="222">
      <c r="A222" s="3">
        <f>IFERROR(__xludf.DUMMYFUNCTION("""COMPUTED_VALUE"""),45246.66666666667)</f>
        <v>45246.66667</v>
      </c>
      <c r="B222" s="2">
        <f>IFERROR(__xludf.DUMMYFUNCTION("""COMPUTED_VALUE"""),248.59)</f>
        <v>248.59</v>
      </c>
      <c r="C222" s="2">
        <f>IFERROR(__xludf.DUMMYFUNCTION("""COMPUTED_VALUE"""),249.45)</f>
        <v>249.45</v>
      </c>
      <c r="D222" s="2">
        <f>IFERROR(__xludf.DUMMYFUNCTION("""COMPUTED_VALUE"""),247.27)</f>
        <v>247.27</v>
      </c>
      <c r="E222" s="2">
        <f>IFERROR(__xludf.DUMMYFUNCTION("""COMPUTED_VALUE"""),248.57)</f>
        <v>248.57</v>
      </c>
      <c r="F222" s="2">
        <f>IFERROR(__xludf.DUMMYFUNCTION("""COMPUTED_VALUE"""),7051607.0)</f>
        <v>7051607</v>
      </c>
    </row>
    <row r="223">
      <c r="A223" s="3">
        <f>IFERROR(__xludf.DUMMYFUNCTION("""COMPUTED_VALUE"""),45247.66666666667)</f>
        <v>45247.66667</v>
      </c>
      <c r="B223" s="2">
        <f>IFERROR(__xludf.DUMMYFUNCTION("""COMPUTED_VALUE"""),249.45)</f>
        <v>249.45</v>
      </c>
      <c r="C223" s="2">
        <f>IFERROR(__xludf.DUMMYFUNCTION("""COMPUTED_VALUE"""),250.24)</f>
        <v>250.24</v>
      </c>
      <c r="D223" s="2">
        <f>IFERROR(__xludf.DUMMYFUNCTION("""COMPUTED_VALUE"""),248.66)</f>
        <v>248.66</v>
      </c>
      <c r="E223" s="2">
        <f>IFERROR(__xludf.DUMMYFUNCTION("""COMPUTED_VALUE"""),249.56)</f>
        <v>249.56</v>
      </c>
      <c r="F223" s="2">
        <f>IFERROR(__xludf.DUMMYFUNCTION("""COMPUTED_VALUE"""),7238324.0)</f>
        <v>7238324</v>
      </c>
    </row>
    <row r="224">
      <c r="A224" s="3">
        <f>IFERROR(__xludf.DUMMYFUNCTION("""COMPUTED_VALUE"""),45250.66666666667)</f>
        <v>45250.66667</v>
      </c>
      <c r="B224" s="2">
        <f>IFERROR(__xludf.DUMMYFUNCTION("""COMPUTED_VALUE"""),249.61)</f>
        <v>249.61</v>
      </c>
      <c r="C224" s="2">
        <f>IFERROR(__xludf.DUMMYFUNCTION("""COMPUTED_VALUE"""),250.93)</f>
        <v>250.93</v>
      </c>
      <c r="D224" s="2">
        <f>IFERROR(__xludf.DUMMYFUNCTION("""COMPUTED_VALUE"""),245.6)</f>
        <v>245.6</v>
      </c>
      <c r="E224" s="2">
        <f>IFERROR(__xludf.DUMMYFUNCTION("""COMPUTED_VALUE"""),249.97)</f>
        <v>249.97</v>
      </c>
      <c r="F224" s="2">
        <f>IFERROR(__xludf.DUMMYFUNCTION("""COMPUTED_VALUE"""),8604744.0)</f>
        <v>8604744</v>
      </c>
    </row>
    <row r="225">
      <c r="A225" s="3">
        <f>IFERROR(__xludf.DUMMYFUNCTION("""COMPUTED_VALUE"""),45251.66666666667)</f>
        <v>45251.66667</v>
      </c>
      <c r="B225" s="2">
        <f>IFERROR(__xludf.DUMMYFUNCTION("""COMPUTED_VALUE"""),250.03)</f>
        <v>250.03</v>
      </c>
      <c r="C225" s="2">
        <f>IFERROR(__xludf.DUMMYFUNCTION("""COMPUTED_VALUE"""),253.34)</f>
        <v>253.34</v>
      </c>
      <c r="D225" s="2">
        <f>IFERROR(__xludf.DUMMYFUNCTION("""COMPUTED_VALUE"""),250.03)</f>
        <v>250.03</v>
      </c>
      <c r="E225" s="2">
        <f>IFERROR(__xludf.DUMMYFUNCTION("""COMPUTED_VALUE"""),252.23)</f>
        <v>252.23</v>
      </c>
      <c r="F225" s="2">
        <f>IFERROR(__xludf.DUMMYFUNCTION("""COMPUTED_VALUE"""),7213943.0)</f>
        <v>7213943</v>
      </c>
    </row>
    <row r="226">
      <c r="A226" s="3">
        <f>IFERROR(__xludf.DUMMYFUNCTION("""COMPUTED_VALUE"""),45252.66666666667)</f>
        <v>45252.66667</v>
      </c>
      <c r="B226" s="2">
        <f>IFERROR(__xludf.DUMMYFUNCTION("""COMPUTED_VALUE"""),253.0)</f>
        <v>253</v>
      </c>
      <c r="C226" s="2">
        <f>IFERROR(__xludf.DUMMYFUNCTION("""COMPUTED_VALUE"""),254.54)</f>
        <v>254.54</v>
      </c>
      <c r="D226" s="2">
        <f>IFERROR(__xludf.DUMMYFUNCTION("""COMPUTED_VALUE"""),252.66)</f>
        <v>252.66</v>
      </c>
      <c r="E226" s="2">
        <f>IFERROR(__xludf.DUMMYFUNCTION("""COMPUTED_VALUE"""),253.72)</f>
        <v>253.72</v>
      </c>
      <c r="F226" s="2">
        <f>IFERROR(__xludf.DUMMYFUNCTION("""COMPUTED_VALUE"""),5702542.0)</f>
        <v>5702542</v>
      </c>
    </row>
    <row r="227">
      <c r="A227" s="3">
        <f>IFERROR(__xludf.DUMMYFUNCTION("""COMPUTED_VALUE"""),45254.54166666667)</f>
        <v>45254.54167</v>
      </c>
      <c r="B227" s="2">
        <f>IFERROR(__xludf.DUMMYFUNCTION("""COMPUTED_VALUE"""),254.19)</f>
        <v>254.19</v>
      </c>
      <c r="C227" s="2">
        <f>IFERROR(__xludf.DUMMYFUNCTION("""COMPUTED_VALUE"""),254.7)</f>
        <v>254.7</v>
      </c>
      <c r="D227" s="2">
        <f>IFERROR(__xludf.DUMMYFUNCTION("""COMPUTED_VALUE"""),253.5)</f>
        <v>253.5</v>
      </c>
      <c r="E227" s="2">
        <f>IFERROR(__xludf.DUMMYFUNCTION("""COMPUTED_VALUE"""),254.3)</f>
        <v>254.3</v>
      </c>
      <c r="F227" s="2">
        <f>IFERROR(__xludf.DUMMYFUNCTION("""COMPUTED_VALUE"""),1640931.0)</f>
        <v>1640931</v>
      </c>
    </row>
    <row r="228">
      <c r="A228" s="3">
        <f>IFERROR(__xludf.DUMMYFUNCTION("""COMPUTED_VALUE"""),45257.66666666667)</f>
        <v>45257.66667</v>
      </c>
      <c r="B228" s="2">
        <f>IFERROR(__xludf.DUMMYFUNCTION("""COMPUTED_VALUE"""),254.3)</f>
        <v>254.3</v>
      </c>
      <c r="C228" s="2">
        <f>IFERROR(__xludf.DUMMYFUNCTION("""COMPUTED_VALUE"""),254.98)</f>
        <v>254.98</v>
      </c>
      <c r="D228" s="2">
        <f>IFERROR(__xludf.DUMMYFUNCTION("""COMPUTED_VALUE"""),252.52)</f>
        <v>252.52</v>
      </c>
      <c r="E228" s="2">
        <f>IFERROR(__xludf.DUMMYFUNCTION("""COMPUTED_VALUE"""),254.14)</f>
        <v>254.14</v>
      </c>
      <c r="F228" s="2">
        <f>IFERROR(__xludf.DUMMYFUNCTION("""COMPUTED_VALUE"""),5478887.0)</f>
        <v>5478887</v>
      </c>
    </row>
    <row r="229">
      <c r="A229" s="3">
        <f>IFERROR(__xludf.DUMMYFUNCTION("""COMPUTED_VALUE"""),45258.66666666667)</f>
        <v>45258.66667</v>
      </c>
      <c r="B229" s="2">
        <f>IFERROR(__xludf.DUMMYFUNCTION("""COMPUTED_VALUE"""),253.85)</f>
        <v>253.85</v>
      </c>
      <c r="C229" s="2">
        <f>IFERROR(__xludf.DUMMYFUNCTION("""COMPUTED_VALUE"""),254.15)</f>
        <v>254.15</v>
      </c>
      <c r="D229" s="2">
        <f>IFERROR(__xludf.DUMMYFUNCTION("""COMPUTED_VALUE"""),251.61)</f>
        <v>251.61</v>
      </c>
      <c r="E229" s="2">
        <f>IFERROR(__xludf.DUMMYFUNCTION("""COMPUTED_VALUE"""),252.94)</f>
        <v>252.94</v>
      </c>
      <c r="F229" s="2">
        <f>IFERROR(__xludf.DUMMYFUNCTION("""COMPUTED_VALUE"""),5234927.0)</f>
        <v>5234927</v>
      </c>
    </row>
    <row r="230">
      <c r="A230" s="3">
        <f>IFERROR(__xludf.DUMMYFUNCTION("""COMPUTED_VALUE"""),45259.66666666667)</f>
        <v>45259.66667</v>
      </c>
      <c r="B230" s="2">
        <f>IFERROR(__xludf.DUMMYFUNCTION("""COMPUTED_VALUE"""),253.92)</f>
        <v>253.92</v>
      </c>
      <c r="C230" s="2">
        <f>IFERROR(__xludf.DUMMYFUNCTION("""COMPUTED_VALUE"""),256.07)</f>
        <v>256.07</v>
      </c>
      <c r="D230" s="2">
        <f>IFERROR(__xludf.DUMMYFUNCTION("""COMPUTED_VALUE"""),253.52)</f>
        <v>253.52</v>
      </c>
      <c r="E230" s="2">
        <f>IFERROR(__xludf.DUMMYFUNCTION("""COMPUTED_VALUE"""),254.23)</f>
        <v>254.23</v>
      </c>
      <c r="F230" s="2">
        <f>IFERROR(__xludf.DUMMYFUNCTION("""COMPUTED_VALUE"""),4955093.0)</f>
        <v>4955093</v>
      </c>
    </row>
    <row r="231">
      <c r="A231" s="3">
        <f>IFERROR(__xludf.DUMMYFUNCTION("""COMPUTED_VALUE"""),45260.66666666667)</f>
        <v>45260.66667</v>
      </c>
      <c r="B231" s="2">
        <f>IFERROR(__xludf.DUMMYFUNCTION("""COMPUTED_VALUE"""),254.25)</f>
        <v>254.25</v>
      </c>
      <c r="C231" s="2">
        <f>IFERROR(__xludf.DUMMYFUNCTION("""COMPUTED_VALUE"""),256.77)</f>
        <v>256.77</v>
      </c>
      <c r="D231" s="2">
        <f>IFERROR(__xludf.DUMMYFUNCTION("""COMPUTED_VALUE"""),253.17)</f>
        <v>253.17</v>
      </c>
      <c r="E231" s="2">
        <f>IFERROR(__xludf.DUMMYFUNCTION("""COMPUTED_VALUE"""),256.68)</f>
        <v>256.68</v>
      </c>
      <c r="F231" s="2">
        <f>IFERROR(__xludf.DUMMYFUNCTION("""COMPUTED_VALUE"""),6874885.0)</f>
        <v>6874885</v>
      </c>
    </row>
    <row r="232">
      <c r="A232" s="3">
        <f>IFERROR(__xludf.DUMMYFUNCTION("""COMPUTED_VALUE"""),45261.66666666667)</f>
        <v>45261.66667</v>
      </c>
      <c r="B232" s="2">
        <f>IFERROR(__xludf.DUMMYFUNCTION("""COMPUTED_VALUE"""),255.79)</f>
        <v>255.79</v>
      </c>
      <c r="C232" s="2">
        <f>IFERROR(__xludf.DUMMYFUNCTION("""COMPUTED_VALUE"""),256.91)</f>
        <v>256.91</v>
      </c>
      <c r="D232" s="2">
        <f>IFERROR(__xludf.DUMMYFUNCTION("""COMPUTED_VALUE"""),253.9)</f>
        <v>253.9</v>
      </c>
      <c r="E232" s="2">
        <f>IFERROR(__xludf.DUMMYFUNCTION("""COMPUTED_VALUE"""),256.45)</f>
        <v>256.45</v>
      </c>
      <c r="F232" s="2">
        <f>IFERROR(__xludf.DUMMYFUNCTION("""COMPUTED_VALUE"""),3939644.0)</f>
        <v>3939644</v>
      </c>
    </row>
    <row r="233">
      <c r="A233" s="3">
        <f>IFERROR(__xludf.DUMMYFUNCTION("""COMPUTED_VALUE"""),45264.66666666667)</f>
        <v>45264.66667</v>
      </c>
      <c r="B233" s="2">
        <f>IFERROR(__xludf.DUMMYFUNCTION("""COMPUTED_VALUE"""),255.91)</f>
        <v>255.91</v>
      </c>
      <c r="C233" s="2">
        <f>IFERROR(__xludf.DUMMYFUNCTION("""COMPUTED_VALUE"""),257.39)</f>
        <v>257.39</v>
      </c>
      <c r="D233" s="2">
        <f>IFERROR(__xludf.DUMMYFUNCTION("""COMPUTED_VALUE"""),254.35)</f>
        <v>254.35</v>
      </c>
      <c r="E233" s="2">
        <f>IFERROR(__xludf.DUMMYFUNCTION("""COMPUTED_VALUE"""),254.44)</f>
        <v>254.44</v>
      </c>
      <c r="F233" s="2">
        <f>IFERROR(__xludf.DUMMYFUNCTION("""COMPUTED_VALUE"""),5247450.0)</f>
        <v>5247450</v>
      </c>
    </row>
    <row r="234">
      <c r="A234" s="3">
        <f>IFERROR(__xludf.DUMMYFUNCTION("""COMPUTED_VALUE"""),45265.66666666667)</f>
        <v>45265.66667</v>
      </c>
      <c r="B234" s="2">
        <f>IFERROR(__xludf.DUMMYFUNCTION("""COMPUTED_VALUE"""),254.19)</f>
        <v>254.19</v>
      </c>
      <c r="C234" s="2">
        <f>IFERROR(__xludf.DUMMYFUNCTION("""COMPUTED_VALUE"""),254.82)</f>
        <v>254.82</v>
      </c>
      <c r="D234" s="2">
        <f>IFERROR(__xludf.DUMMYFUNCTION("""COMPUTED_VALUE"""),252.14)</f>
        <v>252.14</v>
      </c>
      <c r="E234" s="2">
        <f>IFERROR(__xludf.DUMMYFUNCTION("""COMPUTED_VALUE"""),254.61)</f>
        <v>254.61</v>
      </c>
      <c r="F234" s="2">
        <f>IFERROR(__xludf.DUMMYFUNCTION("""COMPUTED_VALUE"""),4199094.0)</f>
        <v>4199094</v>
      </c>
    </row>
    <row r="235">
      <c r="A235" s="3">
        <f>IFERROR(__xludf.DUMMYFUNCTION("""COMPUTED_VALUE"""),45266.66666666667)</f>
        <v>45266.66667</v>
      </c>
      <c r="B235" s="2">
        <f>IFERROR(__xludf.DUMMYFUNCTION("""COMPUTED_VALUE"""),255.8)</f>
        <v>255.8</v>
      </c>
      <c r="C235" s="2">
        <f>IFERROR(__xludf.DUMMYFUNCTION("""COMPUTED_VALUE"""),256.83)</f>
        <v>256.83</v>
      </c>
      <c r="D235" s="2">
        <f>IFERROR(__xludf.DUMMYFUNCTION("""COMPUTED_VALUE"""),253.53)</f>
        <v>253.53</v>
      </c>
      <c r="E235" s="2">
        <f>IFERROR(__xludf.DUMMYFUNCTION("""COMPUTED_VALUE"""),254.29)</f>
        <v>254.29</v>
      </c>
      <c r="F235" s="2">
        <f>IFERROR(__xludf.DUMMYFUNCTION("""COMPUTED_VALUE"""),3874048.0)</f>
        <v>3874048</v>
      </c>
    </row>
    <row r="236">
      <c r="A236" s="3">
        <f>IFERROR(__xludf.DUMMYFUNCTION("""COMPUTED_VALUE"""),45267.66666666667)</f>
        <v>45267.66667</v>
      </c>
      <c r="B236" s="2">
        <f>IFERROR(__xludf.DUMMYFUNCTION("""COMPUTED_VALUE"""),254.89)</f>
        <v>254.89</v>
      </c>
      <c r="C236" s="2">
        <f>IFERROR(__xludf.DUMMYFUNCTION("""COMPUTED_VALUE"""),256.14)</f>
        <v>256.14</v>
      </c>
      <c r="D236" s="2">
        <f>IFERROR(__xludf.DUMMYFUNCTION("""COMPUTED_VALUE"""),253.5)</f>
        <v>253.5</v>
      </c>
      <c r="E236" s="2">
        <f>IFERROR(__xludf.DUMMYFUNCTION("""COMPUTED_VALUE"""),255.82)</f>
        <v>255.82</v>
      </c>
      <c r="F236" s="2">
        <f>IFERROR(__xludf.DUMMYFUNCTION("""COMPUTED_VALUE"""),3589256.0)</f>
        <v>3589256</v>
      </c>
    </row>
    <row r="237">
      <c r="A237" s="3">
        <f>IFERROR(__xludf.DUMMYFUNCTION("""COMPUTED_VALUE"""),45268.66666666667)</f>
        <v>45268.66667</v>
      </c>
      <c r="B237" s="2">
        <f>IFERROR(__xludf.DUMMYFUNCTION("""COMPUTED_VALUE"""),255.0)</f>
        <v>255</v>
      </c>
      <c r="C237" s="2">
        <f>IFERROR(__xludf.DUMMYFUNCTION("""COMPUTED_VALUE"""),256.04)</f>
        <v>256.04</v>
      </c>
      <c r="D237" s="2">
        <f>IFERROR(__xludf.DUMMYFUNCTION("""COMPUTED_VALUE"""),253.87)</f>
        <v>253.87</v>
      </c>
      <c r="E237" s="2">
        <f>IFERROR(__xludf.DUMMYFUNCTION("""COMPUTED_VALUE"""),255.74)</f>
        <v>255.74</v>
      </c>
      <c r="F237" s="2">
        <f>IFERROR(__xludf.DUMMYFUNCTION("""COMPUTED_VALUE"""),3732515.0)</f>
        <v>3732515</v>
      </c>
    </row>
    <row r="238">
      <c r="A238" s="3">
        <f>IFERROR(__xludf.DUMMYFUNCTION("""COMPUTED_VALUE"""),45271.66666666667)</f>
        <v>45271.66667</v>
      </c>
      <c r="B238" s="2">
        <f>IFERROR(__xludf.DUMMYFUNCTION("""COMPUTED_VALUE"""),255.0)</f>
        <v>255</v>
      </c>
      <c r="C238" s="2">
        <f>IFERROR(__xludf.DUMMYFUNCTION("""COMPUTED_VALUE"""),257.63)</f>
        <v>257.63</v>
      </c>
      <c r="D238" s="2">
        <f>IFERROR(__xludf.DUMMYFUNCTION("""COMPUTED_VALUE"""),255.0)</f>
        <v>255</v>
      </c>
      <c r="E238" s="2">
        <f>IFERROR(__xludf.DUMMYFUNCTION("""COMPUTED_VALUE"""),256.52)</f>
        <v>256.52</v>
      </c>
      <c r="F238" s="2">
        <f>IFERROR(__xludf.DUMMYFUNCTION("""COMPUTED_VALUE"""),6479312.0)</f>
        <v>6479312</v>
      </c>
    </row>
    <row r="239">
      <c r="A239" s="3">
        <f>IFERROR(__xludf.DUMMYFUNCTION("""COMPUTED_VALUE"""),45272.66666666667)</f>
        <v>45272.66667</v>
      </c>
      <c r="B239" s="2">
        <f>IFERROR(__xludf.DUMMYFUNCTION("""COMPUTED_VALUE"""),257.3)</f>
        <v>257.3</v>
      </c>
      <c r="C239" s="2">
        <f>IFERROR(__xludf.DUMMYFUNCTION("""COMPUTED_VALUE"""),259.72)</f>
        <v>259.72</v>
      </c>
      <c r="D239" s="2">
        <f>IFERROR(__xludf.DUMMYFUNCTION("""COMPUTED_VALUE"""),256.4)</f>
        <v>256.4</v>
      </c>
      <c r="E239" s="2">
        <f>IFERROR(__xludf.DUMMYFUNCTION("""COMPUTED_VALUE"""),259.56)</f>
        <v>259.56</v>
      </c>
      <c r="F239" s="2">
        <f>IFERROR(__xludf.DUMMYFUNCTION("""COMPUTED_VALUE"""),5946564.0)</f>
        <v>5946564</v>
      </c>
    </row>
    <row r="240">
      <c r="A240" s="3">
        <f>IFERROR(__xludf.DUMMYFUNCTION("""COMPUTED_VALUE"""),45273.66666666667)</f>
        <v>45273.66667</v>
      </c>
      <c r="B240" s="2">
        <f>IFERROR(__xludf.DUMMYFUNCTION("""COMPUTED_VALUE"""),259.15)</f>
        <v>259.15</v>
      </c>
      <c r="C240" s="2">
        <f>IFERROR(__xludf.DUMMYFUNCTION("""COMPUTED_VALUE"""),262.48)</f>
        <v>262.48</v>
      </c>
      <c r="D240" s="2">
        <f>IFERROR(__xludf.DUMMYFUNCTION("""COMPUTED_VALUE"""),258.69)</f>
        <v>258.69</v>
      </c>
      <c r="E240" s="2">
        <f>IFERROR(__xludf.DUMMYFUNCTION("""COMPUTED_VALUE"""),262.38)</f>
        <v>262.38</v>
      </c>
      <c r="F240" s="2">
        <f>IFERROR(__xludf.DUMMYFUNCTION("""COMPUTED_VALUE"""),4859887.0)</f>
        <v>4859887</v>
      </c>
    </row>
    <row r="241">
      <c r="A241" s="3">
        <f>IFERROR(__xludf.DUMMYFUNCTION("""COMPUTED_VALUE"""),45274.66666666667)</f>
        <v>45274.66667</v>
      </c>
      <c r="B241" s="2">
        <f>IFERROR(__xludf.DUMMYFUNCTION("""COMPUTED_VALUE"""),263.19)</f>
        <v>263.19</v>
      </c>
      <c r="C241" s="2">
        <f>IFERROR(__xludf.DUMMYFUNCTION("""COMPUTED_VALUE"""),263.25)</f>
        <v>263.25</v>
      </c>
      <c r="D241" s="2">
        <f>IFERROR(__xludf.DUMMYFUNCTION("""COMPUTED_VALUE"""),256.4)</f>
        <v>256.4</v>
      </c>
      <c r="E241" s="2">
        <f>IFERROR(__xludf.DUMMYFUNCTION("""COMPUTED_VALUE"""),258.73)</f>
        <v>258.73</v>
      </c>
      <c r="F241" s="2">
        <f>IFERROR(__xludf.DUMMYFUNCTION("""COMPUTED_VALUE"""),8168683.0)</f>
        <v>8168683</v>
      </c>
    </row>
    <row r="242">
      <c r="A242" s="3">
        <f>IFERROR(__xludf.DUMMYFUNCTION("""COMPUTED_VALUE"""),45275.66666666667)</f>
        <v>45275.66667</v>
      </c>
      <c r="B242" s="2">
        <f>IFERROR(__xludf.DUMMYFUNCTION("""COMPUTED_VALUE"""),254.51)</f>
        <v>254.51</v>
      </c>
      <c r="C242" s="2">
        <f>IFERROR(__xludf.DUMMYFUNCTION("""COMPUTED_VALUE"""),258.37)</f>
        <v>258.37</v>
      </c>
      <c r="D242" s="2">
        <f>IFERROR(__xludf.DUMMYFUNCTION("""COMPUTED_VALUE"""),254.45)</f>
        <v>254.45</v>
      </c>
      <c r="E242" s="2">
        <f>IFERROR(__xludf.DUMMYFUNCTION("""COMPUTED_VALUE"""),258.03)</f>
        <v>258.03</v>
      </c>
      <c r="F242" s="2">
        <f>IFERROR(__xludf.DUMMYFUNCTION("""COMPUTED_VALUE"""),1.3373952E7)</f>
        <v>13373952</v>
      </c>
    </row>
    <row r="243">
      <c r="A243" s="3">
        <f>IFERROR(__xludf.DUMMYFUNCTION("""COMPUTED_VALUE"""),45278.66666666667)</f>
        <v>45278.66667</v>
      </c>
      <c r="B243" s="2">
        <f>IFERROR(__xludf.DUMMYFUNCTION("""COMPUTED_VALUE"""),258.7)</f>
        <v>258.7</v>
      </c>
      <c r="C243" s="2">
        <f>IFERROR(__xludf.DUMMYFUNCTION("""COMPUTED_VALUE"""),259.59)</f>
        <v>259.59</v>
      </c>
      <c r="D243" s="2">
        <f>IFERROR(__xludf.DUMMYFUNCTION("""COMPUTED_VALUE"""),257.95)</f>
        <v>257.95</v>
      </c>
      <c r="E243" s="2">
        <f>IFERROR(__xludf.DUMMYFUNCTION("""COMPUTED_VALUE"""),258.37)</f>
        <v>258.37</v>
      </c>
      <c r="F243" s="2">
        <f>IFERROR(__xludf.DUMMYFUNCTION("""COMPUTED_VALUE"""),6041140.0)</f>
        <v>6041140</v>
      </c>
    </row>
    <row r="244">
      <c r="A244" s="3">
        <f>IFERROR(__xludf.DUMMYFUNCTION("""COMPUTED_VALUE"""),45279.66666666667)</f>
        <v>45279.66667</v>
      </c>
      <c r="B244" s="2">
        <f>IFERROR(__xludf.DUMMYFUNCTION("""COMPUTED_VALUE"""),258.61)</f>
        <v>258.61</v>
      </c>
      <c r="C244" s="2">
        <f>IFERROR(__xludf.DUMMYFUNCTION("""COMPUTED_VALUE"""),260.34)</f>
        <v>260.34</v>
      </c>
      <c r="D244" s="2">
        <f>IFERROR(__xludf.DUMMYFUNCTION("""COMPUTED_VALUE"""),257.2)</f>
        <v>257.2</v>
      </c>
      <c r="E244" s="2">
        <f>IFERROR(__xludf.DUMMYFUNCTION("""COMPUTED_VALUE"""),259.99)</f>
        <v>259.99</v>
      </c>
      <c r="F244" s="2">
        <f>IFERROR(__xludf.DUMMYFUNCTION("""COMPUTED_VALUE"""),8731209.0)</f>
        <v>8731209</v>
      </c>
    </row>
    <row r="245">
      <c r="A245" s="3">
        <f>IFERROR(__xludf.DUMMYFUNCTION("""COMPUTED_VALUE"""),45280.66666666667)</f>
        <v>45280.66667</v>
      </c>
      <c r="B245" s="2">
        <f>IFERROR(__xludf.DUMMYFUNCTION("""COMPUTED_VALUE"""),260.5)</f>
        <v>260.5</v>
      </c>
      <c r="C245" s="2">
        <f>IFERROR(__xludf.DUMMYFUNCTION("""COMPUTED_VALUE"""),260.82)</f>
        <v>260.82</v>
      </c>
      <c r="D245" s="2">
        <f>IFERROR(__xludf.DUMMYFUNCTION("""COMPUTED_VALUE"""),257.08)</f>
        <v>257.08</v>
      </c>
      <c r="E245" s="2">
        <f>IFERROR(__xludf.DUMMYFUNCTION("""COMPUTED_VALUE"""),257.11)</f>
        <v>257.11</v>
      </c>
      <c r="F245" s="2">
        <f>IFERROR(__xludf.DUMMYFUNCTION("""COMPUTED_VALUE"""),7240857.0)</f>
        <v>7240857</v>
      </c>
    </row>
    <row r="246">
      <c r="A246" s="3">
        <f>IFERROR(__xludf.DUMMYFUNCTION("""COMPUTED_VALUE"""),45281.66666666667)</f>
        <v>45281.66667</v>
      </c>
      <c r="B246" s="2">
        <f>IFERROR(__xludf.DUMMYFUNCTION("""COMPUTED_VALUE"""),257.51)</f>
        <v>257.51</v>
      </c>
      <c r="C246" s="2">
        <f>IFERROR(__xludf.DUMMYFUNCTION("""COMPUTED_VALUE"""),259.99)</f>
        <v>259.99</v>
      </c>
      <c r="D246" s="2">
        <f>IFERROR(__xludf.DUMMYFUNCTION("""COMPUTED_VALUE"""),257.04)</f>
        <v>257.04</v>
      </c>
      <c r="E246" s="2">
        <f>IFERROR(__xludf.DUMMYFUNCTION("""COMPUTED_VALUE"""),259.54)</f>
        <v>259.54</v>
      </c>
      <c r="F246" s="2">
        <f>IFERROR(__xludf.DUMMYFUNCTION("""COMPUTED_VALUE"""),6246652.0)</f>
        <v>6246652</v>
      </c>
    </row>
    <row r="247">
      <c r="A247" s="3">
        <f>IFERROR(__xludf.DUMMYFUNCTION("""COMPUTED_VALUE"""),45282.66666666667)</f>
        <v>45282.66667</v>
      </c>
      <c r="B247" s="2">
        <f>IFERROR(__xludf.DUMMYFUNCTION("""COMPUTED_VALUE"""),260.0)</f>
        <v>260</v>
      </c>
      <c r="C247" s="2">
        <f>IFERROR(__xludf.DUMMYFUNCTION("""COMPUTED_VALUE"""),261.21)</f>
        <v>261.21</v>
      </c>
      <c r="D247" s="2">
        <f>IFERROR(__xludf.DUMMYFUNCTION("""COMPUTED_VALUE"""),258.22)</f>
        <v>258.22</v>
      </c>
      <c r="E247" s="2">
        <f>IFERROR(__xludf.DUMMYFUNCTION("""COMPUTED_VALUE"""),258.43)</f>
        <v>258.43</v>
      </c>
      <c r="F247" s="2">
        <f>IFERROR(__xludf.DUMMYFUNCTION("""COMPUTED_VALUE"""),5111707.0)</f>
        <v>5111707</v>
      </c>
    </row>
    <row r="248">
      <c r="A248" s="3">
        <f>IFERROR(__xludf.DUMMYFUNCTION("""COMPUTED_VALUE"""),45286.66666666667)</f>
        <v>45286.66667</v>
      </c>
      <c r="B248" s="2">
        <f>IFERROR(__xludf.DUMMYFUNCTION("""COMPUTED_VALUE"""),258.53)</f>
        <v>258.53</v>
      </c>
      <c r="C248" s="2">
        <f>IFERROR(__xludf.DUMMYFUNCTION("""COMPUTED_VALUE"""),259.74)</f>
        <v>259.74</v>
      </c>
      <c r="D248" s="2">
        <f>IFERROR(__xludf.DUMMYFUNCTION("""COMPUTED_VALUE"""),258.53)</f>
        <v>258.53</v>
      </c>
      <c r="E248" s="2">
        <f>IFERROR(__xludf.DUMMYFUNCTION("""COMPUTED_VALUE"""),259.16)</f>
        <v>259.16</v>
      </c>
      <c r="F248" s="2">
        <f>IFERROR(__xludf.DUMMYFUNCTION("""COMPUTED_VALUE"""),2085089.0)</f>
        <v>2085089</v>
      </c>
    </row>
    <row r="249">
      <c r="A249" s="3">
        <f>IFERROR(__xludf.DUMMYFUNCTION("""COMPUTED_VALUE"""),45287.66666666667)</f>
        <v>45287.66667</v>
      </c>
      <c r="B249" s="2">
        <f>IFERROR(__xludf.DUMMYFUNCTION("""COMPUTED_VALUE"""),259.25)</f>
        <v>259.25</v>
      </c>
      <c r="C249" s="2">
        <f>IFERROR(__xludf.DUMMYFUNCTION("""COMPUTED_VALUE"""),259.77)</f>
        <v>259.77</v>
      </c>
      <c r="D249" s="2">
        <f>IFERROR(__xludf.DUMMYFUNCTION("""COMPUTED_VALUE"""),258.31)</f>
        <v>258.31</v>
      </c>
      <c r="E249" s="2">
        <f>IFERROR(__xludf.DUMMYFUNCTION("""COMPUTED_VALUE"""),258.93)</f>
        <v>258.93</v>
      </c>
      <c r="F249" s="2">
        <f>IFERROR(__xludf.DUMMYFUNCTION("""COMPUTED_VALUE"""),4034658.0)</f>
        <v>4034658</v>
      </c>
    </row>
    <row r="250">
      <c r="A250" s="3">
        <f>IFERROR(__xludf.DUMMYFUNCTION("""COMPUTED_VALUE"""),45288.66666666667)</f>
        <v>45288.66667</v>
      </c>
      <c r="B250" s="2">
        <f>IFERROR(__xludf.DUMMYFUNCTION("""COMPUTED_VALUE"""),258.54)</f>
        <v>258.54</v>
      </c>
      <c r="C250" s="2">
        <f>IFERROR(__xludf.DUMMYFUNCTION("""COMPUTED_VALUE"""),260.97)</f>
        <v>260.97</v>
      </c>
      <c r="D250" s="2">
        <f>IFERROR(__xludf.DUMMYFUNCTION("""COMPUTED_VALUE"""),258.54)</f>
        <v>258.54</v>
      </c>
      <c r="E250" s="2">
        <f>IFERROR(__xludf.DUMMYFUNCTION("""COMPUTED_VALUE"""),260.4)</f>
        <v>260.4</v>
      </c>
      <c r="F250" s="2">
        <f>IFERROR(__xludf.DUMMYFUNCTION("""COMPUTED_VALUE"""),3020454.0)</f>
        <v>3020454</v>
      </c>
    </row>
    <row r="251">
      <c r="A251" s="3">
        <f>IFERROR(__xludf.DUMMYFUNCTION("""COMPUTED_VALUE"""),45289.66666666667)</f>
        <v>45289.66667</v>
      </c>
      <c r="B251" s="2">
        <f>IFERROR(__xludf.DUMMYFUNCTION("""COMPUTED_VALUE"""),260.57)</f>
        <v>260.57</v>
      </c>
      <c r="C251" s="2">
        <f>IFERROR(__xludf.DUMMYFUNCTION("""COMPUTED_VALUE"""),261.46)</f>
        <v>261.46</v>
      </c>
      <c r="D251" s="2">
        <f>IFERROR(__xludf.DUMMYFUNCTION("""COMPUTED_VALUE"""),259.67)</f>
        <v>259.67</v>
      </c>
      <c r="E251" s="2">
        <f>IFERROR(__xludf.DUMMYFUNCTION("""COMPUTED_VALUE"""),260.35)</f>
        <v>260.35</v>
      </c>
      <c r="F251" s="2">
        <f>IFERROR(__xludf.DUMMYFUNCTION("""COMPUTED_VALUE"""),4074872.0)</f>
        <v>4074872</v>
      </c>
    </row>
    <row r="252">
      <c r="A252" s="3">
        <f>IFERROR(__xludf.DUMMYFUNCTION("""COMPUTED_VALUE"""),45293.66666666667)</f>
        <v>45293.66667</v>
      </c>
      <c r="B252" s="2">
        <f>IFERROR(__xludf.DUMMYFUNCTION("""COMPUTED_VALUE"""),259.61)</f>
        <v>259.61</v>
      </c>
      <c r="C252" s="2">
        <f>IFERROR(__xludf.DUMMYFUNCTION("""COMPUTED_VALUE"""),260.09)</f>
        <v>260.09</v>
      </c>
      <c r="D252" s="2">
        <f>IFERROR(__xludf.DUMMYFUNCTION("""COMPUTED_VALUE"""),257.67)</f>
        <v>257.67</v>
      </c>
      <c r="E252" s="2">
        <f>IFERROR(__xludf.DUMMYFUNCTION("""COMPUTED_VALUE"""),258.87)</f>
        <v>258.87</v>
      </c>
      <c r="F252" s="2">
        <f>IFERROR(__xludf.DUMMYFUNCTION("""COMPUTED_VALUE"""),5470986.0)</f>
        <v>5470986</v>
      </c>
    </row>
    <row r="253">
      <c r="A253" s="3">
        <f>IFERROR(__xludf.DUMMYFUNCTION("""COMPUTED_VALUE"""),45294.66666666667)</f>
        <v>45294.66667</v>
      </c>
      <c r="B253" s="2">
        <f>IFERROR(__xludf.DUMMYFUNCTION("""COMPUTED_VALUE"""),258.55)</f>
        <v>258.55</v>
      </c>
      <c r="C253" s="2">
        <f>IFERROR(__xludf.DUMMYFUNCTION("""COMPUTED_VALUE"""),258.86)</f>
        <v>258.86</v>
      </c>
      <c r="D253" s="2">
        <f>IFERROR(__xludf.DUMMYFUNCTION("""COMPUTED_VALUE"""),256.86)</f>
        <v>256.86</v>
      </c>
      <c r="E253" s="2">
        <f>IFERROR(__xludf.DUMMYFUNCTION("""COMPUTED_VALUE"""),257.98)</f>
        <v>257.98</v>
      </c>
      <c r="F253" s="2">
        <f>IFERROR(__xludf.DUMMYFUNCTION("""COMPUTED_VALUE"""),4148294.0)</f>
        <v>4148294</v>
      </c>
    </row>
    <row r="254">
      <c r="A254" s="3">
        <f>IFERROR(__xludf.DUMMYFUNCTION("""COMPUTED_VALUE"""),45295.66666666667)</f>
        <v>45295.66667</v>
      </c>
      <c r="B254" s="2">
        <f>IFERROR(__xludf.DUMMYFUNCTION("""COMPUTED_VALUE"""),258.07)</f>
        <v>258.07</v>
      </c>
      <c r="C254" s="2">
        <f>IFERROR(__xludf.DUMMYFUNCTION("""COMPUTED_VALUE"""),261.04)</f>
        <v>261.04</v>
      </c>
      <c r="D254" s="2">
        <f>IFERROR(__xludf.DUMMYFUNCTION("""COMPUTED_VALUE"""),258.0)</f>
        <v>258</v>
      </c>
      <c r="E254" s="2">
        <f>IFERROR(__xludf.DUMMYFUNCTION("""COMPUTED_VALUE"""),259.61)</f>
        <v>259.61</v>
      </c>
      <c r="F254" s="2">
        <f>IFERROR(__xludf.DUMMYFUNCTION("""COMPUTED_VALUE"""),3842976.0)</f>
        <v>3842976</v>
      </c>
    </row>
    <row r="255">
      <c r="A255" s="3">
        <f>IFERROR(__xludf.DUMMYFUNCTION("""COMPUTED_VALUE"""),45296.66666666667)</f>
        <v>45296.66667</v>
      </c>
      <c r="B255" s="2">
        <f>IFERROR(__xludf.DUMMYFUNCTION("""COMPUTED_VALUE"""),260.78)</f>
        <v>260.78</v>
      </c>
      <c r="C255" s="2">
        <f>IFERROR(__xludf.DUMMYFUNCTION("""COMPUTED_VALUE"""),261.46)</f>
        <v>261.46</v>
      </c>
      <c r="D255" s="2">
        <f>IFERROR(__xludf.DUMMYFUNCTION("""COMPUTED_VALUE"""),258.75)</f>
        <v>258.75</v>
      </c>
      <c r="E255" s="2">
        <f>IFERROR(__xludf.DUMMYFUNCTION("""COMPUTED_VALUE"""),259.69)</f>
        <v>259.69</v>
      </c>
      <c r="F255" s="2">
        <f>IFERROR(__xludf.DUMMYFUNCTION("""COMPUTED_VALUE"""),3748636.0)</f>
        <v>3748636</v>
      </c>
    </row>
    <row r="256">
      <c r="A256" s="3">
        <f>IFERROR(__xludf.DUMMYFUNCTION("""COMPUTED_VALUE"""),45299.66666666667)</f>
        <v>45299.66667</v>
      </c>
      <c r="B256" s="2">
        <f>IFERROR(__xludf.DUMMYFUNCTION("""COMPUTED_VALUE"""),260.94)</f>
        <v>260.94</v>
      </c>
      <c r="C256" s="2">
        <f>IFERROR(__xludf.DUMMYFUNCTION("""COMPUTED_VALUE"""),262.62)</f>
        <v>262.62</v>
      </c>
      <c r="D256" s="2">
        <f>IFERROR(__xludf.DUMMYFUNCTION("""COMPUTED_VALUE"""),259.95)</f>
        <v>259.95</v>
      </c>
      <c r="E256" s="2">
        <f>IFERROR(__xludf.DUMMYFUNCTION("""COMPUTED_VALUE"""),262.54)</f>
        <v>262.54</v>
      </c>
      <c r="F256" s="2">
        <f>IFERROR(__xludf.DUMMYFUNCTION("""COMPUTED_VALUE"""),4659030.0)</f>
        <v>4659030</v>
      </c>
    </row>
    <row r="257">
      <c r="A257" s="3">
        <f>IFERROR(__xludf.DUMMYFUNCTION("""COMPUTED_VALUE"""),45300.66666666667)</f>
        <v>45300.66667</v>
      </c>
      <c r="B257" s="2">
        <f>IFERROR(__xludf.DUMMYFUNCTION("""COMPUTED_VALUE"""),262.0)</f>
        <v>262</v>
      </c>
      <c r="C257" s="2">
        <f>IFERROR(__xludf.DUMMYFUNCTION("""COMPUTED_VALUE"""),263.62)</f>
        <v>263.62</v>
      </c>
      <c r="D257" s="2">
        <f>IFERROR(__xludf.DUMMYFUNCTION("""COMPUTED_VALUE"""),261.14)</f>
        <v>261.14</v>
      </c>
      <c r="E257" s="2">
        <f>IFERROR(__xludf.DUMMYFUNCTION("""COMPUTED_VALUE"""),263.33)</f>
        <v>263.33</v>
      </c>
      <c r="F257" s="2">
        <f>IFERROR(__xludf.DUMMYFUNCTION("""COMPUTED_VALUE"""),7055782.0)</f>
        <v>7055782</v>
      </c>
    </row>
    <row r="258">
      <c r="A258" s="3">
        <f>IFERROR(__xludf.DUMMYFUNCTION("""COMPUTED_VALUE"""),45301.66666666667)</f>
        <v>45301.66667</v>
      </c>
      <c r="B258" s="2">
        <f>IFERROR(__xludf.DUMMYFUNCTION("""COMPUTED_VALUE"""),264.97)</f>
        <v>264.97</v>
      </c>
      <c r="C258" s="2">
        <f>IFERROR(__xludf.DUMMYFUNCTION("""COMPUTED_VALUE"""),265.37)</f>
        <v>265.37</v>
      </c>
      <c r="D258" s="2">
        <f>IFERROR(__xludf.DUMMYFUNCTION("""COMPUTED_VALUE"""),262.86)</f>
        <v>262.86</v>
      </c>
      <c r="E258" s="2">
        <f>IFERROR(__xludf.DUMMYFUNCTION("""COMPUTED_VALUE"""),264.56)</f>
        <v>264.56</v>
      </c>
      <c r="F258" s="2">
        <f>IFERROR(__xludf.DUMMYFUNCTION("""COMPUTED_VALUE"""),4355784.0)</f>
        <v>4355784</v>
      </c>
    </row>
    <row r="259">
      <c r="A259" s="3">
        <f>IFERROR(__xludf.DUMMYFUNCTION("""COMPUTED_VALUE"""),45302.66666666667)</f>
        <v>45302.66667</v>
      </c>
      <c r="B259" s="2">
        <f>IFERROR(__xludf.DUMMYFUNCTION("""COMPUTED_VALUE"""),265.46)</f>
        <v>265.46</v>
      </c>
      <c r="C259" s="2">
        <f>IFERROR(__xludf.DUMMYFUNCTION("""COMPUTED_VALUE"""),266.19)</f>
        <v>266.19</v>
      </c>
      <c r="D259" s="2">
        <f>IFERROR(__xludf.DUMMYFUNCTION("""COMPUTED_VALUE"""),262.4)</f>
        <v>262.4</v>
      </c>
      <c r="E259" s="2">
        <f>IFERROR(__xludf.DUMMYFUNCTION("""COMPUTED_VALUE"""),264.03)</f>
        <v>264.03</v>
      </c>
      <c r="F259" s="2">
        <f>IFERROR(__xludf.DUMMYFUNCTION("""COMPUTED_VALUE"""),5598998.0)</f>
        <v>5598998</v>
      </c>
    </row>
    <row r="260">
      <c r="A260" s="3">
        <f>IFERROR(__xludf.DUMMYFUNCTION("""COMPUTED_VALUE"""),45303.66666666667)</f>
        <v>45303.66667</v>
      </c>
      <c r="B260" s="2">
        <f>IFERROR(__xludf.DUMMYFUNCTION("""COMPUTED_VALUE"""),265.13)</f>
        <v>265.13</v>
      </c>
      <c r="C260" s="2">
        <f>IFERROR(__xludf.DUMMYFUNCTION("""COMPUTED_VALUE"""),265.55)</f>
        <v>265.55</v>
      </c>
      <c r="D260" s="2">
        <f>IFERROR(__xludf.DUMMYFUNCTION("""COMPUTED_VALUE"""),263.71)</f>
        <v>263.71</v>
      </c>
      <c r="E260" s="2">
        <f>IFERROR(__xludf.DUMMYFUNCTION("""COMPUTED_VALUE"""),264.17)</f>
        <v>264.17</v>
      </c>
      <c r="F260" s="2">
        <f>IFERROR(__xludf.DUMMYFUNCTION("""COMPUTED_VALUE"""),4656238.0)</f>
        <v>4656238</v>
      </c>
    </row>
    <row r="261">
      <c r="A261" s="3">
        <f>IFERROR(__xludf.DUMMYFUNCTION("""COMPUTED_VALUE"""),45307.66666666667)</f>
        <v>45307.66667</v>
      </c>
      <c r="B261" s="2">
        <f>IFERROR(__xludf.DUMMYFUNCTION("""COMPUTED_VALUE"""),263.52)</f>
        <v>263.52</v>
      </c>
      <c r="C261" s="2">
        <f>IFERROR(__xludf.DUMMYFUNCTION("""COMPUTED_VALUE"""),265.66)</f>
        <v>265.66</v>
      </c>
      <c r="D261" s="2">
        <f>IFERROR(__xludf.DUMMYFUNCTION("""COMPUTED_VALUE"""),262.35)</f>
        <v>262.35</v>
      </c>
      <c r="E261" s="2">
        <f>IFERROR(__xludf.DUMMYFUNCTION("""COMPUTED_VALUE"""),265.24)</f>
        <v>265.24</v>
      </c>
      <c r="F261" s="2">
        <f>IFERROR(__xludf.DUMMYFUNCTION("""COMPUTED_VALUE"""),6196414.0)</f>
        <v>6196414</v>
      </c>
    </row>
    <row r="262">
      <c r="A262" s="3">
        <f>IFERROR(__xludf.DUMMYFUNCTION("""COMPUTED_VALUE"""),45308.66666666667)</f>
        <v>45308.66667</v>
      </c>
      <c r="B262" s="2">
        <f>IFERROR(__xludf.DUMMYFUNCTION("""COMPUTED_VALUE"""),264.42)</f>
        <v>264.42</v>
      </c>
      <c r="C262" s="2">
        <f>IFERROR(__xludf.DUMMYFUNCTION("""COMPUTED_VALUE"""),267.1)</f>
        <v>267.1</v>
      </c>
      <c r="D262" s="2">
        <f>IFERROR(__xludf.DUMMYFUNCTION("""COMPUTED_VALUE"""),264.39)</f>
        <v>264.39</v>
      </c>
      <c r="E262" s="2">
        <f>IFERROR(__xludf.DUMMYFUNCTION("""COMPUTED_VALUE"""),266.63)</f>
        <v>266.63</v>
      </c>
      <c r="F262" s="2">
        <f>IFERROR(__xludf.DUMMYFUNCTION("""COMPUTED_VALUE"""),5118722.0)</f>
        <v>5118722</v>
      </c>
    </row>
    <row r="263">
      <c r="A263" s="3">
        <f>IFERROR(__xludf.DUMMYFUNCTION("""COMPUTED_VALUE"""),45309.66666666667)</f>
        <v>45309.66667</v>
      </c>
      <c r="B263" s="2">
        <f>IFERROR(__xludf.DUMMYFUNCTION("""COMPUTED_VALUE"""),267.88)</f>
        <v>267.88</v>
      </c>
      <c r="C263" s="2">
        <f>IFERROR(__xludf.DUMMYFUNCTION("""COMPUTED_VALUE"""),268.78)</f>
        <v>268.78</v>
      </c>
      <c r="D263" s="2">
        <f>IFERROR(__xludf.DUMMYFUNCTION("""COMPUTED_VALUE"""),266.42)</f>
        <v>266.42</v>
      </c>
      <c r="E263" s="2">
        <f>IFERROR(__xludf.DUMMYFUNCTION("""COMPUTED_VALUE"""),268.14)</f>
        <v>268.14</v>
      </c>
      <c r="F263" s="2">
        <f>IFERROR(__xludf.DUMMYFUNCTION("""COMPUTED_VALUE"""),6694264.0)</f>
        <v>6694264</v>
      </c>
    </row>
    <row r="264">
      <c r="A264" s="3">
        <f>IFERROR(__xludf.DUMMYFUNCTION("""COMPUTED_VALUE"""),45310.66666666667)</f>
        <v>45310.66667</v>
      </c>
      <c r="B264" s="2">
        <f>IFERROR(__xludf.DUMMYFUNCTION("""COMPUTED_VALUE"""),268.18)</f>
        <v>268.18</v>
      </c>
      <c r="C264" s="2">
        <f>IFERROR(__xludf.DUMMYFUNCTION("""COMPUTED_VALUE"""),271.15)</f>
        <v>271.15</v>
      </c>
      <c r="D264" s="2">
        <f>IFERROR(__xludf.DUMMYFUNCTION("""COMPUTED_VALUE"""),267.05)</f>
        <v>267.05</v>
      </c>
      <c r="E264" s="2">
        <f>IFERROR(__xludf.DUMMYFUNCTION("""COMPUTED_VALUE"""),270.9)</f>
        <v>270.9</v>
      </c>
      <c r="F264" s="2">
        <f>IFERROR(__xludf.DUMMYFUNCTION("""COMPUTED_VALUE"""),7226520.0)</f>
        <v>7226520</v>
      </c>
    </row>
    <row r="265">
      <c r="A265" s="3">
        <f>IFERROR(__xludf.DUMMYFUNCTION("""COMPUTED_VALUE"""),45313.66666666667)</f>
        <v>45313.66667</v>
      </c>
      <c r="B265" s="2">
        <f>IFERROR(__xludf.DUMMYFUNCTION("""COMPUTED_VALUE"""),272.24)</f>
        <v>272.24</v>
      </c>
      <c r="C265" s="2">
        <f>IFERROR(__xludf.DUMMYFUNCTION("""COMPUTED_VALUE"""),272.35)</f>
        <v>272.35</v>
      </c>
      <c r="D265" s="2">
        <f>IFERROR(__xludf.DUMMYFUNCTION("""COMPUTED_VALUE"""),270.36)</f>
        <v>270.36</v>
      </c>
      <c r="E265" s="2">
        <f>IFERROR(__xludf.DUMMYFUNCTION("""COMPUTED_VALUE"""),271.2)</f>
        <v>271.2</v>
      </c>
      <c r="F265" s="2">
        <f>IFERROR(__xludf.DUMMYFUNCTION("""COMPUTED_VALUE"""),5984272.0)</f>
        <v>5984272</v>
      </c>
    </row>
    <row r="266">
      <c r="A266" s="3">
        <f>IFERROR(__xludf.DUMMYFUNCTION("""COMPUTED_VALUE"""),45314.66666666667)</f>
        <v>45314.66667</v>
      </c>
      <c r="B266" s="2">
        <f>IFERROR(__xludf.DUMMYFUNCTION("""COMPUTED_VALUE"""),271.55)</f>
        <v>271.55</v>
      </c>
      <c r="C266" s="2">
        <f>IFERROR(__xludf.DUMMYFUNCTION("""COMPUTED_VALUE"""),271.87)</f>
        <v>271.87</v>
      </c>
      <c r="D266" s="2">
        <f>IFERROR(__xludf.DUMMYFUNCTION("""COMPUTED_VALUE"""),269.91)</f>
        <v>269.91</v>
      </c>
      <c r="E266" s="2">
        <f>IFERROR(__xludf.DUMMYFUNCTION("""COMPUTED_VALUE"""),271.26)</f>
        <v>271.26</v>
      </c>
      <c r="F266" s="2">
        <f>IFERROR(__xludf.DUMMYFUNCTION("""COMPUTED_VALUE"""),5882995.0)</f>
        <v>5882995</v>
      </c>
    </row>
    <row r="267">
      <c r="A267" s="3">
        <f>IFERROR(__xludf.DUMMYFUNCTION("""COMPUTED_VALUE"""),45315.66666666667)</f>
        <v>45315.66667</v>
      </c>
      <c r="B267" s="2">
        <f>IFERROR(__xludf.DUMMYFUNCTION("""COMPUTED_VALUE"""),272.57)</f>
        <v>272.57</v>
      </c>
      <c r="C267" s="2">
        <f>IFERROR(__xludf.DUMMYFUNCTION("""COMPUTED_VALUE"""),272.86)</f>
        <v>272.86</v>
      </c>
      <c r="D267" s="2">
        <f>IFERROR(__xludf.DUMMYFUNCTION("""COMPUTED_VALUE"""),271.08)</f>
        <v>271.08</v>
      </c>
      <c r="E267" s="2">
        <f>IFERROR(__xludf.DUMMYFUNCTION("""COMPUTED_VALUE"""),271.65)</f>
        <v>271.65</v>
      </c>
      <c r="F267" s="2">
        <f>IFERROR(__xludf.DUMMYFUNCTION("""COMPUTED_VALUE"""),5021703.0)</f>
        <v>5021703</v>
      </c>
    </row>
    <row r="268">
      <c r="A268" s="3">
        <f>IFERROR(__xludf.DUMMYFUNCTION("""COMPUTED_VALUE"""),45316.66666666667)</f>
        <v>45316.66667</v>
      </c>
      <c r="B268" s="2">
        <f>IFERROR(__xludf.DUMMYFUNCTION("""COMPUTED_VALUE"""),271.95)</f>
        <v>271.95</v>
      </c>
      <c r="C268" s="2">
        <f>IFERROR(__xludf.DUMMYFUNCTION("""COMPUTED_VALUE"""),272.78)</f>
        <v>272.78</v>
      </c>
      <c r="D268" s="2">
        <f>IFERROR(__xludf.DUMMYFUNCTION("""COMPUTED_VALUE"""),270.8)</f>
        <v>270.8</v>
      </c>
      <c r="E268" s="2">
        <f>IFERROR(__xludf.DUMMYFUNCTION("""COMPUTED_VALUE"""),272.61)</f>
        <v>272.61</v>
      </c>
      <c r="F268" s="2">
        <f>IFERROR(__xludf.DUMMYFUNCTION("""COMPUTED_VALUE"""),6894942.0)</f>
        <v>6894942</v>
      </c>
    </row>
    <row r="269">
      <c r="A269" s="3">
        <f>IFERROR(__xludf.DUMMYFUNCTION("""COMPUTED_VALUE"""),45317.66666666667)</f>
        <v>45317.66667</v>
      </c>
      <c r="B269" s="2">
        <f>IFERROR(__xludf.DUMMYFUNCTION("""COMPUTED_VALUE"""),265.94)</f>
        <v>265.94</v>
      </c>
      <c r="C269" s="2">
        <f>IFERROR(__xludf.DUMMYFUNCTION("""COMPUTED_VALUE"""),270.87)</f>
        <v>270.87</v>
      </c>
      <c r="D269" s="2">
        <f>IFERROR(__xludf.DUMMYFUNCTION("""COMPUTED_VALUE"""),265.6)</f>
        <v>265.6</v>
      </c>
      <c r="E269" s="2">
        <f>IFERROR(__xludf.DUMMYFUNCTION("""COMPUTED_VALUE"""),267.94)</f>
        <v>267.94</v>
      </c>
      <c r="F269" s="2">
        <f>IFERROR(__xludf.DUMMYFUNCTION("""COMPUTED_VALUE"""),8586548.0)</f>
        <v>8586548</v>
      </c>
    </row>
    <row r="270">
      <c r="A270" s="3">
        <f>IFERROR(__xludf.DUMMYFUNCTION("""COMPUTED_VALUE"""),45320.66666666667)</f>
        <v>45320.66667</v>
      </c>
      <c r="B270" s="2">
        <f>IFERROR(__xludf.DUMMYFUNCTION("""COMPUTED_VALUE"""),266.97)</f>
        <v>266.97</v>
      </c>
      <c r="C270" s="2">
        <f>IFERROR(__xludf.DUMMYFUNCTION("""COMPUTED_VALUE"""),275.07)</f>
        <v>275.07</v>
      </c>
      <c r="D270" s="2">
        <f>IFERROR(__xludf.DUMMYFUNCTION("""COMPUTED_VALUE"""),266.71)</f>
        <v>266.71</v>
      </c>
      <c r="E270" s="2">
        <f>IFERROR(__xludf.DUMMYFUNCTION("""COMPUTED_VALUE"""),273.66)</f>
        <v>273.66</v>
      </c>
      <c r="F270" s="2">
        <f>IFERROR(__xludf.DUMMYFUNCTION("""COMPUTED_VALUE"""),6574480.0)</f>
        <v>6574480</v>
      </c>
    </row>
    <row r="271">
      <c r="A271" s="3">
        <f>IFERROR(__xludf.DUMMYFUNCTION("""COMPUTED_VALUE"""),45321.66666666667)</f>
        <v>45321.66667</v>
      </c>
      <c r="B271" s="2">
        <f>IFERROR(__xludf.DUMMYFUNCTION("""COMPUTED_VALUE"""),274.59)</f>
        <v>274.59</v>
      </c>
      <c r="C271" s="2">
        <f>IFERROR(__xludf.DUMMYFUNCTION("""COMPUTED_VALUE"""),278.64)</f>
        <v>278.64</v>
      </c>
      <c r="D271" s="2">
        <f>IFERROR(__xludf.DUMMYFUNCTION("""COMPUTED_VALUE"""),274.19)</f>
        <v>274.19</v>
      </c>
      <c r="E271" s="2">
        <f>IFERROR(__xludf.DUMMYFUNCTION("""COMPUTED_VALUE"""),277.15)</f>
        <v>277.15</v>
      </c>
      <c r="F271" s="2">
        <f>IFERROR(__xludf.DUMMYFUNCTION("""COMPUTED_VALUE"""),6548999.0)</f>
        <v>6548999</v>
      </c>
    </row>
    <row r="272">
      <c r="A272" s="3">
        <f>IFERROR(__xludf.DUMMYFUNCTION("""COMPUTED_VALUE"""),45322.66666666667)</f>
        <v>45322.66667</v>
      </c>
      <c r="B272" s="2">
        <f>IFERROR(__xludf.DUMMYFUNCTION("""COMPUTED_VALUE"""),277.12)</f>
        <v>277.12</v>
      </c>
      <c r="C272" s="2">
        <f>IFERROR(__xludf.DUMMYFUNCTION("""COMPUTED_VALUE"""),279.99)</f>
        <v>279.99</v>
      </c>
      <c r="D272" s="2">
        <f>IFERROR(__xludf.DUMMYFUNCTION("""COMPUTED_VALUE"""),273.18)</f>
        <v>273.18</v>
      </c>
      <c r="E272" s="2">
        <f>IFERROR(__xludf.DUMMYFUNCTION("""COMPUTED_VALUE"""),273.26)</f>
        <v>273.26</v>
      </c>
      <c r="F272" s="2">
        <f>IFERROR(__xludf.DUMMYFUNCTION("""COMPUTED_VALUE"""),6139312.0)</f>
        <v>6139312</v>
      </c>
    </row>
    <row r="273">
      <c r="A273" s="3">
        <f>IFERROR(__xludf.DUMMYFUNCTION("""COMPUTED_VALUE"""),45323.66666666667)</f>
        <v>45323.66667</v>
      </c>
      <c r="B273" s="2">
        <f>IFERROR(__xludf.DUMMYFUNCTION("""COMPUTED_VALUE"""),273.39)</f>
        <v>273.39</v>
      </c>
      <c r="C273" s="2">
        <f>IFERROR(__xludf.DUMMYFUNCTION("""COMPUTED_VALUE"""),277.19)</f>
        <v>277.19</v>
      </c>
      <c r="D273" s="2">
        <f>IFERROR(__xludf.DUMMYFUNCTION("""COMPUTED_VALUE"""),273.36)</f>
        <v>273.36</v>
      </c>
      <c r="E273" s="2">
        <f>IFERROR(__xludf.DUMMYFUNCTION("""COMPUTED_VALUE"""),277.05)</f>
        <v>277.05</v>
      </c>
      <c r="F273" s="2">
        <f>IFERROR(__xludf.DUMMYFUNCTION("""COMPUTED_VALUE"""),7064976.0)</f>
        <v>7064976</v>
      </c>
    </row>
    <row r="274">
      <c r="A274" s="3">
        <f>IFERROR(__xludf.DUMMYFUNCTION("""COMPUTED_VALUE"""),45324.66666666667)</f>
        <v>45324.66667</v>
      </c>
      <c r="B274" s="2">
        <f>IFERROR(__xludf.DUMMYFUNCTION("""COMPUTED_VALUE"""),277.61)</f>
        <v>277.61</v>
      </c>
      <c r="C274" s="2">
        <f>IFERROR(__xludf.DUMMYFUNCTION("""COMPUTED_VALUE"""),278.5)</f>
        <v>278.5</v>
      </c>
      <c r="D274" s="2">
        <f>IFERROR(__xludf.DUMMYFUNCTION("""COMPUTED_VALUE"""),275.68)</f>
        <v>275.68</v>
      </c>
      <c r="E274" s="2">
        <f>IFERROR(__xludf.DUMMYFUNCTION("""COMPUTED_VALUE"""),277.18)</f>
        <v>277.18</v>
      </c>
      <c r="F274" s="2">
        <f>IFERROR(__xludf.DUMMYFUNCTION("""COMPUTED_VALUE"""),4848891.0)</f>
        <v>4848891</v>
      </c>
    </row>
    <row r="275">
      <c r="A275" s="3">
        <f>IFERROR(__xludf.DUMMYFUNCTION("""COMPUTED_VALUE"""),45327.66666666667)</f>
        <v>45327.66667</v>
      </c>
      <c r="B275" s="2">
        <f>IFERROR(__xludf.DUMMYFUNCTION("""COMPUTED_VALUE"""),277.4)</f>
        <v>277.4</v>
      </c>
      <c r="C275" s="2">
        <f>IFERROR(__xludf.DUMMYFUNCTION("""COMPUTED_VALUE"""),278.0)</f>
        <v>278</v>
      </c>
      <c r="D275" s="2">
        <f>IFERROR(__xludf.DUMMYFUNCTION("""COMPUTED_VALUE"""),275.13)</f>
        <v>275.13</v>
      </c>
      <c r="E275" s="2">
        <f>IFERROR(__xludf.DUMMYFUNCTION("""COMPUTED_VALUE"""),275.58)</f>
        <v>275.58</v>
      </c>
      <c r="F275" s="2">
        <f>IFERROR(__xludf.DUMMYFUNCTION("""COMPUTED_VALUE"""),4899140.0)</f>
        <v>4899140</v>
      </c>
    </row>
    <row r="276">
      <c r="A276" s="3">
        <f>IFERROR(__xludf.DUMMYFUNCTION("""COMPUTED_VALUE"""),45328.66666666667)</f>
        <v>45328.66667</v>
      </c>
      <c r="B276" s="2">
        <f>IFERROR(__xludf.DUMMYFUNCTION("""COMPUTED_VALUE"""),274.8)</f>
        <v>274.8</v>
      </c>
      <c r="C276" s="2">
        <f>IFERROR(__xludf.DUMMYFUNCTION("""COMPUTED_VALUE"""),276.88)</f>
        <v>276.88</v>
      </c>
      <c r="D276" s="2">
        <f>IFERROR(__xludf.DUMMYFUNCTION("""COMPUTED_VALUE"""),274.03)</f>
        <v>274.03</v>
      </c>
      <c r="E276" s="2">
        <f>IFERROR(__xludf.DUMMYFUNCTION("""COMPUTED_VALUE"""),276.76)</f>
        <v>276.76</v>
      </c>
      <c r="F276" s="2">
        <f>IFERROR(__xludf.DUMMYFUNCTION("""COMPUTED_VALUE"""),4400250.0)</f>
        <v>4400250</v>
      </c>
    </row>
    <row r="277">
      <c r="A277" s="3">
        <f>IFERROR(__xludf.DUMMYFUNCTION("""COMPUTED_VALUE"""),45329.66666666667)</f>
        <v>45329.66667</v>
      </c>
      <c r="B277" s="2">
        <f>IFERROR(__xludf.DUMMYFUNCTION("""COMPUTED_VALUE"""),279.38)</f>
        <v>279.38</v>
      </c>
      <c r="C277" s="2">
        <f>IFERROR(__xludf.DUMMYFUNCTION("""COMPUTED_VALUE"""),279.54)</f>
        <v>279.54</v>
      </c>
      <c r="D277" s="2">
        <f>IFERROR(__xludf.DUMMYFUNCTION("""COMPUTED_VALUE"""),277.06)</f>
        <v>277.06</v>
      </c>
      <c r="E277" s="2">
        <f>IFERROR(__xludf.DUMMYFUNCTION("""COMPUTED_VALUE"""),279.39)</f>
        <v>279.39</v>
      </c>
      <c r="F277" s="2">
        <f>IFERROR(__xludf.DUMMYFUNCTION("""COMPUTED_VALUE"""),4785902.0)</f>
        <v>4785902</v>
      </c>
    </row>
    <row r="278">
      <c r="A278" s="3">
        <f>IFERROR(__xludf.DUMMYFUNCTION("""COMPUTED_VALUE"""),45330.66666666667)</f>
        <v>45330.66667</v>
      </c>
      <c r="B278" s="2">
        <f>IFERROR(__xludf.DUMMYFUNCTION("""COMPUTED_VALUE"""),279.54)</f>
        <v>279.54</v>
      </c>
      <c r="C278" s="2">
        <f>IFERROR(__xludf.DUMMYFUNCTION("""COMPUTED_VALUE"""),279.66)</f>
        <v>279.66</v>
      </c>
      <c r="D278" s="2">
        <f>IFERROR(__xludf.DUMMYFUNCTION("""COMPUTED_VALUE"""),275.28)</f>
        <v>275.28</v>
      </c>
      <c r="E278" s="2">
        <f>IFERROR(__xludf.DUMMYFUNCTION("""COMPUTED_VALUE"""),275.78)</f>
        <v>275.78</v>
      </c>
      <c r="F278" s="2">
        <f>IFERROR(__xludf.DUMMYFUNCTION("""COMPUTED_VALUE"""),5833409.0)</f>
        <v>5833409</v>
      </c>
    </row>
    <row r="279">
      <c r="A279" s="3">
        <f>IFERROR(__xludf.DUMMYFUNCTION("""COMPUTED_VALUE"""),45331.66666666667)</f>
        <v>45331.66667</v>
      </c>
      <c r="B279" s="2">
        <f>IFERROR(__xludf.DUMMYFUNCTION("""COMPUTED_VALUE"""),275.0)</f>
        <v>275</v>
      </c>
      <c r="C279" s="2">
        <f>IFERROR(__xludf.DUMMYFUNCTION("""COMPUTED_VALUE"""),277.18)</f>
        <v>277.18</v>
      </c>
      <c r="D279" s="2">
        <f>IFERROR(__xludf.DUMMYFUNCTION("""COMPUTED_VALUE"""),274.09)</f>
        <v>274.09</v>
      </c>
      <c r="E279" s="2">
        <f>IFERROR(__xludf.DUMMYFUNCTION("""COMPUTED_VALUE"""),276.43)</f>
        <v>276.43</v>
      </c>
      <c r="F279" s="2">
        <f>IFERROR(__xludf.DUMMYFUNCTION("""COMPUTED_VALUE"""),4618283.0)</f>
        <v>4618283</v>
      </c>
    </row>
    <row r="280">
      <c r="A280" s="3">
        <f>IFERROR(__xludf.DUMMYFUNCTION("""COMPUTED_VALUE"""),45334.66666666667)</f>
        <v>45334.66667</v>
      </c>
      <c r="B280" s="2">
        <f>IFERROR(__xludf.DUMMYFUNCTION("""COMPUTED_VALUE"""),276.43)</f>
        <v>276.43</v>
      </c>
      <c r="C280" s="2">
        <f>IFERROR(__xludf.DUMMYFUNCTION("""COMPUTED_VALUE"""),276.67)</f>
        <v>276.67</v>
      </c>
      <c r="D280" s="2">
        <f>IFERROR(__xludf.DUMMYFUNCTION("""COMPUTED_VALUE"""),274.24)</f>
        <v>274.24</v>
      </c>
      <c r="E280" s="2">
        <f>IFERROR(__xludf.DUMMYFUNCTION("""COMPUTED_VALUE"""),275.07)</f>
        <v>275.07</v>
      </c>
      <c r="F280" s="2">
        <f>IFERROR(__xludf.DUMMYFUNCTION("""COMPUTED_VALUE"""),3676232.0)</f>
        <v>3676232</v>
      </c>
    </row>
    <row r="281">
      <c r="A281" s="3">
        <f>IFERROR(__xludf.DUMMYFUNCTION("""COMPUTED_VALUE"""),45335.66666666667)</f>
        <v>45335.66667</v>
      </c>
      <c r="B281" s="2">
        <f>IFERROR(__xludf.DUMMYFUNCTION("""COMPUTED_VALUE"""),273.75)</f>
        <v>273.75</v>
      </c>
      <c r="C281" s="2">
        <f>IFERROR(__xludf.DUMMYFUNCTION("""COMPUTED_VALUE"""),278.0)</f>
        <v>278</v>
      </c>
      <c r="D281" s="2">
        <f>IFERROR(__xludf.DUMMYFUNCTION("""COMPUTED_VALUE"""),272.76)</f>
        <v>272.76</v>
      </c>
      <c r="E281" s="2">
        <f>IFERROR(__xludf.DUMMYFUNCTION("""COMPUTED_VALUE"""),275.81)</f>
        <v>275.81</v>
      </c>
      <c r="F281" s="2">
        <f>IFERROR(__xludf.DUMMYFUNCTION("""COMPUTED_VALUE"""),5493833.0)</f>
        <v>5493833</v>
      </c>
    </row>
    <row r="282">
      <c r="A282" s="3">
        <f>IFERROR(__xludf.DUMMYFUNCTION("""COMPUTED_VALUE"""),45336.66666666667)</f>
        <v>45336.66667</v>
      </c>
      <c r="B282" s="2">
        <f>IFERROR(__xludf.DUMMYFUNCTION("""COMPUTED_VALUE"""),276.47)</f>
        <v>276.47</v>
      </c>
      <c r="C282" s="2">
        <f>IFERROR(__xludf.DUMMYFUNCTION("""COMPUTED_VALUE"""),277.64)</f>
        <v>277.64</v>
      </c>
      <c r="D282" s="2">
        <f>IFERROR(__xludf.DUMMYFUNCTION("""COMPUTED_VALUE"""),274.71)</f>
        <v>274.71</v>
      </c>
      <c r="E282" s="2">
        <f>IFERROR(__xludf.DUMMYFUNCTION("""COMPUTED_VALUE"""),277.56)</f>
        <v>277.56</v>
      </c>
      <c r="F282" s="2">
        <f>IFERROR(__xludf.DUMMYFUNCTION("""COMPUTED_VALUE"""),4218350.0)</f>
        <v>4218350</v>
      </c>
    </row>
    <row r="283">
      <c r="A283" s="3">
        <f>IFERROR(__xludf.DUMMYFUNCTION("""COMPUTED_VALUE"""),45337.66666666667)</f>
        <v>45337.66667</v>
      </c>
      <c r="B283" s="2">
        <f>IFERROR(__xludf.DUMMYFUNCTION("""COMPUTED_VALUE"""),277.65)</f>
        <v>277.65</v>
      </c>
      <c r="C283" s="2">
        <f>IFERROR(__xludf.DUMMYFUNCTION("""COMPUTED_VALUE"""),281.12)</f>
        <v>281.12</v>
      </c>
      <c r="D283" s="2">
        <f>IFERROR(__xludf.DUMMYFUNCTION("""COMPUTED_VALUE"""),277.56)</f>
        <v>277.56</v>
      </c>
      <c r="E283" s="2">
        <f>IFERROR(__xludf.DUMMYFUNCTION("""COMPUTED_VALUE"""),280.98)</f>
        <v>280.98</v>
      </c>
      <c r="F283" s="2">
        <f>IFERROR(__xludf.DUMMYFUNCTION("""COMPUTED_VALUE"""),4834758.0)</f>
        <v>4834758</v>
      </c>
    </row>
    <row r="284">
      <c r="A284" s="3">
        <f>IFERROR(__xludf.DUMMYFUNCTION("""COMPUTED_VALUE"""),45338.66666666667)</f>
        <v>45338.66667</v>
      </c>
      <c r="B284" s="2">
        <f>IFERROR(__xludf.DUMMYFUNCTION("""COMPUTED_VALUE"""),280.96)</f>
        <v>280.96</v>
      </c>
      <c r="C284" s="2">
        <f>IFERROR(__xludf.DUMMYFUNCTION("""COMPUTED_VALUE"""),281.12)</f>
        <v>281.12</v>
      </c>
      <c r="D284" s="2">
        <f>IFERROR(__xludf.DUMMYFUNCTION("""COMPUTED_VALUE"""),277.87)</f>
        <v>277.87</v>
      </c>
      <c r="E284" s="2">
        <f>IFERROR(__xludf.DUMMYFUNCTION("""COMPUTED_VALUE"""),278.56)</f>
        <v>278.56</v>
      </c>
      <c r="F284" s="2">
        <f>IFERROR(__xludf.DUMMYFUNCTION("""COMPUTED_VALUE"""),6630744.0)</f>
        <v>6630744</v>
      </c>
    </row>
    <row r="285">
      <c r="A285" s="3">
        <f>IFERROR(__xludf.DUMMYFUNCTION("""COMPUTED_VALUE"""),45342.66666666667)</f>
        <v>45342.66667</v>
      </c>
      <c r="B285" s="2">
        <f>IFERROR(__xludf.DUMMYFUNCTION("""COMPUTED_VALUE"""),274.57)</f>
        <v>274.57</v>
      </c>
      <c r="C285" s="2">
        <f>IFERROR(__xludf.DUMMYFUNCTION("""COMPUTED_VALUE"""),276.84)</f>
        <v>276.84</v>
      </c>
      <c r="D285" s="2">
        <f>IFERROR(__xludf.DUMMYFUNCTION("""COMPUTED_VALUE"""),273.34)</f>
        <v>273.34</v>
      </c>
      <c r="E285" s="2">
        <f>IFERROR(__xludf.DUMMYFUNCTION("""COMPUTED_VALUE"""),275.15)</f>
        <v>275.15</v>
      </c>
      <c r="F285" s="2">
        <f>IFERROR(__xludf.DUMMYFUNCTION("""COMPUTED_VALUE"""),6157178.0)</f>
        <v>6157178</v>
      </c>
    </row>
    <row r="286">
      <c r="A286" s="3">
        <f>IFERROR(__xludf.DUMMYFUNCTION("""COMPUTED_VALUE"""),45343.66666666667)</f>
        <v>45343.66667</v>
      </c>
      <c r="B286" s="2">
        <f>IFERROR(__xludf.DUMMYFUNCTION("""COMPUTED_VALUE"""),274.63)</f>
        <v>274.63</v>
      </c>
      <c r="C286" s="2">
        <f>IFERROR(__xludf.DUMMYFUNCTION("""COMPUTED_VALUE"""),276.97)</f>
        <v>276.97</v>
      </c>
      <c r="D286" s="2">
        <f>IFERROR(__xludf.DUMMYFUNCTION("""COMPUTED_VALUE"""),273.53)</f>
        <v>273.53</v>
      </c>
      <c r="E286" s="2">
        <f>IFERROR(__xludf.DUMMYFUNCTION("""COMPUTED_VALUE"""),276.76)</f>
        <v>276.76</v>
      </c>
      <c r="F286" s="2">
        <f>IFERROR(__xludf.DUMMYFUNCTION("""COMPUTED_VALUE"""),4771105.0)</f>
        <v>4771105</v>
      </c>
    </row>
    <row r="287">
      <c r="A287" s="3">
        <f>IFERROR(__xludf.DUMMYFUNCTION("""COMPUTED_VALUE"""),45344.66666666667)</f>
        <v>45344.66667</v>
      </c>
      <c r="B287" s="2">
        <f>IFERROR(__xludf.DUMMYFUNCTION("""COMPUTED_VALUE"""),279.18)</f>
        <v>279.18</v>
      </c>
      <c r="C287" s="2">
        <f>IFERROR(__xludf.DUMMYFUNCTION("""COMPUTED_VALUE"""),284.06)</f>
        <v>284.06</v>
      </c>
      <c r="D287" s="2">
        <f>IFERROR(__xludf.DUMMYFUNCTION("""COMPUTED_VALUE"""),278.98)</f>
        <v>278.98</v>
      </c>
      <c r="E287" s="2">
        <f>IFERROR(__xludf.DUMMYFUNCTION("""COMPUTED_VALUE"""),283.75)</f>
        <v>283.75</v>
      </c>
      <c r="F287" s="2">
        <f>IFERROR(__xludf.DUMMYFUNCTION("""COMPUTED_VALUE"""),5100191.0)</f>
        <v>5100191</v>
      </c>
    </row>
    <row r="288">
      <c r="A288" s="3">
        <f>IFERROR(__xludf.DUMMYFUNCTION("""COMPUTED_VALUE"""),45345.66666666667)</f>
        <v>45345.66667</v>
      </c>
      <c r="B288" s="2">
        <f>IFERROR(__xludf.DUMMYFUNCTION("""COMPUTED_VALUE"""),284.72)</f>
        <v>284.72</v>
      </c>
      <c r="C288" s="2">
        <f>IFERROR(__xludf.DUMMYFUNCTION("""COMPUTED_VALUE"""),285.95)</f>
        <v>285.95</v>
      </c>
      <c r="D288" s="2">
        <f>IFERROR(__xludf.DUMMYFUNCTION("""COMPUTED_VALUE"""),283.5)</f>
        <v>283.5</v>
      </c>
      <c r="E288" s="2">
        <f>IFERROR(__xludf.DUMMYFUNCTION("""COMPUTED_VALUE"""),283.6)</f>
        <v>283.6</v>
      </c>
      <c r="F288" s="2">
        <f>IFERROR(__xludf.DUMMYFUNCTION("""COMPUTED_VALUE"""),5107693.0)</f>
        <v>5107693</v>
      </c>
    </row>
    <row r="289">
      <c r="A289" s="3">
        <f>IFERROR(__xludf.DUMMYFUNCTION("""COMPUTED_VALUE"""),45348.66666666667)</f>
        <v>45348.66667</v>
      </c>
      <c r="B289" s="2">
        <f>IFERROR(__xludf.DUMMYFUNCTION("""COMPUTED_VALUE"""),283.04)</f>
        <v>283.04</v>
      </c>
      <c r="C289" s="2">
        <f>IFERROR(__xludf.DUMMYFUNCTION("""COMPUTED_VALUE"""),285.35)</f>
        <v>285.35</v>
      </c>
      <c r="D289" s="2">
        <f>IFERROR(__xludf.DUMMYFUNCTION("""COMPUTED_VALUE"""),282.66)</f>
        <v>282.66</v>
      </c>
      <c r="E289" s="2">
        <f>IFERROR(__xludf.DUMMYFUNCTION("""COMPUTED_VALUE"""),284.15)</f>
        <v>284.15</v>
      </c>
      <c r="F289" s="2">
        <f>IFERROR(__xludf.DUMMYFUNCTION("""COMPUTED_VALUE"""),3856911.0)</f>
        <v>3856911</v>
      </c>
    </row>
    <row r="290">
      <c r="A290" s="3">
        <f>IFERROR(__xludf.DUMMYFUNCTION("""COMPUTED_VALUE"""),45349.66666666667)</f>
        <v>45349.66667</v>
      </c>
      <c r="B290" s="2">
        <f>IFERROR(__xludf.DUMMYFUNCTION("""COMPUTED_VALUE"""),284.17)</f>
        <v>284.17</v>
      </c>
      <c r="C290" s="2">
        <f>IFERROR(__xludf.DUMMYFUNCTION("""COMPUTED_VALUE"""),284.17)</f>
        <v>284.17</v>
      </c>
      <c r="D290" s="2">
        <f>IFERROR(__xludf.DUMMYFUNCTION("""COMPUTED_VALUE"""),281.54)</f>
        <v>281.54</v>
      </c>
      <c r="E290" s="2">
        <f>IFERROR(__xludf.DUMMYFUNCTION("""COMPUTED_VALUE"""),283.17)</f>
        <v>283.17</v>
      </c>
      <c r="F290" s="2">
        <f>IFERROR(__xludf.DUMMYFUNCTION("""COMPUTED_VALUE"""),4145383.0)</f>
        <v>4145383</v>
      </c>
    </row>
    <row r="291">
      <c r="A291" s="3">
        <f>IFERROR(__xludf.DUMMYFUNCTION("""COMPUTED_VALUE"""),45350.66666666667)</f>
        <v>45350.66667</v>
      </c>
      <c r="B291" s="2">
        <f>IFERROR(__xludf.DUMMYFUNCTION("""COMPUTED_VALUE"""),282.1)</f>
        <v>282.1</v>
      </c>
      <c r="C291" s="2">
        <f>IFERROR(__xludf.DUMMYFUNCTION("""COMPUTED_VALUE"""),286.13)</f>
        <v>286.13</v>
      </c>
      <c r="D291" s="2">
        <f>IFERROR(__xludf.DUMMYFUNCTION("""COMPUTED_VALUE"""),282.08)</f>
        <v>282.08</v>
      </c>
      <c r="E291" s="2">
        <f>IFERROR(__xludf.DUMMYFUNCTION("""COMPUTED_VALUE"""),285.63)</f>
        <v>285.63</v>
      </c>
      <c r="F291" s="2">
        <f>IFERROR(__xludf.DUMMYFUNCTION("""COMPUTED_VALUE"""),4358820.0)</f>
        <v>4358820</v>
      </c>
    </row>
    <row r="292">
      <c r="A292" s="3">
        <f>IFERROR(__xludf.DUMMYFUNCTION("""COMPUTED_VALUE"""),45351.66666666667)</f>
        <v>45351.66667</v>
      </c>
      <c r="B292" s="2">
        <f>IFERROR(__xludf.DUMMYFUNCTION("""COMPUTED_VALUE"""),285.5)</f>
        <v>285.5</v>
      </c>
      <c r="C292" s="2">
        <f>IFERROR(__xludf.DUMMYFUNCTION("""COMPUTED_VALUE"""),285.66)</f>
        <v>285.66</v>
      </c>
      <c r="D292" s="2">
        <f>IFERROR(__xludf.DUMMYFUNCTION("""COMPUTED_VALUE"""),282.18)</f>
        <v>282.18</v>
      </c>
      <c r="E292" s="2">
        <f>IFERROR(__xludf.DUMMYFUNCTION("""COMPUTED_VALUE"""),282.64)</f>
        <v>282.64</v>
      </c>
      <c r="F292" s="2">
        <f>IFERROR(__xludf.DUMMYFUNCTION("""COMPUTED_VALUE"""),6633684.0)</f>
        <v>6633684</v>
      </c>
    </row>
    <row r="293">
      <c r="A293" s="3">
        <f>IFERROR(__xludf.DUMMYFUNCTION("""COMPUTED_VALUE"""),45352.66666666667)</f>
        <v>45352.66667</v>
      </c>
      <c r="B293" s="2">
        <f>IFERROR(__xludf.DUMMYFUNCTION("""COMPUTED_VALUE"""),283.2)</f>
        <v>283.2</v>
      </c>
      <c r="C293" s="2">
        <f>IFERROR(__xludf.DUMMYFUNCTION("""COMPUTED_VALUE"""),284.91)</f>
        <v>284.91</v>
      </c>
      <c r="D293" s="2">
        <f>IFERROR(__xludf.DUMMYFUNCTION("""COMPUTED_VALUE"""),282.11)</f>
        <v>282.11</v>
      </c>
      <c r="E293" s="2">
        <f>IFERROR(__xludf.DUMMYFUNCTION("""COMPUTED_VALUE"""),283.16)</f>
        <v>283.16</v>
      </c>
      <c r="F293" s="2">
        <f>IFERROR(__xludf.DUMMYFUNCTION("""COMPUTED_VALUE"""),3955728.0)</f>
        <v>3955728</v>
      </c>
    </row>
    <row r="294">
      <c r="A294" s="3">
        <f>IFERROR(__xludf.DUMMYFUNCTION("""COMPUTED_VALUE"""),45355.66666666667)</f>
        <v>45355.66667</v>
      </c>
      <c r="B294" s="2">
        <f>IFERROR(__xludf.DUMMYFUNCTION("""COMPUTED_VALUE"""),282.81)</f>
        <v>282.81</v>
      </c>
      <c r="C294" s="2">
        <f>IFERROR(__xludf.DUMMYFUNCTION("""COMPUTED_VALUE"""),283.0)</f>
        <v>283</v>
      </c>
      <c r="D294" s="2">
        <f>IFERROR(__xludf.DUMMYFUNCTION("""COMPUTED_VALUE"""),278.13)</f>
        <v>278.13</v>
      </c>
      <c r="E294" s="2">
        <f>IFERROR(__xludf.DUMMYFUNCTION("""COMPUTED_VALUE"""),280.53)</f>
        <v>280.53</v>
      </c>
      <c r="F294" s="2">
        <f>IFERROR(__xludf.DUMMYFUNCTION("""COMPUTED_VALUE"""),5920308.0)</f>
        <v>5920308</v>
      </c>
    </row>
    <row r="295">
      <c r="A295" s="3">
        <f>IFERROR(__xludf.DUMMYFUNCTION("""COMPUTED_VALUE"""),45356.66666666667)</f>
        <v>45356.66667</v>
      </c>
      <c r="B295" s="2">
        <f>IFERROR(__xludf.DUMMYFUNCTION("""COMPUTED_VALUE"""),280.27)</f>
        <v>280.27</v>
      </c>
      <c r="C295" s="2">
        <f>IFERROR(__xludf.DUMMYFUNCTION("""COMPUTED_VALUE"""),280.99)</f>
        <v>280.99</v>
      </c>
      <c r="D295" s="2">
        <f>IFERROR(__xludf.DUMMYFUNCTION("""COMPUTED_VALUE"""),277.68)</f>
        <v>277.68</v>
      </c>
      <c r="E295" s="2">
        <f>IFERROR(__xludf.DUMMYFUNCTION("""COMPUTED_VALUE"""),279.38)</f>
        <v>279.38</v>
      </c>
      <c r="F295" s="2">
        <f>IFERROR(__xludf.DUMMYFUNCTION("""COMPUTED_VALUE"""),6228066.0)</f>
        <v>6228066</v>
      </c>
    </row>
    <row r="296">
      <c r="A296" s="3">
        <f>IFERROR(__xludf.DUMMYFUNCTION("""COMPUTED_VALUE"""),45357.66666666667)</f>
        <v>45357.66667</v>
      </c>
      <c r="B296" s="2">
        <f>IFERROR(__xludf.DUMMYFUNCTION("""COMPUTED_VALUE"""),280.0)</f>
        <v>280</v>
      </c>
      <c r="C296" s="2">
        <f>IFERROR(__xludf.DUMMYFUNCTION("""COMPUTED_VALUE"""),282.0)</f>
        <v>282</v>
      </c>
      <c r="D296" s="2">
        <f>IFERROR(__xludf.DUMMYFUNCTION("""COMPUTED_VALUE"""),279.31)</f>
        <v>279.31</v>
      </c>
      <c r="E296" s="2">
        <f>IFERROR(__xludf.DUMMYFUNCTION("""COMPUTED_VALUE"""),280.43)</f>
        <v>280.43</v>
      </c>
      <c r="F296" s="2">
        <f>IFERROR(__xludf.DUMMYFUNCTION("""COMPUTED_VALUE"""),4535185.0)</f>
        <v>4535185</v>
      </c>
    </row>
    <row r="297">
      <c r="A297" s="3">
        <f>IFERROR(__xludf.DUMMYFUNCTION("""COMPUTED_VALUE"""),45358.66666666667)</f>
        <v>45358.66667</v>
      </c>
      <c r="B297" s="2">
        <f>IFERROR(__xludf.DUMMYFUNCTION("""COMPUTED_VALUE"""),280.88)</f>
        <v>280.88</v>
      </c>
      <c r="C297" s="2">
        <f>IFERROR(__xludf.DUMMYFUNCTION("""COMPUTED_VALUE"""),281.17)</f>
        <v>281.17</v>
      </c>
      <c r="D297" s="2">
        <f>IFERROR(__xludf.DUMMYFUNCTION("""COMPUTED_VALUE"""),276.16)</f>
        <v>276.16</v>
      </c>
      <c r="E297" s="2">
        <f>IFERROR(__xludf.DUMMYFUNCTION("""COMPUTED_VALUE"""),278.26)</f>
        <v>278.26</v>
      </c>
      <c r="F297" s="2">
        <f>IFERROR(__xludf.DUMMYFUNCTION("""COMPUTED_VALUE"""),5668483.0)</f>
        <v>5668483</v>
      </c>
    </row>
    <row r="298">
      <c r="A298" s="3">
        <f>IFERROR(__xludf.DUMMYFUNCTION("""COMPUTED_VALUE"""),45359.66666666667)</f>
        <v>45359.66667</v>
      </c>
      <c r="B298" s="2">
        <f>IFERROR(__xludf.DUMMYFUNCTION("""COMPUTED_VALUE"""),279.0)</f>
        <v>279</v>
      </c>
      <c r="C298" s="2">
        <f>IFERROR(__xludf.DUMMYFUNCTION("""COMPUTED_VALUE"""),281.67)</f>
        <v>281.67</v>
      </c>
      <c r="D298" s="2">
        <f>IFERROR(__xludf.DUMMYFUNCTION("""COMPUTED_VALUE"""),278.83)</f>
        <v>278.83</v>
      </c>
      <c r="E298" s="2">
        <f>IFERROR(__xludf.DUMMYFUNCTION("""COMPUTED_VALUE"""),280.04)</f>
        <v>280.04</v>
      </c>
      <c r="F298" s="2">
        <f>IFERROR(__xludf.DUMMYFUNCTION("""COMPUTED_VALUE"""),3929002.0)</f>
        <v>3929002</v>
      </c>
    </row>
    <row r="299">
      <c r="A299" s="3">
        <f>IFERROR(__xludf.DUMMYFUNCTION("""COMPUTED_VALUE"""),45362.66666666667)</f>
        <v>45362.66667</v>
      </c>
      <c r="B299" s="2">
        <f>IFERROR(__xludf.DUMMYFUNCTION("""COMPUTED_VALUE"""),279.45)</f>
        <v>279.45</v>
      </c>
      <c r="C299" s="2">
        <f>IFERROR(__xludf.DUMMYFUNCTION("""COMPUTED_VALUE"""),280.77)</f>
        <v>280.77</v>
      </c>
      <c r="D299" s="2">
        <f>IFERROR(__xludf.DUMMYFUNCTION("""COMPUTED_VALUE"""),277.99)</f>
        <v>277.99</v>
      </c>
      <c r="E299" s="2">
        <f>IFERROR(__xludf.DUMMYFUNCTION("""COMPUTED_VALUE"""),280.56)</f>
        <v>280.56</v>
      </c>
      <c r="F299" s="2">
        <f>IFERROR(__xludf.DUMMYFUNCTION("""COMPUTED_VALUE"""),4614232.0)</f>
        <v>4614232</v>
      </c>
    </row>
    <row r="300">
      <c r="A300" s="3">
        <f>IFERROR(__xludf.DUMMYFUNCTION("""COMPUTED_VALUE"""),45363.66666666667)</f>
        <v>45363.66667</v>
      </c>
      <c r="B300" s="2">
        <f>IFERROR(__xludf.DUMMYFUNCTION("""COMPUTED_VALUE"""),281.31)</f>
        <v>281.31</v>
      </c>
      <c r="C300" s="2">
        <f>IFERROR(__xludf.DUMMYFUNCTION("""COMPUTED_VALUE"""),284.48)</f>
        <v>284.48</v>
      </c>
      <c r="D300" s="2">
        <f>IFERROR(__xludf.DUMMYFUNCTION("""COMPUTED_VALUE"""),280.29)</f>
        <v>280.29</v>
      </c>
      <c r="E300" s="2">
        <f>IFERROR(__xludf.DUMMYFUNCTION("""COMPUTED_VALUE"""),283.92)</f>
        <v>283.92</v>
      </c>
      <c r="F300" s="2">
        <f>IFERROR(__xludf.DUMMYFUNCTION("""COMPUTED_VALUE"""),7988665.0)</f>
        <v>7988665</v>
      </c>
    </row>
    <row r="301">
      <c r="A301" s="3">
        <f>IFERROR(__xludf.DUMMYFUNCTION("""COMPUTED_VALUE"""),45364.66666666667)</f>
        <v>45364.66667</v>
      </c>
      <c r="B301" s="2">
        <f>IFERROR(__xludf.DUMMYFUNCTION("""COMPUTED_VALUE"""),284.66)</f>
        <v>284.66</v>
      </c>
      <c r="C301" s="2">
        <f>IFERROR(__xludf.DUMMYFUNCTION("""COMPUTED_VALUE"""),286.1)</f>
        <v>286.1</v>
      </c>
      <c r="D301" s="2">
        <f>IFERROR(__xludf.DUMMYFUNCTION("""COMPUTED_VALUE"""),283.82)</f>
        <v>283.82</v>
      </c>
      <c r="E301" s="2">
        <f>IFERROR(__xludf.DUMMYFUNCTION("""COMPUTED_VALUE"""),285.14)</f>
        <v>285.14</v>
      </c>
      <c r="F301" s="2">
        <f>IFERROR(__xludf.DUMMYFUNCTION("""COMPUTED_VALUE"""),5783867.0)</f>
        <v>5783867</v>
      </c>
    </row>
    <row r="302">
      <c r="A302" s="3">
        <f>IFERROR(__xludf.DUMMYFUNCTION("""COMPUTED_VALUE"""),45365.66666666667)</f>
        <v>45365.66667</v>
      </c>
      <c r="B302" s="2">
        <f>IFERROR(__xludf.DUMMYFUNCTION("""COMPUTED_VALUE"""),288.96)</f>
        <v>288.96</v>
      </c>
      <c r="C302" s="2">
        <f>IFERROR(__xludf.DUMMYFUNCTION("""COMPUTED_VALUE"""),289.04)</f>
        <v>289.04</v>
      </c>
      <c r="D302" s="2">
        <f>IFERROR(__xludf.DUMMYFUNCTION("""COMPUTED_VALUE"""),284.55)</f>
        <v>284.55</v>
      </c>
      <c r="E302" s="2">
        <f>IFERROR(__xludf.DUMMYFUNCTION("""COMPUTED_VALUE"""),286.41)</f>
        <v>286.41</v>
      </c>
      <c r="F302" s="2">
        <f>IFERROR(__xludf.DUMMYFUNCTION("""COMPUTED_VALUE"""),5484511.0)</f>
        <v>5484511</v>
      </c>
    </row>
    <row r="303">
      <c r="A303" s="3">
        <f>IFERROR(__xludf.DUMMYFUNCTION("""COMPUTED_VALUE"""),45366.66666666667)</f>
        <v>45366.66667</v>
      </c>
      <c r="B303" s="2">
        <f>IFERROR(__xludf.DUMMYFUNCTION("""COMPUTED_VALUE"""),283.55)</f>
        <v>283.55</v>
      </c>
      <c r="C303" s="2">
        <f>IFERROR(__xludf.DUMMYFUNCTION("""COMPUTED_VALUE"""),285.63)</f>
        <v>285.63</v>
      </c>
      <c r="D303" s="2">
        <f>IFERROR(__xludf.DUMMYFUNCTION("""COMPUTED_VALUE"""),282.64)</f>
        <v>282.64</v>
      </c>
      <c r="E303" s="2">
        <f>IFERROR(__xludf.DUMMYFUNCTION("""COMPUTED_VALUE"""),283.04)</f>
        <v>283.04</v>
      </c>
      <c r="F303" s="2">
        <f>IFERROR(__xludf.DUMMYFUNCTION("""COMPUTED_VALUE"""),9845181.0)</f>
        <v>9845181</v>
      </c>
    </row>
    <row r="304">
      <c r="A304" s="3">
        <f>IFERROR(__xludf.DUMMYFUNCTION("""COMPUTED_VALUE"""),45369.66666666667)</f>
        <v>45369.66667</v>
      </c>
      <c r="B304" s="2">
        <f>IFERROR(__xludf.DUMMYFUNCTION("""COMPUTED_VALUE"""),283.87)</f>
        <v>283.87</v>
      </c>
      <c r="C304" s="2">
        <f>IFERROR(__xludf.DUMMYFUNCTION("""COMPUTED_VALUE"""),286.23)</f>
        <v>286.23</v>
      </c>
      <c r="D304" s="2">
        <f>IFERROR(__xludf.DUMMYFUNCTION("""COMPUTED_VALUE"""),283.25)</f>
        <v>283.25</v>
      </c>
      <c r="E304" s="2">
        <f>IFERROR(__xludf.DUMMYFUNCTION("""COMPUTED_VALUE"""),285.05)</f>
        <v>285.05</v>
      </c>
      <c r="F304" s="2">
        <f>IFERROR(__xludf.DUMMYFUNCTION("""COMPUTED_VALUE"""),4095632.0)</f>
        <v>4095632</v>
      </c>
    </row>
    <row r="305">
      <c r="A305" s="3">
        <f>IFERROR(__xludf.DUMMYFUNCTION("""COMPUTED_VALUE"""),45370.66666666667)</f>
        <v>45370.66667</v>
      </c>
      <c r="B305" s="2">
        <f>IFERROR(__xludf.DUMMYFUNCTION("""COMPUTED_VALUE"""),286.66)</f>
        <v>286.66</v>
      </c>
      <c r="C305" s="2">
        <f>IFERROR(__xludf.DUMMYFUNCTION("""COMPUTED_VALUE"""),288.06)</f>
        <v>288.06</v>
      </c>
      <c r="D305" s="2">
        <f>IFERROR(__xludf.DUMMYFUNCTION("""COMPUTED_VALUE"""),285.25)</f>
        <v>285.25</v>
      </c>
      <c r="E305" s="2">
        <f>IFERROR(__xludf.DUMMYFUNCTION("""COMPUTED_VALUE"""),287.35)</f>
        <v>287.35</v>
      </c>
      <c r="F305" s="2">
        <f>IFERROR(__xludf.DUMMYFUNCTION("""COMPUTED_VALUE"""),6595183.0)</f>
        <v>6595183</v>
      </c>
    </row>
    <row r="306">
      <c r="A306" s="3">
        <f>IFERROR(__xludf.DUMMYFUNCTION("""COMPUTED_VALUE"""),45371.66666666667)</f>
        <v>45371.66667</v>
      </c>
      <c r="B306" s="2">
        <f>IFERROR(__xludf.DUMMYFUNCTION("""COMPUTED_VALUE"""),287.64)</f>
        <v>287.64</v>
      </c>
      <c r="C306" s="2">
        <f>IFERROR(__xludf.DUMMYFUNCTION("""COMPUTED_VALUE"""),289.87)</f>
        <v>289.87</v>
      </c>
      <c r="D306" s="2">
        <f>IFERROR(__xludf.DUMMYFUNCTION("""COMPUTED_VALUE"""),286.72)</f>
        <v>286.72</v>
      </c>
      <c r="E306" s="2">
        <f>IFERROR(__xludf.DUMMYFUNCTION("""COMPUTED_VALUE"""),289.28)</f>
        <v>289.28</v>
      </c>
      <c r="F306" s="2">
        <f>IFERROR(__xludf.DUMMYFUNCTION("""COMPUTED_VALUE"""),6104955.0)</f>
        <v>6104955</v>
      </c>
    </row>
    <row r="307">
      <c r="A307" s="3">
        <f>IFERROR(__xludf.DUMMYFUNCTION("""COMPUTED_VALUE"""),45372.66666666667)</f>
        <v>45372.66667</v>
      </c>
      <c r="B307" s="2">
        <f>IFERROR(__xludf.DUMMYFUNCTION("""COMPUTED_VALUE"""),289.97)</f>
        <v>289.97</v>
      </c>
      <c r="C307" s="2">
        <f>IFERROR(__xludf.DUMMYFUNCTION("""COMPUTED_VALUE"""),290.96)</f>
        <v>290.96</v>
      </c>
      <c r="D307" s="2">
        <f>IFERROR(__xludf.DUMMYFUNCTION("""COMPUTED_VALUE"""),287.9)</f>
        <v>287.9</v>
      </c>
      <c r="E307" s="2">
        <f>IFERROR(__xludf.DUMMYFUNCTION("""COMPUTED_VALUE"""),290.37)</f>
        <v>290.37</v>
      </c>
      <c r="F307" s="2">
        <f>IFERROR(__xludf.DUMMYFUNCTION("""COMPUTED_VALUE"""),5057559.0)</f>
        <v>5057559</v>
      </c>
    </row>
    <row r="308">
      <c r="A308" s="3">
        <f>IFERROR(__xludf.DUMMYFUNCTION("""COMPUTED_VALUE"""),45373.66666666667)</f>
        <v>45373.66667</v>
      </c>
      <c r="B308" s="2">
        <f>IFERROR(__xludf.DUMMYFUNCTION("""COMPUTED_VALUE"""),290.0)</f>
        <v>290</v>
      </c>
      <c r="C308" s="2">
        <f>IFERROR(__xludf.DUMMYFUNCTION("""COMPUTED_VALUE"""),290.49)</f>
        <v>290.49</v>
      </c>
      <c r="D308" s="2">
        <f>IFERROR(__xludf.DUMMYFUNCTION("""COMPUTED_VALUE"""),282.89)</f>
        <v>282.89</v>
      </c>
      <c r="E308" s="2">
        <f>IFERROR(__xludf.DUMMYFUNCTION("""COMPUTED_VALUE"""),283.26)</f>
        <v>283.26</v>
      </c>
      <c r="F308" s="2">
        <f>IFERROR(__xludf.DUMMYFUNCTION("""COMPUTED_VALUE"""),8744121.0)</f>
        <v>8744121</v>
      </c>
    </row>
    <row r="309">
      <c r="A309" s="3">
        <f>IFERROR(__xludf.DUMMYFUNCTION("""COMPUTED_VALUE"""),45376.66666666667)</f>
        <v>45376.66667</v>
      </c>
      <c r="B309" s="2">
        <f>IFERROR(__xludf.DUMMYFUNCTION("""COMPUTED_VALUE"""),283.01)</f>
        <v>283.01</v>
      </c>
      <c r="C309" s="2">
        <f>IFERROR(__xludf.DUMMYFUNCTION("""COMPUTED_VALUE"""),283.5)</f>
        <v>283.5</v>
      </c>
      <c r="D309" s="2">
        <f>IFERROR(__xludf.DUMMYFUNCTION("""COMPUTED_VALUE"""),280.04)</f>
        <v>280.04</v>
      </c>
      <c r="E309" s="2">
        <f>IFERROR(__xludf.DUMMYFUNCTION("""COMPUTED_VALUE"""),281.21)</f>
        <v>281.21</v>
      </c>
      <c r="F309" s="2">
        <f>IFERROR(__xludf.DUMMYFUNCTION("""COMPUTED_VALUE"""),8519433.0)</f>
        <v>8519433</v>
      </c>
    </row>
    <row r="310">
      <c r="A310" s="3">
        <f>IFERROR(__xludf.DUMMYFUNCTION("""COMPUTED_VALUE"""),45377.66666666667)</f>
        <v>45377.66667</v>
      </c>
      <c r="B310" s="2">
        <f>IFERROR(__xludf.DUMMYFUNCTION("""COMPUTED_VALUE"""),284.13)</f>
        <v>284.13</v>
      </c>
      <c r="C310" s="2">
        <f>IFERROR(__xludf.DUMMYFUNCTION("""COMPUTED_VALUE"""),284.13)</f>
        <v>284.13</v>
      </c>
      <c r="D310" s="2">
        <f>IFERROR(__xludf.DUMMYFUNCTION("""COMPUTED_VALUE"""),278.41)</f>
        <v>278.41</v>
      </c>
      <c r="E310" s="2">
        <f>IFERROR(__xludf.DUMMYFUNCTION("""COMPUTED_VALUE"""),280.6)</f>
        <v>280.6</v>
      </c>
      <c r="F310" s="2">
        <f>IFERROR(__xludf.DUMMYFUNCTION("""COMPUTED_VALUE"""),8752364.0)</f>
        <v>8752364</v>
      </c>
    </row>
    <row r="311">
      <c r="A311" s="3">
        <f>IFERROR(__xludf.DUMMYFUNCTION("""COMPUTED_VALUE"""),45378.66666666667)</f>
        <v>45378.66667</v>
      </c>
      <c r="B311" s="2">
        <f>IFERROR(__xludf.DUMMYFUNCTION("""COMPUTED_VALUE"""),280.25)</f>
        <v>280.25</v>
      </c>
      <c r="C311" s="2">
        <f>IFERROR(__xludf.DUMMYFUNCTION("""COMPUTED_VALUE"""),281.25)</f>
        <v>281.25</v>
      </c>
      <c r="D311" s="2">
        <f>IFERROR(__xludf.DUMMYFUNCTION("""COMPUTED_VALUE"""),276.98)</f>
        <v>276.98</v>
      </c>
      <c r="E311" s="2">
        <f>IFERROR(__xludf.DUMMYFUNCTION("""COMPUTED_VALUE"""),279.02)</f>
        <v>279.02</v>
      </c>
      <c r="F311" s="2">
        <f>IFERROR(__xludf.DUMMYFUNCTION("""COMPUTED_VALUE"""),5190674.0)</f>
        <v>5190674</v>
      </c>
    </row>
    <row r="312">
      <c r="A312" s="3">
        <f>IFERROR(__xludf.DUMMYFUNCTION("""COMPUTED_VALUE"""),45379.66666666667)</f>
        <v>45379.66667</v>
      </c>
      <c r="B312" s="2">
        <f>IFERROR(__xludf.DUMMYFUNCTION("""COMPUTED_VALUE"""),278.49)</f>
        <v>278.49</v>
      </c>
      <c r="C312" s="2">
        <f>IFERROR(__xludf.DUMMYFUNCTION("""COMPUTED_VALUE"""),279.8)</f>
        <v>279.8</v>
      </c>
      <c r="D312" s="2">
        <f>IFERROR(__xludf.DUMMYFUNCTION("""COMPUTED_VALUE"""),277.12)</f>
        <v>277.12</v>
      </c>
      <c r="E312" s="2">
        <f>IFERROR(__xludf.DUMMYFUNCTION("""COMPUTED_VALUE"""),279.08)</f>
        <v>279.08</v>
      </c>
      <c r="F312" s="2">
        <f>IFERROR(__xludf.DUMMYFUNCTION("""COMPUTED_VALUE"""),5844358.0)</f>
        <v>5844358</v>
      </c>
    </row>
    <row r="313">
      <c r="A313" s="3">
        <f>IFERROR(__xludf.DUMMYFUNCTION("""COMPUTED_VALUE"""),45383.66666666667)</f>
        <v>45383.66667</v>
      </c>
      <c r="B313" s="2">
        <f>IFERROR(__xludf.DUMMYFUNCTION("""COMPUTED_VALUE"""),280.36)</f>
        <v>280.36</v>
      </c>
      <c r="C313" s="2">
        <f>IFERROR(__xludf.DUMMYFUNCTION("""COMPUTED_VALUE"""),280.89)</f>
        <v>280.89</v>
      </c>
      <c r="D313" s="2">
        <f>IFERROR(__xludf.DUMMYFUNCTION("""COMPUTED_VALUE"""),276.79)</f>
        <v>276.79</v>
      </c>
      <c r="E313" s="2">
        <f>IFERROR(__xludf.DUMMYFUNCTION("""COMPUTED_VALUE"""),278.28)</f>
        <v>278.28</v>
      </c>
      <c r="F313" s="2">
        <f>IFERROR(__xludf.DUMMYFUNCTION("""COMPUTED_VALUE"""),5083986.0)</f>
        <v>5083986</v>
      </c>
    </row>
    <row r="314">
      <c r="A314" s="3">
        <f>IFERROR(__xludf.DUMMYFUNCTION("""COMPUTED_VALUE"""),45384.66666666667)</f>
        <v>45384.66667</v>
      </c>
      <c r="B314" s="2">
        <f>IFERROR(__xludf.DUMMYFUNCTION("""COMPUTED_VALUE"""),278.0)</f>
        <v>278</v>
      </c>
      <c r="C314" s="2">
        <f>IFERROR(__xludf.DUMMYFUNCTION("""COMPUTED_VALUE"""),279.33)</f>
        <v>279.33</v>
      </c>
      <c r="D314" s="2">
        <f>IFERROR(__xludf.DUMMYFUNCTION("""COMPUTED_VALUE"""),276.98)</f>
        <v>276.98</v>
      </c>
      <c r="E314" s="2">
        <f>IFERROR(__xludf.DUMMYFUNCTION("""COMPUTED_VALUE"""),278.44)</f>
        <v>278.44</v>
      </c>
      <c r="F314" s="2">
        <f>IFERROR(__xludf.DUMMYFUNCTION("""COMPUTED_VALUE"""),6912306.0)</f>
        <v>6912306</v>
      </c>
    </row>
    <row r="315">
      <c r="A315" s="3">
        <f>IFERROR(__xludf.DUMMYFUNCTION("""COMPUTED_VALUE"""),45385.66666666667)</f>
        <v>45385.66667</v>
      </c>
      <c r="B315" s="2">
        <f>IFERROR(__xludf.DUMMYFUNCTION("""COMPUTED_VALUE"""),280.48)</f>
        <v>280.48</v>
      </c>
      <c r="C315" s="2">
        <f>IFERROR(__xludf.DUMMYFUNCTION("""COMPUTED_VALUE"""),280.48)</f>
        <v>280.48</v>
      </c>
      <c r="D315" s="2">
        <f>IFERROR(__xludf.DUMMYFUNCTION("""COMPUTED_VALUE"""),276.56)</f>
        <v>276.56</v>
      </c>
      <c r="E315" s="2">
        <f>IFERROR(__xludf.DUMMYFUNCTION("""COMPUTED_VALUE"""),276.96)</f>
        <v>276.96</v>
      </c>
      <c r="F315" s="2">
        <f>IFERROR(__xludf.DUMMYFUNCTION("""COMPUTED_VALUE"""),4536847.0)</f>
        <v>4536847</v>
      </c>
    </row>
    <row r="316">
      <c r="A316" s="3">
        <f>IFERROR(__xludf.DUMMYFUNCTION("""COMPUTED_VALUE"""),45386.66666666667)</f>
        <v>45386.66667</v>
      </c>
      <c r="B316" s="2">
        <f>IFERROR(__xludf.DUMMYFUNCTION("""COMPUTED_VALUE"""),278.36)</f>
        <v>278.36</v>
      </c>
      <c r="C316" s="2">
        <f>IFERROR(__xludf.DUMMYFUNCTION("""COMPUTED_VALUE"""),279.08)</f>
        <v>279.08</v>
      </c>
      <c r="D316" s="2">
        <f>IFERROR(__xludf.DUMMYFUNCTION("""COMPUTED_VALUE"""),273.56)</f>
        <v>273.56</v>
      </c>
      <c r="E316" s="2">
        <f>IFERROR(__xludf.DUMMYFUNCTION("""COMPUTED_VALUE"""),274.0)</f>
        <v>274</v>
      </c>
      <c r="F316" s="2">
        <f>IFERROR(__xludf.DUMMYFUNCTION("""COMPUTED_VALUE"""),4018551.0)</f>
        <v>4018551</v>
      </c>
    </row>
    <row r="317">
      <c r="A317" s="3">
        <f>IFERROR(__xludf.DUMMYFUNCTION("""COMPUTED_VALUE"""),45387.66666666667)</f>
        <v>45387.66667</v>
      </c>
      <c r="B317" s="2">
        <f>IFERROR(__xludf.DUMMYFUNCTION("""COMPUTED_VALUE"""),276.1)</f>
        <v>276.1</v>
      </c>
      <c r="C317" s="2">
        <f>IFERROR(__xludf.DUMMYFUNCTION("""COMPUTED_VALUE"""),277.96)</f>
        <v>277.96</v>
      </c>
      <c r="D317" s="2">
        <f>IFERROR(__xludf.DUMMYFUNCTION("""COMPUTED_VALUE"""),275.03)</f>
        <v>275.03</v>
      </c>
      <c r="E317" s="2">
        <f>IFERROR(__xludf.DUMMYFUNCTION("""COMPUTED_VALUE"""),277.14)</f>
        <v>277.14</v>
      </c>
      <c r="F317" s="2">
        <f>IFERROR(__xludf.DUMMYFUNCTION("""COMPUTED_VALUE"""),4392050.0)</f>
        <v>4392050</v>
      </c>
    </row>
    <row r="318">
      <c r="A318" s="3">
        <f>IFERROR(__xludf.DUMMYFUNCTION("""COMPUTED_VALUE"""),45390.66666666667)</f>
        <v>45390.66667</v>
      </c>
      <c r="B318" s="2">
        <f>IFERROR(__xludf.DUMMYFUNCTION("""COMPUTED_VALUE"""),276.25)</f>
        <v>276.25</v>
      </c>
      <c r="C318" s="2">
        <f>IFERROR(__xludf.DUMMYFUNCTION("""COMPUTED_VALUE"""),277.98)</f>
        <v>277.98</v>
      </c>
      <c r="D318" s="2">
        <f>IFERROR(__xludf.DUMMYFUNCTION("""COMPUTED_VALUE"""),275.15)</f>
        <v>275.15</v>
      </c>
      <c r="E318" s="2">
        <f>IFERROR(__xludf.DUMMYFUNCTION("""COMPUTED_VALUE"""),277.76)</f>
        <v>277.76</v>
      </c>
      <c r="F318" s="2">
        <f>IFERROR(__xludf.DUMMYFUNCTION("""COMPUTED_VALUE"""),5542428.0)</f>
        <v>5542428</v>
      </c>
    </row>
    <row r="319">
      <c r="A319" s="3">
        <f>IFERROR(__xludf.DUMMYFUNCTION("""COMPUTED_VALUE"""),45391.66666666667)</f>
        <v>45391.66667</v>
      </c>
      <c r="B319" s="2">
        <f>IFERROR(__xludf.DUMMYFUNCTION("""COMPUTED_VALUE"""),277.63)</f>
        <v>277.63</v>
      </c>
      <c r="C319" s="2">
        <f>IFERROR(__xludf.DUMMYFUNCTION("""COMPUTED_VALUE"""),278.0)</f>
        <v>278</v>
      </c>
      <c r="D319" s="2">
        <f>IFERROR(__xludf.DUMMYFUNCTION("""COMPUTED_VALUE"""),273.32)</f>
        <v>273.32</v>
      </c>
      <c r="E319" s="2">
        <f>IFERROR(__xludf.DUMMYFUNCTION("""COMPUTED_VALUE"""),276.72)</f>
        <v>276.72</v>
      </c>
      <c r="F319" s="2">
        <f>IFERROR(__xludf.DUMMYFUNCTION("""COMPUTED_VALUE"""),7314306.0)</f>
        <v>7314306</v>
      </c>
    </row>
    <row r="320">
      <c r="A320" s="3">
        <f>IFERROR(__xludf.DUMMYFUNCTION("""COMPUTED_VALUE"""),45392.66666666667)</f>
        <v>45392.66667</v>
      </c>
      <c r="B320" s="2">
        <f>IFERROR(__xludf.DUMMYFUNCTION("""COMPUTED_VALUE"""),275.42)</f>
        <v>275.42</v>
      </c>
      <c r="C320" s="2">
        <f>IFERROR(__xludf.DUMMYFUNCTION("""COMPUTED_VALUE"""),276.82)</f>
        <v>276.82</v>
      </c>
      <c r="D320" s="2">
        <f>IFERROR(__xludf.DUMMYFUNCTION("""COMPUTED_VALUE"""),274.12)</f>
        <v>274.12</v>
      </c>
      <c r="E320" s="2">
        <f>IFERROR(__xludf.DUMMYFUNCTION("""COMPUTED_VALUE"""),274.48)</f>
        <v>274.48</v>
      </c>
      <c r="F320" s="2">
        <f>IFERROR(__xludf.DUMMYFUNCTION("""COMPUTED_VALUE"""),5276012.0)</f>
        <v>5276012</v>
      </c>
    </row>
    <row r="321">
      <c r="A321" s="3">
        <f>IFERROR(__xludf.DUMMYFUNCTION("""COMPUTED_VALUE"""),45393.66666666667)</f>
        <v>45393.66667</v>
      </c>
      <c r="B321" s="2">
        <f>IFERROR(__xludf.DUMMYFUNCTION("""COMPUTED_VALUE"""),274.0)</f>
        <v>274</v>
      </c>
      <c r="C321" s="2">
        <f>IFERROR(__xludf.DUMMYFUNCTION("""COMPUTED_VALUE"""),276.48)</f>
        <v>276.48</v>
      </c>
      <c r="D321" s="2">
        <f>IFERROR(__xludf.DUMMYFUNCTION("""COMPUTED_VALUE"""),272.18)</f>
        <v>272.18</v>
      </c>
      <c r="E321" s="2">
        <f>IFERROR(__xludf.DUMMYFUNCTION("""COMPUTED_VALUE"""),275.68)</f>
        <v>275.68</v>
      </c>
      <c r="F321" s="2">
        <f>IFERROR(__xludf.DUMMYFUNCTION("""COMPUTED_VALUE"""),8102293.0)</f>
        <v>8102293</v>
      </c>
    </row>
    <row r="322">
      <c r="A322" s="3">
        <f>IFERROR(__xludf.DUMMYFUNCTION("""COMPUTED_VALUE"""),45394.66666666667)</f>
        <v>45394.66667</v>
      </c>
      <c r="B322" s="2">
        <f>IFERROR(__xludf.DUMMYFUNCTION("""COMPUTED_VALUE"""),275.55)</f>
        <v>275.55</v>
      </c>
      <c r="C322" s="2">
        <f>IFERROR(__xludf.DUMMYFUNCTION("""COMPUTED_VALUE"""),277.0)</f>
        <v>277</v>
      </c>
      <c r="D322" s="2">
        <f>IFERROR(__xludf.DUMMYFUNCTION("""COMPUTED_VALUE"""),274.06)</f>
        <v>274.06</v>
      </c>
      <c r="E322" s="2">
        <f>IFERROR(__xludf.DUMMYFUNCTION("""COMPUTED_VALUE"""),275.96)</f>
        <v>275.96</v>
      </c>
      <c r="F322" s="2">
        <f>IFERROR(__xludf.DUMMYFUNCTION("""COMPUTED_VALUE"""),9038411.0)</f>
        <v>9038411</v>
      </c>
    </row>
    <row r="323">
      <c r="A323" s="3">
        <f>IFERROR(__xludf.DUMMYFUNCTION("""COMPUTED_VALUE"""),45397.66666666667)</f>
        <v>45397.66667</v>
      </c>
      <c r="B323" s="2">
        <f>IFERROR(__xludf.DUMMYFUNCTION("""COMPUTED_VALUE"""),277.89)</f>
        <v>277.89</v>
      </c>
      <c r="C323" s="2">
        <f>IFERROR(__xludf.DUMMYFUNCTION("""COMPUTED_VALUE"""),277.91)</f>
        <v>277.91</v>
      </c>
      <c r="D323" s="2">
        <f>IFERROR(__xludf.DUMMYFUNCTION("""COMPUTED_VALUE"""),270.34)</f>
        <v>270.34</v>
      </c>
      <c r="E323" s="2">
        <f>IFERROR(__xludf.DUMMYFUNCTION("""COMPUTED_VALUE"""),271.28)</f>
        <v>271.28</v>
      </c>
      <c r="F323" s="2">
        <f>IFERROR(__xludf.DUMMYFUNCTION("""COMPUTED_VALUE"""),1.0267489E7)</f>
        <v>10267489</v>
      </c>
    </row>
    <row r="324">
      <c r="A324" s="3">
        <f>IFERROR(__xludf.DUMMYFUNCTION("""COMPUTED_VALUE"""),45398.66666666667)</f>
        <v>45398.66667</v>
      </c>
      <c r="B324" s="2">
        <f>IFERROR(__xludf.DUMMYFUNCTION("""COMPUTED_VALUE"""),270.54)</f>
        <v>270.54</v>
      </c>
      <c r="C324" s="2">
        <f>IFERROR(__xludf.DUMMYFUNCTION("""COMPUTED_VALUE"""),274.13)</f>
        <v>274.13</v>
      </c>
      <c r="D324" s="2">
        <f>IFERROR(__xludf.DUMMYFUNCTION("""COMPUTED_VALUE"""),270.17)</f>
        <v>270.17</v>
      </c>
      <c r="E324" s="2">
        <f>IFERROR(__xludf.DUMMYFUNCTION("""COMPUTED_VALUE"""),271.35)</f>
        <v>271.35</v>
      </c>
      <c r="F324" s="2">
        <f>IFERROR(__xludf.DUMMYFUNCTION("""COMPUTED_VALUE"""),8237131.0)</f>
        <v>8237131</v>
      </c>
    </row>
    <row r="325">
      <c r="A325" s="3">
        <f>IFERROR(__xludf.DUMMYFUNCTION("""COMPUTED_VALUE"""),45399.66666666667)</f>
        <v>45399.66667</v>
      </c>
      <c r="B325" s="2">
        <f>IFERROR(__xludf.DUMMYFUNCTION("""COMPUTED_VALUE"""),273.3)</f>
        <v>273.3</v>
      </c>
      <c r="C325" s="2">
        <f>IFERROR(__xludf.DUMMYFUNCTION("""COMPUTED_VALUE"""),274.0)</f>
        <v>274</v>
      </c>
      <c r="D325" s="2">
        <f>IFERROR(__xludf.DUMMYFUNCTION("""COMPUTED_VALUE"""),271.5)</f>
        <v>271.5</v>
      </c>
      <c r="E325" s="2">
        <f>IFERROR(__xludf.DUMMYFUNCTION("""COMPUTED_VALUE"""),272.69)</f>
        <v>272.69</v>
      </c>
      <c r="F325" s="2">
        <f>IFERROR(__xludf.DUMMYFUNCTION("""COMPUTED_VALUE"""),5940897.0)</f>
        <v>5940897</v>
      </c>
    </row>
    <row r="326">
      <c r="A326" s="3">
        <f>IFERROR(__xludf.DUMMYFUNCTION("""COMPUTED_VALUE"""),45400.66666666667)</f>
        <v>45400.66667</v>
      </c>
      <c r="B326" s="2">
        <f>IFERROR(__xludf.DUMMYFUNCTION("""COMPUTED_VALUE"""),272.57)</f>
        <v>272.57</v>
      </c>
      <c r="C326" s="2">
        <f>IFERROR(__xludf.DUMMYFUNCTION("""COMPUTED_VALUE"""),273.15)</f>
        <v>273.15</v>
      </c>
      <c r="D326" s="2">
        <f>IFERROR(__xludf.DUMMYFUNCTION("""COMPUTED_VALUE"""),269.86)</f>
        <v>269.86</v>
      </c>
      <c r="E326" s="2">
        <f>IFERROR(__xludf.DUMMYFUNCTION("""COMPUTED_VALUE"""),271.37)</f>
        <v>271.37</v>
      </c>
      <c r="F326" s="2">
        <f>IFERROR(__xludf.DUMMYFUNCTION("""COMPUTED_VALUE"""),8231849.0)</f>
        <v>8231849</v>
      </c>
    </row>
    <row r="327">
      <c r="A327" s="3">
        <f>IFERROR(__xludf.DUMMYFUNCTION("""COMPUTED_VALUE"""),45401.66666666667)</f>
        <v>45401.66667</v>
      </c>
      <c r="B327" s="2">
        <f>IFERROR(__xludf.DUMMYFUNCTION("""COMPUTED_VALUE"""),271.47)</f>
        <v>271.47</v>
      </c>
      <c r="C327" s="2">
        <f>IFERROR(__xludf.DUMMYFUNCTION("""COMPUTED_VALUE"""),272.0)</f>
        <v>272</v>
      </c>
      <c r="D327" s="2">
        <f>IFERROR(__xludf.DUMMYFUNCTION("""COMPUTED_VALUE"""),268.29)</f>
        <v>268.29</v>
      </c>
      <c r="E327" s="2">
        <f>IFERROR(__xludf.DUMMYFUNCTION("""COMPUTED_VALUE"""),269.78)</f>
        <v>269.78</v>
      </c>
      <c r="F327" s="2">
        <f>IFERROR(__xludf.DUMMYFUNCTION("""COMPUTED_VALUE"""),7905368.0)</f>
        <v>7905368</v>
      </c>
    </row>
    <row r="328">
      <c r="A328" s="3">
        <f>IFERROR(__xludf.DUMMYFUNCTION("""COMPUTED_VALUE"""),45404.66666666667)</f>
        <v>45404.66667</v>
      </c>
      <c r="B328" s="2">
        <f>IFERROR(__xludf.DUMMYFUNCTION("""COMPUTED_VALUE"""),270.95)</f>
        <v>270.95</v>
      </c>
      <c r="C328" s="2">
        <f>IFERROR(__xludf.DUMMYFUNCTION("""COMPUTED_VALUE"""),273.76)</f>
        <v>273.76</v>
      </c>
      <c r="D328" s="2">
        <f>IFERROR(__xludf.DUMMYFUNCTION("""COMPUTED_VALUE"""),269.36)</f>
        <v>269.36</v>
      </c>
      <c r="E328" s="2">
        <f>IFERROR(__xludf.DUMMYFUNCTION("""COMPUTED_VALUE"""),272.33)</f>
        <v>272.33</v>
      </c>
      <c r="F328" s="2">
        <f>IFERROR(__xludf.DUMMYFUNCTION("""COMPUTED_VALUE"""),6463742.0)</f>
        <v>6463742</v>
      </c>
    </row>
    <row r="329">
      <c r="A329" s="3">
        <f>IFERROR(__xludf.DUMMYFUNCTION("""COMPUTED_VALUE"""),45405.66666666667)</f>
        <v>45405.66667</v>
      </c>
      <c r="B329" s="2">
        <f>IFERROR(__xludf.DUMMYFUNCTION("""COMPUTED_VALUE"""),274.01)</f>
        <v>274.01</v>
      </c>
      <c r="C329" s="2">
        <f>IFERROR(__xludf.DUMMYFUNCTION("""COMPUTED_VALUE"""),274.89)</f>
        <v>274.89</v>
      </c>
      <c r="D329" s="2">
        <f>IFERROR(__xludf.DUMMYFUNCTION("""COMPUTED_VALUE"""),272.71)</f>
        <v>272.71</v>
      </c>
      <c r="E329" s="2">
        <f>IFERROR(__xludf.DUMMYFUNCTION("""COMPUTED_VALUE"""),274.11)</f>
        <v>274.11</v>
      </c>
      <c r="F329" s="2">
        <f>IFERROR(__xludf.DUMMYFUNCTION("""COMPUTED_VALUE"""),6438002.0)</f>
        <v>6438002</v>
      </c>
    </row>
    <row r="330">
      <c r="A330" s="3">
        <f>IFERROR(__xludf.DUMMYFUNCTION("""COMPUTED_VALUE"""),45406.66666666667)</f>
        <v>45406.66667</v>
      </c>
      <c r="B330" s="2">
        <f>IFERROR(__xludf.DUMMYFUNCTION("""COMPUTED_VALUE"""),282.57)</f>
        <v>282.57</v>
      </c>
      <c r="C330" s="2">
        <f>IFERROR(__xludf.DUMMYFUNCTION("""COMPUTED_VALUE"""),283.0)</f>
        <v>283</v>
      </c>
      <c r="D330" s="2">
        <f>IFERROR(__xludf.DUMMYFUNCTION("""COMPUTED_VALUE"""),274.49)</f>
        <v>274.49</v>
      </c>
      <c r="E330" s="2">
        <f>IFERROR(__xludf.DUMMYFUNCTION("""COMPUTED_VALUE"""),275.02)</f>
        <v>275.02</v>
      </c>
      <c r="F330" s="2">
        <f>IFERROR(__xludf.DUMMYFUNCTION("""COMPUTED_VALUE"""),8807157.0)</f>
        <v>8807157</v>
      </c>
    </row>
    <row r="331">
      <c r="A331" s="3">
        <f>IFERROR(__xludf.DUMMYFUNCTION("""COMPUTED_VALUE"""),45407.66666666667)</f>
        <v>45407.66667</v>
      </c>
      <c r="B331" s="2">
        <f>IFERROR(__xludf.DUMMYFUNCTION("""COMPUTED_VALUE"""),272.97)</f>
        <v>272.97</v>
      </c>
      <c r="C331" s="2">
        <f>IFERROR(__xludf.DUMMYFUNCTION("""COMPUTED_VALUE"""),276.22)</f>
        <v>276.22</v>
      </c>
      <c r="D331" s="2">
        <f>IFERROR(__xludf.DUMMYFUNCTION("""COMPUTED_VALUE"""),270.49)</f>
        <v>270.49</v>
      </c>
      <c r="E331" s="2">
        <f>IFERROR(__xludf.DUMMYFUNCTION("""COMPUTED_VALUE"""),275.16)</f>
        <v>275.16</v>
      </c>
      <c r="F331" s="2">
        <f>IFERROR(__xludf.DUMMYFUNCTION("""COMPUTED_VALUE"""),8064621.0)</f>
        <v>8064621</v>
      </c>
    </row>
    <row r="332">
      <c r="A332" s="3">
        <f>IFERROR(__xludf.DUMMYFUNCTION("""COMPUTED_VALUE"""),45408.66666666667)</f>
        <v>45408.66667</v>
      </c>
      <c r="B332" s="2">
        <f>IFERROR(__xludf.DUMMYFUNCTION("""COMPUTED_VALUE"""),275.01)</f>
        <v>275.01</v>
      </c>
      <c r="C332" s="2">
        <f>IFERROR(__xludf.DUMMYFUNCTION("""COMPUTED_VALUE"""),276.77)</f>
        <v>276.77</v>
      </c>
      <c r="D332" s="2">
        <f>IFERROR(__xludf.DUMMYFUNCTION("""COMPUTED_VALUE"""),273.83)</f>
        <v>273.83</v>
      </c>
      <c r="E332" s="2">
        <f>IFERROR(__xludf.DUMMYFUNCTION("""COMPUTED_VALUE"""),274.52)</f>
        <v>274.52</v>
      </c>
      <c r="F332" s="2">
        <f>IFERROR(__xludf.DUMMYFUNCTION("""COMPUTED_VALUE"""),6840615.0)</f>
        <v>6840615</v>
      </c>
    </row>
    <row r="333">
      <c r="A333" s="3">
        <f>IFERROR(__xludf.DUMMYFUNCTION("""COMPUTED_VALUE"""),45411.66666666667)</f>
        <v>45411.66667</v>
      </c>
      <c r="B333" s="2">
        <f>IFERROR(__xludf.DUMMYFUNCTION("""COMPUTED_VALUE"""),272.32)</f>
        <v>272.32</v>
      </c>
      <c r="C333" s="2">
        <f>IFERROR(__xludf.DUMMYFUNCTION("""COMPUTED_VALUE"""),274.47)</f>
        <v>274.47</v>
      </c>
      <c r="D333" s="2">
        <f>IFERROR(__xludf.DUMMYFUNCTION("""COMPUTED_VALUE"""),271.09)</f>
        <v>271.09</v>
      </c>
      <c r="E333" s="2">
        <f>IFERROR(__xludf.DUMMYFUNCTION("""COMPUTED_VALUE"""),271.84)</f>
        <v>271.84</v>
      </c>
      <c r="F333" s="2">
        <f>IFERROR(__xludf.DUMMYFUNCTION("""COMPUTED_VALUE"""),4192247.0)</f>
        <v>4192247</v>
      </c>
    </row>
    <row r="334">
      <c r="A334" s="3">
        <f>IFERROR(__xludf.DUMMYFUNCTION("""COMPUTED_VALUE"""),45412.66666666667)</f>
        <v>45412.66667</v>
      </c>
      <c r="B334" s="2">
        <f>IFERROR(__xludf.DUMMYFUNCTION("""COMPUTED_VALUE"""),270.53)</f>
        <v>270.53</v>
      </c>
      <c r="C334" s="2">
        <f>IFERROR(__xludf.DUMMYFUNCTION("""COMPUTED_VALUE"""),272.08)</f>
        <v>272.08</v>
      </c>
      <c r="D334" s="2">
        <f>IFERROR(__xludf.DUMMYFUNCTION("""COMPUTED_VALUE"""),268.58)</f>
        <v>268.58</v>
      </c>
      <c r="E334" s="2">
        <f>IFERROR(__xludf.DUMMYFUNCTION("""COMPUTED_VALUE"""),268.61)</f>
        <v>268.61</v>
      </c>
      <c r="F334" s="2">
        <f>IFERROR(__xludf.DUMMYFUNCTION("""COMPUTED_VALUE"""),6376353.0)</f>
        <v>6376353</v>
      </c>
    </row>
    <row r="335">
      <c r="A335" s="3">
        <f>IFERROR(__xludf.DUMMYFUNCTION("""COMPUTED_VALUE"""),45413.66666666667)</f>
        <v>45413.66667</v>
      </c>
      <c r="B335" s="2">
        <f>IFERROR(__xludf.DUMMYFUNCTION("""COMPUTED_VALUE"""),268.15)</f>
        <v>268.15</v>
      </c>
      <c r="C335" s="2">
        <f>IFERROR(__xludf.DUMMYFUNCTION("""COMPUTED_VALUE"""),270.91)</f>
        <v>270.91</v>
      </c>
      <c r="D335" s="2">
        <f>IFERROR(__xludf.DUMMYFUNCTION("""COMPUTED_VALUE"""),266.71)</f>
        <v>266.71</v>
      </c>
      <c r="E335" s="2">
        <f>IFERROR(__xludf.DUMMYFUNCTION("""COMPUTED_VALUE"""),267.32)</f>
        <v>267.32</v>
      </c>
      <c r="F335" s="2">
        <f>IFERROR(__xludf.DUMMYFUNCTION("""COMPUTED_VALUE"""),6125360.0)</f>
        <v>6125360</v>
      </c>
    </row>
    <row r="336">
      <c r="A336" s="3">
        <f>IFERROR(__xludf.DUMMYFUNCTION("""COMPUTED_VALUE"""),45414.66666666667)</f>
        <v>45414.66667</v>
      </c>
      <c r="B336" s="2">
        <f>IFERROR(__xludf.DUMMYFUNCTION("""COMPUTED_VALUE"""),269.35)</f>
        <v>269.35</v>
      </c>
      <c r="C336" s="2">
        <f>IFERROR(__xludf.DUMMYFUNCTION("""COMPUTED_VALUE"""),269.47)</f>
        <v>269.47</v>
      </c>
      <c r="D336" s="2">
        <f>IFERROR(__xludf.DUMMYFUNCTION("""COMPUTED_VALUE"""),266.65)</f>
        <v>266.65</v>
      </c>
      <c r="E336" s="2">
        <f>IFERROR(__xludf.DUMMYFUNCTION("""COMPUTED_VALUE"""),267.61)</f>
        <v>267.61</v>
      </c>
      <c r="F336" s="2">
        <f>IFERROR(__xludf.DUMMYFUNCTION("""COMPUTED_VALUE"""),5061698.0)</f>
        <v>5061698</v>
      </c>
    </row>
    <row r="337">
      <c r="A337" s="3">
        <f>IFERROR(__xludf.DUMMYFUNCTION("""COMPUTED_VALUE"""),45415.66666666667)</f>
        <v>45415.66667</v>
      </c>
      <c r="B337" s="2">
        <f>IFERROR(__xludf.DUMMYFUNCTION("""COMPUTED_VALUE"""),269.0)</f>
        <v>269</v>
      </c>
      <c r="C337" s="2">
        <f>IFERROR(__xludf.DUMMYFUNCTION("""COMPUTED_VALUE"""),269.45)</f>
        <v>269.45</v>
      </c>
      <c r="D337" s="2">
        <f>IFERROR(__xludf.DUMMYFUNCTION("""COMPUTED_VALUE"""),266.5)</f>
        <v>266.5</v>
      </c>
      <c r="E337" s="2">
        <f>IFERROR(__xludf.DUMMYFUNCTION("""COMPUTED_VALUE"""),268.49)</f>
        <v>268.49</v>
      </c>
      <c r="F337" s="2">
        <f>IFERROR(__xludf.DUMMYFUNCTION("""COMPUTED_VALUE"""),3862018.0)</f>
        <v>3862018</v>
      </c>
    </row>
    <row r="338">
      <c r="A338" s="3">
        <f>IFERROR(__xludf.DUMMYFUNCTION("""COMPUTED_VALUE"""),45418.66666666667)</f>
        <v>45418.66667</v>
      </c>
      <c r="B338" s="2">
        <f>IFERROR(__xludf.DUMMYFUNCTION("""COMPUTED_VALUE"""),269.65)</f>
        <v>269.65</v>
      </c>
      <c r="C338" s="2">
        <f>IFERROR(__xludf.DUMMYFUNCTION("""COMPUTED_VALUE"""),272.78)</f>
        <v>272.78</v>
      </c>
      <c r="D338" s="2">
        <f>IFERROR(__xludf.DUMMYFUNCTION("""COMPUTED_VALUE"""),269.57)</f>
        <v>269.57</v>
      </c>
      <c r="E338" s="2">
        <f>IFERROR(__xludf.DUMMYFUNCTION("""COMPUTED_VALUE"""),272.67)</f>
        <v>272.67</v>
      </c>
      <c r="F338" s="2">
        <f>IFERROR(__xludf.DUMMYFUNCTION("""COMPUTED_VALUE"""),3958721.0)</f>
        <v>3958721</v>
      </c>
    </row>
    <row r="339">
      <c r="A339" s="3">
        <f>IFERROR(__xludf.DUMMYFUNCTION("""COMPUTED_VALUE"""),45419.66666666667)</f>
        <v>45419.66667</v>
      </c>
      <c r="B339" s="2">
        <f>IFERROR(__xludf.DUMMYFUNCTION("""COMPUTED_VALUE"""),273.72)</f>
        <v>273.72</v>
      </c>
      <c r="C339" s="2">
        <f>IFERROR(__xludf.DUMMYFUNCTION("""COMPUTED_VALUE"""),277.88)</f>
        <v>277.88</v>
      </c>
      <c r="D339" s="2">
        <f>IFERROR(__xludf.DUMMYFUNCTION("""COMPUTED_VALUE"""),272.83)</f>
        <v>272.83</v>
      </c>
      <c r="E339" s="2">
        <f>IFERROR(__xludf.DUMMYFUNCTION("""COMPUTED_VALUE"""),276.46)</f>
        <v>276.46</v>
      </c>
      <c r="F339" s="2">
        <f>IFERROR(__xludf.DUMMYFUNCTION("""COMPUTED_VALUE"""),6377080.0)</f>
        <v>6377080</v>
      </c>
    </row>
    <row r="340">
      <c r="A340" s="3">
        <f>IFERROR(__xludf.DUMMYFUNCTION("""COMPUTED_VALUE"""),45420.66666666667)</f>
        <v>45420.66667</v>
      </c>
      <c r="B340" s="2">
        <f>IFERROR(__xludf.DUMMYFUNCTION("""COMPUTED_VALUE"""),277.8)</f>
        <v>277.8</v>
      </c>
      <c r="C340" s="2">
        <f>IFERROR(__xludf.DUMMYFUNCTION("""COMPUTED_VALUE"""),278.55)</f>
        <v>278.55</v>
      </c>
      <c r="D340" s="2">
        <f>IFERROR(__xludf.DUMMYFUNCTION("""COMPUTED_VALUE"""),274.92)</f>
        <v>274.92</v>
      </c>
      <c r="E340" s="2">
        <f>IFERROR(__xludf.DUMMYFUNCTION("""COMPUTED_VALUE"""),277.19)</f>
        <v>277.19</v>
      </c>
      <c r="F340" s="2">
        <f>IFERROR(__xludf.DUMMYFUNCTION("""COMPUTED_VALUE"""),9029699.0)</f>
        <v>9029699</v>
      </c>
    </row>
    <row r="341">
      <c r="A341" s="3">
        <f>IFERROR(__xludf.DUMMYFUNCTION("""COMPUTED_VALUE"""),45421.66666666667)</f>
        <v>45421.66667</v>
      </c>
      <c r="B341" s="2">
        <f>IFERROR(__xludf.DUMMYFUNCTION("""COMPUTED_VALUE"""),276.8)</f>
        <v>276.8</v>
      </c>
      <c r="C341" s="2">
        <f>IFERROR(__xludf.DUMMYFUNCTION("""COMPUTED_VALUE"""),278.79)</f>
        <v>278.79</v>
      </c>
      <c r="D341" s="2">
        <f>IFERROR(__xludf.DUMMYFUNCTION("""COMPUTED_VALUE"""),276.4)</f>
        <v>276.4</v>
      </c>
      <c r="E341" s="2">
        <f>IFERROR(__xludf.DUMMYFUNCTION("""COMPUTED_VALUE"""),278.54)</f>
        <v>278.54</v>
      </c>
      <c r="F341" s="2">
        <f>IFERROR(__xludf.DUMMYFUNCTION("""COMPUTED_VALUE"""),8948813.0)</f>
        <v>8948813</v>
      </c>
    </row>
    <row r="342">
      <c r="A342" s="3">
        <f>IFERROR(__xludf.DUMMYFUNCTION("""COMPUTED_VALUE"""),45422.66666666667)</f>
        <v>45422.66667</v>
      </c>
      <c r="B342" s="2">
        <f>IFERROR(__xludf.DUMMYFUNCTION("""COMPUTED_VALUE"""),279.55)</f>
        <v>279.55</v>
      </c>
      <c r="C342" s="2">
        <f>IFERROR(__xludf.DUMMYFUNCTION("""COMPUTED_VALUE"""),281.03)</f>
        <v>281.03</v>
      </c>
      <c r="D342" s="2">
        <f>IFERROR(__xludf.DUMMYFUNCTION("""COMPUTED_VALUE"""),279.24)</f>
        <v>279.24</v>
      </c>
      <c r="E342" s="2">
        <f>IFERROR(__xludf.DUMMYFUNCTION("""COMPUTED_VALUE"""),280.74)</f>
        <v>280.74</v>
      </c>
      <c r="F342" s="2">
        <f>IFERROR(__xludf.DUMMYFUNCTION("""COMPUTED_VALUE"""),8986581.0)</f>
        <v>8986581</v>
      </c>
    </row>
    <row r="343">
      <c r="A343" s="3">
        <f>IFERROR(__xludf.DUMMYFUNCTION("""COMPUTED_VALUE"""),45425.66666666667)</f>
        <v>45425.66667</v>
      </c>
      <c r="B343" s="2">
        <f>IFERROR(__xludf.DUMMYFUNCTION("""COMPUTED_VALUE"""),281.46)</f>
        <v>281.46</v>
      </c>
      <c r="C343" s="2">
        <f>IFERROR(__xludf.DUMMYFUNCTION("""COMPUTED_VALUE"""),282.15)</f>
        <v>282.15</v>
      </c>
      <c r="D343" s="2">
        <f>IFERROR(__xludf.DUMMYFUNCTION("""COMPUTED_VALUE"""),279.1)</f>
        <v>279.1</v>
      </c>
      <c r="E343" s="2">
        <f>IFERROR(__xludf.DUMMYFUNCTION("""COMPUTED_VALUE"""),279.39)</f>
        <v>279.39</v>
      </c>
      <c r="F343" s="2">
        <f>IFERROR(__xludf.DUMMYFUNCTION("""COMPUTED_VALUE"""),1.0528397E7)</f>
        <v>10528397</v>
      </c>
    </row>
    <row r="344">
      <c r="A344" s="3">
        <f>IFERROR(__xludf.DUMMYFUNCTION("""COMPUTED_VALUE"""),45426.66666666667)</f>
        <v>45426.66667</v>
      </c>
      <c r="B344" s="2">
        <f>IFERROR(__xludf.DUMMYFUNCTION("""COMPUTED_VALUE"""),279.44)</f>
        <v>279.44</v>
      </c>
      <c r="C344" s="2">
        <f>IFERROR(__xludf.DUMMYFUNCTION("""COMPUTED_VALUE"""),279.99)</f>
        <v>279.99</v>
      </c>
      <c r="D344" s="2">
        <f>IFERROR(__xludf.DUMMYFUNCTION("""COMPUTED_VALUE"""),274.27)</f>
        <v>274.27</v>
      </c>
      <c r="E344" s="2">
        <f>IFERROR(__xludf.DUMMYFUNCTION("""COMPUTED_VALUE"""),277.74)</f>
        <v>277.74</v>
      </c>
      <c r="F344" s="2">
        <f>IFERROR(__xludf.DUMMYFUNCTION("""COMPUTED_VALUE"""),1.8526094E7)</f>
        <v>18526094</v>
      </c>
    </row>
    <row r="345">
      <c r="A345" s="3">
        <f>IFERROR(__xludf.DUMMYFUNCTION("""COMPUTED_VALUE"""),45427.66666666667)</f>
        <v>45427.66667</v>
      </c>
      <c r="B345" s="2">
        <f>IFERROR(__xludf.DUMMYFUNCTION("""COMPUTED_VALUE"""),277.15)</f>
        <v>277.15</v>
      </c>
      <c r="C345" s="2">
        <f>IFERROR(__xludf.DUMMYFUNCTION("""COMPUTED_VALUE"""),281.73)</f>
        <v>281.73</v>
      </c>
      <c r="D345" s="2">
        <f>IFERROR(__xludf.DUMMYFUNCTION("""COMPUTED_VALUE"""),277.07)</f>
        <v>277.07</v>
      </c>
      <c r="E345" s="2">
        <f>IFERROR(__xludf.DUMMYFUNCTION("""COMPUTED_VALUE"""),281.5)</f>
        <v>281.5</v>
      </c>
      <c r="F345" s="2">
        <f>IFERROR(__xludf.DUMMYFUNCTION("""COMPUTED_VALUE"""),2.1288365E7)</f>
        <v>21288365</v>
      </c>
    </row>
    <row r="346">
      <c r="A346" s="3">
        <f>IFERROR(__xludf.DUMMYFUNCTION("""COMPUTED_VALUE"""),45428.66666666667)</f>
        <v>45428.66667</v>
      </c>
      <c r="B346" s="2">
        <f>IFERROR(__xludf.DUMMYFUNCTION("""COMPUTED_VALUE"""),281.74)</f>
        <v>281.74</v>
      </c>
      <c r="C346" s="2">
        <f>IFERROR(__xludf.DUMMYFUNCTION("""COMPUTED_VALUE"""),282.38)</f>
        <v>282.38</v>
      </c>
      <c r="D346" s="2">
        <f>IFERROR(__xludf.DUMMYFUNCTION("""COMPUTED_VALUE"""),279.26)</f>
        <v>279.26</v>
      </c>
      <c r="E346" s="2">
        <f>IFERROR(__xludf.DUMMYFUNCTION("""COMPUTED_VALUE"""),279.84)</f>
        <v>279.84</v>
      </c>
      <c r="F346" s="2">
        <f>IFERROR(__xludf.DUMMYFUNCTION("""COMPUTED_VALUE"""),1.0341718E7)</f>
        <v>10341718</v>
      </c>
    </row>
    <row r="347">
      <c r="A347" s="3">
        <f>IFERROR(__xludf.DUMMYFUNCTION("""COMPUTED_VALUE"""),45429.66666666667)</f>
        <v>45429.66667</v>
      </c>
      <c r="B347" s="2">
        <f>IFERROR(__xludf.DUMMYFUNCTION("""COMPUTED_VALUE"""),280.05)</f>
        <v>280.05</v>
      </c>
      <c r="C347" s="2">
        <f>IFERROR(__xludf.DUMMYFUNCTION("""COMPUTED_VALUE"""),280.91)</f>
        <v>280.91</v>
      </c>
      <c r="D347" s="2">
        <f>IFERROR(__xludf.DUMMYFUNCTION("""COMPUTED_VALUE"""),278.1)</f>
        <v>278.1</v>
      </c>
      <c r="E347" s="2">
        <f>IFERROR(__xludf.DUMMYFUNCTION("""COMPUTED_VALUE"""),280.1)</f>
        <v>280.1</v>
      </c>
      <c r="F347" s="2">
        <f>IFERROR(__xludf.DUMMYFUNCTION("""COMPUTED_VALUE"""),6177831.0)</f>
        <v>6177831</v>
      </c>
    </row>
    <row r="348">
      <c r="A348" s="3">
        <f>IFERROR(__xludf.DUMMYFUNCTION("""COMPUTED_VALUE"""),45432.66666666667)</f>
        <v>45432.66667</v>
      </c>
      <c r="B348" s="2">
        <f>IFERROR(__xludf.DUMMYFUNCTION("""COMPUTED_VALUE"""),279.22)</f>
        <v>279.22</v>
      </c>
      <c r="C348" s="2">
        <f>IFERROR(__xludf.DUMMYFUNCTION("""COMPUTED_VALUE"""),280.27)</f>
        <v>280.27</v>
      </c>
      <c r="D348" s="2">
        <f>IFERROR(__xludf.DUMMYFUNCTION("""COMPUTED_VALUE"""),278.18)</f>
        <v>278.18</v>
      </c>
      <c r="E348" s="2">
        <f>IFERROR(__xludf.DUMMYFUNCTION("""COMPUTED_VALUE"""),278.54)</f>
        <v>278.54</v>
      </c>
      <c r="F348" s="2">
        <f>IFERROR(__xludf.DUMMYFUNCTION("""COMPUTED_VALUE"""),5460901.0)</f>
        <v>5460901</v>
      </c>
    </row>
    <row r="349">
      <c r="A349" s="3">
        <f>IFERROR(__xludf.DUMMYFUNCTION("""COMPUTED_VALUE"""),45433.66666666667)</f>
        <v>45433.66667</v>
      </c>
      <c r="B349" s="2">
        <f>IFERROR(__xludf.DUMMYFUNCTION("""COMPUTED_VALUE"""),278.0)</f>
        <v>278</v>
      </c>
      <c r="C349" s="2">
        <f>IFERROR(__xludf.DUMMYFUNCTION("""COMPUTED_VALUE"""),278.43)</f>
        <v>278.43</v>
      </c>
      <c r="D349" s="2">
        <f>IFERROR(__xludf.DUMMYFUNCTION("""COMPUTED_VALUE"""),274.88)</f>
        <v>274.88</v>
      </c>
      <c r="E349" s="2">
        <f>IFERROR(__xludf.DUMMYFUNCTION("""COMPUTED_VALUE"""),275.95)</f>
        <v>275.95</v>
      </c>
      <c r="F349" s="2">
        <f>IFERROR(__xludf.DUMMYFUNCTION("""COMPUTED_VALUE"""),6578156.0)</f>
        <v>6578156</v>
      </c>
    </row>
    <row r="350">
      <c r="A350" s="3">
        <f>IFERROR(__xludf.DUMMYFUNCTION("""COMPUTED_VALUE"""),45434.66666666667)</f>
        <v>45434.66667</v>
      </c>
      <c r="B350" s="2">
        <f>IFERROR(__xludf.DUMMYFUNCTION("""COMPUTED_VALUE"""),275.53)</f>
        <v>275.53</v>
      </c>
      <c r="C350" s="2">
        <f>IFERROR(__xludf.DUMMYFUNCTION("""COMPUTED_VALUE"""),278.08)</f>
        <v>278.08</v>
      </c>
      <c r="D350" s="2">
        <f>IFERROR(__xludf.DUMMYFUNCTION("""COMPUTED_VALUE"""),275.12)</f>
        <v>275.12</v>
      </c>
      <c r="E350" s="2">
        <f>IFERROR(__xludf.DUMMYFUNCTION("""COMPUTED_VALUE"""),275.58)</f>
        <v>275.58</v>
      </c>
      <c r="F350" s="2">
        <f>IFERROR(__xludf.DUMMYFUNCTION("""COMPUTED_VALUE"""),4202492.0)</f>
        <v>4202492</v>
      </c>
    </row>
    <row r="351">
      <c r="A351" s="3">
        <f>IFERROR(__xludf.DUMMYFUNCTION("""COMPUTED_VALUE"""),45435.66666666667)</f>
        <v>45435.66667</v>
      </c>
      <c r="B351" s="2">
        <f>IFERROR(__xludf.DUMMYFUNCTION("""COMPUTED_VALUE"""),275.24)</f>
        <v>275.24</v>
      </c>
      <c r="C351" s="2">
        <f>IFERROR(__xludf.DUMMYFUNCTION("""COMPUTED_VALUE"""),277.44)</f>
        <v>277.44</v>
      </c>
      <c r="D351" s="2">
        <f>IFERROR(__xludf.DUMMYFUNCTION("""COMPUTED_VALUE"""),273.03)</f>
        <v>273.03</v>
      </c>
      <c r="E351" s="2">
        <f>IFERROR(__xludf.DUMMYFUNCTION("""COMPUTED_VALUE"""),274.23)</f>
        <v>274.23</v>
      </c>
      <c r="F351" s="2">
        <f>IFERROR(__xludf.DUMMYFUNCTION("""COMPUTED_VALUE"""),6115917.0)</f>
        <v>6115917</v>
      </c>
    </row>
    <row r="352">
      <c r="A352" s="3">
        <f>IFERROR(__xludf.DUMMYFUNCTION("""COMPUTED_VALUE"""),45436.66666666667)</f>
        <v>45436.66667</v>
      </c>
      <c r="B352" s="2">
        <f>IFERROR(__xludf.DUMMYFUNCTION("""COMPUTED_VALUE"""),275.01)</f>
        <v>275.01</v>
      </c>
      <c r="C352" s="2">
        <f>IFERROR(__xludf.DUMMYFUNCTION("""COMPUTED_VALUE"""),275.24)</f>
        <v>275.24</v>
      </c>
      <c r="D352" s="2">
        <f>IFERROR(__xludf.DUMMYFUNCTION("""COMPUTED_VALUE"""),273.35)</f>
        <v>273.35</v>
      </c>
      <c r="E352" s="2">
        <f>IFERROR(__xludf.DUMMYFUNCTION("""COMPUTED_VALUE"""),274.49)</f>
        <v>274.49</v>
      </c>
      <c r="F352" s="2">
        <f>IFERROR(__xludf.DUMMYFUNCTION("""COMPUTED_VALUE"""),4339967.0)</f>
        <v>4339967</v>
      </c>
    </row>
    <row r="353">
      <c r="A353" s="3">
        <f>IFERROR(__xludf.DUMMYFUNCTION("""COMPUTED_VALUE"""),45440.66666666667)</f>
        <v>45440.66667</v>
      </c>
      <c r="B353" s="2">
        <f>IFERROR(__xludf.DUMMYFUNCTION("""COMPUTED_VALUE"""),274.23)</f>
        <v>274.23</v>
      </c>
      <c r="C353" s="2">
        <f>IFERROR(__xludf.DUMMYFUNCTION("""COMPUTED_VALUE"""),274.46)</f>
        <v>274.46</v>
      </c>
      <c r="D353" s="2">
        <f>IFERROR(__xludf.DUMMYFUNCTION("""COMPUTED_VALUE"""),270.23)</f>
        <v>270.23</v>
      </c>
      <c r="E353" s="2">
        <f>IFERROR(__xludf.DUMMYFUNCTION("""COMPUTED_VALUE"""),270.98)</f>
        <v>270.98</v>
      </c>
      <c r="F353" s="2">
        <f>IFERROR(__xludf.DUMMYFUNCTION("""COMPUTED_VALUE"""),6212455.0)</f>
        <v>6212455</v>
      </c>
    </row>
    <row r="354">
      <c r="A354" s="3">
        <f>IFERROR(__xludf.DUMMYFUNCTION("""COMPUTED_VALUE"""),45441.66666666667)</f>
        <v>45441.66667</v>
      </c>
      <c r="B354" s="2">
        <f>IFERROR(__xludf.DUMMYFUNCTION("""COMPUTED_VALUE"""),269.0)</f>
        <v>269</v>
      </c>
      <c r="C354" s="2">
        <f>IFERROR(__xludf.DUMMYFUNCTION("""COMPUTED_VALUE"""),271.14)</f>
        <v>271.14</v>
      </c>
      <c r="D354" s="2">
        <f>IFERROR(__xludf.DUMMYFUNCTION("""COMPUTED_VALUE"""),268.26)</f>
        <v>268.26</v>
      </c>
      <c r="E354" s="2">
        <f>IFERROR(__xludf.DUMMYFUNCTION("""COMPUTED_VALUE"""),268.86)</f>
        <v>268.86</v>
      </c>
      <c r="F354" s="2">
        <f>IFERROR(__xludf.DUMMYFUNCTION("""COMPUTED_VALUE"""),5469713.0)</f>
        <v>5469713</v>
      </c>
    </row>
    <row r="355">
      <c r="A355" s="3">
        <f>IFERROR(__xludf.DUMMYFUNCTION("""COMPUTED_VALUE"""),45442.66666666667)</f>
        <v>45442.66667</v>
      </c>
      <c r="B355" s="2">
        <f>IFERROR(__xludf.DUMMYFUNCTION("""COMPUTED_VALUE"""),268.7)</f>
        <v>268.7</v>
      </c>
      <c r="C355" s="2">
        <f>IFERROR(__xludf.DUMMYFUNCTION("""COMPUTED_VALUE"""),271.64)</f>
        <v>271.64</v>
      </c>
      <c r="D355" s="2">
        <f>IFERROR(__xludf.DUMMYFUNCTION("""COMPUTED_VALUE"""),268.31)</f>
        <v>268.31</v>
      </c>
      <c r="E355" s="2">
        <f>IFERROR(__xludf.DUMMYFUNCTION("""COMPUTED_VALUE"""),271.3)</f>
        <v>271.3</v>
      </c>
      <c r="F355" s="2">
        <f>IFERROR(__xludf.DUMMYFUNCTION("""COMPUTED_VALUE"""),4903071.0)</f>
        <v>4903071</v>
      </c>
    </row>
    <row r="356">
      <c r="A356" s="3">
        <f>IFERROR(__xludf.DUMMYFUNCTION("""COMPUTED_VALUE"""),45443.66666666667)</f>
        <v>45443.66667</v>
      </c>
      <c r="B356" s="2">
        <f>IFERROR(__xludf.DUMMYFUNCTION("""COMPUTED_VALUE"""),271.44)</f>
        <v>271.44</v>
      </c>
      <c r="C356" s="2">
        <f>IFERROR(__xludf.DUMMYFUNCTION("""COMPUTED_VALUE"""),272.76)</f>
        <v>272.76</v>
      </c>
      <c r="D356" s="2">
        <f>IFERROR(__xludf.DUMMYFUNCTION("""COMPUTED_VALUE"""),269.01)</f>
        <v>269.01</v>
      </c>
      <c r="E356" s="2">
        <f>IFERROR(__xludf.DUMMYFUNCTION("""COMPUTED_VALUE"""),272.46)</f>
        <v>272.46</v>
      </c>
      <c r="F356" s="2">
        <f>IFERROR(__xludf.DUMMYFUNCTION("""COMPUTED_VALUE"""),8909985.0)</f>
        <v>8909985</v>
      </c>
    </row>
    <row r="357">
      <c r="A357" s="3">
        <f>IFERROR(__xludf.DUMMYFUNCTION("""COMPUTED_VALUE"""),45446.66666666667)</f>
        <v>45446.66667</v>
      </c>
      <c r="B357" s="2">
        <f>IFERROR(__xludf.DUMMYFUNCTION("""COMPUTED_VALUE"""),273.09)</f>
        <v>273.09</v>
      </c>
      <c r="C357" s="2">
        <f>IFERROR(__xludf.DUMMYFUNCTION("""COMPUTED_VALUE"""),273.13)</f>
        <v>273.13</v>
      </c>
      <c r="D357" s="2">
        <f>IFERROR(__xludf.DUMMYFUNCTION("""COMPUTED_VALUE"""),268.06)</f>
        <v>268.06</v>
      </c>
      <c r="E357" s="2">
        <f>IFERROR(__xludf.DUMMYFUNCTION("""COMPUTED_VALUE"""),270.38)</f>
        <v>270.38</v>
      </c>
      <c r="F357" s="2">
        <f>IFERROR(__xludf.DUMMYFUNCTION("""COMPUTED_VALUE"""),4838782.0)</f>
        <v>4838782</v>
      </c>
    </row>
    <row r="358">
      <c r="A358" s="3">
        <f>IFERROR(__xludf.DUMMYFUNCTION("""COMPUTED_VALUE"""),45447.66666666667)</f>
        <v>45447.66667</v>
      </c>
      <c r="B358" s="2">
        <f>IFERROR(__xludf.DUMMYFUNCTION("""COMPUTED_VALUE"""),269.63)</f>
        <v>269.63</v>
      </c>
      <c r="C358" s="2">
        <f>IFERROR(__xludf.DUMMYFUNCTION("""COMPUTED_VALUE"""),272.99)</f>
        <v>272.99</v>
      </c>
      <c r="D358" s="2">
        <f>IFERROR(__xludf.DUMMYFUNCTION("""COMPUTED_VALUE"""),269.31)</f>
        <v>269.31</v>
      </c>
      <c r="E358" s="2">
        <f>IFERROR(__xludf.DUMMYFUNCTION("""COMPUTED_VALUE"""),272.42)</f>
        <v>272.42</v>
      </c>
      <c r="F358" s="2">
        <f>IFERROR(__xludf.DUMMYFUNCTION("""COMPUTED_VALUE"""),4188515.0)</f>
        <v>4188515</v>
      </c>
    </row>
    <row r="359">
      <c r="A359" s="3">
        <f>IFERROR(__xludf.DUMMYFUNCTION("""COMPUTED_VALUE"""),45448.66666666667)</f>
        <v>45448.66667</v>
      </c>
      <c r="B359" s="2">
        <f>IFERROR(__xludf.DUMMYFUNCTION("""COMPUTED_VALUE"""),273.53)</f>
        <v>273.53</v>
      </c>
      <c r="C359" s="2">
        <f>IFERROR(__xludf.DUMMYFUNCTION("""COMPUTED_VALUE"""),274.93)</f>
        <v>274.93</v>
      </c>
      <c r="D359" s="2">
        <f>IFERROR(__xludf.DUMMYFUNCTION("""COMPUTED_VALUE"""),272.02)</f>
        <v>272.02</v>
      </c>
      <c r="E359" s="2">
        <f>IFERROR(__xludf.DUMMYFUNCTION("""COMPUTED_VALUE"""),274.5)</f>
        <v>274.5</v>
      </c>
      <c r="F359" s="2">
        <f>IFERROR(__xludf.DUMMYFUNCTION("""COMPUTED_VALUE"""),5368674.0)</f>
        <v>5368674</v>
      </c>
    </row>
    <row r="360">
      <c r="A360" s="3">
        <f>IFERROR(__xludf.DUMMYFUNCTION("""COMPUTED_VALUE"""),45449.66666666667)</f>
        <v>45449.66667</v>
      </c>
      <c r="B360" s="2">
        <f>IFERROR(__xludf.DUMMYFUNCTION("""COMPUTED_VALUE"""),274.8)</f>
        <v>274.8</v>
      </c>
      <c r="C360" s="2">
        <f>IFERROR(__xludf.DUMMYFUNCTION("""COMPUTED_VALUE"""),277.15)</f>
        <v>277.15</v>
      </c>
      <c r="D360" s="2">
        <f>IFERROR(__xludf.DUMMYFUNCTION("""COMPUTED_VALUE"""),274.08)</f>
        <v>274.08</v>
      </c>
      <c r="E360" s="2">
        <f>IFERROR(__xludf.DUMMYFUNCTION("""COMPUTED_VALUE"""),277.04)</f>
        <v>277.04</v>
      </c>
      <c r="F360" s="2">
        <f>IFERROR(__xludf.DUMMYFUNCTION("""COMPUTED_VALUE"""),4862378.0)</f>
        <v>4862378</v>
      </c>
    </row>
    <row r="361">
      <c r="A361" s="3">
        <f>IFERROR(__xludf.DUMMYFUNCTION("""COMPUTED_VALUE"""),45450.66666666667)</f>
        <v>45450.66667</v>
      </c>
      <c r="B361" s="2">
        <f>IFERROR(__xludf.DUMMYFUNCTION("""COMPUTED_VALUE"""),277.71)</f>
        <v>277.71</v>
      </c>
      <c r="C361" s="2">
        <f>IFERROR(__xludf.DUMMYFUNCTION("""COMPUTED_VALUE"""),280.33)</f>
        <v>280.33</v>
      </c>
      <c r="D361" s="2">
        <f>IFERROR(__xludf.DUMMYFUNCTION("""COMPUTED_VALUE"""),276.86)</f>
        <v>276.86</v>
      </c>
      <c r="E361" s="2">
        <f>IFERROR(__xludf.DUMMYFUNCTION("""COMPUTED_VALUE"""),278.67)</f>
        <v>278.67</v>
      </c>
      <c r="F361" s="2">
        <f>IFERROR(__xludf.DUMMYFUNCTION("""COMPUTED_VALUE"""),4515795.0)</f>
        <v>4515795</v>
      </c>
    </row>
    <row r="362">
      <c r="A362" s="3">
        <f>IFERROR(__xludf.DUMMYFUNCTION("""COMPUTED_VALUE"""),45453.66666666667)</f>
        <v>45453.66667</v>
      </c>
      <c r="B362" s="2">
        <f>IFERROR(__xludf.DUMMYFUNCTION("""COMPUTED_VALUE"""),278.14)</f>
        <v>278.14</v>
      </c>
      <c r="C362" s="2">
        <f>IFERROR(__xludf.DUMMYFUNCTION("""COMPUTED_VALUE"""),278.56)</f>
        <v>278.56</v>
      </c>
      <c r="D362" s="2">
        <f>IFERROR(__xludf.DUMMYFUNCTION("""COMPUTED_VALUE"""),273.38)</f>
        <v>273.38</v>
      </c>
      <c r="E362" s="2">
        <f>IFERROR(__xludf.DUMMYFUNCTION("""COMPUTED_VALUE"""),275.04)</f>
        <v>275.04</v>
      </c>
      <c r="F362" s="2">
        <f>IFERROR(__xludf.DUMMYFUNCTION("""COMPUTED_VALUE"""),5214002.0)</f>
        <v>5214002</v>
      </c>
    </row>
    <row r="363">
      <c r="A363" s="3">
        <f>IFERROR(__xludf.DUMMYFUNCTION("""COMPUTED_VALUE"""),45454.66666666667)</f>
        <v>45454.66667</v>
      </c>
      <c r="B363" s="2">
        <f>IFERROR(__xludf.DUMMYFUNCTION("""COMPUTED_VALUE"""),274.54)</f>
        <v>274.54</v>
      </c>
      <c r="C363" s="2">
        <f>IFERROR(__xludf.DUMMYFUNCTION("""COMPUTED_VALUE"""),274.86)</f>
        <v>274.86</v>
      </c>
      <c r="D363" s="2">
        <f>IFERROR(__xludf.DUMMYFUNCTION("""COMPUTED_VALUE"""),272.22)</f>
        <v>272.22</v>
      </c>
      <c r="E363" s="2">
        <f>IFERROR(__xludf.DUMMYFUNCTION("""COMPUTED_VALUE"""),274.67)</f>
        <v>274.67</v>
      </c>
      <c r="F363" s="2">
        <f>IFERROR(__xludf.DUMMYFUNCTION("""COMPUTED_VALUE"""),6244586.0)</f>
        <v>6244586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tr">
        <f>IFERROR(__xludf.DUMMYFUNCTION("(GOOGLEFINANCE(""AAPL"", ""all"", DATE(2023, 1, 1), today()))"),"Date")</f>
        <v>Date</v>
      </c>
      <c r="B1" s="2" t="str">
        <f>IFERROR(__xludf.DUMMYFUNCTION("""COMPUTED_VALUE"""),"Open")</f>
        <v>Open</v>
      </c>
      <c r="C1" s="2" t="str">
        <f>IFERROR(__xludf.DUMMYFUNCTION("""COMPUTED_VALUE"""),"High")</f>
        <v>High</v>
      </c>
      <c r="D1" s="2" t="str">
        <f>IFERROR(__xludf.DUMMYFUNCTION("""COMPUTED_VALUE"""),"Low")</f>
        <v>Low</v>
      </c>
      <c r="E1" s="2" t="str">
        <f>IFERROR(__xludf.DUMMYFUNCTION("""COMPUTED_VALUE"""),"Close")</f>
        <v>Close</v>
      </c>
      <c r="F1" s="2" t="str">
        <f>IFERROR(__xludf.DUMMYFUNCTION("""COMPUTED_VALUE"""),"Volume")</f>
        <v>Volume</v>
      </c>
    </row>
    <row r="2">
      <c r="A2" s="3">
        <f>IFERROR(__xludf.DUMMYFUNCTION("""COMPUTED_VALUE"""),44929.66666666667)</f>
        <v>44929.66667</v>
      </c>
      <c r="B2" s="2">
        <f>IFERROR(__xludf.DUMMYFUNCTION("""COMPUTED_VALUE"""),130.28)</f>
        <v>130.28</v>
      </c>
      <c r="C2" s="2">
        <f>IFERROR(__xludf.DUMMYFUNCTION("""COMPUTED_VALUE"""),130.9)</f>
        <v>130.9</v>
      </c>
      <c r="D2" s="2">
        <f>IFERROR(__xludf.DUMMYFUNCTION("""COMPUTED_VALUE"""),124.17)</f>
        <v>124.17</v>
      </c>
      <c r="E2" s="2">
        <f>IFERROR(__xludf.DUMMYFUNCTION("""COMPUTED_VALUE"""),125.07)</f>
        <v>125.07</v>
      </c>
      <c r="F2" s="2">
        <f>IFERROR(__xludf.DUMMYFUNCTION("""COMPUTED_VALUE"""),1.12117471E8)</f>
        <v>112117471</v>
      </c>
    </row>
    <row r="3">
      <c r="A3" s="3">
        <f>IFERROR(__xludf.DUMMYFUNCTION("""COMPUTED_VALUE"""),44930.66666666667)</f>
        <v>44930.66667</v>
      </c>
      <c r="B3" s="2">
        <f>IFERROR(__xludf.DUMMYFUNCTION("""COMPUTED_VALUE"""),126.89)</f>
        <v>126.89</v>
      </c>
      <c r="C3" s="2">
        <f>IFERROR(__xludf.DUMMYFUNCTION("""COMPUTED_VALUE"""),128.66)</f>
        <v>128.66</v>
      </c>
      <c r="D3" s="2">
        <f>IFERROR(__xludf.DUMMYFUNCTION("""COMPUTED_VALUE"""),125.08)</f>
        <v>125.08</v>
      </c>
      <c r="E3" s="2">
        <f>IFERROR(__xludf.DUMMYFUNCTION("""COMPUTED_VALUE"""),126.36)</f>
        <v>126.36</v>
      </c>
      <c r="F3" s="2">
        <f>IFERROR(__xludf.DUMMYFUNCTION("""COMPUTED_VALUE"""),8.9113633E7)</f>
        <v>89113633</v>
      </c>
    </row>
    <row r="4">
      <c r="A4" s="3">
        <f>IFERROR(__xludf.DUMMYFUNCTION("""COMPUTED_VALUE"""),44931.66666666667)</f>
        <v>44931.66667</v>
      </c>
      <c r="B4" s="2">
        <f>IFERROR(__xludf.DUMMYFUNCTION("""COMPUTED_VALUE"""),127.13)</f>
        <v>127.13</v>
      </c>
      <c r="C4" s="2">
        <f>IFERROR(__xludf.DUMMYFUNCTION("""COMPUTED_VALUE"""),127.77)</f>
        <v>127.77</v>
      </c>
      <c r="D4" s="2">
        <f>IFERROR(__xludf.DUMMYFUNCTION("""COMPUTED_VALUE"""),124.76)</f>
        <v>124.76</v>
      </c>
      <c r="E4" s="2">
        <f>IFERROR(__xludf.DUMMYFUNCTION("""COMPUTED_VALUE"""),125.02)</f>
        <v>125.02</v>
      </c>
      <c r="F4" s="2">
        <f>IFERROR(__xludf.DUMMYFUNCTION("""COMPUTED_VALUE"""),8.0962708E7)</f>
        <v>80962708</v>
      </c>
    </row>
    <row r="5">
      <c r="A5" s="3">
        <f>IFERROR(__xludf.DUMMYFUNCTION("""COMPUTED_VALUE"""),44932.66666666667)</f>
        <v>44932.66667</v>
      </c>
      <c r="B5" s="2">
        <f>IFERROR(__xludf.DUMMYFUNCTION("""COMPUTED_VALUE"""),126.01)</f>
        <v>126.01</v>
      </c>
      <c r="C5" s="2">
        <f>IFERROR(__xludf.DUMMYFUNCTION("""COMPUTED_VALUE"""),130.29)</f>
        <v>130.29</v>
      </c>
      <c r="D5" s="2">
        <f>IFERROR(__xludf.DUMMYFUNCTION("""COMPUTED_VALUE"""),124.89)</f>
        <v>124.89</v>
      </c>
      <c r="E5" s="2">
        <f>IFERROR(__xludf.DUMMYFUNCTION("""COMPUTED_VALUE"""),129.62)</f>
        <v>129.62</v>
      </c>
      <c r="F5" s="2">
        <f>IFERROR(__xludf.DUMMYFUNCTION("""COMPUTED_VALUE"""),8.7754715E7)</f>
        <v>87754715</v>
      </c>
    </row>
    <row r="6">
      <c r="A6" s="3">
        <f>IFERROR(__xludf.DUMMYFUNCTION("""COMPUTED_VALUE"""),44935.66666666667)</f>
        <v>44935.66667</v>
      </c>
      <c r="B6" s="2">
        <f>IFERROR(__xludf.DUMMYFUNCTION("""COMPUTED_VALUE"""),130.47)</f>
        <v>130.47</v>
      </c>
      <c r="C6" s="2">
        <f>IFERROR(__xludf.DUMMYFUNCTION("""COMPUTED_VALUE"""),133.41)</f>
        <v>133.41</v>
      </c>
      <c r="D6" s="2">
        <f>IFERROR(__xludf.DUMMYFUNCTION("""COMPUTED_VALUE"""),129.89)</f>
        <v>129.89</v>
      </c>
      <c r="E6" s="2">
        <f>IFERROR(__xludf.DUMMYFUNCTION("""COMPUTED_VALUE"""),130.15)</f>
        <v>130.15</v>
      </c>
      <c r="F6" s="2">
        <f>IFERROR(__xludf.DUMMYFUNCTION("""COMPUTED_VALUE"""),7.0790813E7)</f>
        <v>70790813</v>
      </c>
    </row>
    <row r="7">
      <c r="A7" s="3">
        <f>IFERROR(__xludf.DUMMYFUNCTION("""COMPUTED_VALUE"""),44936.66666666667)</f>
        <v>44936.66667</v>
      </c>
      <c r="B7" s="2">
        <f>IFERROR(__xludf.DUMMYFUNCTION("""COMPUTED_VALUE"""),130.26)</f>
        <v>130.26</v>
      </c>
      <c r="C7" s="2">
        <f>IFERROR(__xludf.DUMMYFUNCTION("""COMPUTED_VALUE"""),131.26)</f>
        <v>131.26</v>
      </c>
      <c r="D7" s="2">
        <f>IFERROR(__xludf.DUMMYFUNCTION("""COMPUTED_VALUE"""),128.12)</f>
        <v>128.12</v>
      </c>
      <c r="E7" s="2">
        <f>IFERROR(__xludf.DUMMYFUNCTION("""COMPUTED_VALUE"""),130.73)</f>
        <v>130.73</v>
      </c>
      <c r="F7" s="2">
        <f>IFERROR(__xludf.DUMMYFUNCTION("""COMPUTED_VALUE"""),6.3896155E7)</f>
        <v>63896155</v>
      </c>
    </row>
    <row r="8">
      <c r="A8" s="3">
        <f>IFERROR(__xludf.DUMMYFUNCTION("""COMPUTED_VALUE"""),44937.66666666667)</f>
        <v>44937.66667</v>
      </c>
      <c r="B8" s="2">
        <f>IFERROR(__xludf.DUMMYFUNCTION("""COMPUTED_VALUE"""),131.25)</f>
        <v>131.25</v>
      </c>
      <c r="C8" s="2">
        <f>IFERROR(__xludf.DUMMYFUNCTION("""COMPUTED_VALUE"""),133.51)</f>
        <v>133.51</v>
      </c>
      <c r="D8" s="2">
        <f>IFERROR(__xludf.DUMMYFUNCTION("""COMPUTED_VALUE"""),130.46)</f>
        <v>130.46</v>
      </c>
      <c r="E8" s="2">
        <f>IFERROR(__xludf.DUMMYFUNCTION("""COMPUTED_VALUE"""),133.49)</f>
        <v>133.49</v>
      </c>
      <c r="F8" s="2">
        <f>IFERROR(__xludf.DUMMYFUNCTION("""COMPUTED_VALUE"""),6.9458949E7)</f>
        <v>69458949</v>
      </c>
    </row>
    <row r="9">
      <c r="A9" s="3">
        <f>IFERROR(__xludf.DUMMYFUNCTION("""COMPUTED_VALUE"""),44938.66666666667)</f>
        <v>44938.66667</v>
      </c>
      <c r="B9" s="2">
        <f>IFERROR(__xludf.DUMMYFUNCTION("""COMPUTED_VALUE"""),133.88)</f>
        <v>133.88</v>
      </c>
      <c r="C9" s="2">
        <f>IFERROR(__xludf.DUMMYFUNCTION("""COMPUTED_VALUE"""),134.26)</f>
        <v>134.26</v>
      </c>
      <c r="D9" s="2">
        <f>IFERROR(__xludf.DUMMYFUNCTION("""COMPUTED_VALUE"""),131.44)</f>
        <v>131.44</v>
      </c>
      <c r="E9" s="2">
        <f>IFERROR(__xludf.DUMMYFUNCTION("""COMPUTED_VALUE"""),133.41)</f>
        <v>133.41</v>
      </c>
      <c r="F9" s="2">
        <f>IFERROR(__xludf.DUMMYFUNCTION("""COMPUTED_VALUE"""),7.1379648E7)</f>
        <v>71379648</v>
      </c>
    </row>
    <row r="10">
      <c r="A10" s="3">
        <f>IFERROR(__xludf.DUMMYFUNCTION("""COMPUTED_VALUE"""),44939.66666666667)</f>
        <v>44939.66667</v>
      </c>
      <c r="B10" s="2">
        <f>IFERROR(__xludf.DUMMYFUNCTION("""COMPUTED_VALUE"""),132.03)</f>
        <v>132.03</v>
      </c>
      <c r="C10" s="2">
        <f>IFERROR(__xludf.DUMMYFUNCTION("""COMPUTED_VALUE"""),134.92)</f>
        <v>134.92</v>
      </c>
      <c r="D10" s="2">
        <f>IFERROR(__xludf.DUMMYFUNCTION("""COMPUTED_VALUE"""),131.66)</f>
        <v>131.66</v>
      </c>
      <c r="E10" s="2">
        <f>IFERROR(__xludf.DUMMYFUNCTION("""COMPUTED_VALUE"""),134.76)</f>
        <v>134.76</v>
      </c>
      <c r="F10" s="2">
        <f>IFERROR(__xludf.DUMMYFUNCTION("""COMPUTED_VALUE"""),5.7809719E7)</f>
        <v>57809719</v>
      </c>
    </row>
    <row r="11">
      <c r="A11" s="3">
        <f>IFERROR(__xludf.DUMMYFUNCTION("""COMPUTED_VALUE"""),44943.66666666667)</f>
        <v>44943.66667</v>
      </c>
      <c r="B11" s="2">
        <f>IFERROR(__xludf.DUMMYFUNCTION("""COMPUTED_VALUE"""),134.83)</f>
        <v>134.83</v>
      </c>
      <c r="C11" s="2">
        <f>IFERROR(__xludf.DUMMYFUNCTION("""COMPUTED_VALUE"""),137.29)</f>
        <v>137.29</v>
      </c>
      <c r="D11" s="2">
        <f>IFERROR(__xludf.DUMMYFUNCTION("""COMPUTED_VALUE"""),134.13)</f>
        <v>134.13</v>
      </c>
      <c r="E11" s="2">
        <f>IFERROR(__xludf.DUMMYFUNCTION("""COMPUTED_VALUE"""),135.94)</f>
        <v>135.94</v>
      </c>
      <c r="F11" s="2">
        <f>IFERROR(__xludf.DUMMYFUNCTION("""COMPUTED_VALUE"""),6.3646627E7)</f>
        <v>63646627</v>
      </c>
    </row>
    <row r="12">
      <c r="A12" s="3">
        <f>IFERROR(__xludf.DUMMYFUNCTION("""COMPUTED_VALUE"""),44944.66666666667)</f>
        <v>44944.66667</v>
      </c>
      <c r="B12" s="2">
        <f>IFERROR(__xludf.DUMMYFUNCTION("""COMPUTED_VALUE"""),136.82)</f>
        <v>136.82</v>
      </c>
      <c r="C12" s="2">
        <f>IFERROR(__xludf.DUMMYFUNCTION("""COMPUTED_VALUE"""),138.61)</f>
        <v>138.61</v>
      </c>
      <c r="D12" s="2">
        <f>IFERROR(__xludf.DUMMYFUNCTION("""COMPUTED_VALUE"""),135.03)</f>
        <v>135.03</v>
      </c>
      <c r="E12" s="2">
        <f>IFERROR(__xludf.DUMMYFUNCTION("""COMPUTED_VALUE"""),135.21)</f>
        <v>135.21</v>
      </c>
      <c r="F12" s="2">
        <f>IFERROR(__xludf.DUMMYFUNCTION("""COMPUTED_VALUE"""),6.96728E7)</f>
        <v>69672800</v>
      </c>
    </row>
    <row r="13">
      <c r="A13" s="3">
        <f>IFERROR(__xludf.DUMMYFUNCTION("""COMPUTED_VALUE"""),44945.66666666667)</f>
        <v>44945.66667</v>
      </c>
      <c r="B13" s="2">
        <f>IFERROR(__xludf.DUMMYFUNCTION("""COMPUTED_VALUE"""),134.08)</f>
        <v>134.08</v>
      </c>
      <c r="C13" s="2">
        <f>IFERROR(__xludf.DUMMYFUNCTION("""COMPUTED_VALUE"""),136.25)</f>
        <v>136.25</v>
      </c>
      <c r="D13" s="2">
        <f>IFERROR(__xludf.DUMMYFUNCTION("""COMPUTED_VALUE"""),133.77)</f>
        <v>133.77</v>
      </c>
      <c r="E13" s="2">
        <f>IFERROR(__xludf.DUMMYFUNCTION("""COMPUTED_VALUE"""),135.27)</f>
        <v>135.27</v>
      </c>
      <c r="F13" s="2">
        <f>IFERROR(__xludf.DUMMYFUNCTION("""COMPUTED_VALUE"""),5.8280413E7)</f>
        <v>58280413</v>
      </c>
    </row>
    <row r="14">
      <c r="A14" s="3">
        <f>IFERROR(__xludf.DUMMYFUNCTION("""COMPUTED_VALUE"""),44946.66666666667)</f>
        <v>44946.66667</v>
      </c>
      <c r="B14" s="2">
        <f>IFERROR(__xludf.DUMMYFUNCTION("""COMPUTED_VALUE"""),135.28)</f>
        <v>135.28</v>
      </c>
      <c r="C14" s="2">
        <f>IFERROR(__xludf.DUMMYFUNCTION("""COMPUTED_VALUE"""),138.02)</f>
        <v>138.02</v>
      </c>
      <c r="D14" s="2">
        <f>IFERROR(__xludf.DUMMYFUNCTION("""COMPUTED_VALUE"""),134.22)</f>
        <v>134.22</v>
      </c>
      <c r="E14" s="2">
        <f>IFERROR(__xludf.DUMMYFUNCTION("""COMPUTED_VALUE"""),137.87)</f>
        <v>137.87</v>
      </c>
      <c r="F14" s="2">
        <f>IFERROR(__xludf.DUMMYFUNCTION("""COMPUTED_VALUE"""),8.0223626E7)</f>
        <v>80223626</v>
      </c>
    </row>
    <row r="15">
      <c r="A15" s="3">
        <f>IFERROR(__xludf.DUMMYFUNCTION("""COMPUTED_VALUE"""),44949.66666666667)</f>
        <v>44949.66667</v>
      </c>
      <c r="B15" s="2">
        <f>IFERROR(__xludf.DUMMYFUNCTION("""COMPUTED_VALUE"""),138.12)</f>
        <v>138.12</v>
      </c>
      <c r="C15" s="2">
        <f>IFERROR(__xludf.DUMMYFUNCTION("""COMPUTED_VALUE"""),143.32)</f>
        <v>143.32</v>
      </c>
      <c r="D15" s="2">
        <f>IFERROR(__xludf.DUMMYFUNCTION("""COMPUTED_VALUE"""),137.9)</f>
        <v>137.9</v>
      </c>
      <c r="E15" s="2">
        <f>IFERROR(__xludf.DUMMYFUNCTION("""COMPUTED_VALUE"""),141.11)</f>
        <v>141.11</v>
      </c>
      <c r="F15" s="2">
        <f>IFERROR(__xludf.DUMMYFUNCTION("""COMPUTED_VALUE"""),8.1760313E7)</f>
        <v>81760313</v>
      </c>
    </row>
    <row r="16">
      <c r="A16" s="3">
        <f>IFERROR(__xludf.DUMMYFUNCTION("""COMPUTED_VALUE"""),44950.66666666667)</f>
        <v>44950.66667</v>
      </c>
      <c r="B16" s="2">
        <f>IFERROR(__xludf.DUMMYFUNCTION("""COMPUTED_VALUE"""),140.31)</f>
        <v>140.31</v>
      </c>
      <c r="C16" s="2">
        <f>IFERROR(__xludf.DUMMYFUNCTION("""COMPUTED_VALUE"""),143.16)</f>
        <v>143.16</v>
      </c>
      <c r="D16" s="2">
        <f>IFERROR(__xludf.DUMMYFUNCTION("""COMPUTED_VALUE"""),140.3)</f>
        <v>140.3</v>
      </c>
      <c r="E16" s="2">
        <f>IFERROR(__xludf.DUMMYFUNCTION("""COMPUTED_VALUE"""),142.53)</f>
        <v>142.53</v>
      </c>
      <c r="F16" s="2">
        <f>IFERROR(__xludf.DUMMYFUNCTION("""COMPUTED_VALUE"""),6.6435142E7)</f>
        <v>66435142</v>
      </c>
    </row>
    <row r="17">
      <c r="A17" s="3">
        <f>IFERROR(__xludf.DUMMYFUNCTION("""COMPUTED_VALUE"""),44951.66666666667)</f>
        <v>44951.66667</v>
      </c>
      <c r="B17" s="2">
        <f>IFERROR(__xludf.DUMMYFUNCTION("""COMPUTED_VALUE"""),140.89)</f>
        <v>140.89</v>
      </c>
      <c r="C17" s="2">
        <f>IFERROR(__xludf.DUMMYFUNCTION("""COMPUTED_VALUE"""),142.43)</f>
        <v>142.43</v>
      </c>
      <c r="D17" s="2">
        <f>IFERROR(__xludf.DUMMYFUNCTION("""COMPUTED_VALUE"""),138.81)</f>
        <v>138.81</v>
      </c>
      <c r="E17" s="2">
        <f>IFERROR(__xludf.DUMMYFUNCTION("""COMPUTED_VALUE"""),141.86)</f>
        <v>141.86</v>
      </c>
      <c r="F17" s="2">
        <f>IFERROR(__xludf.DUMMYFUNCTION("""COMPUTED_VALUE"""),6.5799349E7)</f>
        <v>65799349</v>
      </c>
    </row>
    <row r="18">
      <c r="A18" s="3">
        <f>IFERROR(__xludf.DUMMYFUNCTION("""COMPUTED_VALUE"""),44952.66666666667)</f>
        <v>44952.66667</v>
      </c>
      <c r="B18" s="2">
        <f>IFERROR(__xludf.DUMMYFUNCTION("""COMPUTED_VALUE"""),143.17)</f>
        <v>143.17</v>
      </c>
      <c r="C18" s="2">
        <f>IFERROR(__xludf.DUMMYFUNCTION("""COMPUTED_VALUE"""),144.25)</f>
        <v>144.25</v>
      </c>
      <c r="D18" s="2">
        <f>IFERROR(__xludf.DUMMYFUNCTION("""COMPUTED_VALUE"""),141.9)</f>
        <v>141.9</v>
      </c>
      <c r="E18" s="2">
        <f>IFERROR(__xludf.DUMMYFUNCTION("""COMPUTED_VALUE"""),143.96)</f>
        <v>143.96</v>
      </c>
      <c r="F18" s="2">
        <f>IFERROR(__xludf.DUMMYFUNCTION("""COMPUTED_VALUE"""),5.4105068E7)</f>
        <v>54105068</v>
      </c>
    </row>
    <row r="19">
      <c r="A19" s="3">
        <f>IFERROR(__xludf.DUMMYFUNCTION("""COMPUTED_VALUE"""),44953.66666666667)</f>
        <v>44953.66667</v>
      </c>
      <c r="B19" s="2">
        <f>IFERROR(__xludf.DUMMYFUNCTION("""COMPUTED_VALUE"""),143.16)</f>
        <v>143.16</v>
      </c>
      <c r="C19" s="2">
        <f>IFERROR(__xludf.DUMMYFUNCTION("""COMPUTED_VALUE"""),147.23)</f>
        <v>147.23</v>
      </c>
      <c r="D19" s="2">
        <f>IFERROR(__xludf.DUMMYFUNCTION("""COMPUTED_VALUE"""),143.08)</f>
        <v>143.08</v>
      </c>
      <c r="E19" s="2">
        <f>IFERROR(__xludf.DUMMYFUNCTION("""COMPUTED_VALUE"""),145.93)</f>
        <v>145.93</v>
      </c>
      <c r="F19" s="2">
        <f>IFERROR(__xludf.DUMMYFUNCTION("""COMPUTED_VALUE"""),7.0555843E7)</f>
        <v>70555843</v>
      </c>
    </row>
    <row r="20">
      <c r="A20" s="3">
        <f>IFERROR(__xludf.DUMMYFUNCTION("""COMPUTED_VALUE"""),44956.66666666667)</f>
        <v>44956.66667</v>
      </c>
      <c r="B20" s="2">
        <f>IFERROR(__xludf.DUMMYFUNCTION("""COMPUTED_VALUE"""),144.96)</f>
        <v>144.96</v>
      </c>
      <c r="C20" s="2">
        <f>IFERROR(__xludf.DUMMYFUNCTION("""COMPUTED_VALUE"""),145.55)</f>
        <v>145.55</v>
      </c>
      <c r="D20" s="2">
        <f>IFERROR(__xludf.DUMMYFUNCTION("""COMPUTED_VALUE"""),142.85)</f>
        <v>142.85</v>
      </c>
      <c r="E20" s="2">
        <f>IFERROR(__xludf.DUMMYFUNCTION("""COMPUTED_VALUE"""),143.0)</f>
        <v>143</v>
      </c>
      <c r="F20" s="2">
        <f>IFERROR(__xludf.DUMMYFUNCTION("""COMPUTED_VALUE"""),6.4015274E7)</f>
        <v>64015274</v>
      </c>
    </row>
    <row r="21">
      <c r="A21" s="3">
        <f>IFERROR(__xludf.DUMMYFUNCTION("""COMPUTED_VALUE"""),44957.66666666667)</f>
        <v>44957.66667</v>
      </c>
      <c r="B21" s="2">
        <f>IFERROR(__xludf.DUMMYFUNCTION("""COMPUTED_VALUE"""),142.7)</f>
        <v>142.7</v>
      </c>
      <c r="C21" s="2">
        <f>IFERROR(__xludf.DUMMYFUNCTION("""COMPUTED_VALUE"""),144.34)</f>
        <v>144.34</v>
      </c>
      <c r="D21" s="2">
        <f>IFERROR(__xludf.DUMMYFUNCTION("""COMPUTED_VALUE"""),142.28)</f>
        <v>142.28</v>
      </c>
      <c r="E21" s="2">
        <f>IFERROR(__xludf.DUMMYFUNCTION("""COMPUTED_VALUE"""),144.29)</f>
        <v>144.29</v>
      </c>
      <c r="F21" s="2">
        <f>IFERROR(__xludf.DUMMYFUNCTION("""COMPUTED_VALUE"""),6.5874459E7)</f>
        <v>65874459</v>
      </c>
    </row>
    <row r="22">
      <c r="A22" s="3">
        <f>IFERROR(__xludf.DUMMYFUNCTION("""COMPUTED_VALUE"""),44958.66666666667)</f>
        <v>44958.66667</v>
      </c>
      <c r="B22" s="2">
        <f>IFERROR(__xludf.DUMMYFUNCTION("""COMPUTED_VALUE"""),143.97)</f>
        <v>143.97</v>
      </c>
      <c r="C22" s="2">
        <f>IFERROR(__xludf.DUMMYFUNCTION("""COMPUTED_VALUE"""),146.61)</f>
        <v>146.61</v>
      </c>
      <c r="D22" s="2">
        <f>IFERROR(__xludf.DUMMYFUNCTION("""COMPUTED_VALUE"""),141.32)</f>
        <v>141.32</v>
      </c>
      <c r="E22" s="2">
        <f>IFERROR(__xludf.DUMMYFUNCTION("""COMPUTED_VALUE"""),145.43)</f>
        <v>145.43</v>
      </c>
      <c r="F22" s="2">
        <f>IFERROR(__xludf.DUMMYFUNCTION("""COMPUTED_VALUE"""),7.7663633E7)</f>
        <v>77663633</v>
      </c>
    </row>
    <row r="23">
      <c r="A23" s="3">
        <f>IFERROR(__xludf.DUMMYFUNCTION("""COMPUTED_VALUE"""),44959.66666666667)</f>
        <v>44959.66667</v>
      </c>
      <c r="B23" s="2">
        <f>IFERROR(__xludf.DUMMYFUNCTION("""COMPUTED_VALUE"""),148.9)</f>
        <v>148.9</v>
      </c>
      <c r="C23" s="2">
        <f>IFERROR(__xludf.DUMMYFUNCTION("""COMPUTED_VALUE"""),151.18)</f>
        <v>151.18</v>
      </c>
      <c r="D23" s="2">
        <f>IFERROR(__xludf.DUMMYFUNCTION("""COMPUTED_VALUE"""),148.17)</f>
        <v>148.17</v>
      </c>
      <c r="E23" s="2">
        <f>IFERROR(__xludf.DUMMYFUNCTION("""COMPUTED_VALUE"""),150.82)</f>
        <v>150.82</v>
      </c>
      <c r="F23" s="2">
        <f>IFERROR(__xludf.DUMMYFUNCTION("""COMPUTED_VALUE"""),1.1833898E8)</f>
        <v>118338980</v>
      </c>
    </row>
    <row r="24">
      <c r="A24" s="3">
        <f>IFERROR(__xludf.DUMMYFUNCTION("""COMPUTED_VALUE"""),44960.66666666667)</f>
        <v>44960.66667</v>
      </c>
      <c r="B24" s="2">
        <f>IFERROR(__xludf.DUMMYFUNCTION("""COMPUTED_VALUE"""),148.03)</f>
        <v>148.03</v>
      </c>
      <c r="C24" s="2">
        <f>IFERROR(__xludf.DUMMYFUNCTION("""COMPUTED_VALUE"""),157.38)</f>
        <v>157.38</v>
      </c>
      <c r="D24" s="2">
        <f>IFERROR(__xludf.DUMMYFUNCTION("""COMPUTED_VALUE"""),147.83)</f>
        <v>147.83</v>
      </c>
      <c r="E24" s="2">
        <f>IFERROR(__xludf.DUMMYFUNCTION("""COMPUTED_VALUE"""),154.5)</f>
        <v>154.5</v>
      </c>
      <c r="F24" s="2">
        <f>IFERROR(__xludf.DUMMYFUNCTION("""COMPUTED_VALUE"""),1.54357337E8)</f>
        <v>154357337</v>
      </c>
    </row>
    <row r="25">
      <c r="A25" s="3">
        <f>IFERROR(__xludf.DUMMYFUNCTION("""COMPUTED_VALUE"""),44963.66666666667)</f>
        <v>44963.66667</v>
      </c>
      <c r="B25" s="2">
        <f>IFERROR(__xludf.DUMMYFUNCTION("""COMPUTED_VALUE"""),152.57)</f>
        <v>152.57</v>
      </c>
      <c r="C25" s="2">
        <f>IFERROR(__xludf.DUMMYFUNCTION("""COMPUTED_VALUE"""),153.1)</f>
        <v>153.1</v>
      </c>
      <c r="D25" s="2">
        <f>IFERROR(__xludf.DUMMYFUNCTION("""COMPUTED_VALUE"""),150.78)</f>
        <v>150.78</v>
      </c>
      <c r="E25" s="2">
        <f>IFERROR(__xludf.DUMMYFUNCTION("""COMPUTED_VALUE"""),151.73)</f>
        <v>151.73</v>
      </c>
      <c r="F25" s="2">
        <f>IFERROR(__xludf.DUMMYFUNCTION("""COMPUTED_VALUE"""),6.9858306E7)</f>
        <v>69858306</v>
      </c>
    </row>
    <row r="26">
      <c r="A26" s="3">
        <f>IFERROR(__xludf.DUMMYFUNCTION("""COMPUTED_VALUE"""),44964.66666666667)</f>
        <v>44964.66667</v>
      </c>
      <c r="B26" s="2">
        <f>IFERROR(__xludf.DUMMYFUNCTION("""COMPUTED_VALUE"""),150.64)</f>
        <v>150.64</v>
      </c>
      <c r="C26" s="2">
        <f>IFERROR(__xludf.DUMMYFUNCTION("""COMPUTED_VALUE"""),155.23)</f>
        <v>155.23</v>
      </c>
      <c r="D26" s="2">
        <f>IFERROR(__xludf.DUMMYFUNCTION("""COMPUTED_VALUE"""),150.64)</f>
        <v>150.64</v>
      </c>
      <c r="E26" s="2">
        <f>IFERROR(__xludf.DUMMYFUNCTION("""COMPUTED_VALUE"""),154.65)</f>
        <v>154.65</v>
      </c>
      <c r="F26" s="2">
        <f>IFERROR(__xludf.DUMMYFUNCTION("""COMPUTED_VALUE"""),8.3322551E7)</f>
        <v>83322551</v>
      </c>
    </row>
    <row r="27">
      <c r="A27" s="3">
        <f>IFERROR(__xludf.DUMMYFUNCTION("""COMPUTED_VALUE"""),44965.66666666667)</f>
        <v>44965.66667</v>
      </c>
      <c r="B27" s="2">
        <f>IFERROR(__xludf.DUMMYFUNCTION("""COMPUTED_VALUE"""),153.88)</f>
        <v>153.88</v>
      </c>
      <c r="C27" s="2">
        <f>IFERROR(__xludf.DUMMYFUNCTION("""COMPUTED_VALUE"""),154.58)</f>
        <v>154.58</v>
      </c>
      <c r="D27" s="2">
        <f>IFERROR(__xludf.DUMMYFUNCTION("""COMPUTED_VALUE"""),151.17)</f>
        <v>151.17</v>
      </c>
      <c r="E27" s="2">
        <f>IFERROR(__xludf.DUMMYFUNCTION("""COMPUTED_VALUE"""),151.92)</f>
        <v>151.92</v>
      </c>
      <c r="F27" s="2">
        <f>IFERROR(__xludf.DUMMYFUNCTION("""COMPUTED_VALUE"""),6.4120079E7)</f>
        <v>64120079</v>
      </c>
    </row>
    <row r="28">
      <c r="A28" s="3">
        <f>IFERROR(__xludf.DUMMYFUNCTION("""COMPUTED_VALUE"""),44966.66666666667)</f>
        <v>44966.66667</v>
      </c>
      <c r="B28" s="2">
        <f>IFERROR(__xludf.DUMMYFUNCTION("""COMPUTED_VALUE"""),153.78)</f>
        <v>153.78</v>
      </c>
      <c r="C28" s="2">
        <f>IFERROR(__xludf.DUMMYFUNCTION("""COMPUTED_VALUE"""),154.33)</f>
        <v>154.33</v>
      </c>
      <c r="D28" s="2">
        <f>IFERROR(__xludf.DUMMYFUNCTION("""COMPUTED_VALUE"""),150.42)</f>
        <v>150.42</v>
      </c>
      <c r="E28" s="2">
        <f>IFERROR(__xludf.DUMMYFUNCTION("""COMPUTED_VALUE"""),150.87)</f>
        <v>150.87</v>
      </c>
      <c r="F28" s="2">
        <f>IFERROR(__xludf.DUMMYFUNCTION("""COMPUTED_VALUE"""),5.6007143E7)</f>
        <v>56007143</v>
      </c>
    </row>
    <row r="29">
      <c r="A29" s="3">
        <f>IFERROR(__xludf.DUMMYFUNCTION("""COMPUTED_VALUE"""),44967.66666666667)</f>
        <v>44967.66667</v>
      </c>
      <c r="B29" s="2">
        <f>IFERROR(__xludf.DUMMYFUNCTION("""COMPUTED_VALUE"""),149.46)</f>
        <v>149.46</v>
      </c>
      <c r="C29" s="2">
        <f>IFERROR(__xludf.DUMMYFUNCTION("""COMPUTED_VALUE"""),151.34)</f>
        <v>151.34</v>
      </c>
      <c r="D29" s="2">
        <f>IFERROR(__xludf.DUMMYFUNCTION("""COMPUTED_VALUE"""),149.22)</f>
        <v>149.22</v>
      </c>
      <c r="E29" s="2">
        <f>IFERROR(__xludf.DUMMYFUNCTION("""COMPUTED_VALUE"""),151.01)</f>
        <v>151.01</v>
      </c>
      <c r="F29" s="2">
        <f>IFERROR(__xludf.DUMMYFUNCTION("""COMPUTED_VALUE"""),5.7450708E7)</f>
        <v>57450708</v>
      </c>
    </row>
    <row r="30">
      <c r="A30" s="3">
        <f>IFERROR(__xludf.DUMMYFUNCTION("""COMPUTED_VALUE"""),44970.66666666667)</f>
        <v>44970.66667</v>
      </c>
      <c r="B30" s="2">
        <f>IFERROR(__xludf.DUMMYFUNCTION("""COMPUTED_VALUE"""),150.95)</f>
        <v>150.95</v>
      </c>
      <c r="C30" s="2">
        <f>IFERROR(__xludf.DUMMYFUNCTION("""COMPUTED_VALUE"""),154.26)</f>
        <v>154.26</v>
      </c>
      <c r="D30" s="2">
        <f>IFERROR(__xludf.DUMMYFUNCTION("""COMPUTED_VALUE"""),150.92)</f>
        <v>150.92</v>
      </c>
      <c r="E30" s="2">
        <f>IFERROR(__xludf.DUMMYFUNCTION("""COMPUTED_VALUE"""),153.85)</f>
        <v>153.85</v>
      </c>
      <c r="F30" s="2">
        <f>IFERROR(__xludf.DUMMYFUNCTION("""COMPUTED_VALUE"""),6.2199013E7)</f>
        <v>62199013</v>
      </c>
    </row>
    <row r="31">
      <c r="A31" s="3">
        <f>IFERROR(__xludf.DUMMYFUNCTION("""COMPUTED_VALUE"""),44971.66666666667)</f>
        <v>44971.66667</v>
      </c>
      <c r="B31" s="2">
        <f>IFERROR(__xludf.DUMMYFUNCTION("""COMPUTED_VALUE"""),152.12)</f>
        <v>152.12</v>
      </c>
      <c r="C31" s="2">
        <f>IFERROR(__xludf.DUMMYFUNCTION("""COMPUTED_VALUE"""),153.77)</f>
        <v>153.77</v>
      </c>
      <c r="D31" s="2">
        <f>IFERROR(__xludf.DUMMYFUNCTION("""COMPUTED_VALUE"""),150.86)</f>
        <v>150.86</v>
      </c>
      <c r="E31" s="2">
        <f>IFERROR(__xludf.DUMMYFUNCTION("""COMPUTED_VALUE"""),153.2)</f>
        <v>153.2</v>
      </c>
      <c r="F31" s="2">
        <f>IFERROR(__xludf.DUMMYFUNCTION("""COMPUTED_VALUE"""),6.1707573E7)</f>
        <v>61707573</v>
      </c>
    </row>
    <row r="32">
      <c r="A32" s="3">
        <f>IFERROR(__xludf.DUMMYFUNCTION("""COMPUTED_VALUE"""),44972.66666666667)</f>
        <v>44972.66667</v>
      </c>
      <c r="B32" s="2">
        <f>IFERROR(__xludf.DUMMYFUNCTION("""COMPUTED_VALUE"""),153.11)</f>
        <v>153.11</v>
      </c>
      <c r="C32" s="2">
        <f>IFERROR(__xludf.DUMMYFUNCTION("""COMPUTED_VALUE"""),155.5)</f>
        <v>155.5</v>
      </c>
      <c r="D32" s="2">
        <f>IFERROR(__xludf.DUMMYFUNCTION("""COMPUTED_VALUE"""),152.88)</f>
        <v>152.88</v>
      </c>
      <c r="E32" s="2">
        <f>IFERROR(__xludf.DUMMYFUNCTION("""COMPUTED_VALUE"""),155.33)</f>
        <v>155.33</v>
      </c>
      <c r="F32" s="2">
        <f>IFERROR(__xludf.DUMMYFUNCTION("""COMPUTED_VALUE"""),6.5669252E7)</f>
        <v>65669252</v>
      </c>
    </row>
    <row r="33">
      <c r="A33" s="3">
        <f>IFERROR(__xludf.DUMMYFUNCTION("""COMPUTED_VALUE"""),44973.66666666667)</f>
        <v>44973.66667</v>
      </c>
      <c r="B33" s="2">
        <f>IFERROR(__xludf.DUMMYFUNCTION("""COMPUTED_VALUE"""),153.51)</f>
        <v>153.51</v>
      </c>
      <c r="C33" s="2">
        <f>IFERROR(__xludf.DUMMYFUNCTION("""COMPUTED_VALUE"""),156.33)</f>
        <v>156.33</v>
      </c>
      <c r="D33" s="2">
        <f>IFERROR(__xludf.DUMMYFUNCTION("""COMPUTED_VALUE"""),153.35)</f>
        <v>153.35</v>
      </c>
      <c r="E33" s="2">
        <f>IFERROR(__xludf.DUMMYFUNCTION("""COMPUTED_VALUE"""),153.71)</f>
        <v>153.71</v>
      </c>
      <c r="F33" s="2">
        <f>IFERROR(__xludf.DUMMYFUNCTION("""COMPUTED_VALUE"""),6.8167942E7)</f>
        <v>68167942</v>
      </c>
    </row>
    <row r="34">
      <c r="A34" s="3">
        <f>IFERROR(__xludf.DUMMYFUNCTION("""COMPUTED_VALUE"""),44974.66666666667)</f>
        <v>44974.66667</v>
      </c>
      <c r="B34" s="2">
        <f>IFERROR(__xludf.DUMMYFUNCTION("""COMPUTED_VALUE"""),152.35)</f>
        <v>152.35</v>
      </c>
      <c r="C34" s="2">
        <f>IFERROR(__xludf.DUMMYFUNCTION("""COMPUTED_VALUE"""),153.0)</f>
        <v>153</v>
      </c>
      <c r="D34" s="2">
        <f>IFERROR(__xludf.DUMMYFUNCTION("""COMPUTED_VALUE"""),150.85)</f>
        <v>150.85</v>
      </c>
      <c r="E34" s="2">
        <f>IFERROR(__xludf.DUMMYFUNCTION("""COMPUTED_VALUE"""),152.55)</f>
        <v>152.55</v>
      </c>
      <c r="F34" s="2">
        <f>IFERROR(__xludf.DUMMYFUNCTION("""COMPUTED_VALUE"""),5.9144118E7)</f>
        <v>59144118</v>
      </c>
    </row>
    <row r="35">
      <c r="A35" s="3">
        <f>IFERROR(__xludf.DUMMYFUNCTION("""COMPUTED_VALUE"""),44978.66666666667)</f>
        <v>44978.66667</v>
      </c>
      <c r="B35" s="2">
        <f>IFERROR(__xludf.DUMMYFUNCTION("""COMPUTED_VALUE"""),150.2)</f>
        <v>150.2</v>
      </c>
      <c r="C35" s="2">
        <f>IFERROR(__xludf.DUMMYFUNCTION("""COMPUTED_VALUE"""),151.3)</f>
        <v>151.3</v>
      </c>
      <c r="D35" s="2">
        <f>IFERROR(__xludf.DUMMYFUNCTION("""COMPUTED_VALUE"""),148.41)</f>
        <v>148.41</v>
      </c>
      <c r="E35" s="2">
        <f>IFERROR(__xludf.DUMMYFUNCTION("""COMPUTED_VALUE"""),148.48)</f>
        <v>148.48</v>
      </c>
      <c r="F35" s="2">
        <f>IFERROR(__xludf.DUMMYFUNCTION("""COMPUTED_VALUE"""),5.886723E7)</f>
        <v>58867230</v>
      </c>
    </row>
    <row r="36">
      <c r="A36" s="3">
        <f>IFERROR(__xludf.DUMMYFUNCTION("""COMPUTED_VALUE"""),44979.66666666667)</f>
        <v>44979.66667</v>
      </c>
      <c r="B36" s="2">
        <f>IFERROR(__xludf.DUMMYFUNCTION("""COMPUTED_VALUE"""),148.87)</f>
        <v>148.87</v>
      </c>
      <c r="C36" s="2">
        <f>IFERROR(__xludf.DUMMYFUNCTION("""COMPUTED_VALUE"""),149.95)</f>
        <v>149.95</v>
      </c>
      <c r="D36" s="2">
        <f>IFERROR(__xludf.DUMMYFUNCTION("""COMPUTED_VALUE"""),147.16)</f>
        <v>147.16</v>
      </c>
      <c r="E36" s="2">
        <f>IFERROR(__xludf.DUMMYFUNCTION("""COMPUTED_VALUE"""),148.91)</f>
        <v>148.91</v>
      </c>
      <c r="F36" s="2">
        <f>IFERROR(__xludf.DUMMYFUNCTION("""COMPUTED_VALUE"""),5.1011305E7)</f>
        <v>51011305</v>
      </c>
    </row>
    <row r="37">
      <c r="A37" s="3">
        <f>IFERROR(__xludf.DUMMYFUNCTION("""COMPUTED_VALUE"""),44980.66666666667)</f>
        <v>44980.66667</v>
      </c>
      <c r="B37" s="2">
        <f>IFERROR(__xludf.DUMMYFUNCTION("""COMPUTED_VALUE"""),150.09)</f>
        <v>150.09</v>
      </c>
      <c r="C37" s="2">
        <f>IFERROR(__xludf.DUMMYFUNCTION("""COMPUTED_VALUE"""),150.34)</f>
        <v>150.34</v>
      </c>
      <c r="D37" s="2">
        <f>IFERROR(__xludf.DUMMYFUNCTION("""COMPUTED_VALUE"""),147.24)</f>
        <v>147.24</v>
      </c>
      <c r="E37" s="2">
        <f>IFERROR(__xludf.DUMMYFUNCTION("""COMPUTED_VALUE"""),149.4)</f>
        <v>149.4</v>
      </c>
      <c r="F37" s="2">
        <f>IFERROR(__xludf.DUMMYFUNCTION("""COMPUTED_VALUE"""),4.8394249E7)</f>
        <v>48394249</v>
      </c>
    </row>
    <row r="38">
      <c r="A38" s="3">
        <f>IFERROR(__xludf.DUMMYFUNCTION("""COMPUTED_VALUE"""),44981.66666666667)</f>
        <v>44981.66667</v>
      </c>
      <c r="B38" s="2">
        <f>IFERROR(__xludf.DUMMYFUNCTION("""COMPUTED_VALUE"""),147.11)</f>
        <v>147.11</v>
      </c>
      <c r="C38" s="2">
        <f>IFERROR(__xludf.DUMMYFUNCTION("""COMPUTED_VALUE"""),147.19)</f>
        <v>147.19</v>
      </c>
      <c r="D38" s="2">
        <f>IFERROR(__xludf.DUMMYFUNCTION("""COMPUTED_VALUE"""),145.72)</f>
        <v>145.72</v>
      </c>
      <c r="E38" s="2">
        <f>IFERROR(__xludf.DUMMYFUNCTION("""COMPUTED_VALUE"""),146.71)</f>
        <v>146.71</v>
      </c>
      <c r="F38" s="2">
        <f>IFERROR(__xludf.DUMMYFUNCTION("""COMPUTED_VALUE"""),5.5469606E7)</f>
        <v>55469606</v>
      </c>
    </row>
    <row r="39">
      <c r="A39" s="3">
        <f>IFERROR(__xludf.DUMMYFUNCTION("""COMPUTED_VALUE"""),44984.66666666667)</f>
        <v>44984.66667</v>
      </c>
      <c r="B39" s="2">
        <f>IFERROR(__xludf.DUMMYFUNCTION("""COMPUTED_VALUE"""),147.71)</f>
        <v>147.71</v>
      </c>
      <c r="C39" s="2">
        <f>IFERROR(__xludf.DUMMYFUNCTION("""COMPUTED_VALUE"""),149.17)</f>
        <v>149.17</v>
      </c>
      <c r="D39" s="2">
        <f>IFERROR(__xludf.DUMMYFUNCTION("""COMPUTED_VALUE"""),147.45)</f>
        <v>147.45</v>
      </c>
      <c r="E39" s="2">
        <f>IFERROR(__xludf.DUMMYFUNCTION("""COMPUTED_VALUE"""),147.92)</f>
        <v>147.92</v>
      </c>
      <c r="F39" s="2">
        <f>IFERROR(__xludf.DUMMYFUNCTION("""COMPUTED_VALUE"""),4.499847E7)</f>
        <v>44998470</v>
      </c>
    </row>
    <row r="40">
      <c r="A40" s="3">
        <f>IFERROR(__xludf.DUMMYFUNCTION("""COMPUTED_VALUE"""),44985.66666666667)</f>
        <v>44985.66667</v>
      </c>
      <c r="B40" s="2">
        <f>IFERROR(__xludf.DUMMYFUNCTION("""COMPUTED_VALUE"""),147.05)</f>
        <v>147.05</v>
      </c>
      <c r="C40" s="2">
        <f>IFERROR(__xludf.DUMMYFUNCTION("""COMPUTED_VALUE"""),149.08)</f>
        <v>149.08</v>
      </c>
      <c r="D40" s="2">
        <f>IFERROR(__xludf.DUMMYFUNCTION("""COMPUTED_VALUE"""),146.83)</f>
        <v>146.83</v>
      </c>
      <c r="E40" s="2">
        <f>IFERROR(__xludf.DUMMYFUNCTION("""COMPUTED_VALUE"""),147.41)</f>
        <v>147.41</v>
      </c>
      <c r="F40" s="2">
        <f>IFERROR(__xludf.DUMMYFUNCTION("""COMPUTED_VALUE"""),5.0546998E7)</f>
        <v>50546998</v>
      </c>
    </row>
    <row r="41">
      <c r="A41" s="3">
        <f>IFERROR(__xludf.DUMMYFUNCTION("""COMPUTED_VALUE"""),44986.66666666667)</f>
        <v>44986.66667</v>
      </c>
      <c r="B41" s="2">
        <f>IFERROR(__xludf.DUMMYFUNCTION("""COMPUTED_VALUE"""),146.83)</f>
        <v>146.83</v>
      </c>
      <c r="C41" s="2">
        <f>IFERROR(__xludf.DUMMYFUNCTION("""COMPUTED_VALUE"""),147.23)</f>
        <v>147.23</v>
      </c>
      <c r="D41" s="2">
        <f>IFERROR(__xludf.DUMMYFUNCTION("""COMPUTED_VALUE"""),145.01)</f>
        <v>145.01</v>
      </c>
      <c r="E41" s="2">
        <f>IFERROR(__xludf.DUMMYFUNCTION("""COMPUTED_VALUE"""),145.31)</f>
        <v>145.31</v>
      </c>
      <c r="F41" s="2">
        <f>IFERROR(__xludf.DUMMYFUNCTION("""COMPUTED_VALUE"""),5.5478991E7)</f>
        <v>55478991</v>
      </c>
    </row>
    <row r="42">
      <c r="A42" s="3">
        <f>IFERROR(__xludf.DUMMYFUNCTION("""COMPUTED_VALUE"""),44987.66666666667)</f>
        <v>44987.66667</v>
      </c>
      <c r="B42" s="2">
        <f>IFERROR(__xludf.DUMMYFUNCTION("""COMPUTED_VALUE"""),144.38)</f>
        <v>144.38</v>
      </c>
      <c r="C42" s="2">
        <f>IFERROR(__xludf.DUMMYFUNCTION("""COMPUTED_VALUE"""),146.71)</f>
        <v>146.71</v>
      </c>
      <c r="D42" s="2">
        <f>IFERROR(__xludf.DUMMYFUNCTION("""COMPUTED_VALUE"""),143.9)</f>
        <v>143.9</v>
      </c>
      <c r="E42" s="2">
        <f>IFERROR(__xludf.DUMMYFUNCTION("""COMPUTED_VALUE"""),145.91)</f>
        <v>145.91</v>
      </c>
      <c r="F42" s="2">
        <f>IFERROR(__xludf.DUMMYFUNCTION("""COMPUTED_VALUE"""),5.2279761E7)</f>
        <v>52279761</v>
      </c>
    </row>
    <row r="43">
      <c r="A43" s="3">
        <f>IFERROR(__xludf.DUMMYFUNCTION("""COMPUTED_VALUE"""),44988.66666666667)</f>
        <v>44988.66667</v>
      </c>
      <c r="B43" s="2">
        <f>IFERROR(__xludf.DUMMYFUNCTION("""COMPUTED_VALUE"""),148.04)</f>
        <v>148.04</v>
      </c>
      <c r="C43" s="2">
        <f>IFERROR(__xludf.DUMMYFUNCTION("""COMPUTED_VALUE"""),151.11)</f>
        <v>151.11</v>
      </c>
      <c r="D43" s="2">
        <f>IFERROR(__xludf.DUMMYFUNCTION("""COMPUTED_VALUE"""),147.33)</f>
        <v>147.33</v>
      </c>
      <c r="E43" s="2">
        <f>IFERROR(__xludf.DUMMYFUNCTION("""COMPUTED_VALUE"""),151.03)</f>
        <v>151.03</v>
      </c>
      <c r="F43" s="2">
        <f>IFERROR(__xludf.DUMMYFUNCTION("""COMPUTED_VALUE"""),7.0732297E7)</f>
        <v>70732297</v>
      </c>
    </row>
    <row r="44">
      <c r="A44" s="3">
        <f>IFERROR(__xludf.DUMMYFUNCTION("""COMPUTED_VALUE"""),44991.66666666667)</f>
        <v>44991.66667</v>
      </c>
      <c r="B44" s="2">
        <f>IFERROR(__xludf.DUMMYFUNCTION("""COMPUTED_VALUE"""),153.79)</f>
        <v>153.79</v>
      </c>
      <c r="C44" s="2">
        <f>IFERROR(__xludf.DUMMYFUNCTION("""COMPUTED_VALUE"""),156.3)</f>
        <v>156.3</v>
      </c>
      <c r="D44" s="2">
        <f>IFERROR(__xludf.DUMMYFUNCTION("""COMPUTED_VALUE"""),153.46)</f>
        <v>153.46</v>
      </c>
      <c r="E44" s="2">
        <f>IFERROR(__xludf.DUMMYFUNCTION("""COMPUTED_VALUE"""),153.83)</f>
        <v>153.83</v>
      </c>
      <c r="F44" s="2">
        <f>IFERROR(__xludf.DUMMYFUNCTION("""COMPUTED_VALUE"""),8.7558028E7)</f>
        <v>87558028</v>
      </c>
    </row>
    <row r="45">
      <c r="A45" s="3">
        <f>IFERROR(__xludf.DUMMYFUNCTION("""COMPUTED_VALUE"""),44992.66666666667)</f>
        <v>44992.66667</v>
      </c>
      <c r="B45" s="2">
        <f>IFERROR(__xludf.DUMMYFUNCTION("""COMPUTED_VALUE"""),153.7)</f>
        <v>153.7</v>
      </c>
      <c r="C45" s="2">
        <f>IFERROR(__xludf.DUMMYFUNCTION("""COMPUTED_VALUE"""),154.03)</f>
        <v>154.03</v>
      </c>
      <c r="D45" s="2">
        <f>IFERROR(__xludf.DUMMYFUNCTION("""COMPUTED_VALUE"""),151.13)</f>
        <v>151.13</v>
      </c>
      <c r="E45" s="2">
        <f>IFERROR(__xludf.DUMMYFUNCTION("""COMPUTED_VALUE"""),151.6)</f>
        <v>151.6</v>
      </c>
      <c r="F45" s="2">
        <f>IFERROR(__xludf.DUMMYFUNCTION("""COMPUTED_VALUE"""),5.6182028E7)</f>
        <v>56182028</v>
      </c>
    </row>
    <row r="46">
      <c r="A46" s="3">
        <f>IFERROR(__xludf.DUMMYFUNCTION("""COMPUTED_VALUE"""),44993.66666666667)</f>
        <v>44993.66667</v>
      </c>
      <c r="B46" s="2">
        <f>IFERROR(__xludf.DUMMYFUNCTION("""COMPUTED_VALUE"""),152.81)</f>
        <v>152.81</v>
      </c>
      <c r="C46" s="2">
        <f>IFERROR(__xludf.DUMMYFUNCTION("""COMPUTED_VALUE"""),153.47)</f>
        <v>153.47</v>
      </c>
      <c r="D46" s="2">
        <f>IFERROR(__xludf.DUMMYFUNCTION("""COMPUTED_VALUE"""),151.83)</f>
        <v>151.83</v>
      </c>
      <c r="E46" s="2">
        <f>IFERROR(__xludf.DUMMYFUNCTION("""COMPUTED_VALUE"""),152.87)</f>
        <v>152.87</v>
      </c>
      <c r="F46" s="2">
        <f>IFERROR(__xludf.DUMMYFUNCTION("""COMPUTED_VALUE"""),4.7204791E7)</f>
        <v>47204791</v>
      </c>
    </row>
    <row r="47">
      <c r="A47" s="3">
        <f>IFERROR(__xludf.DUMMYFUNCTION("""COMPUTED_VALUE"""),44994.66666666667)</f>
        <v>44994.66667</v>
      </c>
      <c r="B47" s="2">
        <f>IFERROR(__xludf.DUMMYFUNCTION("""COMPUTED_VALUE"""),153.56)</f>
        <v>153.56</v>
      </c>
      <c r="C47" s="2">
        <f>IFERROR(__xludf.DUMMYFUNCTION("""COMPUTED_VALUE"""),154.54)</f>
        <v>154.54</v>
      </c>
      <c r="D47" s="2">
        <f>IFERROR(__xludf.DUMMYFUNCTION("""COMPUTED_VALUE"""),150.23)</f>
        <v>150.23</v>
      </c>
      <c r="E47" s="2">
        <f>IFERROR(__xludf.DUMMYFUNCTION("""COMPUTED_VALUE"""),150.59)</f>
        <v>150.59</v>
      </c>
      <c r="F47" s="2">
        <f>IFERROR(__xludf.DUMMYFUNCTION("""COMPUTED_VALUE"""),5.3833582E7)</f>
        <v>53833582</v>
      </c>
    </row>
    <row r="48">
      <c r="A48" s="3">
        <f>IFERROR(__xludf.DUMMYFUNCTION("""COMPUTED_VALUE"""),44995.66666666667)</f>
        <v>44995.66667</v>
      </c>
      <c r="B48" s="2">
        <f>IFERROR(__xludf.DUMMYFUNCTION("""COMPUTED_VALUE"""),150.21)</f>
        <v>150.21</v>
      </c>
      <c r="C48" s="2">
        <f>IFERROR(__xludf.DUMMYFUNCTION("""COMPUTED_VALUE"""),150.94)</f>
        <v>150.94</v>
      </c>
      <c r="D48" s="2">
        <f>IFERROR(__xludf.DUMMYFUNCTION("""COMPUTED_VALUE"""),147.61)</f>
        <v>147.61</v>
      </c>
      <c r="E48" s="2">
        <f>IFERROR(__xludf.DUMMYFUNCTION("""COMPUTED_VALUE"""),148.5)</f>
        <v>148.5</v>
      </c>
      <c r="F48" s="2">
        <f>IFERROR(__xludf.DUMMYFUNCTION("""COMPUTED_VALUE"""),6.85724E7)</f>
        <v>68572400</v>
      </c>
    </row>
    <row r="49">
      <c r="A49" s="3">
        <f>IFERROR(__xludf.DUMMYFUNCTION("""COMPUTED_VALUE"""),44998.66666666667)</f>
        <v>44998.66667</v>
      </c>
      <c r="B49" s="2">
        <f>IFERROR(__xludf.DUMMYFUNCTION("""COMPUTED_VALUE"""),147.81)</f>
        <v>147.81</v>
      </c>
      <c r="C49" s="2">
        <f>IFERROR(__xludf.DUMMYFUNCTION("""COMPUTED_VALUE"""),153.14)</f>
        <v>153.14</v>
      </c>
      <c r="D49" s="2">
        <f>IFERROR(__xludf.DUMMYFUNCTION("""COMPUTED_VALUE"""),147.7)</f>
        <v>147.7</v>
      </c>
      <c r="E49" s="2">
        <f>IFERROR(__xludf.DUMMYFUNCTION("""COMPUTED_VALUE"""),150.47)</f>
        <v>150.47</v>
      </c>
      <c r="F49" s="2">
        <f>IFERROR(__xludf.DUMMYFUNCTION("""COMPUTED_VALUE"""),8.4457122E7)</f>
        <v>84457122</v>
      </c>
    </row>
    <row r="50">
      <c r="A50" s="3">
        <f>IFERROR(__xludf.DUMMYFUNCTION("""COMPUTED_VALUE"""),44999.66666666667)</f>
        <v>44999.66667</v>
      </c>
      <c r="B50" s="2">
        <f>IFERROR(__xludf.DUMMYFUNCTION("""COMPUTED_VALUE"""),151.28)</f>
        <v>151.28</v>
      </c>
      <c r="C50" s="2">
        <f>IFERROR(__xludf.DUMMYFUNCTION("""COMPUTED_VALUE"""),153.4)</f>
        <v>153.4</v>
      </c>
      <c r="D50" s="2">
        <f>IFERROR(__xludf.DUMMYFUNCTION("""COMPUTED_VALUE"""),150.1)</f>
        <v>150.1</v>
      </c>
      <c r="E50" s="2">
        <f>IFERROR(__xludf.DUMMYFUNCTION("""COMPUTED_VALUE"""),152.59)</f>
        <v>152.59</v>
      </c>
      <c r="F50" s="2">
        <f>IFERROR(__xludf.DUMMYFUNCTION("""COMPUTED_VALUE"""),7.3695893E7)</f>
        <v>73695893</v>
      </c>
    </row>
    <row r="51">
      <c r="A51" s="3">
        <f>IFERROR(__xludf.DUMMYFUNCTION("""COMPUTED_VALUE"""),45000.66666666667)</f>
        <v>45000.66667</v>
      </c>
      <c r="B51" s="2">
        <f>IFERROR(__xludf.DUMMYFUNCTION("""COMPUTED_VALUE"""),151.19)</f>
        <v>151.19</v>
      </c>
      <c r="C51" s="2">
        <f>IFERROR(__xludf.DUMMYFUNCTION("""COMPUTED_VALUE"""),153.25)</f>
        <v>153.25</v>
      </c>
      <c r="D51" s="2">
        <f>IFERROR(__xludf.DUMMYFUNCTION("""COMPUTED_VALUE"""),149.92)</f>
        <v>149.92</v>
      </c>
      <c r="E51" s="2">
        <f>IFERROR(__xludf.DUMMYFUNCTION("""COMPUTED_VALUE"""),152.99)</f>
        <v>152.99</v>
      </c>
      <c r="F51" s="2">
        <f>IFERROR(__xludf.DUMMYFUNCTION("""COMPUTED_VALUE"""),7.7167866E7)</f>
        <v>77167866</v>
      </c>
    </row>
    <row r="52">
      <c r="A52" s="3">
        <f>IFERROR(__xludf.DUMMYFUNCTION("""COMPUTED_VALUE"""),45001.66666666667)</f>
        <v>45001.66667</v>
      </c>
      <c r="B52" s="2">
        <f>IFERROR(__xludf.DUMMYFUNCTION("""COMPUTED_VALUE"""),152.16)</f>
        <v>152.16</v>
      </c>
      <c r="C52" s="2">
        <f>IFERROR(__xludf.DUMMYFUNCTION("""COMPUTED_VALUE"""),156.46)</f>
        <v>156.46</v>
      </c>
      <c r="D52" s="2">
        <f>IFERROR(__xludf.DUMMYFUNCTION("""COMPUTED_VALUE"""),151.64)</f>
        <v>151.64</v>
      </c>
      <c r="E52" s="2">
        <f>IFERROR(__xludf.DUMMYFUNCTION("""COMPUTED_VALUE"""),155.85)</f>
        <v>155.85</v>
      </c>
      <c r="F52" s="2">
        <f>IFERROR(__xludf.DUMMYFUNCTION("""COMPUTED_VALUE"""),7.6254419E7)</f>
        <v>76254419</v>
      </c>
    </row>
    <row r="53">
      <c r="A53" s="3">
        <f>IFERROR(__xludf.DUMMYFUNCTION("""COMPUTED_VALUE"""),45002.66666666667)</f>
        <v>45002.66667</v>
      </c>
      <c r="B53" s="2">
        <f>IFERROR(__xludf.DUMMYFUNCTION("""COMPUTED_VALUE"""),156.08)</f>
        <v>156.08</v>
      </c>
      <c r="C53" s="2">
        <f>IFERROR(__xludf.DUMMYFUNCTION("""COMPUTED_VALUE"""),156.74)</f>
        <v>156.74</v>
      </c>
      <c r="D53" s="2">
        <f>IFERROR(__xludf.DUMMYFUNCTION("""COMPUTED_VALUE"""),154.28)</f>
        <v>154.28</v>
      </c>
      <c r="E53" s="2">
        <f>IFERROR(__xludf.DUMMYFUNCTION("""COMPUTED_VALUE"""),155.0)</f>
        <v>155</v>
      </c>
      <c r="F53" s="2">
        <f>IFERROR(__xludf.DUMMYFUNCTION("""COMPUTED_VALUE"""),9.8944633E7)</f>
        <v>98944633</v>
      </c>
    </row>
    <row r="54">
      <c r="A54" s="3">
        <f>IFERROR(__xludf.DUMMYFUNCTION("""COMPUTED_VALUE"""),45005.66666666667)</f>
        <v>45005.66667</v>
      </c>
      <c r="B54" s="2">
        <f>IFERROR(__xludf.DUMMYFUNCTION("""COMPUTED_VALUE"""),155.07)</f>
        <v>155.07</v>
      </c>
      <c r="C54" s="2">
        <f>IFERROR(__xludf.DUMMYFUNCTION("""COMPUTED_VALUE"""),157.82)</f>
        <v>157.82</v>
      </c>
      <c r="D54" s="2">
        <f>IFERROR(__xludf.DUMMYFUNCTION("""COMPUTED_VALUE"""),154.15)</f>
        <v>154.15</v>
      </c>
      <c r="E54" s="2">
        <f>IFERROR(__xludf.DUMMYFUNCTION("""COMPUTED_VALUE"""),157.4)</f>
        <v>157.4</v>
      </c>
      <c r="F54" s="2">
        <f>IFERROR(__xludf.DUMMYFUNCTION("""COMPUTED_VALUE"""),7.3641415E7)</f>
        <v>73641415</v>
      </c>
    </row>
    <row r="55">
      <c r="A55" s="3">
        <f>IFERROR(__xludf.DUMMYFUNCTION("""COMPUTED_VALUE"""),45006.66666666667)</f>
        <v>45006.66667</v>
      </c>
      <c r="B55" s="2">
        <f>IFERROR(__xludf.DUMMYFUNCTION("""COMPUTED_VALUE"""),157.32)</f>
        <v>157.32</v>
      </c>
      <c r="C55" s="2">
        <f>IFERROR(__xludf.DUMMYFUNCTION("""COMPUTED_VALUE"""),159.4)</f>
        <v>159.4</v>
      </c>
      <c r="D55" s="2">
        <f>IFERROR(__xludf.DUMMYFUNCTION("""COMPUTED_VALUE"""),156.54)</f>
        <v>156.54</v>
      </c>
      <c r="E55" s="2">
        <f>IFERROR(__xludf.DUMMYFUNCTION("""COMPUTED_VALUE"""),159.28)</f>
        <v>159.28</v>
      </c>
      <c r="F55" s="2">
        <f>IFERROR(__xludf.DUMMYFUNCTION("""COMPUTED_VALUE"""),7.3938285E7)</f>
        <v>73938285</v>
      </c>
    </row>
    <row r="56">
      <c r="A56" s="3">
        <f>IFERROR(__xludf.DUMMYFUNCTION("""COMPUTED_VALUE"""),45007.66666666667)</f>
        <v>45007.66667</v>
      </c>
      <c r="B56" s="2">
        <f>IFERROR(__xludf.DUMMYFUNCTION("""COMPUTED_VALUE"""),159.3)</f>
        <v>159.3</v>
      </c>
      <c r="C56" s="2">
        <f>IFERROR(__xludf.DUMMYFUNCTION("""COMPUTED_VALUE"""),162.14)</f>
        <v>162.14</v>
      </c>
      <c r="D56" s="2">
        <f>IFERROR(__xludf.DUMMYFUNCTION("""COMPUTED_VALUE"""),157.81)</f>
        <v>157.81</v>
      </c>
      <c r="E56" s="2">
        <f>IFERROR(__xludf.DUMMYFUNCTION("""COMPUTED_VALUE"""),157.83)</f>
        <v>157.83</v>
      </c>
      <c r="F56" s="2">
        <f>IFERROR(__xludf.DUMMYFUNCTION("""COMPUTED_VALUE"""),7.5701811E7)</f>
        <v>75701811</v>
      </c>
    </row>
    <row r="57">
      <c r="A57" s="3">
        <f>IFERROR(__xludf.DUMMYFUNCTION("""COMPUTED_VALUE"""),45008.66666666667)</f>
        <v>45008.66667</v>
      </c>
      <c r="B57" s="2">
        <f>IFERROR(__xludf.DUMMYFUNCTION("""COMPUTED_VALUE"""),158.83)</f>
        <v>158.83</v>
      </c>
      <c r="C57" s="2">
        <f>IFERROR(__xludf.DUMMYFUNCTION("""COMPUTED_VALUE"""),161.55)</f>
        <v>161.55</v>
      </c>
      <c r="D57" s="2">
        <f>IFERROR(__xludf.DUMMYFUNCTION("""COMPUTED_VALUE"""),157.68)</f>
        <v>157.68</v>
      </c>
      <c r="E57" s="2">
        <f>IFERROR(__xludf.DUMMYFUNCTION("""COMPUTED_VALUE"""),158.93)</f>
        <v>158.93</v>
      </c>
      <c r="F57" s="2">
        <f>IFERROR(__xludf.DUMMYFUNCTION("""COMPUTED_VALUE"""),6.762206E7)</f>
        <v>67622060</v>
      </c>
    </row>
    <row r="58">
      <c r="A58" s="3">
        <f>IFERROR(__xludf.DUMMYFUNCTION("""COMPUTED_VALUE"""),45009.66666666667)</f>
        <v>45009.66667</v>
      </c>
      <c r="B58" s="2">
        <f>IFERROR(__xludf.DUMMYFUNCTION("""COMPUTED_VALUE"""),158.86)</f>
        <v>158.86</v>
      </c>
      <c r="C58" s="2">
        <f>IFERROR(__xludf.DUMMYFUNCTION("""COMPUTED_VALUE"""),160.34)</f>
        <v>160.34</v>
      </c>
      <c r="D58" s="2">
        <f>IFERROR(__xludf.DUMMYFUNCTION("""COMPUTED_VALUE"""),157.85)</f>
        <v>157.85</v>
      </c>
      <c r="E58" s="2">
        <f>IFERROR(__xludf.DUMMYFUNCTION("""COMPUTED_VALUE"""),160.25)</f>
        <v>160.25</v>
      </c>
      <c r="F58" s="2">
        <f>IFERROR(__xludf.DUMMYFUNCTION("""COMPUTED_VALUE"""),5.9256343E7)</f>
        <v>59256343</v>
      </c>
    </row>
    <row r="59">
      <c r="A59" s="3">
        <f>IFERROR(__xludf.DUMMYFUNCTION("""COMPUTED_VALUE"""),45012.66666666667)</f>
        <v>45012.66667</v>
      </c>
      <c r="B59" s="2">
        <f>IFERROR(__xludf.DUMMYFUNCTION("""COMPUTED_VALUE"""),159.94)</f>
        <v>159.94</v>
      </c>
      <c r="C59" s="2">
        <f>IFERROR(__xludf.DUMMYFUNCTION("""COMPUTED_VALUE"""),160.77)</f>
        <v>160.77</v>
      </c>
      <c r="D59" s="2">
        <f>IFERROR(__xludf.DUMMYFUNCTION("""COMPUTED_VALUE"""),157.87)</f>
        <v>157.87</v>
      </c>
      <c r="E59" s="2">
        <f>IFERROR(__xludf.DUMMYFUNCTION("""COMPUTED_VALUE"""),158.28)</f>
        <v>158.28</v>
      </c>
      <c r="F59" s="2">
        <f>IFERROR(__xludf.DUMMYFUNCTION("""COMPUTED_VALUE"""),5.2390266E7)</f>
        <v>52390266</v>
      </c>
    </row>
    <row r="60">
      <c r="A60" s="3">
        <f>IFERROR(__xludf.DUMMYFUNCTION("""COMPUTED_VALUE"""),45013.66666666667)</f>
        <v>45013.66667</v>
      </c>
      <c r="B60" s="2">
        <f>IFERROR(__xludf.DUMMYFUNCTION("""COMPUTED_VALUE"""),157.97)</f>
        <v>157.97</v>
      </c>
      <c r="C60" s="2">
        <f>IFERROR(__xludf.DUMMYFUNCTION("""COMPUTED_VALUE"""),158.49)</f>
        <v>158.49</v>
      </c>
      <c r="D60" s="2">
        <f>IFERROR(__xludf.DUMMYFUNCTION("""COMPUTED_VALUE"""),155.98)</f>
        <v>155.98</v>
      </c>
      <c r="E60" s="2">
        <f>IFERROR(__xludf.DUMMYFUNCTION("""COMPUTED_VALUE"""),157.65)</f>
        <v>157.65</v>
      </c>
      <c r="F60" s="2">
        <f>IFERROR(__xludf.DUMMYFUNCTION("""COMPUTED_VALUE"""),4.5992152E7)</f>
        <v>45992152</v>
      </c>
    </row>
    <row r="61">
      <c r="A61" s="3">
        <f>IFERROR(__xludf.DUMMYFUNCTION("""COMPUTED_VALUE"""),45014.66666666667)</f>
        <v>45014.66667</v>
      </c>
      <c r="B61" s="2">
        <f>IFERROR(__xludf.DUMMYFUNCTION("""COMPUTED_VALUE"""),159.37)</f>
        <v>159.37</v>
      </c>
      <c r="C61" s="2">
        <f>IFERROR(__xludf.DUMMYFUNCTION("""COMPUTED_VALUE"""),161.05)</f>
        <v>161.05</v>
      </c>
      <c r="D61" s="2">
        <f>IFERROR(__xludf.DUMMYFUNCTION("""COMPUTED_VALUE"""),159.35)</f>
        <v>159.35</v>
      </c>
      <c r="E61" s="2">
        <f>IFERROR(__xludf.DUMMYFUNCTION("""COMPUTED_VALUE"""),160.77)</f>
        <v>160.77</v>
      </c>
      <c r="F61" s="2">
        <f>IFERROR(__xludf.DUMMYFUNCTION("""COMPUTED_VALUE"""),5.1305691E7)</f>
        <v>51305691</v>
      </c>
    </row>
    <row r="62">
      <c r="A62" s="3">
        <f>IFERROR(__xludf.DUMMYFUNCTION("""COMPUTED_VALUE"""),45015.66666666667)</f>
        <v>45015.66667</v>
      </c>
      <c r="B62" s="2">
        <f>IFERROR(__xludf.DUMMYFUNCTION("""COMPUTED_VALUE"""),161.53)</f>
        <v>161.53</v>
      </c>
      <c r="C62" s="2">
        <f>IFERROR(__xludf.DUMMYFUNCTION("""COMPUTED_VALUE"""),162.47)</f>
        <v>162.47</v>
      </c>
      <c r="D62" s="2">
        <f>IFERROR(__xludf.DUMMYFUNCTION("""COMPUTED_VALUE"""),161.27)</f>
        <v>161.27</v>
      </c>
      <c r="E62" s="2">
        <f>IFERROR(__xludf.DUMMYFUNCTION("""COMPUTED_VALUE"""),162.36)</f>
        <v>162.36</v>
      </c>
      <c r="F62" s="2">
        <f>IFERROR(__xludf.DUMMYFUNCTION("""COMPUTED_VALUE"""),4.9501689E7)</f>
        <v>49501689</v>
      </c>
    </row>
    <row r="63">
      <c r="A63" s="3">
        <f>IFERROR(__xludf.DUMMYFUNCTION("""COMPUTED_VALUE"""),45016.66666666667)</f>
        <v>45016.66667</v>
      </c>
      <c r="B63" s="2">
        <f>IFERROR(__xludf.DUMMYFUNCTION("""COMPUTED_VALUE"""),162.44)</f>
        <v>162.44</v>
      </c>
      <c r="C63" s="2">
        <f>IFERROR(__xludf.DUMMYFUNCTION("""COMPUTED_VALUE"""),165.0)</f>
        <v>165</v>
      </c>
      <c r="D63" s="2">
        <f>IFERROR(__xludf.DUMMYFUNCTION("""COMPUTED_VALUE"""),161.91)</f>
        <v>161.91</v>
      </c>
      <c r="E63" s="2">
        <f>IFERROR(__xludf.DUMMYFUNCTION("""COMPUTED_VALUE"""),164.9)</f>
        <v>164.9</v>
      </c>
      <c r="F63" s="2">
        <f>IFERROR(__xludf.DUMMYFUNCTION("""COMPUTED_VALUE"""),6.8749792E7)</f>
        <v>68749792</v>
      </c>
    </row>
    <row r="64">
      <c r="A64" s="3">
        <f>IFERROR(__xludf.DUMMYFUNCTION("""COMPUTED_VALUE"""),45019.66666666667)</f>
        <v>45019.66667</v>
      </c>
      <c r="B64" s="2">
        <f>IFERROR(__xludf.DUMMYFUNCTION("""COMPUTED_VALUE"""),164.27)</f>
        <v>164.27</v>
      </c>
      <c r="C64" s="2">
        <f>IFERROR(__xludf.DUMMYFUNCTION("""COMPUTED_VALUE"""),166.29)</f>
        <v>166.29</v>
      </c>
      <c r="D64" s="2">
        <f>IFERROR(__xludf.DUMMYFUNCTION("""COMPUTED_VALUE"""),164.22)</f>
        <v>164.22</v>
      </c>
      <c r="E64" s="2">
        <f>IFERROR(__xludf.DUMMYFUNCTION("""COMPUTED_VALUE"""),166.17)</f>
        <v>166.17</v>
      </c>
      <c r="F64" s="2">
        <f>IFERROR(__xludf.DUMMYFUNCTION("""COMPUTED_VALUE"""),5.6976187E7)</f>
        <v>56976187</v>
      </c>
    </row>
    <row r="65">
      <c r="A65" s="3">
        <f>IFERROR(__xludf.DUMMYFUNCTION("""COMPUTED_VALUE"""),45020.66666666667)</f>
        <v>45020.66667</v>
      </c>
      <c r="B65" s="2">
        <f>IFERROR(__xludf.DUMMYFUNCTION("""COMPUTED_VALUE"""),166.6)</f>
        <v>166.6</v>
      </c>
      <c r="C65" s="2">
        <f>IFERROR(__xludf.DUMMYFUNCTION("""COMPUTED_VALUE"""),166.84)</f>
        <v>166.84</v>
      </c>
      <c r="D65" s="2">
        <f>IFERROR(__xludf.DUMMYFUNCTION("""COMPUTED_VALUE"""),165.11)</f>
        <v>165.11</v>
      </c>
      <c r="E65" s="2">
        <f>IFERROR(__xludf.DUMMYFUNCTION("""COMPUTED_VALUE"""),165.63)</f>
        <v>165.63</v>
      </c>
      <c r="F65" s="2">
        <f>IFERROR(__xludf.DUMMYFUNCTION("""COMPUTED_VALUE"""),4.6278295E7)</f>
        <v>46278295</v>
      </c>
    </row>
    <row r="66">
      <c r="A66" s="3">
        <f>IFERROR(__xludf.DUMMYFUNCTION("""COMPUTED_VALUE"""),45021.66666666667)</f>
        <v>45021.66667</v>
      </c>
      <c r="B66" s="2">
        <f>IFERROR(__xludf.DUMMYFUNCTION("""COMPUTED_VALUE"""),164.74)</f>
        <v>164.74</v>
      </c>
      <c r="C66" s="2">
        <f>IFERROR(__xludf.DUMMYFUNCTION("""COMPUTED_VALUE"""),165.05)</f>
        <v>165.05</v>
      </c>
      <c r="D66" s="2">
        <f>IFERROR(__xludf.DUMMYFUNCTION("""COMPUTED_VALUE"""),161.8)</f>
        <v>161.8</v>
      </c>
      <c r="E66" s="2">
        <f>IFERROR(__xludf.DUMMYFUNCTION("""COMPUTED_VALUE"""),163.76)</f>
        <v>163.76</v>
      </c>
      <c r="F66" s="2">
        <f>IFERROR(__xludf.DUMMYFUNCTION("""COMPUTED_VALUE"""),5.1511744E7)</f>
        <v>51511744</v>
      </c>
    </row>
    <row r="67">
      <c r="A67" s="3">
        <f>IFERROR(__xludf.DUMMYFUNCTION("""COMPUTED_VALUE"""),45022.66666666667)</f>
        <v>45022.66667</v>
      </c>
      <c r="B67" s="2">
        <f>IFERROR(__xludf.DUMMYFUNCTION("""COMPUTED_VALUE"""),162.43)</f>
        <v>162.43</v>
      </c>
      <c r="C67" s="2">
        <f>IFERROR(__xludf.DUMMYFUNCTION("""COMPUTED_VALUE"""),164.96)</f>
        <v>164.96</v>
      </c>
      <c r="D67" s="2">
        <f>IFERROR(__xludf.DUMMYFUNCTION("""COMPUTED_VALUE"""),162.0)</f>
        <v>162</v>
      </c>
      <c r="E67" s="2">
        <f>IFERROR(__xludf.DUMMYFUNCTION("""COMPUTED_VALUE"""),164.66)</f>
        <v>164.66</v>
      </c>
      <c r="F67" s="2">
        <f>IFERROR(__xludf.DUMMYFUNCTION("""COMPUTED_VALUE"""),4.5390123E7)</f>
        <v>45390123</v>
      </c>
    </row>
    <row r="68">
      <c r="A68" s="3">
        <f>IFERROR(__xludf.DUMMYFUNCTION("""COMPUTED_VALUE"""),45026.66666666667)</f>
        <v>45026.66667</v>
      </c>
      <c r="B68" s="2">
        <f>IFERROR(__xludf.DUMMYFUNCTION("""COMPUTED_VALUE"""),161.42)</f>
        <v>161.42</v>
      </c>
      <c r="C68" s="2">
        <f>IFERROR(__xludf.DUMMYFUNCTION("""COMPUTED_VALUE"""),162.03)</f>
        <v>162.03</v>
      </c>
      <c r="D68" s="2">
        <f>IFERROR(__xludf.DUMMYFUNCTION("""COMPUTED_VALUE"""),160.08)</f>
        <v>160.08</v>
      </c>
      <c r="E68" s="2">
        <f>IFERROR(__xludf.DUMMYFUNCTION("""COMPUTED_VALUE"""),162.03)</f>
        <v>162.03</v>
      </c>
      <c r="F68" s="2">
        <f>IFERROR(__xludf.DUMMYFUNCTION("""COMPUTED_VALUE"""),4.7716882E7)</f>
        <v>47716882</v>
      </c>
    </row>
    <row r="69">
      <c r="A69" s="3">
        <f>IFERROR(__xludf.DUMMYFUNCTION("""COMPUTED_VALUE"""),45027.66666666667)</f>
        <v>45027.66667</v>
      </c>
      <c r="B69" s="2">
        <f>IFERROR(__xludf.DUMMYFUNCTION("""COMPUTED_VALUE"""),162.35)</f>
        <v>162.35</v>
      </c>
      <c r="C69" s="2">
        <f>IFERROR(__xludf.DUMMYFUNCTION("""COMPUTED_VALUE"""),162.36)</f>
        <v>162.36</v>
      </c>
      <c r="D69" s="2">
        <f>IFERROR(__xludf.DUMMYFUNCTION("""COMPUTED_VALUE"""),160.51)</f>
        <v>160.51</v>
      </c>
      <c r="E69" s="2">
        <f>IFERROR(__xludf.DUMMYFUNCTION("""COMPUTED_VALUE"""),160.8)</f>
        <v>160.8</v>
      </c>
      <c r="F69" s="2">
        <f>IFERROR(__xludf.DUMMYFUNCTION("""COMPUTED_VALUE"""),4.7644217E7)</f>
        <v>47644217</v>
      </c>
    </row>
    <row r="70">
      <c r="A70" s="3">
        <f>IFERROR(__xludf.DUMMYFUNCTION("""COMPUTED_VALUE"""),45028.66666666667)</f>
        <v>45028.66667</v>
      </c>
      <c r="B70" s="2">
        <f>IFERROR(__xludf.DUMMYFUNCTION("""COMPUTED_VALUE"""),161.22)</f>
        <v>161.22</v>
      </c>
      <c r="C70" s="2">
        <f>IFERROR(__xludf.DUMMYFUNCTION("""COMPUTED_VALUE"""),162.06)</f>
        <v>162.06</v>
      </c>
      <c r="D70" s="2">
        <f>IFERROR(__xludf.DUMMYFUNCTION("""COMPUTED_VALUE"""),159.78)</f>
        <v>159.78</v>
      </c>
      <c r="E70" s="2">
        <f>IFERROR(__xludf.DUMMYFUNCTION("""COMPUTED_VALUE"""),160.1)</f>
        <v>160.1</v>
      </c>
      <c r="F70" s="2">
        <f>IFERROR(__xludf.DUMMYFUNCTION("""COMPUTED_VALUE"""),5.0133062E7)</f>
        <v>50133062</v>
      </c>
    </row>
    <row r="71">
      <c r="A71" s="3">
        <f>IFERROR(__xludf.DUMMYFUNCTION("""COMPUTED_VALUE"""),45029.66666666667)</f>
        <v>45029.66667</v>
      </c>
      <c r="B71" s="2">
        <f>IFERROR(__xludf.DUMMYFUNCTION("""COMPUTED_VALUE"""),161.63)</f>
        <v>161.63</v>
      </c>
      <c r="C71" s="2">
        <f>IFERROR(__xludf.DUMMYFUNCTION("""COMPUTED_VALUE"""),165.8)</f>
        <v>165.8</v>
      </c>
      <c r="D71" s="2">
        <f>IFERROR(__xludf.DUMMYFUNCTION("""COMPUTED_VALUE"""),161.42)</f>
        <v>161.42</v>
      </c>
      <c r="E71" s="2">
        <f>IFERROR(__xludf.DUMMYFUNCTION("""COMPUTED_VALUE"""),165.56)</f>
        <v>165.56</v>
      </c>
      <c r="F71" s="2">
        <f>IFERROR(__xludf.DUMMYFUNCTION("""COMPUTED_VALUE"""),6.8445649E7)</f>
        <v>68445649</v>
      </c>
    </row>
    <row r="72">
      <c r="A72" s="3">
        <f>IFERROR(__xludf.DUMMYFUNCTION("""COMPUTED_VALUE"""),45030.66666666667)</f>
        <v>45030.66667</v>
      </c>
      <c r="B72" s="2">
        <f>IFERROR(__xludf.DUMMYFUNCTION("""COMPUTED_VALUE"""),164.59)</f>
        <v>164.59</v>
      </c>
      <c r="C72" s="2">
        <f>IFERROR(__xludf.DUMMYFUNCTION("""COMPUTED_VALUE"""),166.32)</f>
        <v>166.32</v>
      </c>
      <c r="D72" s="2">
        <f>IFERROR(__xludf.DUMMYFUNCTION("""COMPUTED_VALUE"""),163.82)</f>
        <v>163.82</v>
      </c>
      <c r="E72" s="2">
        <f>IFERROR(__xludf.DUMMYFUNCTION("""COMPUTED_VALUE"""),165.21)</f>
        <v>165.21</v>
      </c>
      <c r="F72" s="2">
        <f>IFERROR(__xludf.DUMMYFUNCTION("""COMPUTED_VALUE"""),4.938648E7)</f>
        <v>49386480</v>
      </c>
    </row>
    <row r="73">
      <c r="A73" s="3">
        <f>IFERROR(__xludf.DUMMYFUNCTION("""COMPUTED_VALUE"""),45033.66666666667)</f>
        <v>45033.66667</v>
      </c>
      <c r="B73" s="2">
        <f>IFERROR(__xludf.DUMMYFUNCTION("""COMPUTED_VALUE"""),165.09)</f>
        <v>165.09</v>
      </c>
      <c r="C73" s="2">
        <f>IFERROR(__xludf.DUMMYFUNCTION("""COMPUTED_VALUE"""),165.39)</f>
        <v>165.39</v>
      </c>
      <c r="D73" s="2">
        <f>IFERROR(__xludf.DUMMYFUNCTION("""COMPUTED_VALUE"""),164.03)</f>
        <v>164.03</v>
      </c>
      <c r="E73" s="2">
        <f>IFERROR(__xludf.DUMMYFUNCTION("""COMPUTED_VALUE"""),165.23)</f>
        <v>165.23</v>
      </c>
      <c r="F73" s="2">
        <f>IFERROR(__xludf.DUMMYFUNCTION("""COMPUTED_VALUE"""),4.1516217E7)</f>
        <v>41516217</v>
      </c>
    </row>
    <row r="74">
      <c r="A74" s="3">
        <f>IFERROR(__xludf.DUMMYFUNCTION("""COMPUTED_VALUE"""),45034.66666666667)</f>
        <v>45034.66667</v>
      </c>
      <c r="B74" s="2">
        <f>IFERROR(__xludf.DUMMYFUNCTION("""COMPUTED_VALUE"""),166.1)</f>
        <v>166.1</v>
      </c>
      <c r="C74" s="2">
        <f>IFERROR(__xludf.DUMMYFUNCTION("""COMPUTED_VALUE"""),167.41)</f>
        <v>167.41</v>
      </c>
      <c r="D74" s="2">
        <f>IFERROR(__xludf.DUMMYFUNCTION("""COMPUTED_VALUE"""),165.65)</f>
        <v>165.65</v>
      </c>
      <c r="E74" s="2">
        <f>IFERROR(__xludf.DUMMYFUNCTION("""COMPUTED_VALUE"""),166.47)</f>
        <v>166.47</v>
      </c>
      <c r="F74" s="2">
        <f>IFERROR(__xludf.DUMMYFUNCTION("""COMPUTED_VALUE"""),4.9923008E7)</f>
        <v>49923008</v>
      </c>
    </row>
    <row r="75">
      <c r="A75" s="3">
        <f>IFERROR(__xludf.DUMMYFUNCTION("""COMPUTED_VALUE"""),45035.66666666667)</f>
        <v>45035.66667</v>
      </c>
      <c r="B75" s="2">
        <f>IFERROR(__xludf.DUMMYFUNCTION("""COMPUTED_VALUE"""),165.8)</f>
        <v>165.8</v>
      </c>
      <c r="C75" s="2">
        <f>IFERROR(__xludf.DUMMYFUNCTION("""COMPUTED_VALUE"""),168.16)</f>
        <v>168.16</v>
      </c>
      <c r="D75" s="2">
        <f>IFERROR(__xludf.DUMMYFUNCTION("""COMPUTED_VALUE"""),165.54)</f>
        <v>165.54</v>
      </c>
      <c r="E75" s="2">
        <f>IFERROR(__xludf.DUMMYFUNCTION("""COMPUTED_VALUE"""),167.63)</f>
        <v>167.63</v>
      </c>
      <c r="F75" s="2">
        <f>IFERROR(__xludf.DUMMYFUNCTION("""COMPUTED_VALUE"""),4.7720166E7)</f>
        <v>47720166</v>
      </c>
    </row>
    <row r="76">
      <c r="A76" s="3">
        <f>IFERROR(__xludf.DUMMYFUNCTION("""COMPUTED_VALUE"""),45036.66666666667)</f>
        <v>45036.66667</v>
      </c>
      <c r="B76" s="2">
        <f>IFERROR(__xludf.DUMMYFUNCTION("""COMPUTED_VALUE"""),166.09)</f>
        <v>166.09</v>
      </c>
      <c r="C76" s="2">
        <f>IFERROR(__xludf.DUMMYFUNCTION("""COMPUTED_VALUE"""),167.87)</f>
        <v>167.87</v>
      </c>
      <c r="D76" s="2">
        <f>IFERROR(__xludf.DUMMYFUNCTION("""COMPUTED_VALUE"""),165.56)</f>
        <v>165.56</v>
      </c>
      <c r="E76" s="2">
        <f>IFERROR(__xludf.DUMMYFUNCTION("""COMPUTED_VALUE"""),166.65)</f>
        <v>166.65</v>
      </c>
      <c r="F76" s="2">
        <f>IFERROR(__xludf.DUMMYFUNCTION("""COMPUTED_VALUE"""),5.2456377E7)</f>
        <v>52456377</v>
      </c>
    </row>
    <row r="77">
      <c r="A77" s="3">
        <f>IFERROR(__xludf.DUMMYFUNCTION("""COMPUTED_VALUE"""),45037.66666666667)</f>
        <v>45037.66667</v>
      </c>
      <c r="B77" s="2">
        <f>IFERROR(__xludf.DUMMYFUNCTION("""COMPUTED_VALUE"""),165.05)</f>
        <v>165.05</v>
      </c>
      <c r="C77" s="2">
        <f>IFERROR(__xludf.DUMMYFUNCTION("""COMPUTED_VALUE"""),166.45)</f>
        <v>166.45</v>
      </c>
      <c r="D77" s="2">
        <f>IFERROR(__xludf.DUMMYFUNCTION("""COMPUTED_VALUE"""),164.49)</f>
        <v>164.49</v>
      </c>
      <c r="E77" s="2">
        <f>IFERROR(__xludf.DUMMYFUNCTION("""COMPUTED_VALUE"""),165.02)</f>
        <v>165.02</v>
      </c>
      <c r="F77" s="2">
        <f>IFERROR(__xludf.DUMMYFUNCTION("""COMPUTED_VALUE"""),5.8337341E7)</f>
        <v>58337341</v>
      </c>
    </row>
    <row r="78">
      <c r="A78" s="3">
        <f>IFERROR(__xludf.DUMMYFUNCTION("""COMPUTED_VALUE"""),45040.66666666667)</f>
        <v>45040.66667</v>
      </c>
      <c r="B78" s="2">
        <f>IFERROR(__xludf.DUMMYFUNCTION("""COMPUTED_VALUE"""),165.0)</f>
        <v>165</v>
      </c>
      <c r="C78" s="2">
        <f>IFERROR(__xludf.DUMMYFUNCTION("""COMPUTED_VALUE"""),165.6)</f>
        <v>165.6</v>
      </c>
      <c r="D78" s="2">
        <f>IFERROR(__xludf.DUMMYFUNCTION("""COMPUTED_VALUE"""),163.89)</f>
        <v>163.89</v>
      </c>
      <c r="E78" s="2">
        <f>IFERROR(__xludf.DUMMYFUNCTION("""COMPUTED_VALUE"""),165.33)</f>
        <v>165.33</v>
      </c>
      <c r="F78" s="2">
        <f>IFERROR(__xludf.DUMMYFUNCTION("""COMPUTED_VALUE"""),4.1949581E7)</f>
        <v>41949581</v>
      </c>
    </row>
    <row r="79">
      <c r="A79" s="3">
        <f>IFERROR(__xludf.DUMMYFUNCTION("""COMPUTED_VALUE"""),45041.66666666667)</f>
        <v>45041.66667</v>
      </c>
      <c r="B79" s="2">
        <f>IFERROR(__xludf.DUMMYFUNCTION("""COMPUTED_VALUE"""),165.19)</f>
        <v>165.19</v>
      </c>
      <c r="C79" s="2">
        <f>IFERROR(__xludf.DUMMYFUNCTION("""COMPUTED_VALUE"""),166.31)</f>
        <v>166.31</v>
      </c>
      <c r="D79" s="2">
        <f>IFERROR(__xludf.DUMMYFUNCTION("""COMPUTED_VALUE"""),163.73)</f>
        <v>163.73</v>
      </c>
      <c r="E79" s="2">
        <f>IFERROR(__xludf.DUMMYFUNCTION("""COMPUTED_VALUE"""),163.77)</f>
        <v>163.77</v>
      </c>
      <c r="F79" s="2">
        <f>IFERROR(__xludf.DUMMYFUNCTION("""COMPUTED_VALUE"""),4.8714063E7)</f>
        <v>48714063</v>
      </c>
    </row>
    <row r="80">
      <c r="A80" s="3">
        <f>IFERROR(__xludf.DUMMYFUNCTION("""COMPUTED_VALUE"""),45042.66666666667)</f>
        <v>45042.66667</v>
      </c>
      <c r="B80" s="2">
        <f>IFERROR(__xludf.DUMMYFUNCTION("""COMPUTED_VALUE"""),163.06)</f>
        <v>163.06</v>
      </c>
      <c r="C80" s="2">
        <f>IFERROR(__xludf.DUMMYFUNCTION("""COMPUTED_VALUE"""),165.28)</f>
        <v>165.28</v>
      </c>
      <c r="D80" s="2">
        <f>IFERROR(__xludf.DUMMYFUNCTION("""COMPUTED_VALUE"""),162.8)</f>
        <v>162.8</v>
      </c>
      <c r="E80" s="2">
        <f>IFERROR(__xludf.DUMMYFUNCTION("""COMPUTED_VALUE"""),163.76)</f>
        <v>163.76</v>
      </c>
      <c r="F80" s="2">
        <f>IFERROR(__xludf.DUMMYFUNCTION("""COMPUTED_VALUE"""),4.5498796E7)</f>
        <v>45498796</v>
      </c>
    </row>
    <row r="81">
      <c r="A81" s="3">
        <f>IFERROR(__xludf.DUMMYFUNCTION("""COMPUTED_VALUE"""),45043.66666666667)</f>
        <v>45043.66667</v>
      </c>
      <c r="B81" s="2">
        <f>IFERROR(__xludf.DUMMYFUNCTION("""COMPUTED_VALUE"""),165.19)</f>
        <v>165.19</v>
      </c>
      <c r="C81" s="2">
        <f>IFERROR(__xludf.DUMMYFUNCTION("""COMPUTED_VALUE"""),168.56)</f>
        <v>168.56</v>
      </c>
      <c r="D81" s="2">
        <f>IFERROR(__xludf.DUMMYFUNCTION("""COMPUTED_VALUE"""),165.19)</f>
        <v>165.19</v>
      </c>
      <c r="E81" s="2">
        <f>IFERROR(__xludf.DUMMYFUNCTION("""COMPUTED_VALUE"""),168.41)</f>
        <v>168.41</v>
      </c>
      <c r="F81" s="2">
        <f>IFERROR(__xludf.DUMMYFUNCTION("""COMPUTED_VALUE"""),6.4902329E7)</f>
        <v>64902329</v>
      </c>
    </row>
    <row r="82">
      <c r="A82" s="3">
        <f>IFERROR(__xludf.DUMMYFUNCTION("""COMPUTED_VALUE"""),45044.66666666667)</f>
        <v>45044.66667</v>
      </c>
      <c r="B82" s="2">
        <f>IFERROR(__xludf.DUMMYFUNCTION("""COMPUTED_VALUE"""),168.49)</f>
        <v>168.49</v>
      </c>
      <c r="C82" s="2">
        <f>IFERROR(__xludf.DUMMYFUNCTION("""COMPUTED_VALUE"""),169.85)</f>
        <v>169.85</v>
      </c>
      <c r="D82" s="2">
        <f>IFERROR(__xludf.DUMMYFUNCTION("""COMPUTED_VALUE"""),167.88)</f>
        <v>167.88</v>
      </c>
      <c r="E82" s="2">
        <f>IFERROR(__xludf.DUMMYFUNCTION("""COMPUTED_VALUE"""),169.68)</f>
        <v>169.68</v>
      </c>
      <c r="F82" s="2">
        <f>IFERROR(__xludf.DUMMYFUNCTION("""COMPUTED_VALUE"""),5.5275851E7)</f>
        <v>55275851</v>
      </c>
    </row>
    <row r="83">
      <c r="A83" s="3">
        <f>IFERROR(__xludf.DUMMYFUNCTION("""COMPUTED_VALUE"""),45047.66666666667)</f>
        <v>45047.66667</v>
      </c>
      <c r="B83" s="2">
        <f>IFERROR(__xludf.DUMMYFUNCTION("""COMPUTED_VALUE"""),169.28)</f>
        <v>169.28</v>
      </c>
      <c r="C83" s="2">
        <f>IFERROR(__xludf.DUMMYFUNCTION("""COMPUTED_VALUE"""),170.45)</f>
        <v>170.45</v>
      </c>
      <c r="D83" s="2">
        <f>IFERROR(__xludf.DUMMYFUNCTION("""COMPUTED_VALUE"""),168.64)</f>
        <v>168.64</v>
      </c>
      <c r="E83" s="2">
        <f>IFERROR(__xludf.DUMMYFUNCTION("""COMPUTED_VALUE"""),169.59)</f>
        <v>169.59</v>
      </c>
      <c r="F83" s="2">
        <f>IFERROR(__xludf.DUMMYFUNCTION("""COMPUTED_VALUE"""),5.2472936E7)</f>
        <v>52472936</v>
      </c>
    </row>
    <row r="84">
      <c r="A84" s="3">
        <f>IFERROR(__xludf.DUMMYFUNCTION("""COMPUTED_VALUE"""),45048.66666666667)</f>
        <v>45048.66667</v>
      </c>
      <c r="B84" s="2">
        <f>IFERROR(__xludf.DUMMYFUNCTION("""COMPUTED_VALUE"""),170.09)</f>
        <v>170.09</v>
      </c>
      <c r="C84" s="2">
        <f>IFERROR(__xludf.DUMMYFUNCTION("""COMPUTED_VALUE"""),170.35)</f>
        <v>170.35</v>
      </c>
      <c r="D84" s="2">
        <f>IFERROR(__xludf.DUMMYFUNCTION("""COMPUTED_VALUE"""),167.54)</f>
        <v>167.54</v>
      </c>
      <c r="E84" s="2">
        <f>IFERROR(__xludf.DUMMYFUNCTION("""COMPUTED_VALUE"""),168.54)</f>
        <v>168.54</v>
      </c>
      <c r="F84" s="2">
        <f>IFERROR(__xludf.DUMMYFUNCTION("""COMPUTED_VALUE"""),4.8425696E7)</f>
        <v>48425696</v>
      </c>
    </row>
    <row r="85">
      <c r="A85" s="3">
        <f>IFERROR(__xludf.DUMMYFUNCTION("""COMPUTED_VALUE"""),45049.66666666667)</f>
        <v>45049.66667</v>
      </c>
      <c r="B85" s="2">
        <f>IFERROR(__xludf.DUMMYFUNCTION("""COMPUTED_VALUE"""),169.5)</f>
        <v>169.5</v>
      </c>
      <c r="C85" s="2">
        <f>IFERROR(__xludf.DUMMYFUNCTION("""COMPUTED_VALUE"""),170.92)</f>
        <v>170.92</v>
      </c>
      <c r="D85" s="2">
        <f>IFERROR(__xludf.DUMMYFUNCTION("""COMPUTED_VALUE"""),167.16)</f>
        <v>167.16</v>
      </c>
      <c r="E85" s="2">
        <f>IFERROR(__xludf.DUMMYFUNCTION("""COMPUTED_VALUE"""),167.45)</f>
        <v>167.45</v>
      </c>
      <c r="F85" s="2">
        <f>IFERROR(__xludf.DUMMYFUNCTION("""COMPUTED_VALUE"""),6.5136018E7)</f>
        <v>65136018</v>
      </c>
    </row>
    <row r="86">
      <c r="A86" s="3">
        <f>IFERROR(__xludf.DUMMYFUNCTION("""COMPUTED_VALUE"""),45050.66666666667)</f>
        <v>45050.66667</v>
      </c>
      <c r="B86" s="2">
        <f>IFERROR(__xludf.DUMMYFUNCTION("""COMPUTED_VALUE"""),164.89)</f>
        <v>164.89</v>
      </c>
      <c r="C86" s="2">
        <f>IFERROR(__xludf.DUMMYFUNCTION("""COMPUTED_VALUE"""),167.04)</f>
        <v>167.04</v>
      </c>
      <c r="D86" s="2">
        <f>IFERROR(__xludf.DUMMYFUNCTION("""COMPUTED_VALUE"""),164.31)</f>
        <v>164.31</v>
      </c>
      <c r="E86" s="2">
        <f>IFERROR(__xludf.DUMMYFUNCTION("""COMPUTED_VALUE"""),165.79)</f>
        <v>165.79</v>
      </c>
      <c r="F86" s="2">
        <f>IFERROR(__xludf.DUMMYFUNCTION("""COMPUTED_VALUE"""),8.1235427E7)</f>
        <v>81235427</v>
      </c>
    </row>
    <row r="87">
      <c r="A87" s="3">
        <f>IFERROR(__xludf.DUMMYFUNCTION("""COMPUTED_VALUE"""),45051.66666666667)</f>
        <v>45051.66667</v>
      </c>
      <c r="B87" s="2">
        <f>IFERROR(__xludf.DUMMYFUNCTION("""COMPUTED_VALUE"""),170.98)</f>
        <v>170.98</v>
      </c>
      <c r="C87" s="2">
        <f>IFERROR(__xludf.DUMMYFUNCTION("""COMPUTED_VALUE"""),174.3)</f>
        <v>174.3</v>
      </c>
      <c r="D87" s="2">
        <f>IFERROR(__xludf.DUMMYFUNCTION("""COMPUTED_VALUE"""),170.76)</f>
        <v>170.76</v>
      </c>
      <c r="E87" s="2">
        <f>IFERROR(__xludf.DUMMYFUNCTION("""COMPUTED_VALUE"""),173.57)</f>
        <v>173.57</v>
      </c>
      <c r="F87" s="2">
        <f>IFERROR(__xludf.DUMMYFUNCTION("""COMPUTED_VALUE"""),1.13453171E8)</f>
        <v>113453171</v>
      </c>
    </row>
    <row r="88">
      <c r="A88" s="3">
        <f>IFERROR(__xludf.DUMMYFUNCTION("""COMPUTED_VALUE"""),45054.66666666667)</f>
        <v>45054.66667</v>
      </c>
      <c r="B88" s="2">
        <f>IFERROR(__xludf.DUMMYFUNCTION("""COMPUTED_VALUE"""),172.48)</f>
        <v>172.48</v>
      </c>
      <c r="C88" s="2">
        <f>IFERROR(__xludf.DUMMYFUNCTION("""COMPUTED_VALUE"""),173.85)</f>
        <v>173.85</v>
      </c>
      <c r="D88" s="2">
        <f>IFERROR(__xludf.DUMMYFUNCTION("""COMPUTED_VALUE"""),172.11)</f>
        <v>172.11</v>
      </c>
      <c r="E88" s="2">
        <f>IFERROR(__xludf.DUMMYFUNCTION("""COMPUTED_VALUE"""),173.5)</f>
        <v>173.5</v>
      </c>
      <c r="F88" s="2">
        <f>IFERROR(__xludf.DUMMYFUNCTION("""COMPUTED_VALUE"""),5.5962793E7)</f>
        <v>55962793</v>
      </c>
    </row>
    <row r="89">
      <c r="A89" s="3">
        <f>IFERROR(__xludf.DUMMYFUNCTION("""COMPUTED_VALUE"""),45055.66666666667)</f>
        <v>45055.66667</v>
      </c>
      <c r="B89" s="2">
        <f>IFERROR(__xludf.DUMMYFUNCTION("""COMPUTED_VALUE"""),173.05)</f>
        <v>173.05</v>
      </c>
      <c r="C89" s="2">
        <f>IFERROR(__xludf.DUMMYFUNCTION("""COMPUTED_VALUE"""),173.54)</f>
        <v>173.54</v>
      </c>
      <c r="D89" s="2">
        <f>IFERROR(__xludf.DUMMYFUNCTION("""COMPUTED_VALUE"""),171.6)</f>
        <v>171.6</v>
      </c>
      <c r="E89" s="2">
        <f>IFERROR(__xludf.DUMMYFUNCTION("""COMPUTED_VALUE"""),171.77)</f>
        <v>171.77</v>
      </c>
      <c r="F89" s="2">
        <f>IFERROR(__xludf.DUMMYFUNCTION("""COMPUTED_VALUE"""),4.5326874E7)</f>
        <v>45326874</v>
      </c>
    </row>
    <row r="90">
      <c r="A90" s="3">
        <f>IFERROR(__xludf.DUMMYFUNCTION("""COMPUTED_VALUE"""),45056.66666666667)</f>
        <v>45056.66667</v>
      </c>
      <c r="B90" s="2">
        <f>IFERROR(__xludf.DUMMYFUNCTION("""COMPUTED_VALUE"""),173.02)</f>
        <v>173.02</v>
      </c>
      <c r="C90" s="2">
        <f>IFERROR(__xludf.DUMMYFUNCTION("""COMPUTED_VALUE"""),174.03)</f>
        <v>174.03</v>
      </c>
      <c r="D90" s="2">
        <f>IFERROR(__xludf.DUMMYFUNCTION("""COMPUTED_VALUE"""),171.9)</f>
        <v>171.9</v>
      </c>
      <c r="E90" s="2">
        <f>IFERROR(__xludf.DUMMYFUNCTION("""COMPUTED_VALUE"""),173.56)</f>
        <v>173.56</v>
      </c>
      <c r="F90" s="2">
        <f>IFERROR(__xludf.DUMMYFUNCTION("""COMPUTED_VALUE"""),5.3724501E7)</f>
        <v>53724501</v>
      </c>
    </row>
    <row r="91">
      <c r="A91" s="3">
        <f>IFERROR(__xludf.DUMMYFUNCTION("""COMPUTED_VALUE"""),45057.66666666667)</f>
        <v>45057.66667</v>
      </c>
      <c r="B91" s="2">
        <f>IFERROR(__xludf.DUMMYFUNCTION("""COMPUTED_VALUE"""),173.85)</f>
        <v>173.85</v>
      </c>
      <c r="C91" s="2">
        <f>IFERROR(__xludf.DUMMYFUNCTION("""COMPUTED_VALUE"""),174.59)</f>
        <v>174.59</v>
      </c>
      <c r="D91" s="2">
        <f>IFERROR(__xludf.DUMMYFUNCTION("""COMPUTED_VALUE"""),172.17)</f>
        <v>172.17</v>
      </c>
      <c r="E91" s="2">
        <f>IFERROR(__xludf.DUMMYFUNCTION("""COMPUTED_VALUE"""),173.75)</f>
        <v>173.75</v>
      </c>
      <c r="F91" s="2">
        <f>IFERROR(__xludf.DUMMYFUNCTION("""COMPUTED_VALUE"""),4.9514676E7)</f>
        <v>49514676</v>
      </c>
    </row>
    <row r="92">
      <c r="A92" s="3">
        <f>IFERROR(__xludf.DUMMYFUNCTION("""COMPUTED_VALUE"""),45058.66666666667)</f>
        <v>45058.66667</v>
      </c>
      <c r="B92" s="2">
        <f>IFERROR(__xludf.DUMMYFUNCTION("""COMPUTED_VALUE"""),173.62)</f>
        <v>173.62</v>
      </c>
      <c r="C92" s="2">
        <f>IFERROR(__xludf.DUMMYFUNCTION("""COMPUTED_VALUE"""),174.06)</f>
        <v>174.06</v>
      </c>
      <c r="D92" s="2">
        <f>IFERROR(__xludf.DUMMYFUNCTION("""COMPUTED_VALUE"""),171.0)</f>
        <v>171</v>
      </c>
      <c r="E92" s="2">
        <f>IFERROR(__xludf.DUMMYFUNCTION("""COMPUTED_VALUE"""),172.57)</f>
        <v>172.57</v>
      </c>
      <c r="F92" s="2">
        <f>IFERROR(__xludf.DUMMYFUNCTION("""COMPUTED_VALUE"""),4.5533138E7)</f>
        <v>45533138</v>
      </c>
    </row>
    <row r="93">
      <c r="A93" s="3">
        <f>IFERROR(__xludf.DUMMYFUNCTION("""COMPUTED_VALUE"""),45061.66666666667)</f>
        <v>45061.66667</v>
      </c>
      <c r="B93" s="2">
        <f>IFERROR(__xludf.DUMMYFUNCTION("""COMPUTED_VALUE"""),173.16)</f>
        <v>173.16</v>
      </c>
      <c r="C93" s="2">
        <f>IFERROR(__xludf.DUMMYFUNCTION("""COMPUTED_VALUE"""),173.21)</f>
        <v>173.21</v>
      </c>
      <c r="D93" s="2">
        <f>IFERROR(__xludf.DUMMYFUNCTION("""COMPUTED_VALUE"""),171.47)</f>
        <v>171.47</v>
      </c>
      <c r="E93" s="2">
        <f>IFERROR(__xludf.DUMMYFUNCTION("""COMPUTED_VALUE"""),172.07)</f>
        <v>172.07</v>
      </c>
      <c r="F93" s="2">
        <f>IFERROR(__xludf.DUMMYFUNCTION("""COMPUTED_VALUE"""),3.7266659E7)</f>
        <v>37266659</v>
      </c>
    </row>
    <row r="94">
      <c r="A94" s="3">
        <f>IFERROR(__xludf.DUMMYFUNCTION("""COMPUTED_VALUE"""),45062.66666666667)</f>
        <v>45062.66667</v>
      </c>
      <c r="B94" s="2">
        <f>IFERROR(__xludf.DUMMYFUNCTION("""COMPUTED_VALUE"""),171.99)</f>
        <v>171.99</v>
      </c>
      <c r="C94" s="2">
        <f>IFERROR(__xludf.DUMMYFUNCTION("""COMPUTED_VALUE"""),173.14)</f>
        <v>173.14</v>
      </c>
      <c r="D94" s="2">
        <f>IFERROR(__xludf.DUMMYFUNCTION("""COMPUTED_VALUE"""),171.8)</f>
        <v>171.8</v>
      </c>
      <c r="E94" s="2">
        <f>IFERROR(__xludf.DUMMYFUNCTION("""COMPUTED_VALUE"""),172.07)</f>
        <v>172.07</v>
      </c>
      <c r="F94" s="2">
        <f>IFERROR(__xludf.DUMMYFUNCTION("""COMPUTED_VALUE"""),4.2110293E7)</f>
        <v>42110293</v>
      </c>
    </row>
    <row r="95">
      <c r="A95" s="3">
        <f>IFERROR(__xludf.DUMMYFUNCTION("""COMPUTED_VALUE"""),45063.66666666667)</f>
        <v>45063.66667</v>
      </c>
      <c r="B95" s="2">
        <f>IFERROR(__xludf.DUMMYFUNCTION("""COMPUTED_VALUE"""),171.71)</f>
        <v>171.71</v>
      </c>
      <c r="C95" s="2">
        <f>IFERROR(__xludf.DUMMYFUNCTION("""COMPUTED_VALUE"""),172.93)</f>
        <v>172.93</v>
      </c>
      <c r="D95" s="2">
        <f>IFERROR(__xludf.DUMMYFUNCTION("""COMPUTED_VALUE"""),170.42)</f>
        <v>170.42</v>
      </c>
      <c r="E95" s="2">
        <f>IFERROR(__xludf.DUMMYFUNCTION("""COMPUTED_VALUE"""),172.69)</f>
        <v>172.69</v>
      </c>
      <c r="F95" s="2">
        <f>IFERROR(__xludf.DUMMYFUNCTION("""COMPUTED_VALUE"""),5.7951604E7)</f>
        <v>57951604</v>
      </c>
    </row>
    <row r="96">
      <c r="A96" s="3">
        <f>IFERROR(__xludf.DUMMYFUNCTION("""COMPUTED_VALUE"""),45064.66666666667)</f>
        <v>45064.66667</v>
      </c>
      <c r="B96" s="2">
        <f>IFERROR(__xludf.DUMMYFUNCTION("""COMPUTED_VALUE"""),173.0)</f>
        <v>173</v>
      </c>
      <c r="C96" s="2">
        <f>IFERROR(__xludf.DUMMYFUNCTION("""COMPUTED_VALUE"""),175.24)</f>
        <v>175.24</v>
      </c>
      <c r="D96" s="2">
        <f>IFERROR(__xludf.DUMMYFUNCTION("""COMPUTED_VALUE"""),172.58)</f>
        <v>172.58</v>
      </c>
      <c r="E96" s="2">
        <f>IFERROR(__xludf.DUMMYFUNCTION("""COMPUTED_VALUE"""),175.05)</f>
        <v>175.05</v>
      </c>
      <c r="F96" s="2">
        <f>IFERROR(__xludf.DUMMYFUNCTION("""COMPUTED_VALUE"""),6.5496657E7)</f>
        <v>65496657</v>
      </c>
    </row>
    <row r="97">
      <c r="A97" s="3">
        <f>IFERROR(__xludf.DUMMYFUNCTION("""COMPUTED_VALUE"""),45065.66666666667)</f>
        <v>45065.66667</v>
      </c>
      <c r="B97" s="2">
        <f>IFERROR(__xludf.DUMMYFUNCTION("""COMPUTED_VALUE"""),176.39)</f>
        <v>176.39</v>
      </c>
      <c r="C97" s="2">
        <f>IFERROR(__xludf.DUMMYFUNCTION("""COMPUTED_VALUE"""),176.39)</f>
        <v>176.39</v>
      </c>
      <c r="D97" s="2">
        <f>IFERROR(__xludf.DUMMYFUNCTION("""COMPUTED_VALUE"""),174.94)</f>
        <v>174.94</v>
      </c>
      <c r="E97" s="2">
        <f>IFERROR(__xludf.DUMMYFUNCTION("""COMPUTED_VALUE"""),175.16)</f>
        <v>175.16</v>
      </c>
      <c r="F97" s="2">
        <f>IFERROR(__xludf.DUMMYFUNCTION("""COMPUTED_VALUE"""),5.5809475E7)</f>
        <v>55809475</v>
      </c>
    </row>
    <row r="98">
      <c r="A98" s="3">
        <f>IFERROR(__xludf.DUMMYFUNCTION("""COMPUTED_VALUE"""),45068.66666666667)</f>
        <v>45068.66667</v>
      </c>
      <c r="B98" s="2">
        <f>IFERROR(__xludf.DUMMYFUNCTION("""COMPUTED_VALUE"""),173.98)</f>
        <v>173.98</v>
      </c>
      <c r="C98" s="2">
        <f>IFERROR(__xludf.DUMMYFUNCTION("""COMPUTED_VALUE"""),174.71)</f>
        <v>174.71</v>
      </c>
      <c r="D98" s="2">
        <f>IFERROR(__xludf.DUMMYFUNCTION("""COMPUTED_VALUE"""),173.45)</f>
        <v>173.45</v>
      </c>
      <c r="E98" s="2">
        <f>IFERROR(__xludf.DUMMYFUNCTION("""COMPUTED_VALUE"""),174.2)</f>
        <v>174.2</v>
      </c>
      <c r="F98" s="2">
        <f>IFERROR(__xludf.DUMMYFUNCTION("""COMPUTED_VALUE"""),4.3570932E7)</f>
        <v>43570932</v>
      </c>
    </row>
    <row r="99">
      <c r="A99" s="3">
        <f>IFERROR(__xludf.DUMMYFUNCTION("""COMPUTED_VALUE"""),45069.66666666667)</f>
        <v>45069.66667</v>
      </c>
      <c r="B99" s="2">
        <f>IFERROR(__xludf.DUMMYFUNCTION("""COMPUTED_VALUE"""),173.13)</f>
        <v>173.13</v>
      </c>
      <c r="C99" s="2">
        <f>IFERROR(__xludf.DUMMYFUNCTION("""COMPUTED_VALUE"""),173.38)</f>
        <v>173.38</v>
      </c>
      <c r="D99" s="2">
        <f>IFERROR(__xludf.DUMMYFUNCTION("""COMPUTED_VALUE"""),171.28)</f>
        <v>171.28</v>
      </c>
      <c r="E99" s="2">
        <f>IFERROR(__xludf.DUMMYFUNCTION("""COMPUTED_VALUE"""),171.56)</f>
        <v>171.56</v>
      </c>
      <c r="F99" s="2">
        <f>IFERROR(__xludf.DUMMYFUNCTION("""COMPUTED_VALUE"""),5.0747263E7)</f>
        <v>50747263</v>
      </c>
    </row>
    <row r="100">
      <c r="A100" s="3">
        <f>IFERROR(__xludf.DUMMYFUNCTION("""COMPUTED_VALUE"""),45070.66666666667)</f>
        <v>45070.66667</v>
      </c>
      <c r="B100" s="2">
        <f>IFERROR(__xludf.DUMMYFUNCTION("""COMPUTED_VALUE"""),171.09)</f>
        <v>171.09</v>
      </c>
      <c r="C100" s="2">
        <f>IFERROR(__xludf.DUMMYFUNCTION("""COMPUTED_VALUE"""),172.42)</f>
        <v>172.42</v>
      </c>
      <c r="D100" s="2">
        <f>IFERROR(__xludf.DUMMYFUNCTION("""COMPUTED_VALUE"""),170.52)</f>
        <v>170.52</v>
      </c>
      <c r="E100" s="2">
        <f>IFERROR(__xludf.DUMMYFUNCTION("""COMPUTED_VALUE"""),171.84)</f>
        <v>171.84</v>
      </c>
      <c r="F100" s="2">
        <f>IFERROR(__xludf.DUMMYFUNCTION("""COMPUTED_VALUE"""),4.5143488E7)</f>
        <v>45143488</v>
      </c>
    </row>
    <row r="101">
      <c r="A101" s="3">
        <f>IFERROR(__xludf.DUMMYFUNCTION("""COMPUTED_VALUE"""),45071.66666666667)</f>
        <v>45071.66667</v>
      </c>
      <c r="B101" s="2">
        <f>IFERROR(__xludf.DUMMYFUNCTION("""COMPUTED_VALUE"""),172.41)</f>
        <v>172.41</v>
      </c>
      <c r="C101" s="2">
        <f>IFERROR(__xludf.DUMMYFUNCTION("""COMPUTED_VALUE"""),173.9)</f>
        <v>173.9</v>
      </c>
      <c r="D101" s="2">
        <f>IFERROR(__xludf.DUMMYFUNCTION("""COMPUTED_VALUE"""),171.69)</f>
        <v>171.69</v>
      </c>
      <c r="E101" s="2">
        <f>IFERROR(__xludf.DUMMYFUNCTION("""COMPUTED_VALUE"""),172.99)</f>
        <v>172.99</v>
      </c>
      <c r="F101" s="2">
        <f>IFERROR(__xludf.DUMMYFUNCTION("""COMPUTED_VALUE"""),5.6058258E7)</f>
        <v>56058258</v>
      </c>
    </row>
    <row r="102">
      <c r="A102" s="3">
        <f>IFERROR(__xludf.DUMMYFUNCTION("""COMPUTED_VALUE"""),45072.66666666667)</f>
        <v>45072.66667</v>
      </c>
      <c r="B102" s="2">
        <f>IFERROR(__xludf.DUMMYFUNCTION("""COMPUTED_VALUE"""),173.32)</f>
        <v>173.32</v>
      </c>
      <c r="C102" s="2">
        <f>IFERROR(__xludf.DUMMYFUNCTION("""COMPUTED_VALUE"""),175.77)</f>
        <v>175.77</v>
      </c>
      <c r="D102" s="2">
        <f>IFERROR(__xludf.DUMMYFUNCTION("""COMPUTED_VALUE"""),173.11)</f>
        <v>173.11</v>
      </c>
      <c r="E102" s="2">
        <f>IFERROR(__xludf.DUMMYFUNCTION("""COMPUTED_VALUE"""),175.43)</f>
        <v>175.43</v>
      </c>
      <c r="F102" s="2">
        <f>IFERROR(__xludf.DUMMYFUNCTION("""COMPUTED_VALUE"""),5.4834975E7)</f>
        <v>54834975</v>
      </c>
    </row>
    <row r="103">
      <c r="A103" s="3">
        <f>IFERROR(__xludf.DUMMYFUNCTION("""COMPUTED_VALUE"""),45076.66666666667)</f>
        <v>45076.66667</v>
      </c>
      <c r="B103" s="2">
        <f>IFERROR(__xludf.DUMMYFUNCTION("""COMPUTED_VALUE"""),176.96)</f>
        <v>176.96</v>
      </c>
      <c r="C103" s="2">
        <f>IFERROR(__xludf.DUMMYFUNCTION("""COMPUTED_VALUE"""),178.99)</f>
        <v>178.99</v>
      </c>
      <c r="D103" s="2">
        <f>IFERROR(__xludf.DUMMYFUNCTION("""COMPUTED_VALUE"""),176.57)</f>
        <v>176.57</v>
      </c>
      <c r="E103" s="2">
        <f>IFERROR(__xludf.DUMMYFUNCTION("""COMPUTED_VALUE"""),177.3)</f>
        <v>177.3</v>
      </c>
      <c r="F103" s="2">
        <f>IFERROR(__xludf.DUMMYFUNCTION("""COMPUTED_VALUE"""),5.5964401E7)</f>
        <v>55964401</v>
      </c>
    </row>
    <row r="104">
      <c r="A104" s="3">
        <f>IFERROR(__xludf.DUMMYFUNCTION("""COMPUTED_VALUE"""),45077.66666666667)</f>
        <v>45077.66667</v>
      </c>
      <c r="B104" s="2">
        <f>IFERROR(__xludf.DUMMYFUNCTION("""COMPUTED_VALUE"""),177.33)</f>
        <v>177.33</v>
      </c>
      <c r="C104" s="2">
        <f>IFERROR(__xludf.DUMMYFUNCTION("""COMPUTED_VALUE"""),179.35)</f>
        <v>179.35</v>
      </c>
      <c r="D104" s="2">
        <f>IFERROR(__xludf.DUMMYFUNCTION("""COMPUTED_VALUE"""),176.76)</f>
        <v>176.76</v>
      </c>
      <c r="E104" s="2">
        <f>IFERROR(__xludf.DUMMYFUNCTION("""COMPUTED_VALUE"""),177.25)</f>
        <v>177.25</v>
      </c>
      <c r="F104" s="2">
        <f>IFERROR(__xludf.DUMMYFUNCTION("""COMPUTED_VALUE"""),9.9625288E7)</f>
        <v>99625288</v>
      </c>
    </row>
    <row r="105">
      <c r="A105" s="3">
        <f>IFERROR(__xludf.DUMMYFUNCTION("""COMPUTED_VALUE"""),45078.66666666667)</f>
        <v>45078.66667</v>
      </c>
      <c r="B105" s="2">
        <f>IFERROR(__xludf.DUMMYFUNCTION("""COMPUTED_VALUE"""),177.7)</f>
        <v>177.7</v>
      </c>
      <c r="C105" s="2">
        <f>IFERROR(__xludf.DUMMYFUNCTION("""COMPUTED_VALUE"""),180.12)</f>
        <v>180.12</v>
      </c>
      <c r="D105" s="2">
        <f>IFERROR(__xludf.DUMMYFUNCTION("""COMPUTED_VALUE"""),176.93)</f>
        <v>176.93</v>
      </c>
      <c r="E105" s="2">
        <f>IFERROR(__xludf.DUMMYFUNCTION("""COMPUTED_VALUE"""),180.09)</f>
        <v>180.09</v>
      </c>
      <c r="F105" s="2">
        <f>IFERROR(__xludf.DUMMYFUNCTION("""COMPUTED_VALUE"""),6.8901809E7)</f>
        <v>68901809</v>
      </c>
    </row>
    <row r="106">
      <c r="A106" s="3">
        <f>IFERROR(__xludf.DUMMYFUNCTION("""COMPUTED_VALUE"""),45079.66666666667)</f>
        <v>45079.66667</v>
      </c>
      <c r="B106" s="2">
        <f>IFERROR(__xludf.DUMMYFUNCTION("""COMPUTED_VALUE"""),181.03)</f>
        <v>181.03</v>
      </c>
      <c r="C106" s="2">
        <f>IFERROR(__xludf.DUMMYFUNCTION("""COMPUTED_VALUE"""),181.78)</f>
        <v>181.78</v>
      </c>
      <c r="D106" s="2">
        <f>IFERROR(__xludf.DUMMYFUNCTION("""COMPUTED_VALUE"""),179.26)</f>
        <v>179.26</v>
      </c>
      <c r="E106" s="2">
        <f>IFERROR(__xludf.DUMMYFUNCTION("""COMPUTED_VALUE"""),180.95)</f>
        <v>180.95</v>
      </c>
      <c r="F106" s="2">
        <f>IFERROR(__xludf.DUMMYFUNCTION("""COMPUTED_VALUE"""),6.1996913E7)</f>
        <v>61996913</v>
      </c>
    </row>
    <row r="107">
      <c r="A107" s="3">
        <f>IFERROR(__xludf.DUMMYFUNCTION("""COMPUTED_VALUE"""),45082.66666666667)</f>
        <v>45082.66667</v>
      </c>
      <c r="B107" s="2">
        <f>IFERROR(__xludf.DUMMYFUNCTION("""COMPUTED_VALUE"""),182.63)</f>
        <v>182.63</v>
      </c>
      <c r="C107" s="2">
        <f>IFERROR(__xludf.DUMMYFUNCTION("""COMPUTED_VALUE"""),184.95)</f>
        <v>184.95</v>
      </c>
      <c r="D107" s="2">
        <f>IFERROR(__xludf.DUMMYFUNCTION("""COMPUTED_VALUE"""),178.04)</f>
        <v>178.04</v>
      </c>
      <c r="E107" s="2">
        <f>IFERROR(__xludf.DUMMYFUNCTION("""COMPUTED_VALUE"""),179.58)</f>
        <v>179.58</v>
      </c>
      <c r="F107" s="2">
        <f>IFERROR(__xludf.DUMMYFUNCTION("""COMPUTED_VALUE"""),1.21946497E8)</f>
        <v>121946497</v>
      </c>
    </row>
    <row r="108">
      <c r="A108" s="3">
        <f>IFERROR(__xludf.DUMMYFUNCTION("""COMPUTED_VALUE"""),45083.66666666667)</f>
        <v>45083.66667</v>
      </c>
      <c r="B108" s="2">
        <f>IFERROR(__xludf.DUMMYFUNCTION("""COMPUTED_VALUE"""),179.97)</f>
        <v>179.97</v>
      </c>
      <c r="C108" s="2">
        <f>IFERROR(__xludf.DUMMYFUNCTION("""COMPUTED_VALUE"""),180.12)</f>
        <v>180.12</v>
      </c>
      <c r="D108" s="2">
        <f>IFERROR(__xludf.DUMMYFUNCTION("""COMPUTED_VALUE"""),177.43)</f>
        <v>177.43</v>
      </c>
      <c r="E108" s="2">
        <f>IFERROR(__xludf.DUMMYFUNCTION("""COMPUTED_VALUE"""),179.21)</f>
        <v>179.21</v>
      </c>
      <c r="F108" s="2">
        <f>IFERROR(__xludf.DUMMYFUNCTION("""COMPUTED_VALUE"""),6.4848374E7)</f>
        <v>64848374</v>
      </c>
    </row>
    <row r="109">
      <c r="A109" s="3">
        <f>IFERROR(__xludf.DUMMYFUNCTION("""COMPUTED_VALUE"""),45084.66666666667)</f>
        <v>45084.66667</v>
      </c>
      <c r="B109" s="2">
        <f>IFERROR(__xludf.DUMMYFUNCTION("""COMPUTED_VALUE"""),178.44)</f>
        <v>178.44</v>
      </c>
      <c r="C109" s="2">
        <f>IFERROR(__xludf.DUMMYFUNCTION("""COMPUTED_VALUE"""),181.21)</f>
        <v>181.21</v>
      </c>
      <c r="D109" s="2">
        <f>IFERROR(__xludf.DUMMYFUNCTION("""COMPUTED_VALUE"""),177.32)</f>
        <v>177.32</v>
      </c>
      <c r="E109" s="2">
        <f>IFERROR(__xludf.DUMMYFUNCTION("""COMPUTED_VALUE"""),177.82)</f>
        <v>177.82</v>
      </c>
      <c r="F109" s="2">
        <f>IFERROR(__xludf.DUMMYFUNCTION("""COMPUTED_VALUE"""),6.1944615E7)</f>
        <v>61944615</v>
      </c>
    </row>
    <row r="110">
      <c r="A110" s="3">
        <f>IFERROR(__xludf.DUMMYFUNCTION("""COMPUTED_VALUE"""),45085.66666666667)</f>
        <v>45085.66667</v>
      </c>
      <c r="B110" s="2">
        <f>IFERROR(__xludf.DUMMYFUNCTION("""COMPUTED_VALUE"""),177.9)</f>
        <v>177.9</v>
      </c>
      <c r="C110" s="2">
        <f>IFERROR(__xludf.DUMMYFUNCTION("""COMPUTED_VALUE"""),180.84)</f>
        <v>180.84</v>
      </c>
      <c r="D110" s="2">
        <f>IFERROR(__xludf.DUMMYFUNCTION("""COMPUTED_VALUE"""),177.46)</f>
        <v>177.46</v>
      </c>
      <c r="E110" s="2">
        <f>IFERROR(__xludf.DUMMYFUNCTION("""COMPUTED_VALUE"""),180.57)</f>
        <v>180.57</v>
      </c>
      <c r="F110" s="2">
        <f>IFERROR(__xludf.DUMMYFUNCTION("""COMPUTED_VALUE"""),5.0214881E7)</f>
        <v>50214881</v>
      </c>
    </row>
    <row r="111">
      <c r="A111" s="3">
        <f>IFERROR(__xludf.DUMMYFUNCTION("""COMPUTED_VALUE"""),45086.66666666667)</f>
        <v>45086.66667</v>
      </c>
      <c r="B111" s="2">
        <f>IFERROR(__xludf.DUMMYFUNCTION("""COMPUTED_VALUE"""),181.5)</f>
        <v>181.5</v>
      </c>
      <c r="C111" s="2">
        <f>IFERROR(__xludf.DUMMYFUNCTION("""COMPUTED_VALUE"""),182.23)</f>
        <v>182.23</v>
      </c>
      <c r="D111" s="2">
        <f>IFERROR(__xludf.DUMMYFUNCTION("""COMPUTED_VALUE"""),180.63)</f>
        <v>180.63</v>
      </c>
      <c r="E111" s="2">
        <f>IFERROR(__xludf.DUMMYFUNCTION("""COMPUTED_VALUE"""),180.96)</f>
        <v>180.96</v>
      </c>
      <c r="F111" s="2">
        <f>IFERROR(__xludf.DUMMYFUNCTION("""COMPUTED_VALUE"""),4.8899973E7)</f>
        <v>48899973</v>
      </c>
    </row>
    <row r="112">
      <c r="A112" s="3">
        <f>IFERROR(__xludf.DUMMYFUNCTION("""COMPUTED_VALUE"""),45089.66666666667)</f>
        <v>45089.66667</v>
      </c>
      <c r="B112" s="2">
        <f>IFERROR(__xludf.DUMMYFUNCTION("""COMPUTED_VALUE"""),181.27)</f>
        <v>181.27</v>
      </c>
      <c r="C112" s="2">
        <f>IFERROR(__xludf.DUMMYFUNCTION("""COMPUTED_VALUE"""),183.89)</f>
        <v>183.89</v>
      </c>
      <c r="D112" s="2">
        <f>IFERROR(__xludf.DUMMYFUNCTION("""COMPUTED_VALUE"""),180.97)</f>
        <v>180.97</v>
      </c>
      <c r="E112" s="2">
        <f>IFERROR(__xludf.DUMMYFUNCTION("""COMPUTED_VALUE"""),183.79)</f>
        <v>183.79</v>
      </c>
      <c r="F112" s="2">
        <f>IFERROR(__xludf.DUMMYFUNCTION("""COMPUTED_VALUE"""),5.4754995E7)</f>
        <v>54754995</v>
      </c>
    </row>
    <row r="113">
      <c r="A113" s="3">
        <f>IFERROR(__xludf.DUMMYFUNCTION("""COMPUTED_VALUE"""),45090.66666666667)</f>
        <v>45090.66667</v>
      </c>
      <c r="B113" s="2">
        <f>IFERROR(__xludf.DUMMYFUNCTION("""COMPUTED_VALUE"""),182.8)</f>
        <v>182.8</v>
      </c>
      <c r="C113" s="2">
        <f>IFERROR(__xludf.DUMMYFUNCTION("""COMPUTED_VALUE"""),184.15)</f>
        <v>184.15</v>
      </c>
      <c r="D113" s="2">
        <f>IFERROR(__xludf.DUMMYFUNCTION("""COMPUTED_VALUE"""),182.44)</f>
        <v>182.44</v>
      </c>
      <c r="E113" s="2">
        <f>IFERROR(__xludf.DUMMYFUNCTION("""COMPUTED_VALUE"""),183.31)</f>
        <v>183.31</v>
      </c>
      <c r="F113" s="2">
        <f>IFERROR(__xludf.DUMMYFUNCTION("""COMPUTED_VALUE"""),5.4929129E7)</f>
        <v>54929129</v>
      </c>
    </row>
    <row r="114">
      <c r="A114" s="3">
        <f>IFERROR(__xludf.DUMMYFUNCTION("""COMPUTED_VALUE"""),45091.66666666667)</f>
        <v>45091.66667</v>
      </c>
      <c r="B114" s="2">
        <f>IFERROR(__xludf.DUMMYFUNCTION("""COMPUTED_VALUE"""),183.37)</f>
        <v>183.37</v>
      </c>
      <c r="C114" s="2">
        <f>IFERROR(__xludf.DUMMYFUNCTION("""COMPUTED_VALUE"""),184.39)</f>
        <v>184.39</v>
      </c>
      <c r="D114" s="2">
        <f>IFERROR(__xludf.DUMMYFUNCTION("""COMPUTED_VALUE"""),182.02)</f>
        <v>182.02</v>
      </c>
      <c r="E114" s="2">
        <f>IFERROR(__xludf.DUMMYFUNCTION("""COMPUTED_VALUE"""),183.95)</f>
        <v>183.95</v>
      </c>
      <c r="F114" s="2">
        <f>IFERROR(__xludf.DUMMYFUNCTION("""COMPUTED_VALUE"""),5.7462882E7)</f>
        <v>57462882</v>
      </c>
    </row>
    <row r="115">
      <c r="A115" s="3">
        <f>IFERROR(__xludf.DUMMYFUNCTION("""COMPUTED_VALUE"""),45092.66666666667)</f>
        <v>45092.66667</v>
      </c>
      <c r="B115" s="2">
        <f>IFERROR(__xludf.DUMMYFUNCTION("""COMPUTED_VALUE"""),183.96)</f>
        <v>183.96</v>
      </c>
      <c r="C115" s="2">
        <f>IFERROR(__xludf.DUMMYFUNCTION("""COMPUTED_VALUE"""),186.52)</f>
        <v>186.52</v>
      </c>
      <c r="D115" s="2">
        <f>IFERROR(__xludf.DUMMYFUNCTION("""COMPUTED_VALUE"""),183.78)</f>
        <v>183.78</v>
      </c>
      <c r="E115" s="2">
        <f>IFERROR(__xludf.DUMMYFUNCTION("""COMPUTED_VALUE"""),186.01)</f>
        <v>186.01</v>
      </c>
      <c r="F115" s="2">
        <f>IFERROR(__xludf.DUMMYFUNCTION("""COMPUTED_VALUE"""),6.5433166E7)</f>
        <v>65433166</v>
      </c>
    </row>
    <row r="116">
      <c r="A116" s="3">
        <f>IFERROR(__xludf.DUMMYFUNCTION("""COMPUTED_VALUE"""),45093.66666666667)</f>
        <v>45093.66667</v>
      </c>
      <c r="B116" s="2">
        <f>IFERROR(__xludf.DUMMYFUNCTION("""COMPUTED_VALUE"""),186.73)</f>
        <v>186.73</v>
      </c>
      <c r="C116" s="2">
        <f>IFERROR(__xludf.DUMMYFUNCTION("""COMPUTED_VALUE"""),186.99)</f>
        <v>186.99</v>
      </c>
      <c r="D116" s="2">
        <f>IFERROR(__xludf.DUMMYFUNCTION("""COMPUTED_VALUE"""),184.27)</f>
        <v>184.27</v>
      </c>
      <c r="E116" s="2">
        <f>IFERROR(__xludf.DUMMYFUNCTION("""COMPUTED_VALUE"""),184.92)</f>
        <v>184.92</v>
      </c>
      <c r="F116" s="2">
        <f>IFERROR(__xludf.DUMMYFUNCTION("""COMPUTED_VALUE"""),1.01256225E8)</f>
        <v>101256225</v>
      </c>
    </row>
    <row r="117">
      <c r="A117" s="3">
        <f>IFERROR(__xludf.DUMMYFUNCTION("""COMPUTED_VALUE"""),45097.66666666667)</f>
        <v>45097.66667</v>
      </c>
      <c r="B117" s="2">
        <f>IFERROR(__xludf.DUMMYFUNCTION("""COMPUTED_VALUE"""),184.41)</f>
        <v>184.41</v>
      </c>
      <c r="C117" s="2">
        <f>IFERROR(__xludf.DUMMYFUNCTION("""COMPUTED_VALUE"""),186.1)</f>
        <v>186.1</v>
      </c>
      <c r="D117" s="2">
        <f>IFERROR(__xludf.DUMMYFUNCTION("""COMPUTED_VALUE"""),184.41)</f>
        <v>184.41</v>
      </c>
      <c r="E117" s="2">
        <f>IFERROR(__xludf.DUMMYFUNCTION("""COMPUTED_VALUE"""),185.01)</f>
        <v>185.01</v>
      </c>
      <c r="F117" s="2">
        <f>IFERROR(__xludf.DUMMYFUNCTION("""COMPUTED_VALUE"""),4.9799092E7)</f>
        <v>49799092</v>
      </c>
    </row>
    <row r="118">
      <c r="A118" s="3">
        <f>IFERROR(__xludf.DUMMYFUNCTION("""COMPUTED_VALUE"""),45098.66666666667)</f>
        <v>45098.66667</v>
      </c>
      <c r="B118" s="2">
        <f>IFERROR(__xludf.DUMMYFUNCTION("""COMPUTED_VALUE"""),184.9)</f>
        <v>184.9</v>
      </c>
      <c r="C118" s="2">
        <f>IFERROR(__xludf.DUMMYFUNCTION("""COMPUTED_VALUE"""),185.41)</f>
        <v>185.41</v>
      </c>
      <c r="D118" s="2">
        <f>IFERROR(__xludf.DUMMYFUNCTION("""COMPUTED_VALUE"""),182.59)</f>
        <v>182.59</v>
      </c>
      <c r="E118" s="2">
        <f>IFERROR(__xludf.DUMMYFUNCTION("""COMPUTED_VALUE"""),183.96)</f>
        <v>183.96</v>
      </c>
      <c r="F118" s="2">
        <f>IFERROR(__xludf.DUMMYFUNCTION("""COMPUTED_VALUE"""),4.9515697E7)</f>
        <v>49515697</v>
      </c>
    </row>
    <row r="119">
      <c r="A119" s="3">
        <f>IFERROR(__xludf.DUMMYFUNCTION("""COMPUTED_VALUE"""),45099.66666666667)</f>
        <v>45099.66667</v>
      </c>
      <c r="B119" s="2">
        <f>IFERROR(__xludf.DUMMYFUNCTION("""COMPUTED_VALUE"""),183.74)</f>
        <v>183.74</v>
      </c>
      <c r="C119" s="2">
        <f>IFERROR(__xludf.DUMMYFUNCTION("""COMPUTED_VALUE"""),187.05)</f>
        <v>187.05</v>
      </c>
      <c r="D119" s="2">
        <f>IFERROR(__xludf.DUMMYFUNCTION("""COMPUTED_VALUE"""),183.67)</f>
        <v>183.67</v>
      </c>
      <c r="E119" s="2">
        <f>IFERROR(__xludf.DUMMYFUNCTION("""COMPUTED_VALUE"""),187.0)</f>
        <v>187</v>
      </c>
      <c r="F119" s="2">
        <f>IFERROR(__xludf.DUMMYFUNCTION("""COMPUTED_VALUE"""),5.1245327E7)</f>
        <v>51245327</v>
      </c>
    </row>
    <row r="120">
      <c r="A120" s="3">
        <f>IFERROR(__xludf.DUMMYFUNCTION("""COMPUTED_VALUE"""),45100.66666666667)</f>
        <v>45100.66667</v>
      </c>
      <c r="B120" s="2">
        <f>IFERROR(__xludf.DUMMYFUNCTION("""COMPUTED_VALUE"""),185.55)</f>
        <v>185.55</v>
      </c>
      <c r="C120" s="2">
        <f>IFERROR(__xludf.DUMMYFUNCTION("""COMPUTED_VALUE"""),187.56)</f>
        <v>187.56</v>
      </c>
      <c r="D120" s="2">
        <f>IFERROR(__xludf.DUMMYFUNCTION("""COMPUTED_VALUE"""),185.01)</f>
        <v>185.01</v>
      </c>
      <c r="E120" s="2">
        <f>IFERROR(__xludf.DUMMYFUNCTION("""COMPUTED_VALUE"""),186.68)</f>
        <v>186.68</v>
      </c>
      <c r="F120" s="2">
        <f>IFERROR(__xludf.DUMMYFUNCTION("""COMPUTED_VALUE"""),5.3116996E7)</f>
        <v>53116996</v>
      </c>
    </row>
    <row r="121">
      <c r="A121" s="3">
        <f>IFERROR(__xludf.DUMMYFUNCTION("""COMPUTED_VALUE"""),45103.66666666667)</f>
        <v>45103.66667</v>
      </c>
      <c r="B121" s="2">
        <f>IFERROR(__xludf.DUMMYFUNCTION("""COMPUTED_VALUE"""),186.83)</f>
        <v>186.83</v>
      </c>
      <c r="C121" s="2">
        <f>IFERROR(__xludf.DUMMYFUNCTION("""COMPUTED_VALUE"""),188.05)</f>
        <v>188.05</v>
      </c>
      <c r="D121" s="2">
        <f>IFERROR(__xludf.DUMMYFUNCTION("""COMPUTED_VALUE"""),185.23)</f>
        <v>185.23</v>
      </c>
      <c r="E121" s="2">
        <f>IFERROR(__xludf.DUMMYFUNCTION("""COMPUTED_VALUE"""),185.27)</f>
        <v>185.27</v>
      </c>
      <c r="F121" s="2">
        <f>IFERROR(__xludf.DUMMYFUNCTION("""COMPUTED_VALUE"""),4.8088661E7)</f>
        <v>48088661</v>
      </c>
    </row>
    <row r="122">
      <c r="A122" s="3">
        <f>IFERROR(__xludf.DUMMYFUNCTION("""COMPUTED_VALUE"""),45104.66666666667)</f>
        <v>45104.66667</v>
      </c>
      <c r="B122" s="2">
        <f>IFERROR(__xludf.DUMMYFUNCTION("""COMPUTED_VALUE"""),185.89)</f>
        <v>185.89</v>
      </c>
      <c r="C122" s="2">
        <f>IFERROR(__xludf.DUMMYFUNCTION("""COMPUTED_VALUE"""),188.39)</f>
        <v>188.39</v>
      </c>
      <c r="D122" s="2">
        <f>IFERROR(__xludf.DUMMYFUNCTION("""COMPUTED_VALUE"""),185.67)</f>
        <v>185.67</v>
      </c>
      <c r="E122" s="2">
        <f>IFERROR(__xludf.DUMMYFUNCTION("""COMPUTED_VALUE"""),188.06)</f>
        <v>188.06</v>
      </c>
      <c r="F122" s="2">
        <f>IFERROR(__xludf.DUMMYFUNCTION("""COMPUTED_VALUE"""),5.0730846E7)</f>
        <v>50730846</v>
      </c>
    </row>
    <row r="123">
      <c r="A123" s="3">
        <f>IFERROR(__xludf.DUMMYFUNCTION("""COMPUTED_VALUE"""),45105.66666666667)</f>
        <v>45105.66667</v>
      </c>
      <c r="B123" s="2">
        <f>IFERROR(__xludf.DUMMYFUNCTION("""COMPUTED_VALUE"""),187.93)</f>
        <v>187.93</v>
      </c>
      <c r="C123" s="2">
        <f>IFERROR(__xludf.DUMMYFUNCTION("""COMPUTED_VALUE"""),189.9)</f>
        <v>189.9</v>
      </c>
      <c r="D123" s="2">
        <f>IFERROR(__xludf.DUMMYFUNCTION("""COMPUTED_VALUE"""),187.6)</f>
        <v>187.6</v>
      </c>
      <c r="E123" s="2">
        <f>IFERROR(__xludf.DUMMYFUNCTION("""COMPUTED_VALUE"""),189.25)</f>
        <v>189.25</v>
      </c>
      <c r="F123" s="2">
        <f>IFERROR(__xludf.DUMMYFUNCTION("""COMPUTED_VALUE"""),5.1216801E7)</f>
        <v>51216801</v>
      </c>
    </row>
    <row r="124">
      <c r="A124" s="3">
        <f>IFERROR(__xludf.DUMMYFUNCTION("""COMPUTED_VALUE"""),45106.66666666667)</f>
        <v>45106.66667</v>
      </c>
      <c r="B124" s="2">
        <f>IFERROR(__xludf.DUMMYFUNCTION("""COMPUTED_VALUE"""),189.08)</f>
        <v>189.08</v>
      </c>
      <c r="C124" s="2">
        <f>IFERROR(__xludf.DUMMYFUNCTION("""COMPUTED_VALUE"""),190.07)</f>
        <v>190.07</v>
      </c>
      <c r="D124" s="2">
        <f>IFERROR(__xludf.DUMMYFUNCTION("""COMPUTED_VALUE"""),188.94)</f>
        <v>188.94</v>
      </c>
      <c r="E124" s="2">
        <f>IFERROR(__xludf.DUMMYFUNCTION("""COMPUTED_VALUE"""),189.59)</f>
        <v>189.59</v>
      </c>
      <c r="F124" s="2">
        <f>IFERROR(__xludf.DUMMYFUNCTION("""COMPUTED_VALUE"""),4.6347308E7)</f>
        <v>46347308</v>
      </c>
    </row>
    <row r="125">
      <c r="A125" s="3">
        <f>IFERROR(__xludf.DUMMYFUNCTION("""COMPUTED_VALUE"""),45107.66666666667)</f>
        <v>45107.66667</v>
      </c>
      <c r="B125" s="2">
        <f>IFERROR(__xludf.DUMMYFUNCTION("""COMPUTED_VALUE"""),191.63)</f>
        <v>191.63</v>
      </c>
      <c r="C125" s="2">
        <f>IFERROR(__xludf.DUMMYFUNCTION("""COMPUTED_VALUE"""),194.48)</f>
        <v>194.48</v>
      </c>
      <c r="D125" s="2">
        <f>IFERROR(__xludf.DUMMYFUNCTION("""COMPUTED_VALUE"""),191.26)</f>
        <v>191.26</v>
      </c>
      <c r="E125" s="2">
        <f>IFERROR(__xludf.DUMMYFUNCTION("""COMPUTED_VALUE"""),193.97)</f>
        <v>193.97</v>
      </c>
      <c r="F125" s="2">
        <f>IFERROR(__xludf.DUMMYFUNCTION("""COMPUTED_VALUE"""),8.5213216E7)</f>
        <v>85213216</v>
      </c>
    </row>
    <row r="126">
      <c r="A126" s="3">
        <f>IFERROR(__xludf.DUMMYFUNCTION("""COMPUTED_VALUE"""),45110.54513888889)</f>
        <v>45110.54514</v>
      </c>
      <c r="B126" s="2">
        <f>IFERROR(__xludf.DUMMYFUNCTION("""COMPUTED_VALUE"""),193.78)</f>
        <v>193.78</v>
      </c>
      <c r="C126" s="2">
        <f>IFERROR(__xludf.DUMMYFUNCTION("""COMPUTED_VALUE"""),193.88)</f>
        <v>193.88</v>
      </c>
      <c r="D126" s="2">
        <f>IFERROR(__xludf.DUMMYFUNCTION("""COMPUTED_VALUE"""),191.76)</f>
        <v>191.76</v>
      </c>
      <c r="E126" s="2">
        <f>IFERROR(__xludf.DUMMYFUNCTION("""COMPUTED_VALUE"""),192.46)</f>
        <v>192.46</v>
      </c>
      <c r="F126" s="2">
        <f>IFERROR(__xludf.DUMMYFUNCTION("""COMPUTED_VALUE"""),3.1458198E7)</f>
        <v>31458198</v>
      </c>
    </row>
    <row r="127">
      <c r="A127" s="3">
        <f>IFERROR(__xludf.DUMMYFUNCTION("""COMPUTED_VALUE"""),45112.66666666667)</f>
        <v>45112.66667</v>
      </c>
      <c r="B127" s="2">
        <f>IFERROR(__xludf.DUMMYFUNCTION("""COMPUTED_VALUE"""),191.57)</f>
        <v>191.57</v>
      </c>
      <c r="C127" s="2">
        <f>IFERROR(__xludf.DUMMYFUNCTION("""COMPUTED_VALUE"""),192.98)</f>
        <v>192.98</v>
      </c>
      <c r="D127" s="2">
        <f>IFERROR(__xludf.DUMMYFUNCTION("""COMPUTED_VALUE"""),190.62)</f>
        <v>190.62</v>
      </c>
      <c r="E127" s="2">
        <f>IFERROR(__xludf.DUMMYFUNCTION("""COMPUTED_VALUE"""),191.33)</f>
        <v>191.33</v>
      </c>
      <c r="F127" s="2">
        <f>IFERROR(__xludf.DUMMYFUNCTION("""COMPUTED_VALUE"""),4.6920261E7)</f>
        <v>46920261</v>
      </c>
    </row>
    <row r="128">
      <c r="A128" s="3">
        <f>IFERROR(__xludf.DUMMYFUNCTION("""COMPUTED_VALUE"""),45113.66666666667)</f>
        <v>45113.66667</v>
      </c>
      <c r="B128" s="2">
        <f>IFERROR(__xludf.DUMMYFUNCTION("""COMPUTED_VALUE"""),189.84)</f>
        <v>189.84</v>
      </c>
      <c r="C128" s="2">
        <f>IFERROR(__xludf.DUMMYFUNCTION("""COMPUTED_VALUE"""),192.02)</f>
        <v>192.02</v>
      </c>
      <c r="D128" s="2">
        <f>IFERROR(__xludf.DUMMYFUNCTION("""COMPUTED_VALUE"""),189.2)</f>
        <v>189.2</v>
      </c>
      <c r="E128" s="2">
        <f>IFERROR(__xludf.DUMMYFUNCTION("""COMPUTED_VALUE"""),191.81)</f>
        <v>191.81</v>
      </c>
      <c r="F128" s="2">
        <f>IFERROR(__xludf.DUMMYFUNCTION("""COMPUTED_VALUE"""),4.5156009E7)</f>
        <v>45156009</v>
      </c>
    </row>
    <row r="129">
      <c r="A129" s="3">
        <f>IFERROR(__xludf.DUMMYFUNCTION("""COMPUTED_VALUE"""),45114.66666666667)</f>
        <v>45114.66667</v>
      </c>
      <c r="B129" s="2">
        <f>IFERROR(__xludf.DUMMYFUNCTION("""COMPUTED_VALUE"""),191.41)</f>
        <v>191.41</v>
      </c>
      <c r="C129" s="2">
        <f>IFERROR(__xludf.DUMMYFUNCTION("""COMPUTED_VALUE"""),192.67)</f>
        <v>192.67</v>
      </c>
      <c r="D129" s="2">
        <f>IFERROR(__xludf.DUMMYFUNCTION("""COMPUTED_VALUE"""),190.24)</f>
        <v>190.24</v>
      </c>
      <c r="E129" s="2">
        <f>IFERROR(__xludf.DUMMYFUNCTION("""COMPUTED_VALUE"""),190.68)</f>
        <v>190.68</v>
      </c>
      <c r="F129" s="2">
        <f>IFERROR(__xludf.DUMMYFUNCTION("""COMPUTED_VALUE"""),4.6814998E7)</f>
        <v>46814998</v>
      </c>
    </row>
    <row r="130">
      <c r="A130" s="3">
        <f>IFERROR(__xludf.DUMMYFUNCTION("""COMPUTED_VALUE"""),45117.66666666667)</f>
        <v>45117.66667</v>
      </c>
      <c r="B130" s="2">
        <f>IFERROR(__xludf.DUMMYFUNCTION("""COMPUTED_VALUE"""),189.26)</f>
        <v>189.26</v>
      </c>
      <c r="C130" s="2">
        <f>IFERROR(__xludf.DUMMYFUNCTION("""COMPUTED_VALUE"""),189.99)</f>
        <v>189.99</v>
      </c>
      <c r="D130" s="2">
        <f>IFERROR(__xludf.DUMMYFUNCTION("""COMPUTED_VALUE"""),187.04)</f>
        <v>187.04</v>
      </c>
      <c r="E130" s="2">
        <f>IFERROR(__xludf.DUMMYFUNCTION("""COMPUTED_VALUE"""),188.61)</f>
        <v>188.61</v>
      </c>
      <c r="F130" s="2">
        <f>IFERROR(__xludf.DUMMYFUNCTION("""COMPUTED_VALUE"""),5.9922163E7)</f>
        <v>59922163</v>
      </c>
    </row>
    <row r="131">
      <c r="A131" s="3">
        <f>IFERROR(__xludf.DUMMYFUNCTION("""COMPUTED_VALUE"""),45118.66666666667)</f>
        <v>45118.66667</v>
      </c>
      <c r="B131" s="2">
        <f>IFERROR(__xludf.DUMMYFUNCTION("""COMPUTED_VALUE"""),189.16)</f>
        <v>189.16</v>
      </c>
      <c r="C131" s="2">
        <f>IFERROR(__xludf.DUMMYFUNCTION("""COMPUTED_VALUE"""),189.3)</f>
        <v>189.3</v>
      </c>
      <c r="D131" s="2">
        <f>IFERROR(__xludf.DUMMYFUNCTION("""COMPUTED_VALUE"""),186.6)</f>
        <v>186.6</v>
      </c>
      <c r="E131" s="2">
        <f>IFERROR(__xludf.DUMMYFUNCTION("""COMPUTED_VALUE"""),188.08)</f>
        <v>188.08</v>
      </c>
      <c r="F131" s="2">
        <f>IFERROR(__xludf.DUMMYFUNCTION("""COMPUTED_VALUE"""),4.6638119E7)</f>
        <v>46638119</v>
      </c>
    </row>
    <row r="132">
      <c r="A132" s="3">
        <f>IFERROR(__xludf.DUMMYFUNCTION("""COMPUTED_VALUE"""),45119.66666666667)</f>
        <v>45119.66667</v>
      </c>
      <c r="B132" s="2">
        <f>IFERROR(__xludf.DUMMYFUNCTION("""COMPUTED_VALUE"""),189.68)</f>
        <v>189.68</v>
      </c>
      <c r="C132" s="2">
        <f>IFERROR(__xludf.DUMMYFUNCTION("""COMPUTED_VALUE"""),191.7)</f>
        <v>191.7</v>
      </c>
      <c r="D132" s="2">
        <f>IFERROR(__xludf.DUMMYFUNCTION("""COMPUTED_VALUE"""),188.47)</f>
        <v>188.47</v>
      </c>
      <c r="E132" s="2">
        <f>IFERROR(__xludf.DUMMYFUNCTION("""COMPUTED_VALUE"""),189.77)</f>
        <v>189.77</v>
      </c>
      <c r="F132" s="2">
        <f>IFERROR(__xludf.DUMMYFUNCTION("""COMPUTED_VALUE"""),6.0750248E7)</f>
        <v>60750248</v>
      </c>
    </row>
    <row r="133">
      <c r="A133" s="3">
        <f>IFERROR(__xludf.DUMMYFUNCTION("""COMPUTED_VALUE"""),45120.66666666667)</f>
        <v>45120.66667</v>
      </c>
      <c r="B133" s="2">
        <f>IFERROR(__xludf.DUMMYFUNCTION("""COMPUTED_VALUE"""),190.5)</f>
        <v>190.5</v>
      </c>
      <c r="C133" s="2">
        <f>IFERROR(__xludf.DUMMYFUNCTION("""COMPUTED_VALUE"""),191.19)</f>
        <v>191.19</v>
      </c>
      <c r="D133" s="2">
        <f>IFERROR(__xludf.DUMMYFUNCTION("""COMPUTED_VALUE"""),189.78)</f>
        <v>189.78</v>
      </c>
      <c r="E133" s="2">
        <f>IFERROR(__xludf.DUMMYFUNCTION("""COMPUTED_VALUE"""),190.54)</f>
        <v>190.54</v>
      </c>
      <c r="F133" s="2">
        <f>IFERROR(__xludf.DUMMYFUNCTION("""COMPUTED_VALUE"""),4.1342338E7)</f>
        <v>41342338</v>
      </c>
    </row>
    <row r="134">
      <c r="A134" s="3">
        <f>IFERROR(__xludf.DUMMYFUNCTION("""COMPUTED_VALUE"""),45121.66666666667)</f>
        <v>45121.66667</v>
      </c>
      <c r="B134" s="2">
        <f>IFERROR(__xludf.DUMMYFUNCTION("""COMPUTED_VALUE"""),190.23)</f>
        <v>190.23</v>
      </c>
      <c r="C134" s="2">
        <f>IFERROR(__xludf.DUMMYFUNCTION("""COMPUTED_VALUE"""),191.18)</f>
        <v>191.18</v>
      </c>
      <c r="D134" s="2">
        <f>IFERROR(__xludf.DUMMYFUNCTION("""COMPUTED_VALUE"""),189.63)</f>
        <v>189.63</v>
      </c>
      <c r="E134" s="2">
        <f>IFERROR(__xludf.DUMMYFUNCTION("""COMPUTED_VALUE"""),190.69)</f>
        <v>190.69</v>
      </c>
      <c r="F134" s="2">
        <f>IFERROR(__xludf.DUMMYFUNCTION("""COMPUTED_VALUE"""),4.1616242E7)</f>
        <v>41616242</v>
      </c>
    </row>
    <row r="135">
      <c r="A135" s="3">
        <f>IFERROR(__xludf.DUMMYFUNCTION("""COMPUTED_VALUE"""),45124.66666666667)</f>
        <v>45124.66667</v>
      </c>
      <c r="B135" s="2">
        <f>IFERROR(__xludf.DUMMYFUNCTION("""COMPUTED_VALUE"""),191.9)</f>
        <v>191.9</v>
      </c>
      <c r="C135" s="2">
        <f>IFERROR(__xludf.DUMMYFUNCTION("""COMPUTED_VALUE"""),194.32)</f>
        <v>194.32</v>
      </c>
      <c r="D135" s="2">
        <f>IFERROR(__xludf.DUMMYFUNCTION("""COMPUTED_VALUE"""),191.81)</f>
        <v>191.81</v>
      </c>
      <c r="E135" s="2">
        <f>IFERROR(__xludf.DUMMYFUNCTION("""COMPUTED_VALUE"""),193.99)</f>
        <v>193.99</v>
      </c>
      <c r="F135" s="2">
        <f>IFERROR(__xludf.DUMMYFUNCTION("""COMPUTED_VALUE"""),5.0520159E7)</f>
        <v>50520159</v>
      </c>
    </row>
    <row r="136">
      <c r="A136" s="3">
        <f>IFERROR(__xludf.DUMMYFUNCTION("""COMPUTED_VALUE"""),45125.66666666667)</f>
        <v>45125.66667</v>
      </c>
      <c r="B136" s="2">
        <f>IFERROR(__xludf.DUMMYFUNCTION("""COMPUTED_VALUE"""),193.35)</f>
        <v>193.35</v>
      </c>
      <c r="C136" s="2">
        <f>IFERROR(__xludf.DUMMYFUNCTION("""COMPUTED_VALUE"""),194.33)</f>
        <v>194.33</v>
      </c>
      <c r="D136" s="2">
        <f>IFERROR(__xludf.DUMMYFUNCTION("""COMPUTED_VALUE"""),192.42)</f>
        <v>192.42</v>
      </c>
      <c r="E136" s="2">
        <f>IFERROR(__xludf.DUMMYFUNCTION("""COMPUTED_VALUE"""),193.73)</f>
        <v>193.73</v>
      </c>
      <c r="F136" s="2">
        <f>IFERROR(__xludf.DUMMYFUNCTION("""COMPUTED_VALUE"""),4.8353774E7)</f>
        <v>48353774</v>
      </c>
    </row>
    <row r="137">
      <c r="A137" s="3">
        <f>IFERROR(__xludf.DUMMYFUNCTION("""COMPUTED_VALUE"""),45126.66666666667)</f>
        <v>45126.66667</v>
      </c>
      <c r="B137" s="2">
        <f>IFERROR(__xludf.DUMMYFUNCTION("""COMPUTED_VALUE"""),193.1)</f>
        <v>193.1</v>
      </c>
      <c r="C137" s="2">
        <f>IFERROR(__xludf.DUMMYFUNCTION("""COMPUTED_VALUE"""),198.23)</f>
        <v>198.23</v>
      </c>
      <c r="D137" s="2">
        <f>IFERROR(__xludf.DUMMYFUNCTION("""COMPUTED_VALUE"""),192.65)</f>
        <v>192.65</v>
      </c>
      <c r="E137" s="2">
        <f>IFERROR(__xludf.DUMMYFUNCTION("""COMPUTED_VALUE"""),195.1)</f>
        <v>195.1</v>
      </c>
      <c r="F137" s="2">
        <f>IFERROR(__xludf.DUMMYFUNCTION("""COMPUTED_VALUE"""),8.0507323E7)</f>
        <v>80507323</v>
      </c>
    </row>
    <row r="138">
      <c r="A138" s="3">
        <f>IFERROR(__xludf.DUMMYFUNCTION("""COMPUTED_VALUE"""),45127.66666666667)</f>
        <v>45127.66667</v>
      </c>
      <c r="B138" s="2">
        <f>IFERROR(__xludf.DUMMYFUNCTION("""COMPUTED_VALUE"""),195.09)</f>
        <v>195.09</v>
      </c>
      <c r="C138" s="2">
        <f>IFERROR(__xludf.DUMMYFUNCTION("""COMPUTED_VALUE"""),196.47)</f>
        <v>196.47</v>
      </c>
      <c r="D138" s="2">
        <f>IFERROR(__xludf.DUMMYFUNCTION("""COMPUTED_VALUE"""),192.5)</f>
        <v>192.5</v>
      </c>
      <c r="E138" s="2">
        <f>IFERROR(__xludf.DUMMYFUNCTION("""COMPUTED_VALUE"""),193.13)</f>
        <v>193.13</v>
      </c>
      <c r="F138" s="2">
        <f>IFERROR(__xludf.DUMMYFUNCTION("""COMPUTED_VALUE"""),5.9581196E7)</f>
        <v>59581196</v>
      </c>
    </row>
    <row r="139">
      <c r="A139" s="3">
        <f>IFERROR(__xludf.DUMMYFUNCTION("""COMPUTED_VALUE"""),45128.66666666667)</f>
        <v>45128.66667</v>
      </c>
      <c r="B139" s="2">
        <f>IFERROR(__xludf.DUMMYFUNCTION("""COMPUTED_VALUE"""),194.1)</f>
        <v>194.1</v>
      </c>
      <c r="C139" s="2">
        <f>IFERROR(__xludf.DUMMYFUNCTION("""COMPUTED_VALUE"""),194.97)</f>
        <v>194.97</v>
      </c>
      <c r="D139" s="2">
        <f>IFERROR(__xludf.DUMMYFUNCTION("""COMPUTED_VALUE"""),191.23)</f>
        <v>191.23</v>
      </c>
      <c r="E139" s="2">
        <f>IFERROR(__xludf.DUMMYFUNCTION("""COMPUTED_VALUE"""),191.94)</f>
        <v>191.94</v>
      </c>
      <c r="F139" s="2">
        <f>IFERROR(__xludf.DUMMYFUNCTION("""COMPUTED_VALUE"""),7.1951683E7)</f>
        <v>71951683</v>
      </c>
    </row>
    <row r="140">
      <c r="A140" s="3">
        <f>IFERROR(__xludf.DUMMYFUNCTION("""COMPUTED_VALUE"""),45131.66666666667)</f>
        <v>45131.66667</v>
      </c>
      <c r="B140" s="2">
        <f>IFERROR(__xludf.DUMMYFUNCTION("""COMPUTED_VALUE"""),193.41)</f>
        <v>193.41</v>
      </c>
      <c r="C140" s="2">
        <f>IFERROR(__xludf.DUMMYFUNCTION("""COMPUTED_VALUE"""),194.91)</f>
        <v>194.91</v>
      </c>
      <c r="D140" s="2">
        <f>IFERROR(__xludf.DUMMYFUNCTION("""COMPUTED_VALUE"""),192.25)</f>
        <v>192.25</v>
      </c>
      <c r="E140" s="2">
        <f>IFERROR(__xludf.DUMMYFUNCTION("""COMPUTED_VALUE"""),192.75)</f>
        <v>192.75</v>
      </c>
      <c r="F140" s="2">
        <f>IFERROR(__xludf.DUMMYFUNCTION("""COMPUTED_VALUE"""),4.5505097E7)</f>
        <v>45505097</v>
      </c>
    </row>
    <row r="141">
      <c r="A141" s="3">
        <f>IFERROR(__xludf.DUMMYFUNCTION("""COMPUTED_VALUE"""),45132.66666666667)</f>
        <v>45132.66667</v>
      </c>
      <c r="B141" s="2">
        <f>IFERROR(__xludf.DUMMYFUNCTION("""COMPUTED_VALUE"""),193.33)</f>
        <v>193.33</v>
      </c>
      <c r="C141" s="2">
        <f>IFERROR(__xludf.DUMMYFUNCTION("""COMPUTED_VALUE"""),194.44)</f>
        <v>194.44</v>
      </c>
      <c r="D141" s="2">
        <f>IFERROR(__xludf.DUMMYFUNCTION("""COMPUTED_VALUE"""),192.92)</f>
        <v>192.92</v>
      </c>
      <c r="E141" s="2">
        <f>IFERROR(__xludf.DUMMYFUNCTION("""COMPUTED_VALUE"""),193.62)</f>
        <v>193.62</v>
      </c>
      <c r="F141" s="2">
        <f>IFERROR(__xludf.DUMMYFUNCTION("""COMPUTED_VALUE"""),3.7283201E7)</f>
        <v>37283201</v>
      </c>
    </row>
    <row r="142">
      <c r="A142" s="3">
        <f>IFERROR(__xludf.DUMMYFUNCTION("""COMPUTED_VALUE"""),45133.66666666667)</f>
        <v>45133.66667</v>
      </c>
      <c r="B142" s="2">
        <f>IFERROR(__xludf.DUMMYFUNCTION("""COMPUTED_VALUE"""),193.67)</f>
        <v>193.67</v>
      </c>
      <c r="C142" s="2">
        <f>IFERROR(__xludf.DUMMYFUNCTION("""COMPUTED_VALUE"""),195.64)</f>
        <v>195.64</v>
      </c>
      <c r="D142" s="2">
        <f>IFERROR(__xludf.DUMMYFUNCTION("""COMPUTED_VALUE"""),193.32)</f>
        <v>193.32</v>
      </c>
      <c r="E142" s="2">
        <f>IFERROR(__xludf.DUMMYFUNCTION("""COMPUTED_VALUE"""),194.5)</f>
        <v>194.5</v>
      </c>
      <c r="F142" s="2">
        <f>IFERROR(__xludf.DUMMYFUNCTION("""COMPUTED_VALUE"""),4.7471868E7)</f>
        <v>47471868</v>
      </c>
    </row>
    <row r="143">
      <c r="A143" s="3">
        <f>IFERROR(__xludf.DUMMYFUNCTION("""COMPUTED_VALUE"""),45134.66666666667)</f>
        <v>45134.66667</v>
      </c>
      <c r="B143" s="2">
        <f>IFERROR(__xludf.DUMMYFUNCTION("""COMPUTED_VALUE"""),196.02)</f>
        <v>196.02</v>
      </c>
      <c r="C143" s="2">
        <f>IFERROR(__xludf.DUMMYFUNCTION("""COMPUTED_VALUE"""),197.2)</f>
        <v>197.2</v>
      </c>
      <c r="D143" s="2">
        <f>IFERROR(__xludf.DUMMYFUNCTION("""COMPUTED_VALUE"""),192.55)</f>
        <v>192.55</v>
      </c>
      <c r="E143" s="2">
        <f>IFERROR(__xludf.DUMMYFUNCTION("""COMPUTED_VALUE"""),193.22)</f>
        <v>193.22</v>
      </c>
      <c r="F143" s="2">
        <f>IFERROR(__xludf.DUMMYFUNCTION("""COMPUTED_VALUE"""),4.746018E7)</f>
        <v>47460180</v>
      </c>
    </row>
    <row r="144">
      <c r="A144" s="3">
        <f>IFERROR(__xludf.DUMMYFUNCTION("""COMPUTED_VALUE"""),45135.66666666667)</f>
        <v>45135.66667</v>
      </c>
      <c r="B144" s="2">
        <f>IFERROR(__xludf.DUMMYFUNCTION("""COMPUTED_VALUE"""),194.67)</f>
        <v>194.67</v>
      </c>
      <c r="C144" s="2">
        <f>IFERROR(__xludf.DUMMYFUNCTION("""COMPUTED_VALUE"""),196.63)</f>
        <v>196.63</v>
      </c>
      <c r="D144" s="2">
        <f>IFERROR(__xludf.DUMMYFUNCTION("""COMPUTED_VALUE"""),194.14)</f>
        <v>194.14</v>
      </c>
      <c r="E144" s="2">
        <f>IFERROR(__xludf.DUMMYFUNCTION("""COMPUTED_VALUE"""),195.83)</f>
        <v>195.83</v>
      </c>
      <c r="F144" s="2">
        <f>IFERROR(__xludf.DUMMYFUNCTION("""COMPUTED_VALUE"""),4.8291443E7)</f>
        <v>48291443</v>
      </c>
    </row>
    <row r="145">
      <c r="A145" s="3">
        <f>IFERROR(__xludf.DUMMYFUNCTION("""COMPUTED_VALUE"""),45138.66666666667)</f>
        <v>45138.66667</v>
      </c>
      <c r="B145" s="2">
        <f>IFERROR(__xludf.DUMMYFUNCTION("""COMPUTED_VALUE"""),196.06)</f>
        <v>196.06</v>
      </c>
      <c r="C145" s="2">
        <f>IFERROR(__xludf.DUMMYFUNCTION("""COMPUTED_VALUE"""),196.49)</f>
        <v>196.49</v>
      </c>
      <c r="D145" s="2">
        <f>IFERROR(__xludf.DUMMYFUNCTION("""COMPUTED_VALUE"""),195.26)</f>
        <v>195.26</v>
      </c>
      <c r="E145" s="2">
        <f>IFERROR(__xludf.DUMMYFUNCTION("""COMPUTED_VALUE"""),196.45)</f>
        <v>196.45</v>
      </c>
      <c r="F145" s="2">
        <f>IFERROR(__xludf.DUMMYFUNCTION("""COMPUTED_VALUE"""),3.8824113E7)</f>
        <v>38824113</v>
      </c>
    </row>
    <row r="146">
      <c r="A146" s="3">
        <f>IFERROR(__xludf.DUMMYFUNCTION("""COMPUTED_VALUE"""),45139.66666666667)</f>
        <v>45139.66667</v>
      </c>
      <c r="B146" s="2">
        <f>IFERROR(__xludf.DUMMYFUNCTION("""COMPUTED_VALUE"""),196.24)</f>
        <v>196.24</v>
      </c>
      <c r="C146" s="2">
        <f>IFERROR(__xludf.DUMMYFUNCTION("""COMPUTED_VALUE"""),196.73)</f>
        <v>196.73</v>
      </c>
      <c r="D146" s="2">
        <f>IFERROR(__xludf.DUMMYFUNCTION("""COMPUTED_VALUE"""),195.28)</f>
        <v>195.28</v>
      </c>
      <c r="E146" s="2">
        <f>IFERROR(__xludf.DUMMYFUNCTION("""COMPUTED_VALUE"""),195.61)</f>
        <v>195.61</v>
      </c>
      <c r="F146" s="2">
        <f>IFERROR(__xludf.DUMMYFUNCTION("""COMPUTED_VALUE"""),3.5281426E7)</f>
        <v>35281426</v>
      </c>
    </row>
    <row r="147">
      <c r="A147" s="3">
        <f>IFERROR(__xludf.DUMMYFUNCTION("""COMPUTED_VALUE"""),45140.66666666667)</f>
        <v>45140.66667</v>
      </c>
      <c r="B147" s="2">
        <f>IFERROR(__xludf.DUMMYFUNCTION("""COMPUTED_VALUE"""),195.04)</f>
        <v>195.04</v>
      </c>
      <c r="C147" s="2">
        <f>IFERROR(__xludf.DUMMYFUNCTION("""COMPUTED_VALUE"""),195.18)</f>
        <v>195.18</v>
      </c>
      <c r="D147" s="2">
        <f>IFERROR(__xludf.DUMMYFUNCTION("""COMPUTED_VALUE"""),191.85)</f>
        <v>191.85</v>
      </c>
      <c r="E147" s="2">
        <f>IFERROR(__xludf.DUMMYFUNCTION("""COMPUTED_VALUE"""),192.58)</f>
        <v>192.58</v>
      </c>
      <c r="F147" s="2">
        <f>IFERROR(__xludf.DUMMYFUNCTION("""COMPUTED_VALUE"""),5.0389327E7)</f>
        <v>50389327</v>
      </c>
    </row>
    <row r="148">
      <c r="A148" s="3">
        <f>IFERROR(__xludf.DUMMYFUNCTION("""COMPUTED_VALUE"""),45141.66666666667)</f>
        <v>45141.66667</v>
      </c>
      <c r="B148" s="2">
        <f>IFERROR(__xludf.DUMMYFUNCTION("""COMPUTED_VALUE"""),191.57)</f>
        <v>191.57</v>
      </c>
      <c r="C148" s="2">
        <f>IFERROR(__xludf.DUMMYFUNCTION("""COMPUTED_VALUE"""),192.37)</f>
        <v>192.37</v>
      </c>
      <c r="D148" s="2">
        <f>IFERROR(__xludf.DUMMYFUNCTION("""COMPUTED_VALUE"""),190.69)</f>
        <v>190.69</v>
      </c>
      <c r="E148" s="2">
        <f>IFERROR(__xludf.DUMMYFUNCTION("""COMPUTED_VALUE"""),191.17)</f>
        <v>191.17</v>
      </c>
      <c r="F148" s="2">
        <f>IFERROR(__xludf.DUMMYFUNCTION("""COMPUTED_VALUE"""),6.2243282E7)</f>
        <v>62243282</v>
      </c>
    </row>
    <row r="149">
      <c r="A149" s="3">
        <f>IFERROR(__xludf.DUMMYFUNCTION("""COMPUTED_VALUE"""),45142.66666666667)</f>
        <v>45142.66667</v>
      </c>
      <c r="B149" s="2">
        <f>IFERROR(__xludf.DUMMYFUNCTION("""COMPUTED_VALUE"""),185.52)</f>
        <v>185.52</v>
      </c>
      <c r="C149" s="2">
        <f>IFERROR(__xludf.DUMMYFUNCTION("""COMPUTED_VALUE"""),187.38)</f>
        <v>187.38</v>
      </c>
      <c r="D149" s="2">
        <f>IFERROR(__xludf.DUMMYFUNCTION("""COMPUTED_VALUE"""),181.92)</f>
        <v>181.92</v>
      </c>
      <c r="E149" s="2">
        <f>IFERROR(__xludf.DUMMYFUNCTION("""COMPUTED_VALUE"""),181.99)</f>
        <v>181.99</v>
      </c>
      <c r="F149" s="2">
        <f>IFERROR(__xludf.DUMMYFUNCTION("""COMPUTED_VALUE"""),1.15956841E8)</f>
        <v>115956841</v>
      </c>
    </row>
    <row r="150">
      <c r="A150" s="3">
        <f>IFERROR(__xludf.DUMMYFUNCTION("""COMPUTED_VALUE"""),45145.66666666667)</f>
        <v>45145.66667</v>
      </c>
      <c r="B150" s="2">
        <f>IFERROR(__xludf.DUMMYFUNCTION("""COMPUTED_VALUE"""),182.13)</f>
        <v>182.13</v>
      </c>
      <c r="C150" s="2">
        <f>IFERROR(__xludf.DUMMYFUNCTION("""COMPUTED_VALUE"""),183.13)</f>
        <v>183.13</v>
      </c>
      <c r="D150" s="2">
        <f>IFERROR(__xludf.DUMMYFUNCTION("""COMPUTED_VALUE"""),177.35)</f>
        <v>177.35</v>
      </c>
      <c r="E150" s="2">
        <f>IFERROR(__xludf.DUMMYFUNCTION("""COMPUTED_VALUE"""),178.85)</f>
        <v>178.85</v>
      </c>
      <c r="F150" s="2">
        <f>IFERROR(__xludf.DUMMYFUNCTION("""COMPUTED_VALUE"""),9.7576069E7)</f>
        <v>97576069</v>
      </c>
    </row>
    <row r="151">
      <c r="A151" s="3">
        <f>IFERROR(__xludf.DUMMYFUNCTION("""COMPUTED_VALUE"""),45146.66666666667)</f>
        <v>45146.66667</v>
      </c>
      <c r="B151" s="2">
        <f>IFERROR(__xludf.DUMMYFUNCTION("""COMPUTED_VALUE"""),179.69)</f>
        <v>179.69</v>
      </c>
      <c r="C151" s="2">
        <f>IFERROR(__xludf.DUMMYFUNCTION("""COMPUTED_VALUE"""),180.27)</f>
        <v>180.27</v>
      </c>
      <c r="D151" s="2">
        <f>IFERROR(__xludf.DUMMYFUNCTION("""COMPUTED_VALUE"""),177.58)</f>
        <v>177.58</v>
      </c>
      <c r="E151" s="2">
        <f>IFERROR(__xludf.DUMMYFUNCTION("""COMPUTED_VALUE"""),179.8)</f>
        <v>179.8</v>
      </c>
      <c r="F151" s="2">
        <f>IFERROR(__xludf.DUMMYFUNCTION("""COMPUTED_VALUE"""),6.7823003E7)</f>
        <v>67823003</v>
      </c>
    </row>
    <row r="152">
      <c r="A152" s="3">
        <f>IFERROR(__xludf.DUMMYFUNCTION("""COMPUTED_VALUE"""),45147.66666666667)</f>
        <v>45147.66667</v>
      </c>
      <c r="B152" s="2">
        <f>IFERROR(__xludf.DUMMYFUNCTION("""COMPUTED_VALUE"""),180.87)</f>
        <v>180.87</v>
      </c>
      <c r="C152" s="2">
        <f>IFERROR(__xludf.DUMMYFUNCTION("""COMPUTED_VALUE"""),180.93)</f>
        <v>180.93</v>
      </c>
      <c r="D152" s="2">
        <f>IFERROR(__xludf.DUMMYFUNCTION("""COMPUTED_VALUE"""),177.01)</f>
        <v>177.01</v>
      </c>
      <c r="E152" s="2">
        <f>IFERROR(__xludf.DUMMYFUNCTION("""COMPUTED_VALUE"""),178.19)</f>
        <v>178.19</v>
      </c>
      <c r="F152" s="2">
        <f>IFERROR(__xludf.DUMMYFUNCTION("""COMPUTED_VALUE"""),6.0378492E7)</f>
        <v>60378492</v>
      </c>
    </row>
    <row r="153">
      <c r="A153" s="3">
        <f>IFERROR(__xludf.DUMMYFUNCTION("""COMPUTED_VALUE"""),45148.66666666667)</f>
        <v>45148.66667</v>
      </c>
      <c r="B153" s="2">
        <f>IFERROR(__xludf.DUMMYFUNCTION("""COMPUTED_VALUE"""),179.48)</f>
        <v>179.48</v>
      </c>
      <c r="C153" s="2">
        <f>IFERROR(__xludf.DUMMYFUNCTION("""COMPUTED_VALUE"""),180.75)</f>
        <v>180.75</v>
      </c>
      <c r="D153" s="2">
        <f>IFERROR(__xludf.DUMMYFUNCTION("""COMPUTED_VALUE"""),177.6)</f>
        <v>177.6</v>
      </c>
      <c r="E153" s="2">
        <f>IFERROR(__xludf.DUMMYFUNCTION("""COMPUTED_VALUE"""),177.97)</f>
        <v>177.97</v>
      </c>
      <c r="F153" s="2">
        <f>IFERROR(__xludf.DUMMYFUNCTION("""COMPUTED_VALUE"""),5.4686851E7)</f>
        <v>54686851</v>
      </c>
    </row>
    <row r="154">
      <c r="A154" s="3">
        <f>IFERROR(__xludf.DUMMYFUNCTION("""COMPUTED_VALUE"""),45149.66666666667)</f>
        <v>45149.66667</v>
      </c>
      <c r="B154" s="2">
        <f>IFERROR(__xludf.DUMMYFUNCTION("""COMPUTED_VALUE"""),177.32)</f>
        <v>177.32</v>
      </c>
      <c r="C154" s="2">
        <f>IFERROR(__xludf.DUMMYFUNCTION("""COMPUTED_VALUE"""),178.62)</f>
        <v>178.62</v>
      </c>
      <c r="D154" s="2">
        <f>IFERROR(__xludf.DUMMYFUNCTION("""COMPUTED_VALUE"""),176.55)</f>
        <v>176.55</v>
      </c>
      <c r="E154" s="2">
        <f>IFERROR(__xludf.DUMMYFUNCTION("""COMPUTED_VALUE"""),177.79)</f>
        <v>177.79</v>
      </c>
      <c r="F154" s="2">
        <f>IFERROR(__xludf.DUMMYFUNCTION("""COMPUTED_VALUE"""),5.2036672E7)</f>
        <v>52036672</v>
      </c>
    </row>
    <row r="155">
      <c r="A155" s="3">
        <f>IFERROR(__xludf.DUMMYFUNCTION("""COMPUTED_VALUE"""),45152.66666666667)</f>
        <v>45152.66667</v>
      </c>
      <c r="B155" s="2">
        <f>IFERROR(__xludf.DUMMYFUNCTION("""COMPUTED_VALUE"""),177.97)</f>
        <v>177.97</v>
      </c>
      <c r="C155" s="2">
        <f>IFERROR(__xludf.DUMMYFUNCTION("""COMPUTED_VALUE"""),179.69)</f>
        <v>179.69</v>
      </c>
      <c r="D155" s="2">
        <f>IFERROR(__xludf.DUMMYFUNCTION("""COMPUTED_VALUE"""),177.31)</f>
        <v>177.31</v>
      </c>
      <c r="E155" s="2">
        <f>IFERROR(__xludf.DUMMYFUNCTION("""COMPUTED_VALUE"""),179.46)</f>
        <v>179.46</v>
      </c>
      <c r="F155" s="2">
        <f>IFERROR(__xludf.DUMMYFUNCTION("""COMPUTED_VALUE"""),4.3675627E7)</f>
        <v>43675627</v>
      </c>
    </row>
    <row r="156">
      <c r="A156" s="3">
        <f>IFERROR(__xludf.DUMMYFUNCTION("""COMPUTED_VALUE"""),45153.66666666667)</f>
        <v>45153.66667</v>
      </c>
      <c r="B156" s="2">
        <f>IFERROR(__xludf.DUMMYFUNCTION("""COMPUTED_VALUE"""),178.88)</f>
        <v>178.88</v>
      </c>
      <c r="C156" s="2">
        <f>IFERROR(__xludf.DUMMYFUNCTION("""COMPUTED_VALUE"""),179.48)</f>
        <v>179.48</v>
      </c>
      <c r="D156" s="2">
        <f>IFERROR(__xludf.DUMMYFUNCTION("""COMPUTED_VALUE"""),177.05)</f>
        <v>177.05</v>
      </c>
      <c r="E156" s="2">
        <f>IFERROR(__xludf.DUMMYFUNCTION("""COMPUTED_VALUE"""),177.45)</f>
        <v>177.45</v>
      </c>
      <c r="F156" s="2">
        <f>IFERROR(__xludf.DUMMYFUNCTION("""COMPUTED_VALUE"""),4.3622593E7)</f>
        <v>43622593</v>
      </c>
    </row>
    <row r="157">
      <c r="A157" s="3">
        <f>IFERROR(__xludf.DUMMYFUNCTION("""COMPUTED_VALUE"""),45154.66666666667)</f>
        <v>45154.66667</v>
      </c>
      <c r="B157" s="2">
        <f>IFERROR(__xludf.DUMMYFUNCTION("""COMPUTED_VALUE"""),177.13)</f>
        <v>177.13</v>
      </c>
      <c r="C157" s="2">
        <f>IFERROR(__xludf.DUMMYFUNCTION("""COMPUTED_VALUE"""),178.54)</f>
        <v>178.54</v>
      </c>
      <c r="D157" s="2">
        <f>IFERROR(__xludf.DUMMYFUNCTION("""COMPUTED_VALUE"""),176.5)</f>
        <v>176.5</v>
      </c>
      <c r="E157" s="2">
        <f>IFERROR(__xludf.DUMMYFUNCTION("""COMPUTED_VALUE"""),176.57)</f>
        <v>176.57</v>
      </c>
      <c r="F157" s="2">
        <f>IFERROR(__xludf.DUMMYFUNCTION("""COMPUTED_VALUE"""),4.6964857E7)</f>
        <v>46964857</v>
      </c>
    </row>
    <row r="158">
      <c r="A158" s="3">
        <f>IFERROR(__xludf.DUMMYFUNCTION("""COMPUTED_VALUE"""),45155.66666666667)</f>
        <v>45155.66667</v>
      </c>
      <c r="B158" s="2">
        <f>IFERROR(__xludf.DUMMYFUNCTION("""COMPUTED_VALUE"""),177.14)</f>
        <v>177.14</v>
      </c>
      <c r="C158" s="2">
        <f>IFERROR(__xludf.DUMMYFUNCTION("""COMPUTED_VALUE"""),177.51)</f>
        <v>177.51</v>
      </c>
      <c r="D158" s="2">
        <f>IFERROR(__xludf.DUMMYFUNCTION("""COMPUTED_VALUE"""),173.48)</f>
        <v>173.48</v>
      </c>
      <c r="E158" s="2">
        <f>IFERROR(__xludf.DUMMYFUNCTION("""COMPUTED_VALUE"""),174.0)</f>
        <v>174</v>
      </c>
      <c r="F158" s="2">
        <f>IFERROR(__xludf.DUMMYFUNCTION("""COMPUTED_VALUE"""),6.6062882E7)</f>
        <v>66062882</v>
      </c>
    </row>
    <row r="159">
      <c r="A159" s="3">
        <f>IFERROR(__xludf.DUMMYFUNCTION("""COMPUTED_VALUE"""),45156.66666666667)</f>
        <v>45156.66667</v>
      </c>
      <c r="B159" s="2">
        <f>IFERROR(__xludf.DUMMYFUNCTION("""COMPUTED_VALUE"""),172.3)</f>
        <v>172.3</v>
      </c>
      <c r="C159" s="2">
        <f>IFERROR(__xludf.DUMMYFUNCTION("""COMPUTED_VALUE"""),175.1)</f>
        <v>175.1</v>
      </c>
      <c r="D159" s="2">
        <f>IFERROR(__xludf.DUMMYFUNCTION("""COMPUTED_VALUE"""),171.96)</f>
        <v>171.96</v>
      </c>
      <c r="E159" s="2">
        <f>IFERROR(__xludf.DUMMYFUNCTION("""COMPUTED_VALUE"""),174.49)</f>
        <v>174.49</v>
      </c>
      <c r="F159" s="2">
        <f>IFERROR(__xludf.DUMMYFUNCTION("""COMPUTED_VALUE"""),6.117215E7)</f>
        <v>61172150</v>
      </c>
    </row>
    <row r="160">
      <c r="A160" s="3">
        <f>IFERROR(__xludf.DUMMYFUNCTION("""COMPUTED_VALUE"""),45159.66666666667)</f>
        <v>45159.66667</v>
      </c>
      <c r="B160" s="2">
        <f>IFERROR(__xludf.DUMMYFUNCTION("""COMPUTED_VALUE"""),175.07)</f>
        <v>175.07</v>
      </c>
      <c r="C160" s="2">
        <f>IFERROR(__xludf.DUMMYFUNCTION("""COMPUTED_VALUE"""),176.13)</f>
        <v>176.13</v>
      </c>
      <c r="D160" s="2">
        <f>IFERROR(__xludf.DUMMYFUNCTION("""COMPUTED_VALUE"""),173.74)</f>
        <v>173.74</v>
      </c>
      <c r="E160" s="2">
        <f>IFERROR(__xludf.DUMMYFUNCTION("""COMPUTED_VALUE"""),175.84)</f>
        <v>175.84</v>
      </c>
      <c r="F160" s="2">
        <f>IFERROR(__xludf.DUMMYFUNCTION("""COMPUTED_VALUE"""),4.6311879E7)</f>
        <v>46311879</v>
      </c>
    </row>
    <row r="161">
      <c r="A161" s="3">
        <f>IFERROR(__xludf.DUMMYFUNCTION("""COMPUTED_VALUE"""),45160.66666666667)</f>
        <v>45160.66667</v>
      </c>
      <c r="B161" s="2">
        <f>IFERROR(__xludf.DUMMYFUNCTION("""COMPUTED_VALUE"""),177.06)</f>
        <v>177.06</v>
      </c>
      <c r="C161" s="2">
        <f>IFERROR(__xludf.DUMMYFUNCTION("""COMPUTED_VALUE"""),177.68)</f>
        <v>177.68</v>
      </c>
      <c r="D161" s="2">
        <f>IFERROR(__xludf.DUMMYFUNCTION("""COMPUTED_VALUE"""),176.25)</f>
        <v>176.25</v>
      </c>
      <c r="E161" s="2">
        <f>IFERROR(__xludf.DUMMYFUNCTION("""COMPUTED_VALUE"""),177.23)</f>
        <v>177.23</v>
      </c>
      <c r="F161" s="2">
        <f>IFERROR(__xludf.DUMMYFUNCTION("""COMPUTED_VALUE"""),4.2084245E7)</f>
        <v>42084245</v>
      </c>
    </row>
    <row r="162">
      <c r="A162" s="3">
        <f>IFERROR(__xludf.DUMMYFUNCTION("""COMPUTED_VALUE"""),45161.66666666667)</f>
        <v>45161.66667</v>
      </c>
      <c r="B162" s="2">
        <f>IFERROR(__xludf.DUMMYFUNCTION("""COMPUTED_VALUE"""),178.52)</f>
        <v>178.52</v>
      </c>
      <c r="C162" s="2">
        <f>IFERROR(__xludf.DUMMYFUNCTION("""COMPUTED_VALUE"""),181.55)</f>
        <v>181.55</v>
      </c>
      <c r="D162" s="2">
        <f>IFERROR(__xludf.DUMMYFUNCTION("""COMPUTED_VALUE"""),178.33)</f>
        <v>178.33</v>
      </c>
      <c r="E162" s="2">
        <f>IFERROR(__xludf.DUMMYFUNCTION("""COMPUTED_VALUE"""),181.12)</f>
        <v>181.12</v>
      </c>
      <c r="F162" s="2">
        <f>IFERROR(__xludf.DUMMYFUNCTION("""COMPUTED_VALUE"""),5.2722752E7)</f>
        <v>52722752</v>
      </c>
    </row>
    <row r="163">
      <c r="A163" s="3">
        <f>IFERROR(__xludf.DUMMYFUNCTION("""COMPUTED_VALUE"""),45162.66666666667)</f>
        <v>45162.66667</v>
      </c>
      <c r="B163" s="2">
        <f>IFERROR(__xludf.DUMMYFUNCTION("""COMPUTED_VALUE"""),180.67)</f>
        <v>180.67</v>
      </c>
      <c r="C163" s="2">
        <f>IFERROR(__xludf.DUMMYFUNCTION("""COMPUTED_VALUE"""),181.1)</f>
        <v>181.1</v>
      </c>
      <c r="D163" s="2">
        <f>IFERROR(__xludf.DUMMYFUNCTION("""COMPUTED_VALUE"""),176.01)</f>
        <v>176.01</v>
      </c>
      <c r="E163" s="2">
        <f>IFERROR(__xludf.DUMMYFUNCTION("""COMPUTED_VALUE"""),176.38)</f>
        <v>176.38</v>
      </c>
      <c r="F163" s="2">
        <f>IFERROR(__xludf.DUMMYFUNCTION("""COMPUTED_VALUE"""),5.4945798E7)</f>
        <v>54945798</v>
      </c>
    </row>
    <row r="164">
      <c r="A164" s="3">
        <f>IFERROR(__xludf.DUMMYFUNCTION("""COMPUTED_VALUE"""),45163.66666666667)</f>
        <v>45163.66667</v>
      </c>
      <c r="B164" s="2">
        <f>IFERROR(__xludf.DUMMYFUNCTION("""COMPUTED_VALUE"""),177.38)</f>
        <v>177.38</v>
      </c>
      <c r="C164" s="2">
        <f>IFERROR(__xludf.DUMMYFUNCTION("""COMPUTED_VALUE"""),179.15)</f>
        <v>179.15</v>
      </c>
      <c r="D164" s="2">
        <f>IFERROR(__xludf.DUMMYFUNCTION("""COMPUTED_VALUE"""),175.82)</f>
        <v>175.82</v>
      </c>
      <c r="E164" s="2">
        <f>IFERROR(__xludf.DUMMYFUNCTION("""COMPUTED_VALUE"""),178.61)</f>
        <v>178.61</v>
      </c>
      <c r="F164" s="2">
        <f>IFERROR(__xludf.DUMMYFUNCTION("""COMPUTED_VALUE"""),5.1449594E7)</f>
        <v>51449594</v>
      </c>
    </row>
    <row r="165">
      <c r="A165" s="3">
        <f>IFERROR(__xludf.DUMMYFUNCTION("""COMPUTED_VALUE"""),45166.66666666667)</f>
        <v>45166.66667</v>
      </c>
      <c r="B165" s="2">
        <f>IFERROR(__xludf.DUMMYFUNCTION("""COMPUTED_VALUE"""),180.09)</f>
        <v>180.09</v>
      </c>
      <c r="C165" s="2">
        <f>IFERROR(__xludf.DUMMYFUNCTION("""COMPUTED_VALUE"""),180.59)</f>
        <v>180.59</v>
      </c>
      <c r="D165" s="2">
        <f>IFERROR(__xludf.DUMMYFUNCTION("""COMPUTED_VALUE"""),178.55)</f>
        <v>178.55</v>
      </c>
      <c r="E165" s="2">
        <f>IFERROR(__xludf.DUMMYFUNCTION("""COMPUTED_VALUE"""),180.19)</f>
        <v>180.19</v>
      </c>
      <c r="F165" s="2">
        <f>IFERROR(__xludf.DUMMYFUNCTION("""COMPUTED_VALUE"""),4.3820697E7)</f>
        <v>43820697</v>
      </c>
    </row>
    <row r="166">
      <c r="A166" s="3">
        <f>IFERROR(__xludf.DUMMYFUNCTION("""COMPUTED_VALUE"""),45167.66666666667)</f>
        <v>45167.66667</v>
      </c>
      <c r="B166" s="2">
        <f>IFERROR(__xludf.DUMMYFUNCTION("""COMPUTED_VALUE"""),179.7)</f>
        <v>179.7</v>
      </c>
      <c r="C166" s="2">
        <f>IFERROR(__xludf.DUMMYFUNCTION("""COMPUTED_VALUE"""),184.9)</f>
        <v>184.9</v>
      </c>
      <c r="D166" s="2">
        <f>IFERROR(__xludf.DUMMYFUNCTION("""COMPUTED_VALUE"""),179.5)</f>
        <v>179.5</v>
      </c>
      <c r="E166" s="2">
        <f>IFERROR(__xludf.DUMMYFUNCTION("""COMPUTED_VALUE"""),184.12)</f>
        <v>184.12</v>
      </c>
      <c r="F166" s="2">
        <f>IFERROR(__xludf.DUMMYFUNCTION("""COMPUTED_VALUE"""),5.3003948E7)</f>
        <v>53003948</v>
      </c>
    </row>
    <row r="167">
      <c r="A167" s="3">
        <f>IFERROR(__xludf.DUMMYFUNCTION("""COMPUTED_VALUE"""),45168.66666666667)</f>
        <v>45168.66667</v>
      </c>
      <c r="B167" s="2">
        <f>IFERROR(__xludf.DUMMYFUNCTION("""COMPUTED_VALUE"""),184.94)</f>
        <v>184.94</v>
      </c>
      <c r="C167" s="2">
        <f>IFERROR(__xludf.DUMMYFUNCTION("""COMPUTED_VALUE"""),187.85)</f>
        <v>187.85</v>
      </c>
      <c r="D167" s="2">
        <f>IFERROR(__xludf.DUMMYFUNCTION("""COMPUTED_VALUE"""),184.74)</f>
        <v>184.74</v>
      </c>
      <c r="E167" s="2">
        <f>IFERROR(__xludf.DUMMYFUNCTION("""COMPUTED_VALUE"""),187.65)</f>
        <v>187.65</v>
      </c>
      <c r="F167" s="2">
        <f>IFERROR(__xludf.DUMMYFUNCTION("""COMPUTED_VALUE"""),6.0813888E7)</f>
        <v>60813888</v>
      </c>
    </row>
    <row r="168">
      <c r="A168" s="3">
        <f>IFERROR(__xludf.DUMMYFUNCTION("""COMPUTED_VALUE"""),45169.66666666667)</f>
        <v>45169.66667</v>
      </c>
      <c r="B168" s="2">
        <f>IFERROR(__xludf.DUMMYFUNCTION("""COMPUTED_VALUE"""),187.84)</f>
        <v>187.84</v>
      </c>
      <c r="C168" s="2">
        <f>IFERROR(__xludf.DUMMYFUNCTION("""COMPUTED_VALUE"""),189.12)</f>
        <v>189.12</v>
      </c>
      <c r="D168" s="2">
        <f>IFERROR(__xludf.DUMMYFUNCTION("""COMPUTED_VALUE"""),187.48)</f>
        <v>187.48</v>
      </c>
      <c r="E168" s="2">
        <f>IFERROR(__xludf.DUMMYFUNCTION("""COMPUTED_VALUE"""),187.87)</f>
        <v>187.87</v>
      </c>
      <c r="F168" s="2">
        <f>IFERROR(__xludf.DUMMYFUNCTION("""COMPUTED_VALUE"""),6.0794467E7)</f>
        <v>60794467</v>
      </c>
    </row>
    <row r="169">
      <c r="A169" s="3">
        <f>IFERROR(__xludf.DUMMYFUNCTION("""COMPUTED_VALUE"""),45170.66666666667)</f>
        <v>45170.66667</v>
      </c>
      <c r="B169" s="2">
        <f>IFERROR(__xludf.DUMMYFUNCTION("""COMPUTED_VALUE"""),189.49)</f>
        <v>189.49</v>
      </c>
      <c r="C169" s="2">
        <f>IFERROR(__xludf.DUMMYFUNCTION("""COMPUTED_VALUE"""),189.92)</f>
        <v>189.92</v>
      </c>
      <c r="D169" s="2">
        <f>IFERROR(__xludf.DUMMYFUNCTION("""COMPUTED_VALUE"""),188.28)</f>
        <v>188.28</v>
      </c>
      <c r="E169" s="2">
        <f>IFERROR(__xludf.DUMMYFUNCTION("""COMPUTED_VALUE"""),189.46)</f>
        <v>189.46</v>
      </c>
      <c r="F169" s="2">
        <f>IFERROR(__xludf.DUMMYFUNCTION("""COMPUTED_VALUE"""),4.5766503E7)</f>
        <v>45766503</v>
      </c>
    </row>
    <row r="170">
      <c r="A170" s="3">
        <f>IFERROR(__xludf.DUMMYFUNCTION("""COMPUTED_VALUE"""),45174.66666666667)</f>
        <v>45174.66667</v>
      </c>
      <c r="B170" s="2">
        <f>IFERROR(__xludf.DUMMYFUNCTION("""COMPUTED_VALUE"""),188.28)</f>
        <v>188.28</v>
      </c>
      <c r="C170" s="2">
        <f>IFERROR(__xludf.DUMMYFUNCTION("""COMPUTED_VALUE"""),189.98)</f>
        <v>189.98</v>
      </c>
      <c r="D170" s="2">
        <f>IFERROR(__xludf.DUMMYFUNCTION("""COMPUTED_VALUE"""),187.61)</f>
        <v>187.61</v>
      </c>
      <c r="E170" s="2">
        <f>IFERROR(__xludf.DUMMYFUNCTION("""COMPUTED_VALUE"""),189.7)</f>
        <v>189.7</v>
      </c>
      <c r="F170" s="2">
        <f>IFERROR(__xludf.DUMMYFUNCTION("""COMPUTED_VALUE"""),4.5280027E7)</f>
        <v>45280027</v>
      </c>
    </row>
    <row r="171">
      <c r="A171" s="3">
        <f>IFERROR(__xludf.DUMMYFUNCTION("""COMPUTED_VALUE"""),45175.66666666667)</f>
        <v>45175.66667</v>
      </c>
      <c r="B171" s="2">
        <f>IFERROR(__xludf.DUMMYFUNCTION("""COMPUTED_VALUE"""),188.4)</f>
        <v>188.4</v>
      </c>
      <c r="C171" s="2">
        <f>IFERROR(__xludf.DUMMYFUNCTION("""COMPUTED_VALUE"""),188.85)</f>
        <v>188.85</v>
      </c>
      <c r="D171" s="2">
        <f>IFERROR(__xludf.DUMMYFUNCTION("""COMPUTED_VALUE"""),181.47)</f>
        <v>181.47</v>
      </c>
      <c r="E171" s="2">
        <f>IFERROR(__xludf.DUMMYFUNCTION("""COMPUTED_VALUE"""),182.91)</f>
        <v>182.91</v>
      </c>
      <c r="F171" s="2">
        <f>IFERROR(__xludf.DUMMYFUNCTION("""COMPUTED_VALUE"""),8.1755816E7)</f>
        <v>81755816</v>
      </c>
    </row>
    <row r="172">
      <c r="A172" s="3">
        <f>IFERROR(__xludf.DUMMYFUNCTION("""COMPUTED_VALUE"""),45176.66666666667)</f>
        <v>45176.66667</v>
      </c>
      <c r="B172" s="2">
        <f>IFERROR(__xludf.DUMMYFUNCTION("""COMPUTED_VALUE"""),175.18)</f>
        <v>175.18</v>
      </c>
      <c r="C172" s="2">
        <f>IFERROR(__xludf.DUMMYFUNCTION("""COMPUTED_VALUE"""),178.21)</f>
        <v>178.21</v>
      </c>
      <c r="D172" s="2">
        <f>IFERROR(__xludf.DUMMYFUNCTION("""COMPUTED_VALUE"""),173.54)</f>
        <v>173.54</v>
      </c>
      <c r="E172" s="2">
        <f>IFERROR(__xludf.DUMMYFUNCTION("""COMPUTED_VALUE"""),177.56)</f>
        <v>177.56</v>
      </c>
      <c r="F172" s="2">
        <f>IFERROR(__xludf.DUMMYFUNCTION("""COMPUTED_VALUE"""),1.12488803E8)</f>
        <v>112488803</v>
      </c>
    </row>
    <row r="173">
      <c r="A173" s="3">
        <f>IFERROR(__xludf.DUMMYFUNCTION("""COMPUTED_VALUE"""),45177.66666666667)</f>
        <v>45177.66667</v>
      </c>
      <c r="B173" s="2">
        <f>IFERROR(__xludf.DUMMYFUNCTION("""COMPUTED_VALUE"""),178.35)</f>
        <v>178.35</v>
      </c>
      <c r="C173" s="2">
        <f>IFERROR(__xludf.DUMMYFUNCTION("""COMPUTED_VALUE"""),180.24)</f>
        <v>180.24</v>
      </c>
      <c r="D173" s="2">
        <f>IFERROR(__xludf.DUMMYFUNCTION("""COMPUTED_VALUE"""),177.79)</f>
        <v>177.79</v>
      </c>
      <c r="E173" s="2">
        <f>IFERROR(__xludf.DUMMYFUNCTION("""COMPUTED_VALUE"""),178.18)</f>
        <v>178.18</v>
      </c>
      <c r="F173" s="2">
        <f>IFERROR(__xludf.DUMMYFUNCTION("""COMPUTED_VALUE"""),6.5602066E7)</f>
        <v>65602066</v>
      </c>
    </row>
    <row r="174">
      <c r="A174" s="3">
        <f>IFERROR(__xludf.DUMMYFUNCTION("""COMPUTED_VALUE"""),45180.66666666667)</f>
        <v>45180.66667</v>
      </c>
      <c r="B174" s="2">
        <f>IFERROR(__xludf.DUMMYFUNCTION("""COMPUTED_VALUE"""),180.07)</f>
        <v>180.07</v>
      </c>
      <c r="C174" s="2">
        <f>IFERROR(__xludf.DUMMYFUNCTION("""COMPUTED_VALUE"""),180.3)</f>
        <v>180.3</v>
      </c>
      <c r="D174" s="2">
        <f>IFERROR(__xludf.DUMMYFUNCTION("""COMPUTED_VALUE"""),177.34)</f>
        <v>177.34</v>
      </c>
      <c r="E174" s="2">
        <f>IFERROR(__xludf.DUMMYFUNCTION("""COMPUTED_VALUE"""),179.36)</f>
        <v>179.36</v>
      </c>
      <c r="F174" s="2">
        <f>IFERROR(__xludf.DUMMYFUNCTION("""COMPUTED_VALUE"""),5.8953052E7)</f>
        <v>58953052</v>
      </c>
    </row>
    <row r="175">
      <c r="A175" s="3">
        <f>IFERROR(__xludf.DUMMYFUNCTION("""COMPUTED_VALUE"""),45181.66666666667)</f>
        <v>45181.66667</v>
      </c>
      <c r="B175" s="2">
        <f>IFERROR(__xludf.DUMMYFUNCTION("""COMPUTED_VALUE"""),179.49)</f>
        <v>179.49</v>
      </c>
      <c r="C175" s="2">
        <f>IFERROR(__xludf.DUMMYFUNCTION("""COMPUTED_VALUE"""),180.13)</f>
        <v>180.13</v>
      </c>
      <c r="D175" s="2">
        <f>IFERROR(__xludf.DUMMYFUNCTION("""COMPUTED_VALUE"""),174.82)</f>
        <v>174.82</v>
      </c>
      <c r="E175" s="2">
        <f>IFERROR(__xludf.DUMMYFUNCTION("""COMPUTED_VALUE"""),176.3)</f>
        <v>176.3</v>
      </c>
      <c r="F175" s="2">
        <f>IFERROR(__xludf.DUMMYFUNCTION("""COMPUTED_VALUE"""),9.0370192E7)</f>
        <v>90370192</v>
      </c>
    </row>
    <row r="176">
      <c r="A176" s="3">
        <f>IFERROR(__xludf.DUMMYFUNCTION("""COMPUTED_VALUE"""),45182.66666666667)</f>
        <v>45182.66667</v>
      </c>
      <c r="B176" s="2">
        <f>IFERROR(__xludf.DUMMYFUNCTION("""COMPUTED_VALUE"""),176.51)</f>
        <v>176.51</v>
      </c>
      <c r="C176" s="2">
        <f>IFERROR(__xludf.DUMMYFUNCTION("""COMPUTED_VALUE"""),177.3)</f>
        <v>177.3</v>
      </c>
      <c r="D176" s="2">
        <f>IFERROR(__xludf.DUMMYFUNCTION("""COMPUTED_VALUE"""),173.98)</f>
        <v>173.98</v>
      </c>
      <c r="E176" s="2">
        <f>IFERROR(__xludf.DUMMYFUNCTION("""COMPUTED_VALUE"""),174.21)</f>
        <v>174.21</v>
      </c>
      <c r="F176" s="2">
        <f>IFERROR(__xludf.DUMMYFUNCTION("""COMPUTED_VALUE"""),8.4267928E7)</f>
        <v>84267928</v>
      </c>
    </row>
    <row r="177">
      <c r="A177" s="3">
        <f>IFERROR(__xludf.DUMMYFUNCTION("""COMPUTED_VALUE"""),45183.66666666667)</f>
        <v>45183.66667</v>
      </c>
      <c r="B177" s="2">
        <f>IFERROR(__xludf.DUMMYFUNCTION("""COMPUTED_VALUE"""),174.0)</f>
        <v>174</v>
      </c>
      <c r="C177" s="2">
        <f>IFERROR(__xludf.DUMMYFUNCTION("""COMPUTED_VALUE"""),176.1)</f>
        <v>176.1</v>
      </c>
      <c r="D177" s="2">
        <f>IFERROR(__xludf.DUMMYFUNCTION("""COMPUTED_VALUE"""),173.58)</f>
        <v>173.58</v>
      </c>
      <c r="E177" s="2">
        <f>IFERROR(__xludf.DUMMYFUNCTION("""COMPUTED_VALUE"""),175.74)</f>
        <v>175.74</v>
      </c>
      <c r="F177" s="2">
        <f>IFERROR(__xludf.DUMMYFUNCTION("""COMPUTED_VALUE"""),6.0895757E7)</f>
        <v>60895757</v>
      </c>
    </row>
    <row r="178">
      <c r="A178" s="3">
        <f>IFERROR(__xludf.DUMMYFUNCTION("""COMPUTED_VALUE"""),45184.66666666667)</f>
        <v>45184.66667</v>
      </c>
      <c r="B178" s="2">
        <f>IFERROR(__xludf.DUMMYFUNCTION("""COMPUTED_VALUE"""),176.48)</f>
        <v>176.48</v>
      </c>
      <c r="C178" s="2">
        <f>IFERROR(__xludf.DUMMYFUNCTION("""COMPUTED_VALUE"""),176.5)</f>
        <v>176.5</v>
      </c>
      <c r="D178" s="2">
        <f>IFERROR(__xludf.DUMMYFUNCTION("""COMPUTED_VALUE"""),173.82)</f>
        <v>173.82</v>
      </c>
      <c r="E178" s="2">
        <f>IFERROR(__xludf.DUMMYFUNCTION("""COMPUTED_VALUE"""),175.01)</f>
        <v>175.01</v>
      </c>
      <c r="F178" s="2">
        <f>IFERROR(__xludf.DUMMYFUNCTION("""COMPUTED_VALUE"""),1.09259461E8)</f>
        <v>109259461</v>
      </c>
    </row>
    <row r="179">
      <c r="A179" s="3">
        <f>IFERROR(__xludf.DUMMYFUNCTION("""COMPUTED_VALUE"""),45187.66666666667)</f>
        <v>45187.66667</v>
      </c>
      <c r="B179" s="2">
        <f>IFERROR(__xludf.DUMMYFUNCTION("""COMPUTED_VALUE"""),176.48)</f>
        <v>176.48</v>
      </c>
      <c r="C179" s="2">
        <f>IFERROR(__xludf.DUMMYFUNCTION("""COMPUTED_VALUE"""),179.38)</f>
        <v>179.38</v>
      </c>
      <c r="D179" s="2">
        <f>IFERROR(__xludf.DUMMYFUNCTION("""COMPUTED_VALUE"""),176.17)</f>
        <v>176.17</v>
      </c>
      <c r="E179" s="2">
        <f>IFERROR(__xludf.DUMMYFUNCTION("""COMPUTED_VALUE"""),177.97)</f>
        <v>177.97</v>
      </c>
      <c r="F179" s="2">
        <f>IFERROR(__xludf.DUMMYFUNCTION("""COMPUTED_VALUE"""),6.7257573E7)</f>
        <v>67257573</v>
      </c>
    </row>
    <row r="180">
      <c r="A180" s="3">
        <f>IFERROR(__xludf.DUMMYFUNCTION("""COMPUTED_VALUE"""),45188.66666666667)</f>
        <v>45188.66667</v>
      </c>
      <c r="B180" s="2">
        <f>IFERROR(__xludf.DUMMYFUNCTION("""COMPUTED_VALUE"""),177.52)</f>
        <v>177.52</v>
      </c>
      <c r="C180" s="2">
        <f>IFERROR(__xludf.DUMMYFUNCTION("""COMPUTED_VALUE"""),179.63)</f>
        <v>179.63</v>
      </c>
      <c r="D180" s="2">
        <f>IFERROR(__xludf.DUMMYFUNCTION("""COMPUTED_VALUE"""),177.13)</f>
        <v>177.13</v>
      </c>
      <c r="E180" s="2">
        <f>IFERROR(__xludf.DUMMYFUNCTION("""COMPUTED_VALUE"""),179.07)</f>
        <v>179.07</v>
      </c>
      <c r="F180" s="2">
        <f>IFERROR(__xludf.DUMMYFUNCTION("""COMPUTED_VALUE"""),5.1826941E7)</f>
        <v>51826941</v>
      </c>
    </row>
    <row r="181">
      <c r="A181" s="3">
        <f>IFERROR(__xludf.DUMMYFUNCTION("""COMPUTED_VALUE"""),45189.66666666667)</f>
        <v>45189.66667</v>
      </c>
      <c r="B181" s="2">
        <f>IFERROR(__xludf.DUMMYFUNCTION("""COMPUTED_VALUE"""),179.26)</f>
        <v>179.26</v>
      </c>
      <c r="C181" s="2">
        <f>IFERROR(__xludf.DUMMYFUNCTION("""COMPUTED_VALUE"""),179.7)</f>
        <v>179.7</v>
      </c>
      <c r="D181" s="2">
        <f>IFERROR(__xludf.DUMMYFUNCTION("""COMPUTED_VALUE"""),175.4)</f>
        <v>175.4</v>
      </c>
      <c r="E181" s="2">
        <f>IFERROR(__xludf.DUMMYFUNCTION("""COMPUTED_VALUE"""),175.49)</f>
        <v>175.49</v>
      </c>
      <c r="F181" s="2">
        <f>IFERROR(__xludf.DUMMYFUNCTION("""COMPUTED_VALUE"""),5.8436181E7)</f>
        <v>58436181</v>
      </c>
    </row>
    <row r="182">
      <c r="A182" s="3">
        <f>IFERROR(__xludf.DUMMYFUNCTION("""COMPUTED_VALUE"""),45190.66666666667)</f>
        <v>45190.66667</v>
      </c>
      <c r="B182" s="2">
        <f>IFERROR(__xludf.DUMMYFUNCTION("""COMPUTED_VALUE"""),174.55)</f>
        <v>174.55</v>
      </c>
      <c r="C182" s="2">
        <f>IFERROR(__xludf.DUMMYFUNCTION("""COMPUTED_VALUE"""),176.3)</f>
        <v>176.3</v>
      </c>
      <c r="D182" s="2">
        <f>IFERROR(__xludf.DUMMYFUNCTION("""COMPUTED_VALUE"""),173.86)</f>
        <v>173.86</v>
      </c>
      <c r="E182" s="2">
        <f>IFERROR(__xludf.DUMMYFUNCTION("""COMPUTED_VALUE"""),173.93)</f>
        <v>173.93</v>
      </c>
      <c r="F182" s="2">
        <f>IFERROR(__xludf.DUMMYFUNCTION("""COMPUTED_VALUE"""),6.3149116E7)</f>
        <v>63149116</v>
      </c>
    </row>
    <row r="183">
      <c r="A183" s="3">
        <f>IFERROR(__xludf.DUMMYFUNCTION("""COMPUTED_VALUE"""),45191.66666666667)</f>
        <v>45191.66667</v>
      </c>
      <c r="B183" s="2">
        <f>IFERROR(__xludf.DUMMYFUNCTION("""COMPUTED_VALUE"""),174.67)</f>
        <v>174.67</v>
      </c>
      <c r="C183" s="2">
        <f>IFERROR(__xludf.DUMMYFUNCTION("""COMPUTED_VALUE"""),177.08)</f>
        <v>177.08</v>
      </c>
      <c r="D183" s="2">
        <f>IFERROR(__xludf.DUMMYFUNCTION("""COMPUTED_VALUE"""),174.05)</f>
        <v>174.05</v>
      </c>
      <c r="E183" s="2">
        <f>IFERROR(__xludf.DUMMYFUNCTION("""COMPUTED_VALUE"""),174.79)</f>
        <v>174.79</v>
      </c>
      <c r="F183" s="2">
        <f>IFERROR(__xludf.DUMMYFUNCTION("""COMPUTED_VALUE"""),5.6725385E7)</f>
        <v>56725385</v>
      </c>
    </row>
    <row r="184">
      <c r="A184" s="3">
        <f>IFERROR(__xludf.DUMMYFUNCTION("""COMPUTED_VALUE"""),45194.66666666667)</f>
        <v>45194.66667</v>
      </c>
      <c r="B184" s="2">
        <f>IFERROR(__xludf.DUMMYFUNCTION("""COMPUTED_VALUE"""),174.2)</f>
        <v>174.2</v>
      </c>
      <c r="C184" s="2">
        <f>IFERROR(__xludf.DUMMYFUNCTION("""COMPUTED_VALUE"""),176.97)</f>
        <v>176.97</v>
      </c>
      <c r="D184" s="2">
        <f>IFERROR(__xludf.DUMMYFUNCTION("""COMPUTED_VALUE"""),174.15)</f>
        <v>174.15</v>
      </c>
      <c r="E184" s="2">
        <f>IFERROR(__xludf.DUMMYFUNCTION("""COMPUTED_VALUE"""),176.08)</f>
        <v>176.08</v>
      </c>
      <c r="F184" s="2">
        <f>IFERROR(__xludf.DUMMYFUNCTION("""COMPUTED_VALUE"""),4.617274E7)</f>
        <v>46172740</v>
      </c>
    </row>
    <row r="185">
      <c r="A185" s="3">
        <f>IFERROR(__xludf.DUMMYFUNCTION("""COMPUTED_VALUE"""),45195.66666666667)</f>
        <v>45195.66667</v>
      </c>
      <c r="B185" s="2">
        <f>IFERROR(__xludf.DUMMYFUNCTION("""COMPUTED_VALUE"""),174.82)</f>
        <v>174.82</v>
      </c>
      <c r="C185" s="2">
        <f>IFERROR(__xludf.DUMMYFUNCTION("""COMPUTED_VALUE"""),175.2)</f>
        <v>175.2</v>
      </c>
      <c r="D185" s="2">
        <f>IFERROR(__xludf.DUMMYFUNCTION("""COMPUTED_VALUE"""),171.66)</f>
        <v>171.66</v>
      </c>
      <c r="E185" s="2">
        <f>IFERROR(__xludf.DUMMYFUNCTION("""COMPUTED_VALUE"""),171.96)</f>
        <v>171.96</v>
      </c>
      <c r="F185" s="2">
        <f>IFERROR(__xludf.DUMMYFUNCTION("""COMPUTED_VALUE"""),6.4588945E7)</f>
        <v>64588945</v>
      </c>
    </row>
    <row r="186">
      <c r="A186" s="3">
        <f>IFERROR(__xludf.DUMMYFUNCTION("""COMPUTED_VALUE"""),45196.66666666667)</f>
        <v>45196.66667</v>
      </c>
      <c r="B186" s="2">
        <f>IFERROR(__xludf.DUMMYFUNCTION("""COMPUTED_VALUE"""),172.62)</f>
        <v>172.62</v>
      </c>
      <c r="C186" s="2">
        <f>IFERROR(__xludf.DUMMYFUNCTION("""COMPUTED_VALUE"""),173.04)</f>
        <v>173.04</v>
      </c>
      <c r="D186" s="2">
        <f>IFERROR(__xludf.DUMMYFUNCTION("""COMPUTED_VALUE"""),169.05)</f>
        <v>169.05</v>
      </c>
      <c r="E186" s="2">
        <f>IFERROR(__xludf.DUMMYFUNCTION("""COMPUTED_VALUE"""),170.43)</f>
        <v>170.43</v>
      </c>
      <c r="F186" s="2">
        <f>IFERROR(__xludf.DUMMYFUNCTION("""COMPUTED_VALUE"""),6.6921808E7)</f>
        <v>66921808</v>
      </c>
    </row>
    <row r="187">
      <c r="A187" s="3">
        <f>IFERROR(__xludf.DUMMYFUNCTION("""COMPUTED_VALUE"""),45197.66666666667)</f>
        <v>45197.66667</v>
      </c>
      <c r="B187" s="2">
        <f>IFERROR(__xludf.DUMMYFUNCTION("""COMPUTED_VALUE"""),169.34)</f>
        <v>169.34</v>
      </c>
      <c r="C187" s="2">
        <f>IFERROR(__xludf.DUMMYFUNCTION("""COMPUTED_VALUE"""),172.03)</f>
        <v>172.03</v>
      </c>
      <c r="D187" s="2">
        <f>IFERROR(__xludf.DUMMYFUNCTION("""COMPUTED_VALUE"""),167.62)</f>
        <v>167.62</v>
      </c>
      <c r="E187" s="2">
        <f>IFERROR(__xludf.DUMMYFUNCTION("""COMPUTED_VALUE"""),170.69)</f>
        <v>170.69</v>
      </c>
      <c r="F187" s="2">
        <f>IFERROR(__xludf.DUMMYFUNCTION("""COMPUTED_VALUE"""),5.6294419E7)</f>
        <v>56294419</v>
      </c>
    </row>
    <row r="188">
      <c r="A188" s="3">
        <f>IFERROR(__xludf.DUMMYFUNCTION("""COMPUTED_VALUE"""),45198.66666666667)</f>
        <v>45198.66667</v>
      </c>
      <c r="B188" s="2">
        <f>IFERROR(__xludf.DUMMYFUNCTION("""COMPUTED_VALUE"""),172.02)</f>
        <v>172.02</v>
      </c>
      <c r="C188" s="2">
        <f>IFERROR(__xludf.DUMMYFUNCTION("""COMPUTED_VALUE"""),173.07)</f>
        <v>173.07</v>
      </c>
      <c r="D188" s="2">
        <f>IFERROR(__xludf.DUMMYFUNCTION("""COMPUTED_VALUE"""),170.34)</f>
        <v>170.34</v>
      </c>
      <c r="E188" s="2">
        <f>IFERROR(__xludf.DUMMYFUNCTION("""COMPUTED_VALUE"""),171.21)</f>
        <v>171.21</v>
      </c>
      <c r="F188" s="2">
        <f>IFERROR(__xludf.DUMMYFUNCTION("""COMPUTED_VALUE"""),5.1861083E7)</f>
        <v>51861083</v>
      </c>
    </row>
    <row r="189">
      <c r="A189" s="3">
        <f>IFERROR(__xludf.DUMMYFUNCTION("""COMPUTED_VALUE"""),45201.66666666667)</f>
        <v>45201.66667</v>
      </c>
      <c r="B189" s="2">
        <f>IFERROR(__xludf.DUMMYFUNCTION("""COMPUTED_VALUE"""),171.22)</f>
        <v>171.22</v>
      </c>
      <c r="C189" s="2">
        <f>IFERROR(__xludf.DUMMYFUNCTION("""COMPUTED_VALUE"""),174.3)</f>
        <v>174.3</v>
      </c>
      <c r="D189" s="2">
        <f>IFERROR(__xludf.DUMMYFUNCTION("""COMPUTED_VALUE"""),170.93)</f>
        <v>170.93</v>
      </c>
      <c r="E189" s="2">
        <f>IFERROR(__xludf.DUMMYFUNCTION("""COMPUTED_VALUE"""),173.75)</f>
        <v>173.75</v>
      </c>
      <c r="F189" s="2">
        <f>IFERROR(__xludf.DUMMYFUNCTION("""COMPUTED_VALUE"""),5.2164535E7)</f>
        <v>52164535</v>
      </c>
    </row>
    <row r="190">
      <c r="A190" s="3">
        <f>IFERROR(__xludf.DUMMYFUNCTION("""COMPUTED_VALUE"""),45202.66666666667)</f>
        <v>45202.66667</v>
      </c>
      <c r="B190" s="2">
        <f>IFERROR(__xludf.DUMMYFUNCTION("""COMPUTED_VALUE"""),172.26)</f>
        <v>172.26</v>
      </c>
      <c r="C190" s="2">
        <f>IFERROR(__xludf.DUMMYFUNCTION("""COMPUTED_VALUE"""),173.63)</f>
        <v>173.63</v>
      </c>
      <c r="D190" s="2">
        <f>IFERROR(__xludf.DUMMYFUNCTION("""COMPUTED_VALUE"""),170.82)</f>
        <v>170.82</v>
      </c>
      <c r="E190" s="2">
        <f>IFERROR(__xludf.DUMMYFUNCTION("""COMPUTED_VALUE"""),172.4)</f>
        <v>172.4</v>
      </c>
      <c r="F190" s="2">
        <f>IFERROR(__xludf.DUMMYFUNCTION("""COMPUTED_VALUE"""),4.9594613E7)</f>
        <v>49594613</v>
      </c>
    </row>
    <row r="191">
      <c r="A191" s="3">
        <f>IFERROR(__xludf.DUMMYFUNCTION("""COMPUTED_VALUE"""),45203.66666666667)</f>
        <v>45203.66667</v>
      </c>
      <c r="B191" s="2">
        <f>IFERROR(__xludf.DUMMYFUNCTION("""COMPUTED_VALUE"""),171.09)</f>
        <v>171.09</v>
      </c>
      <c r="C191" s="2">
        <f>IFERROR(__xludf.DUMMYFUNCTION("""COMPUTED_VALUE"""),174.21)</f>
        <v>174.21</v>
      </c>
      <c r="D191" s="2">
        <f>IFERROR(__xludf.DUMMYFUNCTION("""COMPUTED_VALUE"""),170.97)</f>
        <v>170.97</v>
      </c>
      <c r="E191" s="2">
        <f>IFERROR(__xludf.DUMMYFUNCTION("""COMPUTED_VALUE"""),173.66)</f>
        <v>173.66</v>
      </c>
      <c r="F191" s="2">
        <f>IFERROR(__xludf.DUMMYFUNCTION("""COMPUTED_VALUE"""),5.3020286E7)</f>
        <v>53020286</v>
      </c>
    </row>
    <row r="192">
      <c r="A192" s="3">
        <f>IFERROR(__xludf.DUMMYFUNCTION("""COMPUTED_VALUE"""),45204.66666666667)</f>
        <v>45204.66667</v>
      </c>
      <c r="B192" s="2">
        <f>IFERROR(__xludf.DUMMYFUNCTION("""COMPUTED_VALUE"""),173.79)</f>
        <v>173.79</v>
      </c>
      <c r="C192" s="2">
        <f>IFERROR(__xludf.DUMMYFUNCTION("""COMPUTED_VALUE"""),175.45)</f>
        <v>175.45</v>
      </c>
      <c r="D192" s="2">
        <f>IFERROR(__xludf.DUMMYFUNCTION("""COMPUTED_VALUE"""),172.68)</f>
        <v>172.68</v>
      </c>
      <c r="E192" s="2">
        <f>IFERROR(__xludf.DUMMYFUNCTION("""COMPUTED_VALUE"""),174.91)</f>
        <v>174.91</v>
      </c>
      <c r="F192" s="2">
        <f>IFERROR(__xludf.DUMMYFUNCTION("""COMPUTED_VALUE"""),4.8527918E7)</f>
        <v>48527918</v>
      </c>
    </row>
    <row r="193">
      <c r="A193" s="3">
        <f>IFERROR(__xludf.DUMMYFUNCTION("""COMPUTED_VALUE"""),45205.66666666667)</f>
        <v>45205.66667</v>
      </c>
      <c r="B193" s="2">
        <f>IFERROR(__xludf.DUMMYFUNCTION("""COMPUTED_VALUE"""),173.8)</f>
        <v>173.8</v>
      </c>
      <c r="C193" s="2">
        <f>IFERROR(__xludf.DUMMYFUNCTION("""COMPUTED_VALUE"""),177.99)</f>
        <v>177.99</v>
      </c>
      <c r="D193" s="2">
        <f>IFERROR(__xludf.DUMMYFUNCTION("""COMPUTED_VALUE"""),173.18)</f>
        <v>173.18</v>
      </c>
      <c r="E193" s="2">
        <f>IFERROR(__xludf.DUMMYFUNCTION("""COMPUTED_VALUE"""),177.49)</f>
        <v>177.49</v>
      </c>
      <c r="F193" s="2">
        <f>IFERROR(__xludf.DUMMYFUNCTION("""COMPUTED_VALUE"""),5.7266675E7)</f>
        <v>57266675</v>
      </c>
    </row>
    <row r="194">
      <c r="A194" s="3">
        <f>IFERROR(__xludf.DUMMYFUNCTION("""COMPUTED_VALUE"""),45208.66666666667)</f>
        <v>45208.66667</v>
      </c>
      <c r="B194" s="2">
        <f>IFERROR(__xludf.DUMMYFUNCTION("""COMPUTED_VALUE"""),176.81)</f>
        <v>176.81</v>
      </c>
      <c r="C194" s="2">
        <f>IFERROR(__xludf.DUMMYFUNCTION("""COMPUTED_VALUE"""),179.05)</f>
        <v>179.05</v>
      </c>
      <c r="D194" s="2">
        <f>IFERROR(__xludf.DUMMYFUNCTION("""COMPUTED_VALUE"""),175.8)</f>
        <v>175.8</v>
      </c>
      <c r="E194" s="2">
        <f>IFERROR(__xludf.DUMMYFUNCTION("""COMPUTED_VALUE"""),178.99)</f>
        <v>178.99</v>
      </c>
      <c r="F194" s="2">
        <f>IFERROR(__xludf.DUMMYFUNCTION("""COMPUTED_VALUE"""),4.2390772E7)</f>
        <v>42390772</v>
      </c>
    </row>
    <row r="195">
      <c r="A195" s="3">
        <f>IFERROR(__xludf.DUMMYFUNCTION("""COMPUTED_VALUE"""),45209.66666666667)</f>
        <v>45209.66667</v>
      </c>
      <c r="B195" s="2">
        <f>IFERROR(__xludf.DUMMYFUNCTION("""COMPUTED_VALUE"""),178.1)</f>
        <v>178.1</v>
      </c>
      <c r="C195" s="2">
        <f>IFERROR(__xludf.DUMMYFUNCTION("""COMPUTED_VALUE"""),179.72)</f>
        <v>179.72</v>
      </c>
      <c r="D195" s="2">
        <f>IFERROR(__xludf.DUMMYFUNCTION("""COMPUTED_VALUE"""),177.95)</f>
        <v>177.95</v>
      </c>
      <c r="E195" s="2">
        <f>IFERROR(__xludf.DUMMYFUNCTION("""COMPUTED_VALUE"""),178.39)</f>
        <v>178.39</v>
      </c>
      <c r="F195" s="2">
        <f>IFERROR(__xludf.DUMMYFUNCTION("""COMPUTED_VALUE"""),4.3698019E7)</f>
        <v>43698019</v>
      </c>
    </row>
    <row r="196">
      <c r="A196" s="3">
        <f>IFERROR(__xludf.DUMMYFUNCTION("""COMPUTED_VALUE"""),45210.66666666667)</f>
        <v>45210.66667</v>
      </c>
      <c r="B196" s="2">
        <f>IFERROR(__xludf.DUMMYFUNCTION("""COMPUTED_VALUE"""),178.2)</f>
        <v>178.2</v>
      </c>
      <c r="C196" s="2">
        <f>IFERROR(__xludf.DUMMYFUNCTION("""COMPUTED_VALUE"""),179.85)</f>
        <v>179.85</v>
      </c>
      <c r="D196" s="2">
        <f>IFERROR(__xludf.DUMMYFUNCTION("""COMPUTED_VALUE"""),177.6)</f>
        <v>177.6</v>
      </c>
      <c r="E196" s="2">
        <f>IFERROR(__xludf.DUMMYFUNCTION("""COMPUTED_VALUE"""),179.8)</f>
        <v>179.8</v>
      </c>
      <c r="F196" s="2">
        <f>IFERROR(__xludf.DUMMYFUNCTION("""COMPUTED_VALUE"""),4.7551098E7)</f>
        <v>47551098</v>
      </c>
    </row>
    <row r="197">
      <c r="A197" s="3">
        <f>IFERROR(__xludf.DUMMYFUNCTION("""COMPUTED_VALUE"""),45211.66666666667)</f>
        <v>45211.66667</v>
      </c>
      <c r="B197" s="2">
        <f>IFERROR(__xludf.DUMMYFUNCTION("""COMPUTED_VALUE"""),180.07)</f>
        <v>180.07</v>
      </c>
      <c r="C197" s="2">
        <f>IFERROR(__xludf.DUMMYFUNCTION("""COMPUTED_VALUE"""),182.34)</f>
        <v>182.34</v>
      </c>
      <c r="D197" s="2">
        <f>IFERROR(__xludf.DUMMYFUNCTION("""COMPUTED_VALUE"""),179.04)</f>
        <v>179.04</v>
      </c>
      <c r="E197" s="2">
        <f>IFERROR(__xludf.DUMMYFUNCTION("""COMPUTED_VALUE"""),180.71)</f>
        <v>180.71</v>
      </c>
      <c r="F197" s="2">
        <f>IFERROR(__xludf.DUMMYFUNCTION("""COMPUTED_VALUE"""),5.6743119E7)</f>
        <v>56743119</v>
      </c>
    </row>
    <row r="198">
      <c r="A198" s="3">
        <f>IFERROR(__xludf.DUMMYFUNCTION("""COMPUTED_VALUE"""),45212.66666666667)</f>
        <v>45212.66667</v>
      </c>
      <c r="B198" s="2">
        <f>IFERROR(__xludf.DUMMYFUNCTION("""COMPUTED_VALUE"""),181.42)</f>
        <v>181.42</v>
      </c>
      <c r="C198" s="2">
        <f>IFERROR(__xludf.DUMMYFUNCTION("""COMPUTED_VALUE"""),181.93)</f>
        <v>181.93</v>
      </c>
      <c r="D198" s="2">
        <f>IFERROR(__xludf.DUMMYFUNCTION("""COMPUTED_VALUE"""),178.14)</f>
        <v>178.14</v>
      </c>
      <c r="E198" s="2">
        <f>IFERROR(__xludf.DUMMYFUNCTION("""COMPUTED_VALUE"""),178.85)</f>
        <v>178.85</v>
      </c>
      <c r="F198" s="2">
        <f>IFERROR(__xludf.DUMMYFUNCTION("""COMPUTED_VALUE"""),5.1456082E7)</f>
        <v>51456082</v>
      </c>
    </row>
    <row r="199">
      <c r="A199" s="3">
        <f>IFERROR(__xludf.DUMMYFUNCTION("""COMPUTED_VALUE"""),45215.66666666667)</f>
        <v>45215.66667</v>
      </c>
      <c r="B199" s="2">
        <f>IFERROR(__xludf.DUMMYFUNCTION("""COMPUTED_VALUE"""),176.75)</f>
        <v>176.75</v>
      </c>
      <c r="C199" s="2">
        <f>IFERROR(__xludf.DUMMYFUNCTION("""COMPUTED_VALUE"""),179.08)</f>
        <v>179.08</v>
      </c>
      <c r="D199" s="2">
        <f>IFERROR(__xludf.DUMMYFUNCTION("""COMPUTED_VALUE"""),176.51)</f>
        <v>176.51</v>
      </c>
      <c r="E199" s="2">
        <f>IFERROR(__xludf.DUMMYFUNCTION("""COMPUTED_VALUE"""),178.72)</f>
        <v>178.72</v>
      </c>
      <c r="F199" s="2">
        <f>IFERROR(__xludf.DUMMYFUNCTION("""COMPUTED_VALUE"""),5.2516984E7)</f>
        <v>52516984</v>
      </c>
    </row>
    <row r="200">
      <c r="A200" s="3">
        <f>IFERROR(__xludf.DUMMYFUNCTION("""COMPUTED_VALUE"""),45216.66666666667)</f>
        <v>45216.66667</v>
      </c>
      <c r="B200" s="2">
        <f>IFERROR(__xludf.DUMMYFUNCTION("""COMPUTED_VALUE"""),176.65)</f>
        <v>176.65</v>
      </c>
      <c r="C200" s="2">
        <f>IFERROR(__xludf.DUMMYFUNCTION("""COMPUTED_VALUE"""),178.42)</f>
        <v>178.42</v>
      </c>
      <c r="D200" s="2">
        <f>IFERROR(__xludf.DUMMYFUNCTION("""COMPUTED_VALUE"""),174.8)</f>
        <v>174.8</v>
      </c>
      <c r="E200" s="2">
        <f>IFERROR(__xludf.DUMMYFUNCTION("""COMPUTED_VALUE"""),177.15)</f>
        <v>177.15</v>
      </c>
      <c r="F200" s="2">
        <f>IFERROR(__xludf.DUMMYFUNCTION("""COMPUTED_VALUE"""),5.754935E7)</f>
        <v>57549350</v>
      </c>
    </row>
    <row r="201">
      <c r="A201" s="3">
        <f>IFERROR(__xludf.DUMMYFUNCTION("""COMPUTED_VALUE"""),45217.66666666667)</f>
        <v>45217.66667</v>
      </c>
      <c r="B201" s="2">
        <f>IFERROR(__xludf.DUMMYFUNCTION("""COMPUTED_VALUE"""),175.58)</f>
        <v>175.58</v>
      </c>
      <c r="C201" s="2">
        <f>IFERROR(__xludf.DUMMYFUNCTION("""COMPUTED_VALUE"""),177.58)</f>
        <v>177.58</v>
      </c>
      <c r="D201" s="2">
        <f>IFERROR(__xludf.DUMMYFUNCTION("""COMPUTED_VALUE"""),175.11)</f>
        <v>175.11</v>
      </c>
      <c r="E201" s="2">
        <f>IFERROR(__xludf.DUMMYFUNCTION("""COMPUTED_VALUE"""),175.84)</f>
        <v>175.84</v>
      </c>
      <c r="F201" s="2">
        <f>IFERROR(__xludf.DUMMYFUNCTION("""COMPUTED_VALUE"""),5.4764375E7)</f>
        <v>54764375</v>
      </c>
    </row>
    <row r="202">
      <c r="A202" s="3">
        <f>IFERROR(__xludf.DUMMYFUNCTION("""COMPUTED_VALUE"""),45218.66666666667)</f>
        <v>45218.66667</v>
      </c>
      <c r="B202" s="2">
        <f>IFERROR(__xludf.DUMMYFUNCTION("""COMPUTED_VALUE"""),176.04)</f>
        <v>176.04</v>
      </c>
      <c r="C202" s="2">
        <f>IFERROR(__xludf.DUMMYFUNCTION("""COMPUTED_VALUE"""),177.84)</f>
        <v>177.84</v>
      </c>
      <c r="D202" s="2">
        <f>IFERROR(__xludf.DUMMYFUNCTION("""COMPUTED_VALUE"""),175.19)</f>
        <v>175.19</v>
      </c>
      <c r="E202" s="2">
        <f>IFERROR(__xludf.DUMMYFUNCTION("""COMPUTED_VALUE"""),175.46)</f>
        <v>175.46</v>
      </c>
      <c r="F202" s="2">
        <f>IFERROR(__xludf.DUMMYFUNCTION("""COMPUTED_VALUE"""),5.9302863E7)</f>
        <v>59302863</v>
      </c>
    </row>
    <row r="203">
      <c r="A203" s="3">
        <f>IFERROR(__xludf.DUMMYFUNCTION("""COMPUTED_VALUE"""),45219.66666666667)</f>
        <v>45219.66667</v>
      </c>
      <c r="B203" s="2">
        <f>IFERROR(__xludf.DUMMYFUNCTION("""COMPUTED_VALUE"""),175.31)</f>
        <v>175.31</v>
      </c>
      <c r="C203" s="2">
        <f>IFERROR(__xludf.DUMMYFUNCTION("""COMPUTED_VALUE"""),175.42)</f>
        <v>175.42</v>
      </c>
      <c r="D203" s="2">
        <f>IFERROR(__xludf.DUMMYFUNCTION("""COMPUTED_VALUE"""),172.64)</f>
        <v>172.64</v>
      </c>
      <c r="E203" s="2">
        <f>IFERROR(__xludf.DUMMYFUNCTION("""COMPUTED_VALUE"""),172.88)</f>
        <v>172.88</v>
      </c>
      <c r="F203" s="2">
        <f>IFERROR(__xludf.DUMMYFUNCTION("""COMPUTED_VALUE"""),6.4244028E7)</f>
        <v>64244028</v>
      </c>
    </row>
    <row r="204">
      <c r="A204" s="3">
        <f>IFERROR(__xludf.DUMMYFUNCTION("""COMPUTED_VALUE"""),45222.66666666667)</f>
        <v>45222.66667</v>
      </c>
      <c r="B204" s="2">
        <f>IFERROR(__xludf.DUMMYFUNCTION("""COMPUTED_VALUE"""),170.91)</f>
        <v>170.91</v>
      </c>
      <c r="C204" s="2">
        <f>IFERROR(__xludf.DUMMYFUNCTION("""COMPUTED_VALUE"""),174.01)</f>
        <v>174.01</v>
      </c>
      <c r="D204" s="2">
        <f>IFERROR(__xludf.DUMMYFUNCTION("""COMPUTED_VALUE"""),169.93)</f>
        <v>169.93</v>
      </c>
      <c r="E204" s="2">
        <f>IFERROR(__xludf.DUMMYFUNCTION("""COMPUTED_VALUE"""),173.0)</f>
        <v>173</v>
      </c>
      <c r="F204" s="2">
        <f>IFERROR(__xludf.DUMMYFUNCTION("""COMPUTED_VALUE"""),5.5980109E7)</f>
        <v>55980109</v>
      </c>
    </row>
    <row r="205">
      <c r="A205" s="3">
        <f>IFERROR(__xludf.DUMMYFUNCTION("""COMPUTED_VALUE"""),45223.66666666667)</f>
        <v>45223.66667</v>
      </c>
      <c r="B205" s="2">
        <f>IFERROR(__xludf.DUMMYFUNCTION("""COMPUTED_VALUE"""),173.05)</f>
        <v>173.05</v>
      </c>
      <c r="C205" s="2">
        <f>IFERROR(__xludf.DUMMYFUNCTION("""COMPUTED_VALUE"""),173.67)</f>
        <v>173.67</v>
      </c>
      <c r="D205" s="2">
        <f>IFERROR(__xludf.DUMMYFUNCTION("""COMPUTED_VALUE"""),171.45)</f>
        <v>171.45</v>
      </c>
      <c r="E205" s="2">
        <f>IFERROR(__xludf.DUMMYFUNCTION("""COMPUTED_VALUE"""),173.44)</f>
        <v>173.44</v>
      </c>
      <c r="F205" s="2">
        <f>IFERROR(__xludf.DUMMYFUNCTION("""COMPUTED_VALUE"""),4.3816644E7)</f>
        <v>43816644</v>
      </c>
    </row>
    <row r="206">
      <c r="A206" s="3">
        <f>IFERROR(__xludf.DUMMYFUNCTION("""COMPUTED_VALUE"""),45224.66666666667)</f>
        <v>45224.66667</v>
      </c>
      <c r="B206" s="2">
        <f>IFERROR(__xludf.DUMMYFUNCTION("""COMPUTED_VALUE"""),171.88)</f>
        <v>171.88</v>
      </c>
      <c r="C206" s="2">
        <f>IFERROR(__xludf.DUMMYFUNCTION("""COMPUTED_VALUE"""),173.06)</f>
        <v>173.06</v>
      </c>
      <c r="D206" s="2">
        <f>IFERROR(__xludf.DUMMYFUNCTION("""COMPUTED_VALUE"""),170.65)</f>
        <v>170.65</v>
      </c>
      <c r="E206" s="2">
        <f>IFERROR(__xludf.DUMMYFUNCTION("""COMPUTED_VALUE"""),171.1)</f>
        <v>171.1</v>
      </c>
      <c r="F206" s="2">
        <f>IFERROR(__xludf.DUMMYFUNCTION("""COMPUTED_VALUE"""),5.7156962E7)</f>
        <v>57156962</v>
      </c>
    </row>
    <row r="207">
      <c r="A207" s="3">
        <f>IFERROR(__xludf.DUMMYFUNCTION("""COMPUTED_VALUE"""),45225.66666666667)</f>
        <v>45225.66667</v>
      </c>
      <c r="B207" s="2">
        <f>IFERROR(__xludf.DUMMYFUNCTION("""COMPUTED_VALUE"""),170.37)</f>
        <v>170.37</v>
      </c>
      <c r="C207" s="2">
        <f>IFERROR(__xludf.DUMMYFUNCTION("""COMPUTED_VALUE"""),171.38)</f>
        <v>171.38</v>
      </c>
      <c r="D207" s="2">
        <f>IFERROR(__xludf.DUMMYFUNCTION("""COMPUTED_VALUE"""),165.67)</f>
        <v>165.67</v>
      </c>
      <c r="E207" s="2">
        <f>IFERROR(__xludf.DUMMYFUNCTION("""COMPUTED_VALUE"""),166.89)</f>
        <v>166.89</v>
      </c>
      <c r="F207" s="2">
        <f>IFERROR(__xludf.DUMMYFUNCTION("""COMPUTED_VALUE"""),7.0625258E7)</f>
        <v>70625258</v>
      </c>
    </row>
    <row r="208">
      <c r="A208" s="3">
        <f>IFERROR(__xludf.DUMMYFUNCTION("""COMPUTED_VALUE"""),45226.66666666667)</f>
        <v>45226.66667</v>
      </c>
      <c r="B208" s="2">
        <f>IFERROR(__xludf.DUMMYFUNCTION("""COMPUTED_VALUE"""),166.91)</f>
        <v>166.91</v>
      </c>
      <c r="C208" s="2">
        <f>IFERROR(__xludf.DUMMYFUNCTION("""COMPUTED_VALUE"""),168.96)</f>
        <v>168.96</v>
      </c>
      <c r="D208" s="2">
        <f>IFERROR(__xludf.DUMMYFUNCTION("""COMPUTED_VALUE"""),166.83)</f>
        <v>166.83</v>
      </c>
      <c r="E208" s="2">
        <f>IFERROR(__xludf.DUMMYFUNCTION("""COMPUTED_VALUE"""),168.22)</f>
        <v>168.22</v>
      </c>
      <c r="F208" s="2">
        <f>IFERROR(__xludf.DUMMYFUNCTION("""COMPUTED_VALUE"""),5.8499129E7)</f>
        <v>58499129</v>
      </c>
    </row>
    <row r="209">
      <c r="A209" s="3">
        <f>IFERROR(__xludf.DUMMYFUNCTION("""COMPUTED_VALUE"""),45229.66666666667)</f>
        <v>45229.66667</v>
      </c>
      <c r="B209" s="2">
        <f>IFERROR(__xludf.DUMMYFUNCTION("""COMPUTED_VALUE"""),169.02)</f>
        <v>169.02</v>
      </c>
      <c r="C209" s="2">
        <f>IFERROR(__xludf.DUMMYFUNCTION("""COMPUTED_VALUE"""),171.17)</f>
        <v>171.17</v>
      </c>
      <c r="D209" s="2">
        <f>IFERROR(__xludf.DUMMYFUNCTION("""COMPUTED_VALUE"""),168.87)</f>
        <v>168.87</v>
      </c>
      <c r="E209" s="2">
        <f>IFERROR(__xludf.DUMMYFUNCTION("""COMPUTED_VALUE"""),170.29)</f>
        <v>170.29</v>
      </c>
      <c r="F209" s="2">
        <f>IFERROR(__xludf.DUMMYFUNCTION("""COMPUTED_VALUE"""),5.1130955E7)</f>
        <v>51130955</v>
      </c>
    </row>
    <row r="210">
      <c r="A210" s="3">
        <f>IFERROR(__xludf.DUMMYFUNCTION("""COMPUTED_VALUE"""),45230.66666666667)</f>
        <v>45230.66667</v>
      </c>
      <c r="B210" s="2">
        <f>IFERROR(__xludf.DUMMYFUNCTION("""COMPUTED_VALUE"""),169.35)</f>
        <v>169.35</v>
      </c>
      <c r="C210" s="2">
        <f>IFERROR(__xludf.DUMMYFUNCTION("""COMPUTED_VALUE"""),170.9)</f>
        <v>170.9</v>
      </c>
      <c r="D210" s="2">
        <f>IFERROR(__xludf.DUMMYFUNCTION("""COMPUTED_VALUE"""),167.9)</f>
        <v>167.9</v>
      </c>
      <c r="E210" s="2">
        <f>IFERROR(__xludf.DUMMYFUNCTION("""COMPUTED_VALUE"""),170.77)</f>
        <v>170.77</v>
      </c>
      <c r="F210" s="2">
        <f>IFERROR(__xludf.DUMMYFUNCTION("""COMPUTED_VALUE"""),4.4846017E7)</f>
        <v>44846017</v>
      </c>
    </row>
    <row r="211">
      <c r="A211" s="3">
        <f>IFERROR(__xludf.DUMMYFUNCTION("""COMPUTED_VALUE"""),45231.66666666667)</f>
        <v>45231.66667</v>
      </c>
      <c r="B211" s="2">
        <f>IFERROR(__xludf.DUMMYFUNCTION("""COMPUTED_VALUE"""),171.0)</f>
        <v>171</v>
      </c>
      <c r="C211" s="2">
        <f>IFERROR(__xludf.DUMMYFUNCTION("""COMPUTED_VALUE"""),174.23)</f>
        <v>174.23</v>
      </c>
      <c r="D211" s="2">
        <f>IFERROR(__xludf.DUMMYFUNCTION("""COMPUTED_VALUE"""),170.12)</f>
        <v>170.12</v>
      </c>
      <c r="E211" s="2">
        <f>IFERROR(__xludf.DUMMYFUNCTION("""COMPUTED_VALUE"""),173.97)</f>
        <v>173.97</v>
      </c>
      <c r="F211" s="2">
        <f>IFERROR(__xludf.DUMMYFUNCTION("""COMPUTED_VALUE"""),5.6934906E7)</f>
        <v>56934906</v>
      </c>
    </row>
    <row r="212">
      <c r="A212" s="3">
        <f>IFERROR(__xludf.DUMMYFUNCTION("""COMPUTED_VALUE"""),45232.66666666667)</f>
        <v>45232.66667</v>
      </c>
      <c r="B212" s="2">
        <f>IFERROR(__xludf.DUMMYFUNCTION("""COMPUTED_VALUE"""),175.52)</f>
        <v>175.52</v>
      </c>
      <c r="C212" s="2">
        <f>IFERROR(__xludf.DUMMYFUNCTION("""COMPUTED_VALUE"""),177.78)</f>
        <v>177.78</v>
      </c>
      <c r="D212" s="2">
        <f>IFERROR(__xludf.DUMMYFUNCTION("""COMPUTED_VALUE"""),175.46)</f>
        <v>175.46</v>
      </c>
      <c r="E212" s="2">
        <f>IFERROR(__xludf.DUMMYFUNCTION("""COMPUTED_VALUE"""),177.57)</f>
        <v>177.57</v>
      </c>
      <c r="F212" s="2">
        <f>IFERROR(__xludf.DUMMYFUNCTION("""COMPUTED_VALUE"""),7.7334752E7)</f>
        <v>77334752</v>
      </c>
    </row>
    <row r="213">
      <c r="A213" s="3">
        <f>IFERROR(__xludf.DUMMYFUNCTION("""COMPUTED_VALUE"""),45233.66666666667)</f>
        <v>45233.66667</v>
      </c>
      <c r="B213" s="2">
        <f>IFERROR(__xludf.DUMMYFUNCTION("""COMPUTED_VALUE"""),174.24)</f>
        <v>174.24</v>
      </c>
      <c r="C213" s="2">
        <f>IFERROR(__xludf.DUMMYFUNCTION("""COMPUTED_VALUE"""),176.82)</f>
        <v>176.82</v>
      </c>
      <c r="D213" s="2">
        <f>IFERROR(__xludf.DUMMYFUNCTION("""COMPUTED_VALUE"""),173.35)</f>
        <v>173.35</v>
      </c>
      <c r="E213" s="2">
        <f>IFERROR(__xludf.DUMMYFUNCTION("""COMPUTED_VALUE"""),176.65)</f>
        <v>176.65</v>
      </c>
      <c r="F213" s="2">
        <f>IFERROR(__xludf.DUMMYFUNCTION("""COMPUTED_VALUE"""),7.9829246E7)</f>
        <v>79829246</v>
      </c>
    </row>
    <row r="214">
      <c r="A214" s="3">
        <f>IFERROR(__xludf.DUMMYFUNCTION("""COMPUTED_VALUE"""),45236.66666666667)</f>
        <v>45236.66667</v>
      </c>
      <c r="B214" s="2">
        <f>IFERROR(__xludf.DUMMYFUNCTION("""COMPUTED_VALUE"""),176.38)</f>
        <v>176.38</v>
      </c>
      <c r="C214" s="2">
        <f>IFERROR(__xludf.DUMMYFUNCTION("""COMPUTED_VALUE"""),179.43)</f>
        <v>179.43</v>
      </c>
      <c r="D214" s="2">
        <f>IFERROR(__xludf.DUMMYFUNCTION("""COMPUTED_VALUE"""),176.21)</f>
        <v>176.21</v>
      </c>
      <c r="E214" s="2">
        <f>IFERROR(__xludf.DUMMYFUNCTION("""COMPUTED_VALUE"""),179.23)</f>
        <v>179.23</v>
      </c>
      <c r="F214" s="2">
        <f>IFERROR(__xludf.DUMMYFUNCTION("""COMPUTED_VALUE"""),6.384131E7)</f>
        <v>63841310</v>
      </c>
    </row>
    <row r="215">
      <c r="A215" s="3">
        <f>IFERROR(__xludf.DUMMYFUNCTION("""COMPUTED_VALUE"""),45237.66666666667)</f>
        <v>45237.66667</v>
      </c>
      <c r="B215" s="2">
        <f>IFERROR(__xludf.DUMMYFUNCTION("""COMPUTED_VALUE"""),179.18)</f>
        <v>179.18</v>
      </c>
      <c r="C215" s="2">
        <f>IFERROR(__xludf.DUMMYFUNCTION("""COMPUTED_VALUE"""),182.44)</f>
        <v>182.44</v>
      </c>
      <c r="D215" s="2">
        <f>IFERROR(__xludf.DUMMYFUNCTION("""COMPUTED_VALUE"""),178.97)</f>
        <v>178.97</v>
      </c>
      <c r="E215" s="2">
        <f>IFERROR(__xludf.DUMMYFUNCTION("""COMPUTED_VALUE"""),181.82)</f>
        <v>181.82</v>
      </c>
      <c r="F215" s="2">
        <f>IFERROR(__xludf.DUMMYFUNCTION("""COMPUTED_VALUE"""),7.0529966E7)</f>
        <v>70529966</v>
      </c>
    </row>
    <row r="216">
      <c r="A216" s="3">
        <f>IFERROR(__xludf.DUMMYFUNCTION("""COMPUTED_VALUE"""),45238.66666666667)</f>
        <v>45238.66667</v>
      </c>
      <c r="B216" s="2">
        <f>IFERROR(__xludf.DUMMYFUNCTION("""COMPUTED_VALUE"""),182.35)</f>
        <v>182.35</v>
      </c>
      <c r="C216" s="2">
        <f>IFERROR(__xludf.DUMMYFUNCTION("""COMPUTED_VALUE"""),183.45)</f>
        <v>183.45</v>
      </c>
      <c r="D216" s="2">
        <f>IFERROR(__xludf.DUMMYFUNCTION("""COMPUTED_VALUE"""),181.59)</f>
        <v>181.59</v>
      </c>
      <c r="E216" s="2">
        <f>IFERROR(__xludf.DUMMYFUNCTION("""COMPUTED_VALUE"""),182.89)</f>
        <v>182.89</v>
      </c>
      <c r="F216" s="2">
        <f>IFERROR(__xludf.DUMMYFUNCTION("""COMPUTED_VALUE"""),4.9340282E7)</f>
        <v>49340282</v>
      </c>
    </row>
    <row r="217">
      <c r="A217" s="3">
        <f>IFERROR(__xludf.DUMMYFUNCTION("""COMPUTED_VALUE"""),45239.66666666667)</f>
        <v>45239.66667</v>
      </c>
      <c r="B217" s="2">
        <f>IFERROR(__xludf.DUMMYFUNCTION("""COMPUTED_VALUE"""),182.96)</f>
        <v>182.96</v>
      </c>
      <c r="C217" s="2">
        <f>IFERROR(__xludf.DUMMYFUNCTION("""COMPUTED_VALUE"""),184.12)</f>
        <v>184.12</v>
      </c>
      <c r="D217" s="2">
        <f>IFERROR(__xludf.DUMMYFUNCTION("""COMPUTED_VALUE"""),181.81)</f>
        <v>181.81</v>
      </c>
      <c r="E217" s="2">
        <f>IFERROR(__xludf.DUMMYFUNCTION("""COMPUTED_VALUE"""),182.41)</f>
        <v>182.41</v>
      </c>
      <c r="F217" s="2">
        <f>IFERROR(__xludf.DUMMYFUNCTION("""COMPUTED_VALUE"""),5.376354E7)</f>
        <v>53763540</v>
      </c>
    </row>
    <row r="218">
      <c r="A218" s="3">
        <f>IFERROR(__xludf.DUMMYFUNCTION("""COMPUTED_VALUE"""),45240.66666666667)</f>
        <v>45240.66667</v>
      </c>
      <c r="B218" s="2">
        <f>IFERROR(__xludf.DUMMYFUNCTION("""COMPUTED_VALUE"""),183.97)</f>
        <v>183.97</v>
      </c>
      <c r="C218" s="2">
        <f>IFERROR(__xludf.DUMMYFUNCTION("""COMPUTED_VALUE"""),186.57)</f>
        <v>186.57</v>
      </c>
      <c r="D218" s="2">
        <f>IFERROR(__xludf.DUMMYFUNCTION("""COMPUTED_VALUE"""),183.53)</f>
        <v>183.53</v>
      </c>
      <c r="E218" s="2">
        <f>IFERROR(__xludf.DUMMYFUNCTION("""COMPUTED_VALUE"""),186.4)</f>
        <v>186.4</v>
      </c>
      <c r="F218" s="2">
        <f>IFERROR(__xludf.DUMMYFUNCTION("""COMPUTED_VALUE"""),6.6177922E7)</f>
        <v>66177922</v>
      </c>
    </row>
    <row r="219">
      <c r="A219" s="3">
        <f>IFERROR(__xludf.DUMMYFUNCTION("""COMPUTED_VALUE"""),45243.66666666667)</f>
        <v>45243.66667</v>
      </c>
      <c r="B219" s="2">
        <f>IFERROR(__xludf.DUMMYFUNCTION("""COMPUTED_VALUE"""),185.82)</f>
        <v>185.82</v>
      </c>
      <c r="C219" s="2">
        <f>IFERROR(__xludf.DUMMYFUNCTION("""COMPUTED_VALUE"""),186.03)</f>
        <v>186.03</v>
      </c>
      <c r="D219" s="2">
        <f>IFERROR(__xludf.DUMMYFUNCTION("""COMPUTED_VALUE"""),184.21)</f>
        <v>184.21</v>
      </c>
      <c r="E219" s="2">
        <f>IFERROR(__xludf.DUMMYFUNCTION("""COMPUTED_VALUE"""),184.8)</f>
        <v>184.8</v>
      </c>
      <c r="F219" s="2">
        <f>IFERROR(__xludf.DUMMYFUNCTION("""COMPUTED_VALUE"""),4.3627519E7)</f>
        <v>43627519</v>
      </c>
    </row>
    <row r="220">
      <c r="A220" s="3">
        <f>IFERROR(__xludf.DUMMYFUNCTION("""COMPUTED_VALUE"""),45244.66666666667)</f>
        <v>45244.66667</v>
      </c>
      <c r="B220" s="2">
        <f>IFERROR(__xludf.DUMMYFUNCTION("""COMPUTED_VALUE"""),187.7)</f>
        <v>187.7</v>
      </c>
      <c r="C220" s="2">
        <f>IFERROR(__xludf.DUMMYFUNCTION("""COMPUTED_VALUE"""),188.11)</f>
        <v>188.11</v>
      </c>
      <c r="D220" s="2">
        <f>IFERROR(__xludf.DUMMYFUNCTION("""COMPUTED_VALUE"""),186.3)</f>
        <v>186.3</v>
      </c>
      <c r="E220" s="2">
        <f>IFERROR(__xludf.DUMMYFUNCTION("""COMPUTED_VALUE"""),187.44)</f>
        <v>187.44</v>
      </c>
      <c r="F220" s="2">
        <f>IFERROR(__xludf.DUMMYFUNCTION("""COMPUTED_VALUE"""),6.0108378E7)</f>
        <v>60108378</v>
      </c>
    </row>
    <row r="221">
      <c r="A221" s="3">
        <f>IFERROR(__xludf.DUMMYFUNCTION("""COMPUTED_VALUE"""),45245.66666666667)</f>
        <v>45245.66667</v>
      </c>
      <c r="B221" s="2">
        <f>IFERROR(__xludf.DUMMYFUNCTION("""COMPUTED_VALUE"""),187.85)</f>
        <v>187.85</v>
      </c>
      <c r="C221" s="2">
        <f>IFERROR(__xludf.DUMMYFUNCTION("""COMPUTED_VALUE"""),189.5)</f>
        <v>189.5</v>
      </c>
      <c r="D221" s="2">
        <f>IFERROR(__xludf.DUMMYFUNCTION("""COMPUTED_VALUE"""),187.78)</f>
        <v>187.78</v>
      </c>
      <c r="E221" s="2">
        <f>IFERROR(__xludf.DUMMYFUNCTION("""COMPUTED_VALUE"""),188.01)</f>
        <v>188.01</v>
      </c>
      <c r="F221" s="2">
        <f>IFERROR(__xludf.DUMMYFUNCTION("""COMPUTED_VALUE"""),5.3790499E7)</f>
        <v>53790499</v>
      </c>
    </row>
    <row r="222">
      <c r="A222" s="3">
        <f>IFERROR(__xludf.DUMMYFUNCTION("""COMPUTED_VALUE"""),45246.66666666667)</f>
        <v>45246.66667</v>
      </c>
      <c r="B222" s="2">
        <f>IFERROR(__xludf.DUMMYFUNCTION("""COMPUTED_VALUE"""),189.57)</f>
        <v>189.57</v>
      </c>
      <c r="C222" s="2">
        <f>IFERROR(__xludf.DUMMYFUNCTION("""COMPUTED_VALUE"""),190.96)</f>
        <v>190.96</v>
      </c>
      <c r="D222" s="2">
        <f>IFERROR(__xludf.DUMMYFUNCTION("""COMPUTED_VALUE"""),188.65)</f>
        <v>188.65</v>
      </c>
      <c r="E222" s="2">
        <f>IFERROR(__xludf.DUMMYFUNCTION("""COMPUTED_VALUE"""),189.71)</f>
        <v>189.71</v>
      </c>
      <c r="F222" s="2">
        <f>IFERROR(__xludf.DUMMYFUNCTION("""COMPUTED_VALUE"""),5.4412915E7)</f>
        <v>54412915</v>
      </c>
    </row>
    <row r="223">
      <c r="A223" s="3">
        <f>IFERROR(__xludf.DUMMYFUNCTION("""COMPUTED_VALUE"""),45247.66666666667)</f>
        <v>45247.66667</v>
      </c>
      <c r="B223" s="2">
        <f>IFERROR(__xludf.DUMMYFUNCTION("""COMPUTED_VALUE"""),190.25)</f>
        <v>190.25</v>
      </c>
      <c r="C223" s="2">
        <f>IFERROR(__xludf.DUMMYFUNCTION("""COMPUTED_VALUE"""),190.38)</f>
        <v>190.38</v>
      </c>
      <c r="D223" s="2">
        <f>IFERROR(__xludf.DUMMYFUNCTION("""COMPUTED_VALUE"""),188.57)</f>
        <v>188.57</v>
      </c>
      <c r="E223" s="2">
        <f>IFERROR(__xludf.DUMMYFUNCTION("""COMPUTED_VALUE"""),189.69)</f>
        <v>189.69</v>
      </c>
      <c r="F223" s="2">
        <f>IFERROR(__xludf.DUMMYFUNCTION("""COMPUTED_VALUE"""),5.0941404E7)</f>
        <v>50941404</v>
      </c>
    </row>
    <row r="224">
      <c r="A224" s="3">
        <f>IFERROR(__xludf.DUMMYFUNCTION("""COMPUTED_VALUE"""),45250.66666666667)</f>
        <v>45250.66667</v>
      </c>
      <c r="B224" s="2">
        <f>IFERROR(__xludf.DUMMYFUNCTION("""COMPUTED_VALUE"""),189.89)</f>
        <v>189.89</v>
      </c>
      <c r="C224" s="2">
        <f>IFERROR(__xludf.DUMMYFUNCTION("""COMPUTED_VALUE"""),191.91)</f>
        <v>191.91</v>
      </c>
      <c r="D224" s="2">
        <f>IFERROR(__xludf.DUMMYFUNCTION("""COMPUTED_VALUE"""),189.88)</f>
        <v>189.88</v>
      </c>
      <c r="E224" s="2">
        <f>IFERROR(__xludf.DUMMYFUNCTION("""COMPUTED_VALUE"""),191.45)</f>
        <v>191.45</v>
      </c>
      <c r="F224" s="2">
        <f>IFERROR(__xludf.DUMMYFUNCTION("""COMPUTED_VALUE"""),4.6538614E7)</f>
        <v>46538614</v>
      </c>
    </row>
    <row r="225">
      <c r="A225" s="3">
        <f>IFERROR(__xludf.DUMMYFUNCTION("""COMPUTED_VALUE"""),45251.66666666667)</f>
        <v>45251.66667</v>
      </c>
      <c r="B225" s="2">
        <f>IFERROR(__xludf.DUMMYFUNCTION("""COMPUTED_VALUE"""),191.41)</f>
        <v>191.41</v>
      </c>
      <c r="C225" s="2">
        <f>IFERROR(__xludf.DUMMYFUNCTION("""COMPUTED_VALUE"""),191.52)</f>
        <v>191.52</v>
      </c>
      <c r="D225" s="2">
        <f>IFERROR(__xludf.DUMMYFUNCTION("""COMPUTED_VALUE"""),189.74)</f>
        <v>189.74</v>
      </c>
      <c r="E225" s="2">
        <f>IFERROR(__xludf.DUMMYFUNCTION("""COMPUTED_VALUE"""),190.64)</f>
        <v>190.64</v>
      </c>
      <c r="F225" s="2">
        <f>IFERROR(__xludf.DUMMYFUNCTION("""COMPUTED_VALUE"""),3.8134485E7)</f>
        <v>38134485</v>
      </c>
    </row>
    <row r="226">
      <c r="A226" s="3">
        <f>IFERROR(__xludf.DUMMYFUNCTION("""COMPUTED_VALUE"""),45252.66666666667)</f>
        <v>45252.66667</v>
      </c>
      <c r="B226" s="2">
        <f>IFERROR(__xludf.DUMMYFUNCTION("""COMPUTED_VALUE"""),191.49)</f>
        <v>191.49</v>
      </c>
      <c r="C226" s="2">
        <f>IFERROR(__xludf.DUMMYFUNCTION("""COMPUTED_VALUE"""),192.93)</f>
        <v>192.93</v>
      </c>
      <c r="D226" s="2">
        <f>IFERROR(__xludf.DUMMYFUNCTION("""COMPUTED_VALUE"""),190.83)</f>
        <v>190.83</v>
      </c>
      <c r="E226" s="2">
        <f>IFERROR(__xludf.DUMMYFUNCTION("""COMPUTED_VALUE"""),191.31)</f>
        <v>191.31</v>
      </c>
      <c r="F226" s="2">
        <f>IFERROR(__xludf.DUMMYFUNCTION("""COMPUTED_VALUE"""),3.9630011E7)</f>
        <v>39630011</v>
      </c>
    </row>
    <row r="227">
      <c r="A227" s="3">
        <f>IFERROR(__xludf.DUMMYFUNCTION("""COMPUTED_VALUE"""),45254.54513888889)</f>
        <v>45254.54514</v>
      </c>
      <c r="B227" s="2">
        <f>IFERROR(__xludf.DUMMYFUNCTION("""COMPUTED_VALUE"""),190.87)</f>
        <v>190.87</v>
      </c>
      <c r="C227" s="2">
        <f>IFERROR(__xludf.DUMMYFUNCTION("""COMPUTED_VALUE"""),190.9)</f>
        <v>190.9</v>
      </c>
      <c r="D227" s="2">
        <f>IFERROR(__xludf.DUMMYFUNCTION("""COMPUTED_VALUE"""),189.25)</f>
        <v>189.25</v>
      </c>
      <c r="E227" s="2">
        <f>IFERROR(__xludf.DUMMYFUNCTION("""COMPUTED_VALUE"""),189.97)</f>
        <v>189.97</v>
      </c>
      <c r="F227" s="2">
        <f>IFERROR(__xludf.DUMMYFUNCTION("""COMPUTED_VALUE"""),2.4048344E7)</f>
        <v>24048344</v>
      </c>
    </row>
    <row r="228">
      <c r="A228" s="3">
        <f>IFERROR(__xludf.DUMMYFUNCTION("""COMPUTED_VALUE"""),45257.66666666667)</f>
        <v>45257.66667</v>
      </c>
      <c r="B228" s="2">
        <f>IFERROR(__xludf.DUMMYFUNCTION("""COMPUTED_VALUE"""),189.92)</f>
        <v>189.92</v>
      </c>
      <c r="C228" s="2">
        <f>IFERROR(__xludf.DUMMYFUNCTION("""COMPUTED_VALUE"""),190.67)</f>
        <v>190.67</v>
      </c>
      <c r="D228" s="2">
        <f>IFERROR(__xludf.DUMMYFUNCTION("""COMPUTED_VALUE"""),188.9)</f>
        <v>188.9</v>
      </c>
      <c r="E228" s="2">
        <f>IFERROR(__xludf.DUMMYFUNCTION("""COMPUTED_VALUE"""),189.79)</f>
        <v>189.79</v>
      </c>
      <c r="F228" s="2">
        <f>IFERROR(__xludf.DUMMYFUNCTION("""COMPUTED_VALUE"""),4.0552609E7)</f>
        <v>40552609</v>
      </c>
    </row>
    <row r="229">
      <c r="A229" s="3">
        <f>IFERROR(__xludf.DUMMYFUNCTION("""COMPUTED_VALUE"""),45258.66666666667)</f>
        <v>45258.66667</v>
      </c>
      <c r="B229" s="2">
        <f>IFERROR(__xludf.DUMMYFUNCTION("""COMPUTED_VALUE"""),189.78)</f>
        <v>189.78</v>
      </c>
      <c r="C229" s="2">
        <f>IFERROR(__xludf.DUMMYFUNCTION("""COMPUTED_VALUE"""),191.08)</f>
        <v>191.08</v>
      </c>
      <c r="D229" s="2">
        <f>IFERROR(__xludf.DUMMYFUNCTION("""COMPUTED_VALUE"""),189.4)</f>
        <v>189.4</v>
      </c>
      <c r="E229" s="2">
        <f>IFERROR(__xludf.DUMMYFUNCTION("""COMPUTED_VALUE"""),190.4)</f>
        <v>190.4</v>
      </c>
      <c r="F229" s="2">
        <f>IFERROR(__xludf.DUMMYFUNCTION("""COMPUTED_VALUE"""),3.8415419E7)</f>
        <v>38415419</v>
      </c>
    </row>
    <row r="230">
      <c r="A230" s="3">
        <f>IFERROR(__xludf.DUMMYFUNCTION("""COMPUTED_VALUE"""),45259.66666666667)</f>
        <v>45259.66667</v>
      </c>
      <c r="B230" s="2">
        <f>IFERROR(__xludf.DUMMYFUNCTION("""COMPUTED_VALUE"""),190.9)</f>
        <v>190.9</v>
      </c>
      <c r="C230" s="2">
        <f>IFERROR(__xludf.DUMMYFUNCTION("""COMPUTED_VALUE"""),192.09)</f>
        <v>192.09</v>
      </c>
      <c r="D230" s="2">
        <f>IFERROR(__xludf.DUMMYFUNCTION("""COMPUTED_VALUE"""),188.97)</f>
        <v>188.97</v>
      </c>
      <c r="E230" s="2">
        <f>IFERROR(__xludf.DUMMYFUNCTION("""COMPUTED_VALUE"""),189.37)</f>
        <v>189.37</v>
      </c>
      <c r="F230" s="2">
        <f>IFERROR(__xludf.DUMMYFUNCTION("""COMPUTED_VALUE"""),4.3014224E7)</f>
        <v>43014224</v>
      </c>
    </row>
    <row r="231">
      <c r="A231" s="3">
        <f>IFERROR(__xludf.DUMMYFUNCTION("""COMPUTED_VALUE"""),45260.66666666667)</f>
        <v>45260.66667</v>
      </c>
      <c r="B231" s="2">
        <f>IFERROR(__xludf.DUMMYFUNCTION("""COMPUTED_VALUE"""),189.84)</f>
        <v>189.84</v>
      </c>
      <c r="C231" s="2">
        <f>IFERROR(__xludf.DUMMYFUNCTION("""COMPUTED_VALUE"""),190.32)</f>
        <v>190.32</v>
      </c>
      <c r="D231" s="2">
        <f>IFERROR(__xludf.DUMMYFUNCTION("""COMPUTED_VALUE"""),188.19)</f>
        <v>188.19</v>
      </c>
      <c r="E231" s="2">
        <f>IFERROR(__xludf.DUMMYFUNCTION("""COMPUTED_VALUE"""),189.95)</f>
        <v>189.95</v>
      </c>
      <c r="F231" s="2">
        <f>IFERROR(__xludf.DUMMYFUNCTION("""COMPUTED_VALUE"""),4.8794366E7)</f>
        <v>48794366</v>
      </c>
    </row>
    <row r="232">
      <c r="A232" s="3">
        <f>IFERROR(__xludf.DUMMYFUNCTION("""COMPUTED_VALUE"""),45261.66666666667)</f>
        <v>45261.66667</v>
      </c>
      <c r="B232" s="2">
        <f>IFERROR(__xludf.DUMMYFUNCTION("""COMPUTED_VALUE"""),190.33)</f>
        <v>190.33</v>
      </c>
      <c r="C232" s="2">
        <f>IFERROR(__xludf.DUMMYFUNCTION("""COMPUTED_VALUE"""),191.56)</f>
        <v>191.56</v>
      </c>
      <c r="D232" s="2">
        <f>IFERROR(__xludf.DUMMYFUNCTION("""COMPUTED_VALUE"""),189.23)</f>
        <v>189.23</v>
      </c>
      <c r="E232" s="2">
        <f>IFERROR(__xludf.DUMMYFUNCTION("""COMPUTED_VALUE"""),191.24)</f>
        <v>191.24</v>
      </c>
      <c r="F232" s="2">
        <f>IFERROR(__xludf.DUMMYFUNCTION("""COMPUTED_VALUE"""),4.5704823E7)</f>
        <v>45704823</v>
      </c>
    </row>
    <row r="233">
      <c r="A233" s="3">
        <f>IFERROR(__xludf.DUMMYFUNCTION("""COMPUTED_VALUE"""),45264.66666666667)</f>
        <v>45264.66667</v>
      </c>
      <c r="B233" s="2">
        <f>IFERROR(__xludf.DUMMYFUNCTION("""COMPUTED_VALUE"""),189.98)</f>
        <v>189.98</v>
      </c>
      <c r="C233" s="2">
        <f>IFERROR(__xludf.DUMMYFUNCTION("""COMPUTED_VALUE"""),190.05)</f>
        <v>190.05</v>
      </c>
      <c r="D233" s="2">
        <f>IFERROR(__xludf.DUMMYFUNCTION("""COMPUTED_VALUE"""),187.45)</f>
        <v>187.45</v>
      </c>
      <c r="E233" s="2">
        <f>IFERROR(__xludf.DUMMYFUNCTION("""COMPUTED_VALUE"""),189.43)</f>
        <v>189.43</v>
      </c>
      <c r="F233" s="2">
        <f>IFERROR(__xludf.DUMMYFUNCTION("""COMPUTED_VALUE"""),4.3389519E7)</f>
        <v>43389519</v>
      </c>
    </row>
    <row r="234">
      <c r="A234" s="3">
        <f>IFERROR(__xludf.DUMMYFUNCTION("""COMPUTED_VALUE"""),45265.66666666667)</f>
        <v>45265.66667</v>
      </c>
      <c r="B234" s="2">
        <f>IFERROR(__xludf.DUMMYFUNCTION("""COMPUTED_VALUE"""),190.21)</f>
        <v>190.21</v>
      </c>
      <c r="C234" s="2">
        <f>IFERROR(__xludf.DUMMYFUNCTION("""COMPUTED_VALUE"""),194.4)</f>
        <v>194.4</v>
      </c>
      <c r="D234" s="2">
        <f>IFERROR(__xludf.DUMMYFUNCTION("""COMPUTED_VALUE"""),190.18)</f>
        <v>190.18</v>
      </c>
      <c r="E234" s="2">
        <f>IFERROR(__xludf.DUMMYFUNCTION("""COMPUTED_VALUE"""),193.42)</f>
        <v>193.42</v>
      </c>
      <c r="F234" s="2">
        <f>IFERROR(__xludf.DUMMYFUNCTION("""COMPUTED_VALUE"""),6.6628398E7)</f>
        <v>66628398</v>
      </c>
    </row>
    <row r="235">
      <c r="A235" s="3">
        <f>IFERROR(__xludf.DUMMYFUNCTION("""COMPUTED_VALUE"""),45266.66666666667)</f>
        <v>45266.66667</v>
      </c>
      <c r="B235" s="2">
        <f>IFERROR(__xludf.DUMMYFUNCTION("""COMPUTED_VALUE"""),194.45)</f>
        <v>194.45</v>
      </c>
      <c r="C235" s="2">
        <f>IFERROR(__xludf.DUMMYFUNCTION("""COMPUTED_VALUE"""),194.76)</f>
        <v>194.76</v>
      </c>
      <c r="D235" s="2">
        <f>IFERROR(__xludf.DUMMYFUNCTION("""COMPUTED_VALUE"""),192.11)</f>
        <v>192.11</v>
      </c>
      <c r="E235" s="2">
        <f>IFERROR(__xludf.DUMMYFUNCTION("""COMPUTED_VALUE"""),192.32)</f>
        <v>192.32</v>
      </c>
      <c r="F235" s="2">
        <f>IFERROR(__xludf.DUMMYFUNCTION("""COMPUTED_VALUE"""),4.1089737E7)</f>
        <v>41089737</v>
      </c>
    </row>
    <row r="236">
      <c r="A236" s="3">
        <f>IFERROR(__xludf.DUMMYFUNCTION("""COMPUTED_VALUE"""),45267.66666666667)</f>
        <v>45267.66667</v>
      </c>
      <c r="B236" s="2">
        <f>IFERROR(__xludf.DUMMYFUNCTION("""COMPUTED_VALUE"""),193.63)</f>
        <v>193.63</v>
      </c>
      <c r="C236" s="2">
        <f>IFERROR(__xludf.DUMMYFUNCTION("""COMPUTED_VALUE"""),195.0)</f>
        <v>195</v>
      </c>
      <c r="D236" s="2">
        <f>IFERROR(__xludf.DUMMYFUNCTION("""COMPUTED_VALUE"""),193.59)</f>
        <v>193.59</v>
      </c>
      <c r="E236" s="2">
        <f>IFERROR(__xludf.DUMMYFUNCTION("""COMPUTED_VALUE"""),194.27)</f>
        <v>194.27</v>
      </c>
      <c r="F236" s="2">
        <f>IFERROR(__xludf.DUMMYFUNCTION("""COMPUTED_VALUE"""),4.7477655E7)</f>
        <v>47477655</v>
      </c>
    </row>
    <row r="237">
      <c r="A237" s="3">
        <f>IFERROR(__xludf.DUMMYFUNCTION("""COMPUTED_VALUE"""),45268.66666666667)</f>
        <v>45268.66667</v>
      </c>
      <c r="B237" s="2">
        <f>IFERROR(__xludf.DUMMYFUNCTION("""COMPUTED_VALUE"""),194.2)</f>
        <v>194.2</v>
      </c>
      <c r="C237" s="2">
        <f>IFERROR(__xludf.DUMMYFUNCTION("""COMPUTED_VALUE"""),195.99)</f>
        <v>195.99</v>
      </c>
      <c r="D237" s="2">
        <f>IFERROR(__xludf.DUMMYFUNCTION("""COMPUTED_VALUE"""),193.67)</f>
        <v>193.67</v>
      </c>
      <c r="E237" s="2">
        <f>IFERROR(__xludf.DUMMYFUNCTION("""COMPUTED_VALUE"""),195.71)</f>
        <v>195.71</v>
      </c>
      <c r="F237" s="2">
        <f>IFERROR(__xludf.DUMMYFUNCTION("""COMPUTED_VALUE"""),5.3406358E7)</f>
        <v>53406358</v>
      </c>
    </row>
    <row r="238">
      <c r="A238" s="3">
        <f>IFERROR(__xludf.DUMMYFUNCTION("""COMPUTED_VALUE"""),45271.66666666667)</f>
        <v>45271.66667</v>
      </c>
      <c r="B238" s="2">
        <f>IFERROR(__xludf.DUMMYFUNCTION("""COMPUTED_VALUE"""),193.11)</f>
        <v>193.11</v>
      </c>
      <c r="C238" s="2">
        <f>IFERROR(__xludf.DUMMYFUNCTION("""COMPUTED_VALUE"""),193.49)</f>
        <v>193.49</v>
      </c>
      <c r="D238" s="2">
        <f>IFERROR(__xludf.DUMMYFUNCTION("""COMPUTED_VALUE"""),191.42)</f>
        <v>191.42</v>
      </c>
      <c r="E238" s="2">
        <f>IFERROR(__xludf.DUMMYFUNCTION("""COMPUTED_VALUE"""),193.18)</f>
        <v>193.18</v>
      </c>
      <c r="F238" s="2">
        <f>IFERROR(__xludf.DUMMYFUNCTION("""COMPUTED_VALUE"""),6.0943699E7)</f>
        <v>60943699</v>
      </c>
    </row>
    <row r="239">
      <c r="A239" s="3">
        <f>IFERROR(__xludf.DUMMYFUNCTION("""COMPUTED_VALUE"""),45272.66666666667)</f>
        <v>45272.66667</v>
      </c>
      <c r="B239" s="2">
        <f>IFERROR(__xludf.DUMMYFUNCTION("""COMPUTED_VALUE"""),193.08)</f>
        <v>193.08</v>
      </c>
      <c r="C239" s="2">
        <f>IFERROR(__xludf.DUMMYFUNCTION("""COMPUTED_VALUE"""),194.72)</f>
        <v>194.72</v>
      </c>
      <c r="D239" s="2">
        <f>IFERROR(__xludf.DUMMYFUNCTION("""COMPUTED_VALUE"""),191.72)</f>
        <v>191.72</v>
      </c>
      <c r="E239" s="2">
        <f>IFERROR(__xludf.DUMMYFUNCTION("""COMPUTED_VALUE"""),194.71)</f>
        <v>194.71</v>
      </c>
      <c r="F239" s="2">
        <f>IFERROR(__xludf.DUMMYFUNCTION("""COMPUTED_VALUE"""),5.26969E7)</f>
        <v>52696900</v>
      </c>
    </row>
    <row r="240">
      <c r="A240" s="3">
        <f>IFERROR(__xludf.DUMMYFUNCTION("""COMPUTED_VALUE"""),45273.66666666667)</f>
        <v>45273.66667</v>
      </c>
      <c r="B240" s="2">
        <f>IFERROR(__xludf.DUMMYFUNCTION("""COMPUTED_VALUE"""),195.09)</f>
        <v>195.09</v>
      </c>
      <c r="C240" s="2">
        <f>IFERROR(__xludf.DUMMYFUNCTION("""COMPUTED_VALUE"""),198.0)</f>
        <v>198</v>
      </c>
      <c r="D240" s="2">
        <f>IFERROR(__xludf.DUMMYFUNCTION("""COMPUTED_VALUE"""),194.85)</f>
        <v>194.85</v>
      </c>
      <c r="E240" s="2">
        <f>IFERROR(__xludf.DUMMYFUNCTION("""COMPUTED_VALUE"""),197.96)</f>
        <v>197.96</v>
      </c>
      <c r="F240" s="2">
        <f>IFERROR(__xludf.DUMMYFUNCTION("""COMPUTED_VALUE"""),7.0404183E7)</f>
        <v>70404183</v>
      </c>
    </row>
    <row r="241">
      <c r="A241" s="3">
        <f>IFERROR(__xludf.DUMMYFUNCTION("""COMPUTED_VALUE"""),45274.66666666667)</f>
        <v>45274.66667</v>
      </c>
      <c r="B241" s="2">
        <f>IFERROR(__xludf.DUMMYFUNCTION("""COMPUTED_VALUE"""),198.02)</f>
        <v>198.02</v>
      </c>
      <c r="C241" s="2">
        <f>IFERROR(__xludf.DUMMYFUNCTION("""COMPUTED_VALUE"""),199.62)</f>
        <v>199.62</v>
      </c>
      <c r="D241" s="2">
        <f>IFERROR(__xludf.DUMMYFUNCTION("""COMPUTED_VALUE"""),196.16)</f>
        <v>196.16</v>
      </c>
      <c r="E241" s="2">
        <f>IFERROR(__xludf.DUMMYFUNCTION("""COMPUTED_VALUE"""),198.11)</f>
        <v>198.11</v>
      </c>
      <c r="F241" s="2">
        <f>IFERROR(__xludf.DUMMYFUNCTION("""COMPUTED_VALUE"""),6.6831572E7)</f>
        <v>66831572</v>
      </c>
    </row>
    <row r="242">
      <c r="A242" s="3">
        <f>IFERROR(__xludf.DUMMYFUNCTION("""COMPUTED_VALUE"""),45275.66666666667)</f>
        <v>45275.66667</v>
      </c>
      <c r="B242" s="2">
        <f>IFERROR(__xludf.DUMMYFUNCTION("""COMPUTED_VALUE"""),197.53)</f>
        <v>197.53</v>
      </c>
      <c r="C242" s="2">
        <f>IFERROR(__xludf.DUMMYFUNCTION("""COMPUTED_VALUE"""),198.4)</f>
        <v>198.4</v>
      </c>
      <c r="D242" s="2">
        <f>IFERROR(__xludf.DUMMYFUNCTION("""COMPUTED_VALUE"""),197.0)</f>
        <v>197</v>
      </c>
      <c r="E242" s="2">
        <f>IFERROR(__xludf.DUMMYFUNCTION("""COMPUTED_VALUE"""),197.57)</f>
        <v>197.57</v>
      </c>
      <c r="F242" s="2">
        <f>IFERROR(__xludf.DUMMYFUNCTION("""COMPUTED_VALUE"""),1.28538401E8)</f>
        <v>128538401</v>
      </c>
    </row>
    <row r="243">
      <c r="A243" s="3">
        <f>IFERROR(__xludf.DUMMYFUNCTION("""COMPUTED_VALUE"""),45278.66666666667)</f>
        <v>45278.66667</v>
      </c>
      <c r="B243" s="2">
        <f>IFERROR(__xludf.DUMMYFUNCTION("""COMPUTED_VALUE"""),196.09)</f>
        <v>196.09</v>
      </c>
      <c r="C243" s="2">
        <f>IFERROR(__xludf.DUMMYFUNCTION("""COMPUTED_VALUE"""),196.63)</f>
        <v>196.63</v>
      </c>
      <c r="D243" s="2">
        <f>IFERROR(__xludf.DUMMYFUNCTION("""COMPUTED_VALUE"""),194.39)</f>
        <v>194.39</v>
      </c>
      <c r="E243" s="2">
        <f>IFERROR(__xludf.DUMMYFUNCTION("""COMPUTED_VALUE"""),195.89)</f>
        <v>195.89</v>
      </c>
      <c r="F243" s="2">
        <f>IFERROR(__xludf.DUMMYFUNCTION("""COMPUTED_VALUE"""),5.5751861E7)</f>
        <v>55751861</v>
      </c>
    </row>
    <row r="244">
      <c r="A244" s="3">
        <f>IFERROR(__xludf.DUMMYFUNCTION("""COMPUTED_VALUE"""),45279.66666666667)</f>
        <v>45279.66667</v>
      </c>
      <c r="B244" s="2">
        <f>IFERROR(__xludf.DUMMYFUNCTION("""COMPUTED_VALUE"""),196.16)</f>
        <v>196.16</v>
      </c>
      <c r="C244" s="2">
        <f>IFERROR(__xludf.DUMMYFUNCTION("""COMPUTED_VALUE"""),196.95)</f>
        <v>196.95</v>
      </c>
      <c r="D244" s="2">
        <f>IFERROR(__xludf.DUMMYFUNCTION("""COMPUTED_VALUE"""),195.89)</f>
        <v>195.89</v>
      </c>
      <c r="E244" s="2">
        <f>IFERROR(__xludf.DUMMYFUNCTION("""COMPUTED_VALUE"""),196.94)</f>
        <v>196.94</v>
      </c>
      <c r="F244" s="2">
        <f>IFERROR(__xludf.DUMMYFUNCTION("""COMPUTED_VALUE"""),4.0714051E7)</f>
        <v>40714051</v>
      </c>
    </row>
    <row r="245">
      <c r="A245" s="3">
        <f>IFERROR(__xludf.DUMMYFUNCTION("""COMPUTED_VALUE"""),45280.66666666667)</f>
        <v>45280.66667</v>
      </c>
      <c r="B245" s="2">
        <f>IFERROR(__xludf.DUMMYFUNCTION("""COMPUTED_VALUE"""),196.9)</f>
        <v>196.9</v>
      </c>
      <c r="C245" s="2">
        <f>IFERROR(__xludf.DUMMYFUNCTION("""COMPUTED_VALUE"""),197.68)</f>
        <v>197.68</v>
      </c>
      <c r="D245" s="2">
        <f>IFERROR(__xludf.DUMMYFUNCTION("""COMPUTED_VALUE"""),194.83)</f>
        <v>194.83</v>
      </c>
      <c r="E245" s="2">
        <f>IFERROR(__xludf.DUMMYFUNCTION("""COMPUTED_VALUE"""),194.83)</f>
        <v>194.83</v>
      </c>
      <c r="F245" s="2">
        <f>IFERROR(__xludf.DUMMYFUNCTION("""COMPUTED_VALUE"""),5.2242815E7)</f>
        <v>52242815</v>
      </c>
    </row>
    <row r="246">
      <c r="A246" s="3">
        <f>IFERROR(__xludf.DUMMYFUNCTION("""COMPUTED_VALUE"""),45281.66666666667)</f>
        <v>45281.66667</v>
      </c>
      <c r="B246" s="2">
        <f>IFERROR(__xludf.DUMMYFUNCTION("""COMPUTED_VALUE"""),196.1)</f>
        <v>196.1</v>
      </c>
      <c r="C246" s="2">
        <f>IFERROR(__xludf.DUMMYFUNCTION("""COMPUTED_VALUE"""),197.08)</f>
        <v>197.08</v>
      </c>
      <c r="D246" s="2">
        <f>IFERROR(__xludf.DUMMYFUNCTION("""COMPUTED_VALUE"""),193.5)</f>
        <v>193.5</v>
      </c>
      <c r="E246" s="2">
        <f>IFERROR(__xludf.DUMMYFUNCTION("""COMPUTED_VALUE"""),194.68)</f>
        <v>194.68</v>
      </c>
      <c r="F246" s="2">
        <f>IFERROR(__xludf.DUMMYFUNCTION("""COMPUTED_VALUE"""),4.6482549E7)</f>
        <v>46482549</v>
      </c>
    </row>
    <row r="247">
      <c r="A247" s="3">
        <f>IFERROR(__xludf.DUMMYFUNCTION("""COMPUTED_VALUE"""),45282.66666666667)</f>
        <v>45282.66667</v>
      </c>
      <c r="B247" s="2">
        <f>IFERROR(__xludf.DUMMYFUNCTION("""COMPUTED_VALUE"""),195.18)</f>
        <v>195.18</v>
      </c>
      <c r="C247" s="2">
        <f>IFERROR(__xludf.DUMMYFUNCTION("""COMPUTED_VALUE"""),195.41)</f>
        <v>195.41</v>
      </c>
      <c r="D247" s="2">
        <f>IFERROR(__xludf.DUMMYFUNCTION("""COMPUTED_VALUE"""),192.97)</f>
        <v>192.97</v>
      </c>
      <c r="E247" s="2">
        <f>IFERROR(__xludf.DUMMYFUNCTION("""COMPUTED_VALUE"""),193.6)</f>
        <v>193.6</v>
      </c>
      <c r="F247" s="2">
        <f>IFERROR(__xludf.DUMMYFUNCTION("""COMPUTED_VALUE"""),3.714957E7)</f>
        <v>37149570</v>
      </c>
    </row>
    <row r="248">
      <c r="A248" s="3">
        <f>IFERROR(__xludf.DUMMYFUNCTION("""COMPUTED_VALUE"""),45286.66666666667)</f>
        <v>45286.66667</v>
      </c>
      <c r="B248" s="2">
        <f>IFERROR(__xludf.DUMMYFUNCTION("""COMPUTED_VALUE"""),193.61)</f>
        <v>193.61</v>
      </c>
      <c r="C248" s="2">
        <f>IFERROR(__xludf.DUMMYFUNCTION("""COMPUTED_VALUE"""),193.89)</f>
        <v>193.89</v>
      </c>
      <c r="D248" s="2">
        <f>IFERROR(__xludf.DUMMYFUNCTION("""COMPUTED_VALUE"""),192.83)</f>
        <v>192.83</v>
      </c>
      <c r="E248" s="2">
        <f>IFERROR(__xludf.DUMMYFUNCTION("""COMPUTED_VALUE"""),193.05)</f>
        <v>193.05</v>
      </c>
      <c r="F248" s="2">
        <f>IFERROR(__xludf.DUMMYFUNCTION("""COMPUTED_VALUE"""),2.891931E7)</f>
        <v>28919310</v>
      </c>
    </row>
    <row r="249">
      <c r="A249" s="3">
        <f>IFERROR(__xludf.DUMMYFUNCTION("""COMPUTED_VALUE"""),45287.66666666667)</f>
        <v>45287.66667</v>
      </c>
      <c r="B249" s="2">
        <f>IFERROR(__xludf.DUMMYFUNCTION("""COMPUTED_VALUE"""),192.49)</f>
        <v>192.49</v>
      </c>
      <c r="C249" s="2">
        <f>IFERROR(__xludf.DUMMYFUNCTION("""COMPUTED_VALUE"""),193.5)</f>
        <v>193.5</v>
      </c>
      <c r="D249" s="2">
        <f>IFERROR(__xludf.DUMMYFUNCTION("""COMPUTED_VALUE"""),191.09)</f>
        <v>191.09</v>
      </c>
      <c r="E249" s="2">
        <f>IFERROR(__xludf.DUMMYFUNCTION("""COMPUTED_VALUE"""),193.15)</f>
        <v>193.15</v>
      </c>
      <c r="F249" s="2">
        <f>IFERROR(__xludf.DUMMYFUNCTION("""COMPUTED_VALUE"""),4.8087681E7)</f>
        <v>48087681</v>
      </c>
    </row>
    <row r="250">
      <c r="A250" s="3">
        <f>IFERROR(__xludf.DUMMYFUNCTION("""COMPUTED_VALUE"""),45288.66666666667)</f>
        <v>45288.66667</v>
      </c>
      <c r="B250" s="2">
        <f>IFERROR(__xludf.DUMMYFUNCTION("""COMPUTED_VALUE"""),194.14)</f>
        <v>194.14</v>
      </c>
      <c r="C250" s="2">
        <f>IFERROR(__xludf.DUMMYFUNCTION("""COMPUTED_VALUE"""),194.66)</f>
        <v>194.66</v>
      </c>
      <c r="D250" s="2">
        <f>IFERROR(__xludf.DUMMYFUNCTION("""COMPUTED_VALUE"""),193.17)</f>
        <v>193.17</v>
      </c>
      <c r="E250" s="2">
        <f>IFERROR(__xludf.DUMMYFUNCTION("""COMPUTED_VALUE"""),193.58)</f>
        <v>193.58</v>
      </c>
      <c r="F250" s="2">
        <f>IFERROR(__xludf.DUMMYFUNCTION("""COMPUTED_VALUE"""),3.4049898E7)</f>
        <v>34049898</v>
      </c>
    </row>
    <row r="251">
      <c r="A251" s="3">
        <f>IFERROR(__xludf.DUMMYFUNCTION("""COMPUTED_VALUE"""),45289.66666666667)</f>
        <v>45289.66667</v>
      </c>
      <c r="B251" s="2">
        <f>IFERROR(__xludf.DUMMYFUNCTION("""COMPUTED_VALUE"""),193.9)</f>
        <v>193.9</v>
      </c>
      <c r="C251" s="2">
        <f>IFERROR(__xludf.DUMMYFUNCTION("""COMPUTED_VALUE"""),194.4)</f>
        <v>194.4</v>
      </c>
      <c r="D251" s="2">
        <f>IFERROR(__xludf.DUMMYFUNCTION("""COMPUTED_VALUE"""),191.73)</f>
        <v>191.73</v>
      </c>
      <c r="E251" s="2">
        <f>IFERROR(__xludf.DUMMYFUNCTION("""COMPUTED_VALUE"""),192.53)</f>
        <v>192.53</v>
      </c>
      <c r="F251" s="2">
        <f>IFERROR(__xludf.DUMMYFUNCTION("""COMPUTED_VALUE"""),4.2672148E7)</f>
        <v>42672148</v>
      </c>
    </row>
    <row r="252">
      <c r="A252" s="3">
        <f>IFERROR(__xludf.DUMMYFUNCTION("""COMPUTED_VALUE"""),45293.66666666667)</f>
        <v>45293.66667</v>
      </c>
      <c r="B252" s="2">
        <f>IFERROR(__xludf.DUMMYFUNCTION("""COMPUTED_VALUE"""),187.15)</f>
        <v>187.15</v>
      </c>
      <c r="C252" s="2">
        <f>IFERROR(__xludf.DUMMYFUNCTION("""COMPUTED_VALUE"""),188.44)</f>
        <v>188.44</v>
      </c>
      <c r="D252" s="2">
        <f>IFERROR(__xludf.DUMMYFUNCTION("""COMPUTED_VALUE"""),183.89)</f>
        <v>183.89</v>
      </c>
      <c r="E252" s="2">
        <f>IFERROR(__xludf.DUMMYFUNCTION("""COMPUTED_VALUE"""),185.64)</f>
        <v>185.64</v>
      </c>
      <c r="F252" s="2">
        <f>IFERROR(__xludf.DUMMYFUNCTION("""COMPUTED_VALUE"""),8.2488674E7)</f>
        <v>82488674</v>
      </c>
    </row>
    <row r="253">
      <c r="A253" s="3">
        <f>IFERROR(__xludf.DUMMYFUNCTION("""COMPUTED_VALUE"""),45294.66666666667)</f>
        <v>45294.66667</v>
      </c>
      <c r="B253" s="2">
        <f>IFERROR(__xludf.DUMMYFUNCTION("""COMPUTED_VALUE"""),184.22)</f>
        <v>184.22</v>
      </c>
      <c r="C253" s="2">
        <f>IFERROR(__xludf.DUMMYFUNCTION("""COMPUTED_VALUE"""),185.88)</f>
        <v>185.88</v>
      </c>
      <c r="D253" s="2">
        <f>IFERROR(__xludf.DUMMYFUNCTION("""COMPUTED_VALUE"""),183.43)</f>
        <v>183.43</v>
      </c>
      <c r="E253" s="2">
        <f>IFERROR(__xludf.DUMMYFUNCTION("""COMPUTED_VALUE"""),184.25)</f>
        <v>184.25</v>
      </c>
      <c r="F253" s="2">
        <f>IFERROR(__xludf.DUMMYFUNCTION("""COMPUTED_VALUE"""),5.841446E7)</f>
        <v>58414460</v>
      </c>
    </row>
    <row r="254">
      <c r="A254" s="3">
        <f>IFERROR(__xludf.DUMMYFUNCTION("""COMPUTED_VALUE"""),45295.66666666667)</f>
        <v>45295.66667</v>
      </c>
      <c r="B254" s="2">
        <f>IFERROR(__xludf.DUMMYFUNCTION("""COMPUTED_VALUE"""),182.15)</f>
        <v>182.15</v>
      </c>
      <c r="C254" s="2">
        <f>IFERROR(__xludf.DUMMYFUNCTION("""COMPUTED_VALUE"""),183.09)</f>
        <v>183.09</v>
      </c>
      <c r="D254" s="2">
        <f>IFERROR(__xludf.DUMMYFUNCTION("""COMPUTED_VALUE"""),180.88)</f>
        <v>180.88</v>
      </c>
      <c r="E254" s="2">
        <f>IFERROR(__xludf.DUMMYFUNCTION("""COMPUTED_VALUE"""),181.91)</f>
        <v>181.91</v>
      </c>
      <c r="F254" s="2">
        <f>IFERROR(__xludf.DUMMYFUNCTION("""COMPUTED_VALUE"""),7.198357E7)</f>
        <v>71983570</v>
      </c>
    </row>
    <row r="255">
      <c r="A255" s="3">
        <f>IFERROR(__xludf.DUMMYFUNCTION("""COMPUTED_VALUE"""),45296.66666666667)</f>
        <v>45296.66667</v>
      </c>
      <c r="B255" s="2">
        <f>IFERROR(__xludf.DUMMYFUNCTION("""COMPUTED_VALUE"""),181.99)</f>
        <v>181.99</v>
      </c>
      <c r="C255" s="2">
        <f>IFERROR(__xludf.DUMMYFUNCTION("""COMPUTED_VALUE"""),182.76)</f>
        <v>182.76</v>
      </c>
      <c r="D255" s="2">
        <f>IFERROR(__xludf.DUMMYFUNCTION("""COMPUTED_VALUE"""),180.17)</f>
        <v>180.17</v>
      </c>
      <c r="E255" s="2">
        <f>IFERROR(__xludf.DUMMYFUNCTION("""COMPUTED_VALUE"""),181.18)</f>
        <v>181.18</v>
      </c>
      <c r="F255" s="2">
        <f>IFERROR(__xludf.DUMMYFUNCTION("""COMPUTED_VALUE"""),6.2379661E7)</f>
        <v>62379661</v>
      </c>
    </row>
    <row r="256">
      <c r="A256" s="3">
        <f>IFERROR(__xludf.DUMMYFUNCTION("""COMPUTED_VALUE"""),45299.66666666667)</f>
        <v>45299.66667</v>
      </c>
      <c r="B256" s="2">
        <f>IFERROR(__xludf.DUMMYFUNCTION("""COMPUTED_VALUE"""),182.09)</f>
        <v>182.09</v>
      </c>
      <c r="C256" s="2">
        <f>IFERROR(__xludf.DUMMYFUNCTION("""COMPUTED_VALUE"""),185.6)</f>
        <v>185.6</v>
      </c>
      <c r="D256" s="2">
        <f>IFERROR(__xludf.DUMMYFUNCTION("""COMPUTED_VALUE"""),181.5)</f>
        <v>181.5</v>
      </c>
      <c r="E256" s="2">
        <f>IFERROR(__xludf.DUMMYFUNCTION("""COMPUTED_VALUE"""),185.56)</f>
        <v>185.56</v>
      </c>
      <c r="F256" s="2">
        <f>IFERROR(__xludf.DUMMYFUNCTION("""COMPUTED_VALUE"""),5.914447E7)</f>
        <v>59144470</v>
      </c>
    </row>
    <row r="257">
      <c r="A257" s="3">
        <f>IFERROR(__xludf.DUMMYFUNCTION("""COMPUTED_VALUE"""),45300.66666666667)</f>
        <v>45300.66667</v>
      </c>
      <c r="B257" s="2">
        <f>IFERROR(__xludf.DUMMYFUNCTION("""COMPUTED_VALUE"""),183.92)</f>
        <v>183.92</v>
      </c>
      <c r="C257" s="2">
        <f>IFERROR(__xludf.DUMMYFUNCTION("""COMPUTED_VALUE"""),185.15)</f>
        <v>185.15</v>
      </c>
      <c r="D257" s="2">
        <f>IFERROR(__xludf.DUMMYFUNCTION("""COMPUTED_VALUE"""),182.73)</f>
        <v>182.73</v>
      </c>
      <c r="E257" s="2">
        <f>IFERROR(__xludf.DUMMYFUNCTION("""COMPUTED_VALUE"""),185.14)</f>
        <v>185.14</v>
      </c>
      <c r="F257" s="2">
        <f>IFERROR(__xludf.DUMMYFUNCTION("""COMPUTED_VALUE"""),4.2841809E7)</f>
        <v>42841809</v>
      </c>
    </row>
    <row r="258">
      <c r="A258" s="3">
        <f>IFERROR(__xludf.DUMMYFUNCTION("""COMPUTED_VALUE"""),45301.66666666667)</f>
        <v>45301.66667</v>
      </c>
      <c r="B258" s="2">
        <f>IFERROR(__xludf.DUMMYFUNCTION("""COMPUTED_VALUE"""),184.35)</f>
        <v>184.35</v>
      </c>
      <c r="C258" s="2">
        <f>IFERROR(__xludf.DUMMYFUNCTION("""COMPUTED_VALUE"""),186.4)</f>
        <v>186.4</v>
      </c>
      <c r="D258" s="2">
        <f>IFERROR(__xludf.DUMMYFUNCTION("""COMPUTED_VALUE"""),183.92)</f>
        <v>183.92</v>
      </c>
      <c r="E258" s="2">
        <f>IFERROR(__xludf.DUMMYFUNCTION("""COMPUTED_VALUE"""),186.19)</f>
        <v>186.19</v>
      </c>
      <c r="F258" s="2">
        <f>IFERROR(__xludf.DUMMYFUNCTION("""COMPUTED_VALUE"""),4.6792908E7)</f>
        <v>46792908</v>
      </c>
    </row>
    <row r="259">
      <c r="A259" s="3">
        <f>IFERROR(__xludf.DUMMYFUNCTION("""COMPUTED_VALUE"""),45302.66666666667)</f>
        <v>45302.66667</v>
      </c>
      <c r="B259" s="2">
        <f>IFERROR(__xludf.DUMMYFUNCTION("""COMPUTED_VALUE"""),186.54)</f>
        <v>186.54</v>
      </c>
      <c r="C259" s="2">
        <f>IFERROR(__xludf.DUMMYFUNCTION("""COMPUTED_VALUE"""),187.05)</f>
        <v>187.05</v>
      </c>
      <c r="D259" s="2">
        <f>IFERROR(__xludf.DUMMYFUNCTION("""COMPUTED_VALUE"""),183.62)</f>
        <v>183.62</v>
      </c>
      <c r="E259" s="2">
        <f>IFERROR(__xludf.DUMMYFUNCTION("""COMPUTED_VALUE"""),185.59)</f>
        <v>185.59</v>
      </c>
      <c r="F259" s="2">
        <f>IFERROR(__xludf.DUMMYFUNCTION("""COMPUTED_VALUE"""),4.9128408E7)</f>
        <v>49128408</v>
      </c>
    </row>
    <row r="260">
      <c r="A260" s="3">
        <f>IFERROR(__xludf.DUMMYFUNCTION("""COMPUTED_VALUE"""),45303.66666666667)</f>
        <v>45303.66667</v>
      </c>
      <c r="B260" s="2">
        <f>IFERROR(__xludf.DUMMYFUNCTION("""COMPUTED_VALUE"""),186.06)</f>
        <v>186.06</v>
      </c>
      <c r="C260" s="2">
        <f>IFERROR(__xludf.DUMMYFUNCTION("""COMPUTED_VALUE"""),186.74)</f>
        <v>186.74</v>
      </c>
      <c r="D260" s="2">
        <f>IFERROR(__xludf.DUMMYFUNCTION("""COMPUTED_VALUE"""),185.19)</f>
        <v>185.19</v>
      </c>
      <c r="E260" s="2">
        <f>IFERROR(__xludf.DUMMYFUNCTION("""COMPUTED_VALUE"""),185.92)</f>
        <v>185.92</v>
      </c>
      <c r="F260" s="2">
        <f>IFERROR(__xludf.DUMMYFUNCTION("""COMPUTED_VALUE"""),4.0477782E7)</f>
        <v>40477782</v>
      </c>
    </row>
    <row r="261">
      <c r="A261" s="3">
        <f>IFERROR(__xludf.DUMMYFUNCTION("""COMPUTED_VALUE"""),45307.66666666667)</f>
        <v>45307.66667</v>
      </c>
      <c r="B261" s="2">
        <f>IFERROR(__xludf.DUMMYFUNCTION("""COMPUTED_VALUE"""),182.16)</f>
        <v>182.16</v>
      </c>
      <c r="C261" s="2">
        <f>IFERROR(__xludf.DUMMYFUNCTION("""COMPUTED_VALUE"""),184.26)</f>
        <v>184.26</v>
      </c>
      <c r="D261" s="2">
        <f>IFERROR(__xludf.DUMMYFUNCTION("""COMPUTED_VALUE"""),180.93)</f>
        <v>180.93</v>
      </c>
      <c r="E261" s="2">
        <f>IFERROR(__xludf.DUMMYFUNCTION("""COMPUTED_VALUE"""),183.63)</f>
        <v>183.63</v>
      </c>
      <c r="F261" s="2">
        <f>IFERROR(__xludf.DUMMYFUNCTION("""COMPUTED_VALUE"""),6.5603041E7)</f>
        <v>65603041</v>
      </c>
    </row>
    <row r="262">
      <c r="A262" s="3">
        <f>IFERROR(__xludf.DUMMYFUNCTION("""COMPUTED_VALUE"""),45308.66666666667)</f>
        <v>45308.66667</v>
      </c>
      <c r="B262" s="2">
        <f>IFERROR(__xludf.DUMMYFUNCTION("""COMPUTED_VALUE"""),181.27)</f>
        <v>181.27</v>
      </c>
      <c r="C262" s="2">
        <f>IFERROR(__xludf.DUMMYFUNCTION("""COMPUTED_VALUE"""),182.93)</f>
        <v>182.93</v>
      </c>
      <c r="D262" s="2">
        <f>IFERROR(__xludf.DUMMYFUNCTION("""COMPUTED_VALUE"""),180.3)</f>
        <v>180.3</v>
      </c>
      <c r="E262" s="2">
        <f>IFERROR(__xludf.DUMMYFUNCTION("""COMPUTED_VALUE"""),182.68)</f>
        <v>182.68</v>
      </c>
      <c r="F262" s="2">
        <f>IFERROR(__xludf.DUMMYFUNCTION("""COMPUTED_VALUE"""),4.7317433E7)</f>
        <v>47317433</v>
      </c>
    </row>
    <row r="263">
      <c r="A263" s="3">
        <f>IFERROR(__xludf.DUMMYFUNCTION("""COMPUTED_VALUE"""),45309.66666666667)</f>
        <v>45309.66667</v>
      </c>
      <c r="B263" s="2">
        <f>IFERROR(__xludf.DUMMYFUNCTION("""COMPUTED_VALUE"""),186.09)</f>
        <v>186.09</v>
      </c>
      <c r="C263" s="2">
        <f>IFERROR(__xludf.DUMMYFUNCTION("""COMPUTED_VALUE"""),189.14)</f>
        <v>189.14</v>
      </c>
      <c r="D263" s="2">
        <f>IFERROR(__xludf.DUMMYFUNCTION("""COMPUTED_VALUE"""),185.83)</f>
        <v>185.83</v>
      </c>
      <c r="E263" s="2">
        <f>IFERROR(__xludf.DUMMYFUNCTION("""COMPUTED_VALUE"""),188.63)</f>
        <v>188.63</v>
      </c>
      <c r="F263" s="2">
        <f>IFERROR(__xludf.DUMMYFUNCTION("""COMPUTED_VALUE"""),7.8005754E7)</f>
        <v>78005754</v>
      </c>
    </row>
    <row r="264">
      <c r="A264" s="3">
        <f>IFERROR(__xludf.DUMMYFUNCTION("""COMPUTED_VALUE"""),45310.66666666667)</f>
        <v>45310.66667</v>
      </c>
      <c r="B264" s="2">
        <f>IFERROR(__xludf.DUMMYFUNCTION("""COMPUTED_VALUE"""),189.33)</f>
        <v>189.33</v>
      </c>
      <c r="C264" s="2">
        <f>IFERROR(__xludf.DUMMYFUNCTION("""COMPUTED_VALUE"""),191.95)</f>
        <v>191.95</v>
      </c>
      <c r="D264" s="2">
        <f>IFERROR(__xludf.DUMMYFUNCTION("""COMPUTED_VALUE"""),188.82)</f>
        <v>188.82</v>
      </c>
      <c r="E264" s="2">
        <f>IFERROR(__xludf.DUMMYFUNCTION("""COMPUTED_VALUE"""),191.56)</f>
        <v>191.56</v>
      </c>
      <c r="F264" s="2">
        <f>IFERROR(__xludf.DUMMYFUNCTION("""COMPUTED_VALUE"""),6.8902985E7)</f>
        <v>68902985</v>
      </c>
    </row>
    <row r="265">
      <c r="A265" s="3">
        <f>IFERROR(__xludf.DUMMYFUNCTION("""COMPUTED_VALUE"""),45313.66666666667)</f>
        <v>45313.66667</v>
      </c>
      <c r="B265" s="2">
        <f>IFERROR(__xludf.DUMMYFUNCTION("""COMPUTED_VALUE"""),192.3)</f>
        <v>192.3</v>
      </c>
      <c r="C265" s="2">
        <f>IFERROR(__xludf.DUMMYFUNCTION("""COMPUTED_VALUE"""),195.33)</f>
        <v>195.33</v>
      </c>
      <c r="D265" s="2">
        <f>IFERROR(__xludf.DUMMYFUNCTION("""COMPUTED_VALUE"""),192.26)</f>
        <v>192.26</v>
      </c>
      <c r="E265" s="2">
        <f>IFERROR(__xludf.DUMMYFUNCTION("""COMPUTED_VALUE"""),193.89)</f>
        <v>193.89</v>
      </c>
      <c r="F265" s="2">
        <f>IFERROR(__xludf.DUMMYFUNCTION("""COMPUTED_VALUE"""),6.0133852E7)</f>
        <v>60133852</v>
      </c>
    </row>
    <row r="266">
      <c r="A266" s="3">
        <f>IFERROR(__xludf.DUMMYFUNCTION("""COMPUTED_VALUE"""),45314.66666666667)</f>
        <v>45314.66667</v>
      </c>
      <c r="B266" s="2">
        <f>IFERROR(__xludf.DUMMYFUNCTION("""COMPUTED_VALUE"""),195.02)</f>
        <v>195.02</v>
      </c>
      <c r="C266" s="2">
        <f>IFERROR(__xludf.DUMMYFUNCTION("""COMPUTED_VALUE"""),195.75)</f>
        <v>195.75</v>
      </c>
      <c r="D266" s="2">
        <f>IFERROR(__xludf.DUMMYFUNCTION("""COMPUTED_VALUE"""),193.83)</f>
        <v>193.83</v>
      </c>
      <c r="E266" s="2">
        <f>IFERROR(__xludf.DUMMYFUNCTION("""COMPUTED_VALUE"""),195.18)</f>
        <v>195.18</v>
      </c>
      <c r="F266" s="2">
        <f>IFERROR(__xludf.DUMMYFUNCTION("""COMPUTED_VALUE"""),4.235559E7)</f>
        <v>42355590</v>
      </c>
    </row>
    <row r="267">
      <c r="A267" s="3">
        <f>IFERROR(__xludf.DUMMYFUNCTION("""COMPUTED_VALUE"""),45315.66666666667)</f>
        <v>45315.66667</v>
      </c>
      <c r="B267" s="2">
        <f>IFERROR(__xludf.DUMMYFUNCTION("""COMPUTED_VALUE"""),195.42)</f>
        <v>195.42</v>
      </c>
      <c r="C267" s="2">
        <f>IFERROR(__xludf.DUMMYFUNCTION("""COMPUTED_VALUE"""),196.38)</f>
        <v>196.38</v>
      </c>
      <c r="D267" s="2">
        <f>IFERROR(__xludf.DUMMYFUNCTION("""COMPUTED_VALUE"""),194.34)</f>
        <v>194.34</v>
      </c>
      <c r="E267" s="2">
        <f>IFERROR(__xludf.DUMMYFUNCTION("""COMPUTED_VALUE"""),194.5)</f>
        <v>194.5</v>
      </c>
      <c r="F267" s="2">
        <f>IFERROR(__xludf.DUMMYFUNCTION("""COMPUTED_VALUE"""),5.3631316E7)</f>
        <v>53631316</v>
      </c>
    </row>
    <row r="268">
      <c r="A268" s="3">
        <f>IFERROR(__xludf.DUMMYFUNCTION("""COMPUTED_VALUE"""),45316.66666666667)</f>
        <v>45316.66667</v>
      </c>
      <c r="B268" s="2">
        <f>IFERROR(__xludf.DUMMYFUNCTION("""COMPUTED_VALUE"""),195.22)</f>
        <v>195.22</v>
      </c>
      <c r="C268" s="2">
        <f>IFERROR(__xludf.DUMMYFUNCTION("""COMPUTED_VALUE"""),196.27)</f>
        <v>196.27</v>
      </c>
      <c r="D268" s="2">
        <f>IFERROR(__xludf.DUMMYFUNCTION("""COMPUTED_VALUE"""),193.11)</f>
        <v>193.11</v>
      </c>
      <c r="E268" s="2">
        <f>IFERROR(__xludf.DUMMYFUNCTION("""COMPUTED_VALUE"""),194.17)</f>
        <v>194.17</v>
      </c>
      <c r="F268" s="2">
        <f>IFERROR(__xludf.DUMMYFUNCTION("""COMPUTED_VALUE"""),5.4822126E7)</f>
        <v>54822126</v>
      </c>
    </row>
    <row r="269">
      <c r="A269" s="3">
        <f>IFERROR(__xludf.DUMMYFUNCTION("""COMPUTED_VALUE"""),45317.66666666667)</f>
        <v>45317.66667</v>
      </c>
      <c r="B269" s="2">
        <f>IFERROR(__xludf.DUMMYFUNCTION("""COMPUTED_VALUE"""),194.27)</f>
        <v>194.27</v>
      </c>
      <c r="C269" s="2">
        <f>IFERROR(__xludf.DUMMYFUNCTION("""COMPUTED_VALUE"""),194.76)</f>
        <v>194.76</v>
      </c>
      <c r="D269" s="2">
        <f>IFERROR(__xludf.DUMMYFUNCTION("""COMPUTED_VALUE"""),191.94)</f>
        <v>191.94</v>
      </c>
      <c r="E269" s="2">
        <f>IFERROR(__xludf.DUMMYFUNCTION("""COMPUTED_VALUE"""),192.42)</f>
        <v>192.42</v>
      </c>
      <c r="F269" s="2">
        <f>IFERROR(__xludf.DUMMYFUNCTION("""COMPUTED_VALUE"""),4.4594011E7)</f>
        <v>44594011</v>
      </c>
    </row>
    <row r="270">
      <c r="A270" s="3">
        <f>IFERROR(__xludf.DUMMYFUNCTION("""COMPUTED_VALUE"""),45320.66666666667)</f>
        <v>45320.66667</v>
      </c>
      <c r="B270" s="2">
        <f>IFERROR(__xludf.DUMMYFUNCTION("""COMPUTED_VALUE"""),192.01)</f>
        <v>192.01</v>
      </c>
      <c r="C270" s="2">
        <f>IFERROR(__xludf.DUMMYFUNCTION("""COMPUTED_VALUE"""),192.2)</f>
        <v>192.2</v>
      </c>
      <c r="D270" s="2">
        <f>IFERROR(__xludf.DUMMYFUNCTION("""COMPUTED_VALUE"""),189.58)</f>
        <v>189.58</v>
      </c>
      <c r="E270" s="2">
        <f>IFERROR(__xludf.DUMMYFUNCTION("""COMPUTED_VALUE"""),191.73)</f>
        <v>191.73</v>
      </c>
      <c r="F270" s="2">
        <f>IFERROR(__xludf.DUMMYFUNCTION("""COMPUTED_VALUE"""),4.7145622E7)</f>
        <v>47145622</v>
      </c>
    </row>
    <row r="271">
      <c r="A271" s="3">
        <f>IFERROR(__xludf.DUMMYFUNCTION("""COMPUTED_VALUE"""),45321.66666666667)</f>
        <v>45321.66667</v>
      </c>
      <c r="B271" s="2">
        <f>IFERROR(__xludf.DUMMYFUNCTION("""COMPUTED_VALUE"""),190.94)</f>
        <v>190.94</v>
      </c>
      <c r="C271" s="2">
        <f>IFERROR(__xludf.DUMMYFUNCTION("""COMPUTED_VALUE"""),191.8)</f>
        <v>191.8</v>
      </c>
      <c r="D271" s="2">
        <f>IFERROR(__xludf.DUMMYFUNCTION("""COMPUTED_VALUE"""),187.47)</f>
        <v>187.47</v>
      </c>
      <c r="E271" s="2">
        <f>IFERROR(__xludf.DUMMYFUNCTION("""COMPUTED_VALUE"""),188.04)</f>
        <v>188.04</v>
      </c>
      <c r="F271" s="2">
        <f>IFERROR(__xludf.DUMMYFUNCTION("""COMPUTED_VALUE"""),5.585937E7)</f>
        <v>55859370</v>
      </c>
    </row>
    <row r="272">
      <c r="A272" s="3">
        <f>IFERROR(__xludf.DUMMYFUNCTION("""COMPUTED_VALUE"""),45322.66666666667)</f>
        <v>45322.66667</v>
      </c>
      <c r="B272" s="2">
        <f>IFERROR(__xludf.DUMMYFUNCTION("""COMPUTED_VALUE"""),187.04)</f>
        <v>187.04</v>
      </c>
      <c r="C272" s="2">
        <f>IFERROR(__xludf.DUMMYFUNCTION("""COMPUTED_VALUE"""),187.1)</f>
        <v>187.1</v>
      </c>
      <c r="D272" s="2">
        <f>IFERROR(__xludf.DUMMYFUNCTION("""COMPUTED_VALUE"""),184.35)</f>
        <v>184.35</v>
      </c>
      <c r="E272" s="2">
        <f>IFERROR(__xludf.DUMMYFUNCTION("""COMPUTED_VALUE"""),184.4)</f>
        <v>184.4</v>
      </c>
      <c r="F272" s="2">
        <f>IFERROR(__xludf.DUMMYFUNCTION("""COMPUTED_VALUE"""),5.5467803E7)</f>
        <v>55467803</v>
      </c>
    </row>
    <row r="273">
      <c r="A273" s="3">
        <f>IFERROR(__xludf.DUMMYFUNCTION("""COMPUTED_VALUE"""),45323.66666666667)</f>
        <v>45323.66667</v>
      </c>
      <c r="B273" s="2">
        <f>IFERROR(__xludf.DUMMYFUNCTION("""COMPUTED_VALUE"""),183.99)</f>
        <v>183.99</v>
      </c>
      <c r="C273" s="2">
        <f>IFERROR(__xludf.DUMMYFUNCTION("""COMPUTED_VALUE"""),186.95)</f>
        <v>186.95</v>
      </c>
      <c r="D273" s="2">
        <f>IFERROR(__xludf.DUMMYFUNCTION("""COMPUTED_VALUE"""),183.82)</f>
        <v>183.82</v>
      </c>
      <c r="E273" s="2">
        <f>IFERROR(__xludf.DUMMYFUNCTION("""COMPUTED_VALUE"""),186.86)</f>
        <v>186.86</v>
      </c>
      <c r="F273" s="2">
        <f>IFERROR(__xludf.DUMMYFUNCTION("""COMPUTED_VALUE"""),6.4885408E7)</f>
        <v>64885408</v>
      </c>
    </row>
    <row r="274">
      <c r="A274" s="3">
        <f>IFERROR(__xludf.DUMMYFUNCTION("""COMPUTED_VALUE"""),45324.66666666667)</f>
        <v>45324.66667</v>
      </c>
      <c r="B274" s="2">
        <f>IFERROR(__xludf.DUMMYFUNCTION("""COMPUTED_VALUE"""),179.86)</f>
        <v>179.86</v>
      </c>
      <c r="C274" s="2">
        <f>IFERROR(__xludf.DUMMYFUNCTION("""COMPUTED_VALUE"""),187.33)</f>
        <v>187.33</v>
      </c>
      <c r="D274" s="2">
        <f>IFERROR(__xludf.DUMMYFUNCTION("""COMPUTED_VALUE"""),179.25)</f>
        <v>179.25</v>
      </c>
      <c r="E274" s="2">
        <f>IFERROR(__xludf.DUMMYFUNCTION("""COMPUTED_VALUE"""),185.85)</f>
        <v>185.85</v>
      </c>
      <c r="F274" s="2">
        <f>IFERROR(__xludf.DUMMYFUNCTION("""COMPUTED_VALUE"""),1.0255168E8)</f>
        <v>102551680</v>
      </c>
    </row>
    <row r="275">
      <c r="A275" s="3">
        <f>IFERROR(__xludf.DUMMYFUNCTION("""COMPUTED_VALUE"""),45327.66666666667)</f>
        <v>45327.66667</v>
      </c>
      <c r="B275" s="2">
        <f>IFERROR(__xludf.DUMMYFUNCTION("""COMPUTED_VALUE"""),188.15)</f>
        <v>188.15</v>
      </c>
      <c r="C275" s="2">
        <f>IFERROR(__xludf.DUMMYFUNCTION("""COMPUTED_VALUE"""),189.25)</f>
        <v>189.25</v>
      </c>
      <c r="D275" s="2">
        <f>IFERROR(__xludf.DUMMYFUNCTION("""COMPUTED_VALUE"""),185.84)</f>
        <v>185.84</v>
      </c>
      <c r="E275" s="2">
        <f>IFERROR(__xludf.DUMMYFUNCTION("""COMPUTED_VALUE"""),187.68)</f>
        <v>187.68</v>
      </c>
      <c r="F275" s="2">
        <f>IFERROR(__xludf.DUMMYFUNCTION("""COMPUTED_VALUE"""),6.966882E7)</f>
        <v>69668820</v>
      </c>
    </row>
    <row r="276">
      <c r="A276" s="3">
        <f>IFERROR(__xludf.DUMMYFUNCTION("""COMPUTED_VALUE"""),45328.66666666667)</f>
        <v>45328.66667</v>
      </c>
      <c r="B276" s="2">
        <f>IFERROR(__xludf.DUMMYFUNCTION("""COMPUTED_VALUE"""),186.86)</f>
        <v>186.86</v>
      </c>
      <c r="C276" s="2">
        <f>IFERROR(__xludf.DUMMYFUNCTION("""COMPUTED_VALUE"""),189.31)</f>
        <v>189.31</v>
      </c>
      <c r="D276" s="2">
        <f>IFERROR(__xludf.DUMMYFUNCTION("""COMPUTED_VALUE"""),186.77)</f>
        <v>186.77</v>
      </c>
      <c r="E276" s="2">
        <f>IFERROR(__xludf.DUMMYFUNCTION("""COMPUTED_VALUE"""),189.3)</f>
        <v>189.3</v>
      </c>
      <c r="F276" s="2">
        <f>IFERROR(__xludf.DUMMYFUNCTION("""COMPUTED_VALUE"""),4.3490759E7)</f>
        <v>43490759</v>
      </c>
    </row>
    <row r="277">
      <c r="A277" s="3">
        <f>IFERROR(__xludf.DUMMYFUNCTION("""COMPUTED_VALUE"""),45329.66666666667)</f>
        <v>45329.66667</v>
      </c>
      <c r="B277" s="2">
        <f>IFERROR(__xludf.DUMMYFUNCTION("""COMPUTED_VALUE"""),190.64)</f>
        <v>190.64</v>
      </c>
      <c r="C277" s="2">
        <f>IFERROR(__xludf.DUMMYFUNCTION("""COMPUTED_VALUE"""),191.05)</f>
        <v>191.05</v>
      </c>
      <c r="D277" s="2">
        <f>IFERROR(__xludf.DUMMYFUNCTION("""COMPUTED_VALUE"""),188.61)</f>
        <v>188.61</v>
      </c>
      <c r="E277" s="2">
        <f>IFERROR(__xludf.DUMMYFUNCTION("""COMPUTED_VALUE"""),189.41)</f>
        <v>189.41</v>
      </c>
      <c r="F277" s="2">
        <f>IFERROR(__xludf.DUMMYFUNCTION("""COMPUTED_VALUE"""),5.3438955E7)</f>
        <v>53438955</v>
      </c>
    </row>
    <row r="278">
      <c r="A278" s="3">
        <f>IFERROR(__xludf.DUMMYFUNCTION("""COMPUTED_VALUE"""),45330.66666666667)</f>
        <v>45330.66667</v>
      </c>
      <c r="B278" s="2">
        <f>IFERROR(__xludf.DUMMYFUNCTION("""COMPUTED_VALUE"""),189.39)</f>
        <v>189.39</v>
      </c>
      <c r="C278" s="2">
        <f>IFERROR(__xludf.DUMMYFUNCTION("""COMPUTED_VALUE"""),189.54)</f>
        <v>189.54</v>
      </c>
      <c r="D278" s="2">
        <f>IFERROR(__xludf.DUMMYFUNCTION("""COMPUTED_VALUE"""),187.35)</f>
        <v>187.35</v>
      </c>
      <c r="E278" s="2">
        <f>IFERROR(__xludf.DUMMYFUNCTION("""COMPUTED_VALUE"""),188.32)</f>
        <v>188.32</v>
      </c>
      <c r="F278" s="2">
        <f>IFERROR(__xludf.DUMMYFUNCTION("""COMPUTED_VALUE"""),4.0962046E7)</f>
        <v>40962046</v>
      </c>
    </row>
    <row r="279">
      <c r="A279" s="3">
        <f>IFERROR(__xludf.DUMMYFUNCTION("""COMPUTED_VALUE"""),45331.66666666667)</f>
        <v>45331.66667</v>
      </c>
      <c r="B279" s="2">
        <f>IFERROR(__xludf.DUMMYFUNCTION("""COMPUTED_VALUE"""),188.65)</f>
        <v>188.65</v>
      </c>
      <c r="C279" s="2">
        <f>IFERROR(__xludf.DUMMYFUNCTION("""COMPUTED_VALUE"""),189.99)</f>
        <v>189.99</v>
      </c>
      <c r="D279" s="2">
        <f>IFERROR(__xludf.DUMMYFUNCTION("""COMPUTED_VALUE"""),188.0)</f>
        <v>188</v>
      </c>
      <c r="E279" s="2">
        <f>IFERROR(__xludf.DUMMYFUNCTION("""COMPUTED_VALUE"""),188.85)</f>
        <v>188.85</v>
      </c>
      <c r="F279" s="2">
        <f>IFERROR(__xludf.DUMMYFUNCTION("""COMPUTED_VALUE"""),4.5155216E7)</f>
        <v>45155216</v>
      </c>
    </row>
    <row r="280">
      <c r="A280" s="3">
        <f>IFERROR(__xludf.DUMMYFUNCTION("""COMPUTED_VALUE"""),45334.66666666667)</f>
        <v>45334.66667</v>
      </c>
      <c r="B280" s="2">
        <f>IFERROR(__xludf.DUMMYFUNCTION("""COMPUTED_VALUE"""),188.42)</f>
        <v>188.42</v>
      </c>
      <c r="C280" s="2">
        <f>IFERROR(__xludf.DUMMYFUNCTION("""COMPUTED_VALUE"""),188.67)</f>
        <v>188.67</v>
      </c>
      <c r="D280" s="2">
        <f>IFERROR(__xludf.DUMMYFUNCTION("""COMPUTED_VALUE"""),186.79)</f>
        <v>186.79</v>
      </c>
      <c r="E280" s="2">
        <f>IFERROR(__xludf.DUMMYFUNCTION("""COMPUTED_VALUE"""),187.15)</f>
        <v>187.15</v>
      </c>
      <c r="F280" s="2">
        <f>IFERROR(__xludf.DUMMYFUNCTION("""COMPUTED_VALUE"""),4.1781934E7)</f>
        <v>41781934</v>
      </c>
    </row>
    <row r="281">
      <c r="A281" s="3">
        <f>IFERROR(__xludf.DUMMYFUNCTION("""COMPUTED_VALUE"""),45335.66666666667)</f>
        <v>45335.66667</v>
      </c>
      <c r="B281" s="2">
        <f>IFERROR(__xludf.DUMMYFUNCTION("""COMPUTED_VALUE"""),185.77)</f>
        <v>185.77</v>
      </c>
      <c r="C281" s="2">
        <f>IFERROR(__xludf.DUMMYFUNCTION("""COMPUTED_VALUE"""),186.21)</f>
        <v>186.21</v>
      </c>
      <c r="D281" s="2">
        <f>IFERROR(__xludf.DUMMYFUNCTION("""COMPUTED_VALUE"""),183.51)</f>
        <v>183.51</v>
      </c>
      <c r="E281" s="2">
        <f>IFERROR(__xludf.DUMMYFUNCTION("""COMPUTED_VALUE"""),185.04)</f>
        <v>185.04</v>
      </c>
      <c r="F281" s="2">
        <f>IFERROR(__xludf.DUMMYFUNCTION("""COMPUTED_VALUE"""),5.6529529E7)</f>
        <v>56529529</v>
      </c>
    </row>
    <row r="282">
      <c r="A282" s="3">
        <f>IFERROR(__xludf.DUMMYFUNCTION("""COMPUTED_VALUE"""),45336.66666666667)</f>
        <v>45336.66667</v>
      </c>
      <c r="B282" s="2">
        <f>IFERROR(__xludf.DUMMYFUNCTION("""COMPUTED_VALUE"""),185.32)</f>
        <v>185.32</v>
      </c>
      <c r="C282" s="2">
        <f>IFERROR(__xludf.DUMMYFUNCTION("""COMPUTED_VALUE"""),185.53)</f>
        <v>185.53</v>
      </c>
      <c r="D282" s="2">
        <f>IFERROR(__xludf.DUMMYFUNCTION("""COMPUTED_VALUE"""),182.44)</f>
        <v>182.44</v>
      </c>
      <c r="E282" s="2">
        <f>IFERROR(__xludf.DUMMYFUNCTION("""COMPUTED_VALUE"""),184.15)</f>
        <v>184.15</v>
      </c>
      <c r="F282" s="2">
        <f>IFERROR(__xludf.DUMMYFUNCTION("""COMPUTED_VALUE"""),5.4630517E7)</f>
        <v>54630517</v>
      </c>
    </row>
    <row r="283">
      <c r="A283" s="3">
        <f>IFERROR(__xludf.DUMMYFUNCTION("""COMPUTED_VALUE"""),45337.66666666667)</f>
        <v>45337.66667</v>
      </c>
      <c r="B283" s="2">
        <f>IFERROR(__xludf.DUMMYFUNCTION("""COMPUTED_VALUE"""),183.55)</f>
        <v>183.55</v>
      </c>
      <c r="C283" s="2">
        <f>IFERROR(__xludf.DUMMYFUNCTION("""COMPUTED_VALUE"""),184.49)</f>
        <v>184.49</v>
      </c>
      <c r="D283" s="2">
        <f>IFERROR(__xludf.DUMMYFUNCTION("""COMPUTED_VALUE"""),181.35)</f>
        <v>181.35</v>
      </c>
      <c r="E283" s="2">
        <f>IFERROR(__xludf.DUMMYFUNCTION("""COMPUTED_VALUE"""),183.86)</f>
        <v>183.86</v>
      </c>
      <c r="F283" s="2">
        <f>IFERROR(__xludf.DUMMYFUNCTION("""COMPUTED_VALUE"""),6.5434496E7)</f>
        <v>65434496</v>
      </c>
    </row>
    <row r="284">
      <c r="A284" s="3">
        <f>IFERROR(__xludf.DUMMYFUNCTION("""COMPUTED_VALUE"""),45338.66666666667)</f>
        <v>45338.66667</v>
      </c>
      <c r="B284" s="2">
        <f>IFERROR(__xludf.DUMMYFUNCTION("""COMPUTED_VALUE"""),183.42)</f>
        <v>183.42</v>
      </c>
      <c r="C284" s="2">
        <f>IFERROR(__xludf.DUMMYFUNCTION("""COMPUTED_VALUE"""),184.85)</f>
        <v>184.85</v>
      </c>
      <c r="D284" s="2">
        <f>IFERROR(__xludf.DUMMYFUNCTION("""COMPUTED_VALUE"""),181.67)</f>
        <v>181.67</v>
      </c>
      <c r="E284" s="2">
        <f>IFERROR(__xludf.DUMMYFUNCTION("""COMPUTED_VALUE"""),182.31)</f>
        <v>182.31</v>
      </c>
      <c r="F284" s="2">
        <f>IFERROR(__xludf.DUMMYFUNCTION("""COMPUTED_VALUE"""),4.9752465E7)</f>
        <v>49752465</v>
      </c>
    </row>
    <row r="285">
      <c r="A285" s="3">
        <f>IFERROR(__xludf.DUMMYFUNCTION("""COMPUTED_VALUE"""),45342.66666666667)</f>
        <v>45342.66667</v>
      </c>
      <c r="B285" s="2">
        <f>IFERROR(__xludf.DUMMYFUNCTION("""COMPUTED_VALUE"""),181.79)</f>
        <v>181.79</v>
      </c>
      <c r="C285" s="2">
        <f>IFERROR(__xludf.DUMMYFUNCTION("""COMPUTED_VALUE"""),182.43)</f>
        <v>182.43</v>
      </c>
      <c r="D285" s="2">
        <f>IFERROR(__xludf.DUMMYFUNCTION("""COMPUTED_VALUE"""),180.0)</f>
        <v>180</v>
      </c>
      <c r="E285" s="2">
        <f>IFERROR(__xludf.DUMMYFUNCTION("""COMPUTED_VALUE"""),181.56)</f>
        <v>181.56</v>
      </c>
      <c r="F285" s="2">
        <f>IFERROR(__xludf.DUMMYFUNCTION("""COMPUTED_VALUE"""),5.3665553E7)</f>
        <v>53665553</v>
      </c>
    </row>
    <row r="286">
      <c r="A286" s="3">
        <f>IFERROR(__xludf.DUMMYFUNCTION("""COMPUTED_VALUE"""),45343.66666666667)</f>
        <v>45343.66667</v>
      </c>
      <c r="B286" s="2">
        <f>IFERROR(__xludf.DUMMYFUNCTION("""COMPUTED_VALUE"""),181.94)</f>
        <v>181.94</v>
      </c>
      <c r="C286" s="2">
        <f>IFERROR(__xludf.DUMMYFUNCTION("""COMPUTED_VALUE"""),182.89)</f>
        <v>182.89</v>
      </c>
      <c r="D286" s="2">
        <f>IFERROR(__xludf.DUMMYFUNCTION("""COMPUTED_VALUE"""),180.66)</f>
        <v>180.66</v>
      </c>
      <c r="E286" s="2">
        <f>IFERROR(__xludf.DUMMYFUNCTION("""COMPUTED_VALUE"""),182.32)</f>
        <v>182.32</v>
      </c>
      <c r="F286" s="2">
        <f>IFERROR(__xludf.DUMMYFUNCTION("""COMPUTED_VALUE"""),4.1529674E7)</f>
        <v>41529674</v>
      </c>
    </row>
    <row r="287">
      <c r="A287" s="3">
        <f>IFERROR(__xludf.DUMMYFUNCTION("""COMPUTED_VALUE"""),45344.66666666667)</f>
        <v>45344.66667</v>
      </c>
      <c r="B287" s="2">
        <f>IFERROR(__xludf.DUMMYFUNCTION("""COMPUTED_VALUE"""),183.48)</f>
        <v>183.48</v>
      </c>
      <c r="C287" s="2">
        <f>IFERROR(__xludf.DUMMYFUNCTION("""COMPUTED_VALUE"""),184.96)</f>
        <v>184.96</v>
      </c>
      <c r="D287" s="2">
        <f>IFERROR(__xludf.DUMMYFUNCTION("""COMPUTED_VALUE"""),182.46)</f>
        <v>182.46</v>
      </c>
      <c r="E287" s="2">
        <f>IFERROR(__xludf.DUMMYFUNCTION("""COMPUTED_VALUE"""),184.37)</f>
        <v>184.37</v>
      </c>
      <c r="F287" s="2">
        <f>IFERROR(__xludf.DUMMYFUNCTION("""COMPUTED_VALUE"""),5.2292208E7)</f>
        <v>52292208</v>
      </c>
    </row>
    <row r="288">
      <c r="A288" s="3">
        <f>IFERROR(__xludf.DUMMYFUNCTION("""COMPUTED_VALUE"""),45345.66666666667)</f>
        <v>45345.66667</v>
      </c>
      <c r="B288" s="2">
        <f>IFERROR(__xludf.DUMMYFUNCTION("""COMPUTED_VALUE"""),185.01)</f>
        <v>185.01</v>
      </c>
      <c r="C288" s="2">
        <f>IFERROR(__xludf.DUMMYFUNCTION("""COMPUTED_VALUE"""),185.04)</f>
        <v>185.04</v>
      </c>
      <c r="D288" s="2">
        <f>IFERROR(__xludf.DUMMYFUNCTION("""COMPUTED_VALUE"""),182.23)</f>
        <v>182.23</v>
      </c>
      <c r="E288" s="2">
        <f>IFERROR(__xludf.DUMMYFUNCTION("""COMPUTED_VALUE"""),182.52)</f>
        <v>182.52</v>
      </c>
      <c r="F288" s="2">
        <f>IFERROR(__xludf.DUMMYFUNCTION("""COMPUTED_VALUE"""),4.5119677E7)</f>
        <v>45119677</v>
      </c>
    </row>
    <row r="289">
      <c r="A289" s="3">
        <f>IFERROR(__xludf.DUMMYFUNCTION("""COMPUTED_VALUE"""),45348.66666666667)</f>
        <v>45348.66667</v>
      </c>
      <c r="B289" s="2">
        <f>IFERROR(__xludf.DUMMYFUNCTION("""COMPUTED_VALUE"""),182.24)</f>
        <v>182.24</v>
      </c>
      <c r="C289" s="2">
        <f>IFERROR(__xludf.DUMMYFUNCTION("""COMPUTED_VALUE"""),182.76)</f>
        <v>182.76</v>
      </c>
      <c r="D289" s="2">
        <f>IFERROR(__xludf.DUMMYFUNCTION("""COMPUTED_VALUE"""),180.65)</f>
        <v>180.65</v>
      </c>
      <c r="E289" s="2">
        <f>IFERROR(__xludf.DUMMYFUNCTION("""COMPUTED_VALUE"""),181.16)</f>
        <v>181.16</v>
      </c>
      <c r="F289" s="2">
        <f>IFERROR(__xludf.DUMMYFUNCTION("""COMPUTED_VALUE"""),4.0867421E7)</f>
        <v>40867421</v>
      </c>
    </row>
    <row r="290">
      <c r="A290" s="3">
        <f>IFERROR(__xludf.DUMMYFUNCTION("""COMPUTED_VALUE"""),45349.66666666667)</f>
        <v>45349.66667</v>
      </c>
      <c r="B290" s="2">
        <f>IFERROR(__xludf.DUMMYFUNCTION("""COMPUTED_VALUE"""),181.1)</f>
        <v>181.1</v>
      </c>
      <c r="C290" s="2">
        <f>IFERROR(__xludf.DUMMYFUNCTION("""COMPUTED_VALUE"""),183.92)</f>
        <v>183.92</v>
      </c>
      <c r="D290" s="2">
        <f>IFERROR(__xludf.DUMMYFUNCTION("""COMPUTED_VALUE"""),179.56)</f>
        <v>179.56</v>
      </c>
      <c r="E290" s="2">
        <f>IFERROR(__xludf.DUMMYFUNCTION("""COMPUTED_VALUE"""),182.63)</f>
        <v>182.63</v>
      </c>
      <c r="F290" s="2">
        <f>IFERROR(__xludf.DUMMYFUNCTION("""COMPUTED_VALUE"""),5.4318851E7)</f>
        <v>54318851</v>
      </c>
    </row>
    <row r="291">
      <c r="A291" s="3">
        <f>IFERROR(__xludf.DUMMYFUNCTION("""COMPUTED_VALUE"""),45350.66666666667)</f>
        <v>45350.66667</v>
      </c>
      <c r="B291" s="2">
        <f>IFERROR(__xludf.DUMMYFUNCTION("""COMPUTED_VALUE"""),182.51)</f>
        <v>182.51</v>
      </c>
      <c r="C291" s="2">
        <f>IFERROR(__xludf.DUMMYFUNCTION("""COMPUTED_VALUE"""),183.12)</f>
        <v>183.12</v>
      </c>
      <c r="D291" s="2">
        <f>IFERROR(__xludf.DUMMYFUNCTION("""COMPUTED_VALUE"""),180.13)</f>
        <v>180.13</v>
      </c>
      <c r="E291" s="2">
        <f>IFERROR(__xludf.DUMMYFUNCTION("""COMPUTED_VALUE"""),181.42)</f>
        <v>181.42</v>
      </c>
      <c r="F291" s="2">
        <f>IFERROR(__xludf.DUMMYFUNCTION("""COMPUTED_VALUE"""),4.8953939E7)</f>
        <v>48953939</v>
      </c>
    </row>
    <row r="292">
      <c r="A292" s="3">
        <f>IFERROR(__xludf.DUMMYFUNCTION("""COMPUTED_VALUE"""),45351.66666666667)</f>
        <v>45351.66667</v>
      </c>
      <c r="B292" s="2">
        <f>IFERROR(__xludf.DUMMYFUNCTION("""COMPUTED_VALUE"""),181.27)</f>
        <v>181.27</v>
      </c>
      <c r="C292" s="2">
        <f>IFERROR(__xludf.DUMMYFUNCTION("""COMPUTED_VALUE"""),182.57)</f>
        <v>182.57</v>
      </c>
      <c r="D292" s="2">
        <f>IFERROR(__xludf.DUMMYFUNCTION("""COMPUTED_VALUE"""),179.53)</f>
        <v>179.53</v>
      </c>
      <c r="E292" s="2">
        <f>IFERROR(__xludf.DUMMYFUNCTION("""COMPUTED_VALUE"""),180.75)</f>
        <v>180.75</v>
      </c>
      <c r="F292" s="2">
        <f>IFERROR(__xludf.DUMMYFUNCTION("""COMPUTED_VALUE"""),1.36682597E8)</f>
        <v>136682597</v>
      </c>
    </row>
    <row r="293">
      <c r="A293" s="3">
        <f>IFERROR(__xludf.DUMMYFUNCTION("""COMPUTED_VALUE"""),45352.66666666667)</f>
        <v>45352.66667</v>
      </c>
      <c r="B293" s="2">
        <f>IFERROR(__xludf.DUMMYFUNCTION("""COMPUTED_VALUE"""),179.55)</f>
        <v>179.55</v>
      </c>
      <c r="C293" s="2">
        <f>IFERROR(__xludf.DUMMYFUNCTION("""COMPUTED_VALUE"""),180.53)</f>
        <v>180.53</v>
      </c>
      <c r="D293" s="2">
        <f>IFERROR(__xludf.DUMMYFUNCTION("""COMPUTED_VALUE"""),177.38)</f>
        <v>177.38</v>
      </c>
      <c r="E293" s="2">
        <f>IFERROR(__xludf.DUMMYFUNCTION("""COMPUTED_VALUE"""),179.66)</f>
        <v>179.66</v>
      </c>
      <c r="F293" s="2">
        <f>IFERROR(__xludf.DUMMYFUNCTION("""COMPUTED_VALUE"""),7.3563082E7)</f>
        <v>73563082</v>
      </c>
    </row>
    <row r="294">
      <c r="A294" s="3">
        <f>IFERROR(__xludf.DUMMYFUNCTION("""COMPUTED_VALUE"""),45355.66666666667)</f>
        <v>45355.66667</v>
      </c>
      <c r="B294" s="2">
        <f>IFERROR(__xludf.DUMMYFUNCTION("""COMPUTED_VALUE"""),176.15)</f>
        <v>176.15</v>
      </c>
      <c r="C294" s="2">
        <f>IFERROR(__xludf.DUMMYFUNCTION("""COMPUTED_VALUE"""),176.9)</f>
        <v>176.9</v>
      </c>
      <c r="D294" s="2">
        <f>IFERROR(__xludf.DUMMYFUNCTION("""COMPUTED_VALUE"""),173.79)</f>
        <v>173.79</v>
      </c>
      <c r="E294" s="2">
        <f>IFERROR(__xludf.DUMMYFUNCTION("""COMPUTED_VALUE"""),175.1)</f>
        <v>175.1</v>
      </c>
      <c r="F294" s="2">
        <f>IFERROR(__xludf.DUMMYFUNCTION("""COMPUTED_VALUE"""),8.1510101E7)</f>
        <v>81510101</v>
      </c>
    </row>
    <row r="295">
      <c r="A295" s="3">
        <f>IFERROR(__xludf.DUMMYFUNCTION("""COMPUTED_VALUE"""),45356.66666666667)</f>
        <v>45356.66667</v>
      </c>
      <c r="B295" s="2">
        <f>IFERROR(__xludf.DUMMYFUNCTION("""COMPUTED_VALUE"""),170.76)</f>
        <v>170.76</v>
      </c>
      <c r="C295" s="2">
        <f>IFERROR(__xludf.DUMMYFUNCTION("""COMPUTED_VALUE"""),172.04)</f>
        <v>172.04</v>
      </c>
      <c r="D295" s="2">
        <f>IFERROR(__xludf.DUMMYFUNCTION("""COMPUTED_VALUE"""),169.62)</f>
        <v>169.62</v>
      </c>
      <c r="E295" s="2">
        <f>IFERROR(__xludf.DUMMYFUNCTION("""COMPUTED_VALUE"""),170.12)</f>
        <v>170.12</v>
      </c>
      <c r="F295" s="2">
        <f>IFERROR(__xludf.DUMMYFUNCTION("""COMPUTED_VALUE"""),9.5132355E7)</f>
        <v>95132355</v>
      </c>
    </row>
    <row r="296">
      <c r="A296" s="3">
        <f>IFERROR(__xludf.DUMMYFUNCTION("""COMPUTED_VALUE"""),45357.66666666667)</f>
        <v>45357.66667</v>
      </c>
      <c r="B296" s="2">
        <f>IFERROR(__xludf.DUMMYFUNCTION("""COMPUTED_VALUE"""),171.06)</f>
        <v>171.06</v>
      </c>
      <c r="C296" s="2">
        <f>IFERROR(__xludf.DUMMYFUNCTION("""COMPUTED_VALUE"""),171.24)</f>
        <v>171.24</v>
      </c>
      <c r="D296" s="2">
        <f>IFERROR(__xludf.DUMMYFUNCTION("""COMPUTED_VALUE"""),168.68)</f>
        <v>168.68</v>
      </c>
      <c r="E296" s="2">
        <f>IFERROR(__xludf.DUMMYFUNCTION("""COMPUTED_VALUE"""),169.12)</f>
        <v>169.12</v>
      </c>
      <c r="F296" s="2">
        <f>IFERROR(__xludf.DUMMYFUNCTION("""COMPUTED_VALUE"""),6.8587707E7)</f>
        <v>68587707</v>
      </c>
    </row>
    <row r="297">
      <c r="A297" s="3">
        <f>IFERROR(__xludf.DUMMYFUNCTION("""COMPUTED_VALUE"""),45358.66666666667)</f>
        <v>45358.66667</v>
      </c>
      <c r="B297" s="2">
        <f>IFERROR(__xludf.DUMMYFUNCTION("""COMPUTED_VALUE"""),169.15)</f>
        <v>169.15</v>
      </c>
      <c r="C297" s="2">
        <f>IFERROR(__xludf.DUMMYFUNCTION("""COMPUTED_VALUE"""),170.73)</f>
        <v>170.73</v>
      </c>
      <c r="D297" s="2">
        <f>IFERROR(__xludf.DUMMYFUNCTION("""COMPUTED_VALUE"""),168.49)</f>
        <v>168.49</v>
      </c>
      <c r="E297" s="2">
        <f>IFERROR(__xludf.DUMMYFUNCTION("""COMPUTED_VALUE"""),169.0)</f>
        <v>169</v>
      </c>
      <c r="F297" s="2">
        <f>IFERROR(__xludf.DUMMYFUNCTION("""COMPUTED_VALUE"""),7.1765061E7)</f>
        <v>71765061</v>
      </c>
    </row>
    <row r="298">
      <c r="A298" s="3">
        <f>IFERROR(__xludf.DUMMYFUNCTION("""COMPUTED_VALUE"""),45359.66666666667)</f>
        <v>45359.66667</v>
      </c>
      <c r="B298" s="2">
        <f>IFERROR(__xludf.DUMMYFUNCTION("""COMPUTED_VALUE"""),169.0)</f>
        <v>169</v>
      </c>
      <c r="C298" s="2">
        <f>IFERROR(__xludf.DUMMYFUNCTION("""COMPUTED_VALUE"""),173.7)</f>
        <v>173.7</v>
      </c>
      <c r="D298" s="2">
        <f>IFERROR(__xludf.DUMMYFUNCTION("""COMPUTED_VALUE"""),168.94)</f>
        <v>168.94</v>
      </c>
      <c r="E298" s="2">
        <f>IFERROR(__xludf.DUMMYFUNCTION("""COMPUTED_VALUE"""),170.73)</f>
        <v>170.73</v>
      </c>
      <c r="F298" s="2">
        <f>IFERROR(__xludf.DUMMYFUNCTION("""COMPUTED_VALUE"""),7.6267041E7)</f>
        <v>76267041</v>
      </c>
    </row>
    <row r="299">
      <c r="A299" s="3">
        <f>IFERROR(__xludf.DUMMYFUNCTION("""COMPUTED_VALUE"""),45362.66666666667)</f>
        <v>45362.66667</v>
      </c>
      <c r="B299" s="2">
        <f>IFERROR(__xludf.DUMMYFUNCTION("""COMPUTED_VALUE"""),172.94)</f>
        <v>172.94</v>
      </c>
      <c r="C299" s="2">
        <f>IFERROR(__xludf.DUMMYFUNCTION("""COMPUTED_VALUE"""),174.38)</f>
        <v>174.38</v>
      </c>
      <c r="D299" s="2">
        <f>IFERROR(__xludf.DUMMYFUNCTION("""COMPUTED_VALUE"""),172.05)</f>
        <v>172.05</v>
      </c>
      <c r="E299" s="2">
        <f>IFERROR(__xludf.DUMMYFUNCTION("""COMPUTED_VALUE"""),172.75)</f>
        <v>172.75</v>
      </c>
      <c r="F299" s="2">
        <f>IFERROR(__xludf.DUMMYFUNCTION("""COMPUTED_VALUE"""),6.0139473E7)</f>
        <v>60139473</v>
      </c>
    </row>
    <row r="300">
      <c r="A300" s="3">
        <f>IFERROR(__xludf.DUMMYFUNCTION("""COMPUTED_VALUE"""),45363.66666666667)</f>
        <v>45363.66667</v>
      </c>
      <c r="B300" s="2">
        <f>IFERROR(__xludf.DUMMYFUNCTION("""COMPUTED_VALUE"""),173.15)</f>
        <v>173.15</v>
      </c>
      <c r="C300" s="2">
        <f>IFERROR(__xludf.DUMMYFUNCTION("""COMPUTED_VALUE"""),174.03)</f>
        <v>174.03</v>
      </c>
      <c r="D300" s="2">
        <f>IFERROR(__xludf.DUMMYFUNCTION("""COMPUTED_VALUE"""),171.01)</f>
        <v>171.01</v>
      </c>
      <c r="E300" s="2">
        <f>IFERROR(__xludf.DUMMYFUNCTION("""COMPUTED_VALUE"""),173.23)</f>
        <v>173.23</v>
      </c>
      <c r="F300" s="2">
        <f>IFERROR(__xludf.DUMMYFUNCTION("""COMPUTED_VALUE"""),5.9825372E7)</f>
        <v>59825372</v>
      </c>
    </row>
    <row r="301">
      <c r="A301" s="3">
        <f>IFERROR(__xludf.DUMMYFUNCTION("""COMPUTED_VALUE"""),45364.66666666667)</f>
        <v>45364.66667</v>
      </c>
      <c r="B301" s="2">
        <f>IFERROR(__xludf.DUMMYFUNCTION("""COMPUTED_VALUE"""),172.77)</f>
        <v>172.77</v>
      </c>
      <c r="C301" s="2">
        <f>IFERROR(__xludf.DUMMYFUNCTION("""COMPUTED_VALUE"""),173.19)</f>
        <v>173.19</v>
      </c>
      <c r="D301" s="2">
        <f>IFERROR(__xludf.DUMMYFUNCTION("""COMPUTED_VALUE"""),170.76)</f>
        <v>170.76</v>
      </c>
      <c r="E301" s="2">
        <f>IFERROR(__xludf.DUMMYFUNCTION("""COMPUTED_VALUE"""),171.13)</f>
        <v>171.13</v>
      </c>
      <c r="F301" s="2">
        <f>IFERROR(__xludf.DUMMYFUNCTION("""COMPUTED_VALUE"""),5.2488692E7)</f>
        <v>52488692</v>
      </c>
    </row>
    <row r="302">
      <c r="A302" s="3">
        <f>IFERROR(__xludf.DUMMYFUNCTION("""COMPUTED_VALUE"""),45365.66666666667)</f>
        <v>45365.66667</v>
      </c>
      <c r="B302" s="2">
        <f>IFERROR(__xludf.DUMMYFUNCTION("""COMPUTED_VALUE"""),172.91)</f>
        <v>172.91</v>
      </c>
      <c r="C302" s="2">
        <f>IFERROR(__xludf.DUMMYFUNCTION("""COMPUTED_VALUE"""),174.31)</f>
        <v>174.31</v>
      </c>
      <c r="D302" s="2">
        <f>IFERROR(__xludf.DUMMYFUNCTION("""COMPUTED_VALUE"""),172.05)</f>
        <v>172.05</v>
      </c>
      <c r="E302" s="2">
        <f>IFERROR(__xludf.DUMMYFUNCTION("""COMPUTED_VALUE"""),173.0)</f>
        <v>173</v>
      </c>
      <c r="F302" s="2">
        <f>IFERROR(__xludf.DUMMYFUNCTION("""COMPUTED_VALUE"""),7.2913507E7)</f>
        <v>72913507</v>
      </c>
    </row>
    <row r="303">
      <c r="A303" s="3">
        <f>IFERROR(__xludf.DUMMYFUNCTION("""COMPUTED_VALUE"""),45366.66666666667)</f>
        <v>45366.66667</v>
      </c>
      <c r="B303" s="2">
        <f>IFERROR(__xludf.DUMMYFUNCTION("""COMPUTED_VALUE"""),171.17)</f>
        <v>171.17</v>
      </c>
      <c r="C303" s="2">
        <f>IFERROR(__xludf.DUMMYFUNCTION("""COMPUTED_VALUE"""),172.62)</f>
        <v>172.62</v>
      </c>
      <c r="D303" s="2">
        <f>IFERROR(__xludf.DUMMYFUNCTION("""COMPUTED_VALUE"""),170.29)</f>
        <v>170.29</v>
      </c>
      <c r="E303" s="2">
        <f>IFERROR(__xludf.DUMMYFUNCTION("""COMPUTED_VALUE"""),172.62)</f>
        <v>172.62</v>
      </c>
      <c r="F303" s="2">
        <f>IFERROR(__xludf.DUMMYFUNCTION("""COMPUTED_VALUE"""),1.21752699E8)</f>
        <v>121752699</v>
      </c>
    </row>
    <row r="304">
      <c r="A304" s="3">
        <f>IFERROR(__xludf.DUMMYFUNCTION("""COMPUTED_VALUE"""),45369.66666666667)</f>
        <v>45369.66667</v>
      </c>
      <c r="B304" s="2">
        <f>IFERROR(__xludf.DUMMYFUNCTION("""COMPUTED_VALUE"""),175.57)</f>
        <v>175.57</v>
      </c>
      <c r="C304" s="2">
        <f>IFERROR(__xludf.DUMMYFUNCTION("""COMPUTED_VALUE"""),177.71)</f>
        <v>177.71</v>
      </c>
      <c r="D304" s="2">
        <f>IFERROR(__xludf.DUMMYFUNCTION("""COMPUTED_VALUE"""),173.52)</f>
        <v>173.52</v>
      </c>
      <c r="E304" s="2">
        <f>IFERROR(__xludf.DUMMYFUNCTION("""COMPUTED_VALUE"""),173.72)</f>
        <v>173.72</v>
      </c>
      <c r="F304" s="2">
        <f>IFERROR(__xludf.DUMMYFUNCTION("""COMPUTED_VALUE"""),7.5604184E7)</f>
        <v>75604184</v>
      </c>
    </row>
    <row r="305">
      <c r="A305" s="3">
        <f>IFERROR(__xludf.DUMMYFUNCTION("""COMPUTED_VALUE"""),45370.66666666667)</f>
        <v>45370.66667</v>
      </c>
      <c r="B305" s="2">
        <f>IFERROR(__xludf.DUMMYFUNCTION("""COMPUTED_VALUE"""),174.34)</f>
        <v>174.34</v>
      </c>
      <c r="C305" s="2">
        <f>IFERROR(__xludf.DUMMYFUNCTION("""COMPUTED_VALUE"""),176.61)</f>
        <v>176.61</v>
      </c>
      <c r="D305" s="2">
        <f>IFERROR(__xludf.DUMMYFUNCTION("""COMPUTED_VALUE"""),173.03)</f>
        <v>173.03</v>
      </c>
      <c r="E305" s="2">
        <f>IFERROR(__xludf.DUMMYFUNCTION("""COMPUTED_VALUE"""),176.08)</f>
        <v>176.08</v>
      </c>
      <c r="F305" s="2">
        <f>IFERROR(__xludf.DUMMYFUNCTION("""COMPUTED_VALUE"""),5.5215244E7)</f>
        <v>55215244</v>
      </c>
    </row>
    <row r="306">
      <c r="A306" s="3">
        <f>IFERROR(__xludf.DUMMYFUNCTION("""COMPUTED_VALUE"""),45371.66666666667)</f>
        <v>45371.66667</v>
      </c>
      <c r="B306" s="2">
        <f>IFERROR(__xludf.DUMMYFUNCTION("""COMPUTED_VALUE"""),175.72)</f>
        <v>175.72</v>
      </c>
      <c r="C306" s="2">
        <f>IFERROR(__xludf.DUMMYFUNCTION("""COMPUTED_VALUE"""),178.67)</f>
        <v>178.67</v>
      </c>
      <c r="D306" s="2">
        <f>IFERROR(__xludf.DUMMYFUNCTION("""COMPUTED_VALUE"""),175.09)</f>
        <v>175.09</v>
      </c>
      <c r="E306" s="2">
        <f>IFERROR(__xludf.DUMMYFUNCTION("""COMPUTED_VALUE"""),178.67)</f>
        <v>178.67</v>
      </c>
      <c r="F306" s="2">
        <f>IFERROR(__xludf.DUMMYFUNCTION("""COMPUTED_VALUE"""),5.3423102E7)</f>
        <v>53423102</v>
      </c>
    </row>
    <row r="307">
      <c r="A307" s="3">
        <f>IFERROR(__xludf.DUMMYFUNCTION("""COMPUTED_VALUE"""),45372.66666666667)</f>
        <v>45372.66667</v>
      </c>
      <c r="B307" s="2">
        <f>IFERROR(__xludf.DUMMYFUNCTION("""COMPUTED_VALUE"""),177.05)</f>
        <v>177.05</v>
      </c>
      <c r="C307" s="2">
        <f>IFERROR(__xludf.DUMMYFUNCTION("""COMPUTED_VALUE"""),177.49)</f>
        <v>177.49</v>
      </c>
      <c r="D307" s="2">
        <f>IFERROR(__xludf.DUMMYFUNCTION("""COMPUTED_VALUE"""),170.84)</f>
        <v>170.84</v>
      </c>
      <c r="E307" s="2">
        <f>IFERROR(__xludf.DUMMYFUNCTION("""COMPUTED_VALUE"""),171.37)</f>
        <v>171.37</v>
      </c>
      <c r="F307" s="2">
        <f>IFERROR(__xludf.DUMMYFUNCTION("""COMPUTED_VALUE"""),1.0618127E8)</f>
        <v>106181270</v>
      </c>
    </row>
    <row r="308">
      <c r="A308" s="3">
        <f>IFERROR(__xludf.DUMMYFUNCTION("""COMPUTED_VALUE"""),45373.66666666667)</f>
        <v>45373.66667</v>
      </c>
      <c r="B308" s="2">
        <f>IFERROR(__xludf.DUMMYFUNCTION("""COMPUTED_VALUE"""),171.76)</f>
        <v>171.76</v>
      </c>
      <c r="C308" s="2">
        <f>IFERROR(__xludf.DUMMYFUNCTION("""COMPUTED_VALUE"""),173.05)</f>
        <v>173.05</v>
      </c>
      <c r="D308" s="2">
        <f>IFERROR(__xludf.DUMMYFUNCTION("""COMPUTED_VALUE"""),170.06)</f>
        <v>170.06</v>
      </c>
      <c r="E308" s="2">
        <f>IFERROR(__xludf.DUMMYFUNCTION("""COMPUTED_VALUE"""),172.28)</f>
        <v>172.28</v>
      </c>
      <c r="F308" s="2">
        <f>IFERROR(__xludf.DUMMYFUNCTION("""COMPUTED_VALUE"""),7.1160138E7)</f>
        <v>71160138</v>
      </c>
    </row>
    <row r="309">
      <c r="A309" s="3">
        <f>IFERROR(__xludf.DUMMYFUNCTION("""COMPUTED_VALUE"""),45376.66666666667)</f>
        <v>45376.66667</v>
      </c>
      <c r="B309" s="2">
        <f>IFERROR(__xludf.DUMMYFUNCTION("""COMPUTED_VALUE"""),170.57)</f>
        <v>170.57</v>
      </c>
      <c r="C309" s="2">
        <f>IFERROR(__xludf.DUMMYFUNCTION("""COMPUTED_VALUE"""),171.94)</f>
        <v>171.94</v>
      </c>
      <c r="D309" s="2">
        <f>IFERROR(__xludf.DUMMYFUNCTION("""COMPUTED_VALUE"""),169.45)</f>
        <v>169.45</v>
      </c>
      <c r="E309" s="2">
        <f>IFERROR(__xludf.DUMMYFUNCTION("""COMPUTED_VALUE"""),170.85)</f>
        <v>170.85</v>
      </c>
      <c r="F309" s="2">
        <f>IFERROR(__xludf.DUMMYFUNCTION("""COMPUTED_VALUE"""),5.4288328E7)</f>
        <v>54288328</v>
      </c>
    </row>
    <row r="310">
      <c r="A310" s="3">
        <f>IFERROR(__xludf.DUMMYFUNCTION("""COMPUTED_VALUE"""),45377.66666666667)</f>
        <v>45377.66667</v>
      </c>
      <c r="B310" s="2">
        <f>IFERROR(__xludf.DUMMYFUNCTION("""COMPUTED_VALUE"""),170.0)</f>
        <v>170</v>
      </c>
      <c r="C310" s="2">
        <f>IFERROR(__xludf.DUMMYFUNCTION("""COMPUTED_VALUE"""),171.42)</f>
        <v>171.42</v>
      </c>
      <c r="D310" s="2">
        <f>IFERROR(__xludf.DUMMYFUNCTION("""COMPUTED_VALUE"""),169.58)</f>
        <v>169.58</v>
      </c>
      <c r="E310" s="2">
        <f>IFERROR(__xludf.DUMMYFUNCTION("""COMPUTED_VALUE"""),169.71)</f>
        <v>169.71</v>
      </c>
      <c r="F310" s="2">
        <f>IFERROR(__xludf.DUMMYFUNCTION("""COMPUTED_VALUE"""),5.7388449E7)</f>
        <v>57388449</v>
      </c>
    </row>
    <row r="311">
      <c r="A311" s="3">
        <f>IFERROR(__xludf.DUMMYFUNCTION("""COMPUTED_VALUE"""),45378.66666666667)</f>
        <v>45378.66667</v>
      </c>
      <c r="B311" s="2">
        <f>IFERROR(__xludf.DUMMYFUNCTION("""COMPUTED_VALUE"""),170.41)</f>
        <v>170.41</v>
      </c>
      <c r="C311" s="2">
        <f>IFERROR(__xludf.DUMMYFUNCTION("""COMPUTED_VALUE"""),173.6)</f>
        <v>173.6</v>
      </c>
      <c r="D311" s="2">
        <f>IFERROR(__xludf.DUMMYFUNCTION("""COMPUTED_VALUE"""),170.11)</f>
        <v>170.11</v>
      </c>
      <c r="E311" s="2">
        <f>IFERROR(__xludf.DUMMYFUNCTION("""COMPUTED_VALUE"""),173.31)</f>
        <v>173.31</v>
      </c>
      <c r="F311" s="2">
        <f>IFERROR(__xludf.DUMMYFUNCTION("""COMPUTED_VALUE"""),6.0273265E7)</f>
        <v>60273265</v>
      </c>
    </row>
    <row r="312">
      <c r="A312" s="3">
        <f>IFERROR(__xludf.DUMMYFUNCTION("""COMPUTED_VALUE"""),45379.66666666667)</f>
        <v>45379.66667</v>
      </c>
      <c r="B312" s="2">
        <f>IFERROR(__xludf.DUMMYFUNCTION("""COMPUTED_VALUE"""),171.75)</f>
        <v>171.75</v>
      </c>
      <c r="C312" s="2">
        <f>IFERROR(__xludf.DUMMYFUNCTION("""COMPUTED_VALUE"""),172.23)</f>
        <v>172.23</v>
      </c>
      <c r="D312" s="2">
        <f>IFERROR(__xludf.DUMMYFUNCTION("""COMPUTED_VALUE"""),170.51)</f>
        <v>170.51</v>
      </c>
      <c r="E312" s="2">
        <f>IFERROR(__xludf.DUMMYFUNCTION("""COMPUTED_VALUE"""),171.48)</f>
        <v>171.48</v>
      </c>
      <c r="F312" s="2">
        <f>IFERROR(__xludf.DUMMYFUNCTION("""COMPUTED_VALUE"""),6.567269E7)</f>
        <v>65672690</v>
      </c>
    </row>
    <row r="313">
      <c r="A313" s="3">
        <f>IFERROR(__xludf.DUMMYFUNCTION("""COMPUTED_VALUE"""),45383.66666666667)</f>
        <v>45383.66667</v>
      </c>
      <c r="B313" s="2">
        <f>IFERROR(__xludf.DUMMYFUNCTION("""COMPUTED_VALUE"""),171.19)</f>
        <v>171.19</v>
      </c>
      <c r="C313" s="2">
        <f>IFERROR(__xludf.DUMMYFUNCTION("""COMPUTED_VALUE"""),171.25)</f>
        <v>171.25</v>
      </c>
      <c r="D313" s="2">
        <f>IFERROR(__xludf.DUMMYFUNCTION("""COMPUTED_VALUE"""),169.48)</f>
        <v>169.48</v>
      </c>
      <c r="E313" s="2">
        <f>IFERROR(__xludf.DUMMYFUNCTION("""COMPUTED_VALUE"""),170.03)</f>
        <v>170.03</v>
      </c>
      <c r="F313" s="2">
        <f>IFERROR(__xludf.DUMMYFUNCTION("""COMPUTED_VALUE"""),4.62405E7)</f>
        <v>46240500</v>
      </c>
    </row>
    <row r="314">
      <c r="A314" s="3">
        <f>IFERROR(__xludf.DUMMYFUNCTION("""COMPUTED_VALUE"""),45384.66666666667)</f>
        <v>45384.66667</v>
      </c>
      <c r="B314" s="2">
        <f>IFERROR(__xludf.DUMMYFUNCTION("""COMPUTED_VALUE"""),169.08)</f>
        <v>169.08</v>
      </c>
      <c r="C314" s="2">
        <f>IFERROR(__xludf.DUMMYFUNCTION("""COMPUTED_VALUE"""),169.34)</f>
        <v>169.34</v>
      </c>
      <c r="D314" s="2">
        <f>IFERROR(__xludf.DUMMYFUNCTION("""COMPUTED_VALUE"""),168.23)</f>
        <v>168.23</v>
      </c>
      <c r="E314" s="2">
        <f>IFERROR(__xludf.DUMMYFUNCTION("""COMPUTED_VALUE"""),168.84)</f>
        <v>168.84</v>
      </c>
      <c r="F314" s="2">
        <f>IFERROR(__xludf.DUMMYFUNCTION("""COMPUTED_VALUE"""),4.9329481E7)</f>
        <v>49329481</v>
      </c>
    </row>
    <row r="315">
      <c r="A315" s="3">
        <f>IFERROR(__xludf.DUMMYFUNCTION("""COMPUTED_VALUE"""),45385.66666666667)</f>
        <v>45385.66667</v>
      </c>
      <c r="B315" s="2">
        <f>IFERROR(__xludf.DUMMYFUNCTION("""COMPUTED_VALUE"""),168.79)</f>
        <v>168.79</v>
      </c>
      <c r="C315" s="2">
        <f>IFERROR(__xludf.DUMMYFUNCTION("""COMPUTED_VALUE"""),170.68)</f>
        <v>170.68</v>
      </c>
      <c r="D315" s="2">
        <f>IFERROR(__xludf.DUMMYFUNCTION("""COMPUTED_VALUE"""),168.58)</f>
        <v>168.58</v>
      </c>
      <c r="E315" s="2">
        <f>IFERROR(__xludf.DUMMYFUNCTION("""COMPUTED_VALUE"""),169.65)</f>
        <v>169.65</v>
      </c>
      <c r="F315" s="2">
        <f>IFERROR(__xludf.DUMMYFUNCTION("""COMPUTED_VALUE"""),4.7691715E7)</f>
        <v>47691715</v>
      </c>
    </row>
    <row r="316">
      <c r="A316" s="3">
        <f>IFERROR(__xludf.DUMMYFUNCTION("""COMPUTED_VALUE"""),45386.66666666667)</f>
        <v>45386.66667</v>
      </c>
      <c r="B316" s="2">
        <f>IFERROR(__xludf.DUMMYFUNCTION("""COMPUTED_VALUE"""),170.29)</f>
        <v>170.29</v>
      </c>
      <c r="C316" s="2">
        <f>IFERROR(__xludf.DUMMYFUNCTION("""COMPUTED_VALUE"""),171.92)</f>
        <v>171.92</v>
      </c>
      <c r="D316" s="2">
        <f>IFERROR(__xludf.DUMMYFUNCTION("""COMPUTED_VALUE"""),168.82)</f>
        <v>168.82</v>
      </c>
      <c r="E316" s="2">
        <f>IFERROR(__xludf.DUMMYFUNCTION("""COMPUTED_VALUE"""),168.82)</f>
        <v>168.82</v>
      </c>
      <c r="F316" s="2">
        <f>IFERROR(__xludf.DUMMYFUNCTION("""COMPUTED_VALUE"""),5.3704386E7)</f>
        <v>53704386</v>
      </c>
    </row>
    <row r="317">
      <c r="A317" s="3">
        <f>IFERROR(__xludf.DUMMYFUNCTION("""COMPUTED_VALUE"""),45387.66666666667)</f>
        <v>45387.66667</v>
      </c>
      <c r="B317" s="2">
        <f>IFERROR(__xludf.DUMMYFUNCTION("""COMPUTED_VALUE"""),169.59)</f>
        <v>169.59</v>
      </c>
      <c r="C317" s="2">
        <f>IFERROR(__xludf.DUMMYFUNCTION("""COMPUTED_VALUE"""),170.39)</f>
        <v>170.39</v>
      </c>
      <c r="D317" s="2">
        <f>IFERROR(__xludf.DUMMYFUNCTION("""COMPUTED_VALUE"""),168.95)</f>
        <v>168.95</v>
      </c>
      <c r="E317" s="2">
        <f>IFERROR(__xludf.DUMMYFUNCTION("""COMPUTED_VALUE"""),169.58)</f>
        <v>169.58</v>
      </c>
      <c r="F317" s="2">
        <f>IFERROR(__xludf.DUMMYFUNCTION("""COMPUTED_VALUE"""),4.2104826E7)</f>
        <v>42104826</v>
      </c>
    </row>
    <row r="318">
      <c r="A318" s="3">
        <f>IFERROR(__xludf.DUMMYFUNCTION("""COMPUTED_VALUE"""),45390.66666666667)</f>
        <v>45390.66667</v>
      </c>
      <c r="B318" s="2">
        <f>IFERROR(__xludf.DUMMYFUNCTION("""COMPUTED_VALUE"""),169.03)</f>
        <v>169.03</v>
      </c>
      <c r="C318" s="2">
        <f>IFERROR(__xludf.DUMMYFUNCTION("""COMPUTED_VALUE"""),169.2)</f>
        <v>169.2</v>
      </c>
      <c r="D318" s="2">
        <f>IFERROR(__xludf.DUMMYFUNCTION("""COMPUTED_VALUE"""),168.24)</f>
        <v>168.24</v>
      </c>
      <c r="E318" s="2">
        <f>IFERROR(__xludf.DUMMYFUNCTION("""COMPUTED_VALUE"""),168.45)</f>
        <v>168.45</v>
      </c>
      <c r="F318" s="2">
        <f>IFERROR(__xludf.DUMMYFUNCTION("""COMPUTED_VALUE"""),3.7425513E7)</f>
        <v>37425513</v>
      </c>
    </row>
    <row r="319">
      <c r="A319" s="3">
        <f>IFERROR(__xludf.DUMMYFUNCTION("""COMPUTED_VALUE"""),45391.66666666667)</f>
        <v>45391.66667</v>
      </c>
      <c r="B319" s="2">
        <f>IFERROR(__xludf.DUMMYFUNCTION("""COMPUTED_VALUE"""),168.7)</f>
        <v>168.7</v>
      </c>
      <c r="C319" s="2">
        <f>IFERROR(__xludf.DUMMYFUNCTION("""COMPUTED_VALUE"""),170.08)</f>
        <v>170.08</v>
      </c>
      <c r="D319" s="2">
        <f>IFERROR(__xludf.DUMMYFUNCTION("""COMPUTED_VALUE"""),168.35)</f>
        <v>168.35</v>
      </c>
      <c r="E319" s="2">
        <f>IFERROR(__xludf.DUMMYFUNCTION("""COMPUTED_VALUE"""),169.67)</f>
        <v>169.67</v>
      </c>
      <c r="F319" s="2">
        <f>IFERROR(__xludf.DUMMYFUNCTION("""COMPUTED_VALUE"""),4.2451209E7)</f>
        <v>42451209</v>
      </c>
    </row>
    <row r="320">
      <c r="A320" s="3">
        <f>IFERROR(__xludf.DUMMYFUNCTION("""COMPUTED_VALUE"""),45392.66666666667)</f>
        <v>45392.66667</v>
      </c>
      <c r="B320" s="2">
        <f>IFERROR(__xludf.DUMMYFUNCTION("""COMPUTED_VALUE"""),168.8)</f>
        <v>168.8</v>
      </c>
      <c r="C320" s="2">
        <f>IFERROR(__xludf.DUMMYFUNCTION("""COMPUTED_VALUE"""),169.09)</f>
        <v>169.09</v>
      </c>
      <c r="D320" s="2">
        <f>IFERROR(__xludf.DUMMYFUNCTION("""COMPUTED_VALUE"""),167.11)</f>
        <v>167.11</v>
      </c>
      <c r="E320" s="2">
        <f>IFERROR(__xludf.DUMMYFUNCTION("""COMPUTED_VALUE"""),167.78)</f>
        <v>167.78</v>
      </c>
      <c r="F320" s="2">
        <f>IFERROR(__xludf.DUMMYFUNCTION("""COMPUTED_VALUE"""),4.9709336E7)</f>
        <v>49709336</v>
      </c>
    </row>
    <row r="321">
      <c r="A321" s="3">
        <f>IFERROR(__xludf.DUMMYFUNCTION("""COMPUTED_VALUE"""),45393.66666666667)</f>
        <v>45393.66667</v>
      </c>
      <c r="B321" s="2">
        <f>IFERROR(__xludf.DUMMYFUNCTION("""COMPUTED_VALUE"""),168.34)</f>
        <v>168.34</v>
      </c>
      <c r="C321" s="2">
        <f>IFERROR(__xludf.DUMMYFUNCTION("""COMPUTED_VALUE"""),175.46)</f>
        <v>175.46</v>
      </c>
      <c r="D321" s="2">
        <f>IFERROR(__xludf.DUMMYFUNCTION("""COMPUTED_VALUE"""),168.16)</f>
        <v>168.16</v>
      </c>
      <c r="E321" s="2">
        <f>IFERROR(__xludf.DUMMYFUNCTION("""COMPUTED_VALUE"""),175.04)</f>
        <v>175.04</v>
      </c>
      <c r="F321" s="2">
        <f>IFERROR(__xludf.DUMMYFUNCTION("""COMPUTED_VALUE"""),9.1070275E7)</f>
        <v>91070275</v>
      </c>
    </row>
    <row r="322">
      <c r="A322" s="3">
        <f>IFERROR(__xludf.DUMMYFUNCTION("""COMPUTED_VALUE"""),45394.66666666667)</f>
        <v>45394.66667</v>
      </c>
      <c r="B322" s="2">
        <f>IFERROR(__xludf.DUMMYFUNCTION("""COMPUTED_VALUE"""),174.26)</f>
        <v>174.26</v>
      </c>
      <c r="C322" s="2">
        <f>IFERROR(__xludf.DUMMYFUNCTION("""COMPUTED_VALUE"""),178.36)</f>
        <v>178.36</v>
      </c>
      <c r="D322" s="2">
        <f>IFERROR(__xludf.DUMMYFUNCTION("""COMPUTED_VALUE"""),174.21)</f>
        <v>174.21</v>
      </c>
      <c r="E322" s="2">
        <f>IFERROR(__xludf.DUMMYFUNCTION("""COMPUTED_VALUE"""),176.55)</f>
        <v>176.55</v>
      </c>
      <c r="F322" s="2">
        <f>IFERROR(__xludf.DUMMYFUNCTION("""COMPUTED_VALUE"""),1.01670886E8)</f>
        <v>101670886</v>
      </c>
    </row>
    <row r="323">
      <c r="A323" s="3">
        <f>IFERROR(__xludf.DUMMYFUNCTION("""COMPUTED_VALUE"""),45397.66666666667)</f>
        <v>45397.66667</v>
      </c>
      <c r="B323" s="2">
        <f>IFERROR(__xludf.DUMMYFUNCTION("""COMPUTED_VALUE"""),175.36)</f>
        <v>175.36</v>
      </c>
      <c r="C323" s="2">
        <f>IFERROR(__xludf.DUMMYFUNCTION("""COMPUTED_VALUE"""),176.63)</f>
        <v>176.63</v>
      </c>
      <c r="D323" s="2">
        <f>IFERROR(__xludf.DUMMYFUNCTION("""COMPUTED_VALUE"""),172.5)</f>
        <v>172.5</v>
      </c>
      <c r="E323" s="2">
        <f>IFERROR(__xludf.DUMMYFUNCTION("""COMPUTED_VALUE"""),172.69)</f>
        <v>172.69</v>
      </c>
      <c r="F323" s="2">
        <f>IFERROR(__xludf.DUMMYFUNCTION("""COMPUTED_VALUE"""),7.3531773E7)</f>
        <v>73531773</v>
      </c>
    </row>
    <row r="324">
      <c r="A324" s="3">
        <f>IFERROR(__xludf.DUMMYFUNCTION("""COMPUTED_VALUE"""),45398.66666666667)</f>
        <v>45398.66667</v>
      </c>
      <c r="B324" s="2">
        <f>IFERROR(__xludf.DUMMYFUNCTION("""COMPUTED_VALUE"""),171.75)</f>
        <v>171.75</v>
      </c>
      <c r="C324" s="2">
        <f>IFERROR(__xludf.DUMMYFUNCTION("""COMPUTED_VALUE"""),173.76)</f>
        <v>173.76</v>
      </c>
      <c r="D324" s="2">
        <f>IFERROR(__xludf.DUMMYFUNCTION("""COMPUTED_VALUE"""),168.27)</f>
        <v>168.27</v>
      </c>
      <c r="E324" s="2">
        <f>IFERROR(__xludf.DUMMYFUNCTION("""COMPUTED_VALUE"""),169.38)</f>
        <v>169.38</v>
      </c>
      <c r="F324" s="2">
        <f>IFERROR(__xludf.DUMMYFUNCTION("""COMPUTED_VALUE"""),7.3711235E7)</f>
        <v>73711235</v>
      </c>
    </row>
    <row r="325">
      <c r="A325" s="3">
        <f>IFERROR(__xludf.DUMMYFUNCTION("""COMPUTED_VALUE"""),45399.66666666667)</f>
        <v>45399.66667</v>
      </c>
      <c r="B325" s="2">
        <f>IFERROR(__xludf.DUMMYFUNCTION("""COMPUTED_VALUE"""),169.61)</f>
        <v>169.61</v>
      </c>
      <c r="C325" s="2">
        <f>IFERROR(__xludf.DUMMYFUNCTION("""COMPUTED_VALUE"""),170.65)</f>
        <v>170.65</v>
      </c>
      <c r="D325" s="2">
        <f>IFERROR(__xludf.DUMMYFUNCTION("""COMPUTED_VALUE"""),168.0)</f>
        <v>168</v>
      </c>
      <c r="E325" s="2">
        <f>IFERROR(__xludf.DUMMYFUNCTION("""COMPUTED_VALUE"""),168.0)</f>
        <v>168</v>
      </c>
      <c r="F325" s="2">
        <f>IFERROR(__xludf.DUMMYFUNCTION("""COMPUTED_VALUE"""),5.090121E7)</f>
        <v>50901210</v>
      </c>
    </row>
    <row r="326">
      <c r="A326" s="3">
        <f>IFERROR(__xludf.DUMMYFUNCTION("""COMPUTED_VALUE"""),45400.66666666667)</f>
        <v>45400.66667</v>
      </c>
      <c r="B326" s="2">
        <f>IFERROR(__xludf.DUMMYFUNCTION("""COMPUTED_VALUE"""),168.03)</f>
        <v>168.03</v>
      </c>
      <c r="C326" s="2">
        <f>IFERROR(__xludf.DUMMYFUNCTION("""COMPUTED_VALUE"""),168.64)</f>
        <v>168.64</v>
      </c>
      <c r="D326" s="2">
        <f>IFERROR(__xludf.DUMMYFUNCTION("""COMPUTED_VALUE"""),166.55)</f>
        <v>166.55</v>
      </c>
      <c r="E326" s="2">
        <f>IFERROR(__xludf.DUMMYFUNCTION("""COMPUTED_VALUE"""),167.04)</f>
        <v>167.04</v>
      </c>
      <c r="F326" s="2">
        <f>IFERROR(__xludf.DUMMYFUNCTION("""COMPUTED_VALUE"""),4.3122903E7)</f>
        <v>43122903</v>
      </c>
    </row>
    <row r="327">
      <c r="A327" s="3">
        <f>IFERROR(__xludf.DUMMYFUNCTION("""COMPUTED_VALUE"""),45401.66666666667)</f>
        <v>45401.66667</v>
      </c>
      <c r="B327" s="2">
        <f>IFERROR(__xludf.DUMMYFUNCTION("""COMPUTED_VALUE"""),166.21)</f>
        <v>166.21</v>
      </c>
      <c r="C327" s="2">
        <f>IFERROR(__xludf.DUMMYFUNCTION("""COMPUTED_VALUE"""),166.4)</f>
        <v>166.4</v>
      </c>
      <c r="D327" s="2">
        <f>IFERROR(__xludf.DUMMYFUNCTION("""COMPUTED_VALUE"""),164.08)</f>
        <v>164.08</v>
      </c>
      <c r="E327" s="2">
        <f>IFERROR(__xludf.DUMMYFUNCTION("""COMPUTED_VALUE"""),165.0)</f>
        <v>165</v>
      </c>
      <c r="F327" s="2">
        <f>IFERROR(__xludf.DUMMYFUNCTION("""COMPUTED_VALUE"""),6.8149377E7)</f>
        <v>68149377</v>
      </c>
    </row>
    <row r="328">
      <c r="A328" s="3">
        <f>IFERROR(__xludf.DUMMYFUNCTION("""COMPUTED_VALUE"""),45404.66666666667)</f>
        <v>45404.66667</v>
      </c>
      <c r="B328" s="2">
        <f>IFERROR(__xludf.DUMMYFUNCTION("""COMPUTED_VALUE"""),165.52)</f>
        <v>165.52</v>
      </c>
      <c r="C328" s="2">
        <f>IFERROR(__xludf.DUMMYFUNCTION("""COMPUTED_VALUE"""),167.26)</f>
        <v>167.26</v>
      </c>
      <c r="D328" s="2">
        <f>IFERROR(__xludf.DUMMYFUNCTION("""COMPUTED_VALUE"""),164.77)</f>
        <v>164.77</v>
      </c>
      <c r="E328" s="2">
        <f>IFERROR(__xludf.DUMMYFUNCTION("""COMPUTED_VALUE"""),165.84)</f>
        <v>165.84</v>
      </c>
      <c r="F328" s="2">
        <f>IFERROR(__xludf.DUMMYFUNCTION("""COMPUTED_VALUE"""),4.8116443E7)</f>
        <v>48116443</v>
      </c>
    </row>
    <row r="329">
      <c r="A329" s="3">
        <f>IFERROR(__xludf.DUMMYFUNCTION("""COMPUTED_VALUE"""),45405.66666666667)</f>
        <v>45405.66667</v>
      </c>
      <c r="B329" s="2">
        <f>IFERROR(__xludf.DUMMYFUNCTION("""COMPUTED_VALUE"""),165.35)</f>
        <v>165.35</v>
      </c>
      <c r="C329" s="2">
        <f>IFERROR(__xludf.DUMMYFUNCTION("""COMPUTED_VALUE"""),167.05)</f>
        <v>167.05</v>
      </c>
      <c r="D329" s="2">
        <f>IFERROR(__xludf.DUMMYFUNCTION("""COMPUTED_VALUE"""),164.92)</f>
        <v>164.92</v>
      </c>
      <c r="E329" s="2">
        <f>IFERROR(__xludf.DUMMYFUNCTION("""COMPUTED_VALUE"""),166.9)</f>
        <v>166.9</v>
      </c>
      <c r="F329" s="2">
        <f>IFERROR(__xludf.DUMMYFUNCTION("""COMPUTED_VALUE"""),4.9537761E7)</f>
        <v>49537761</v>
      </c>
    </row>
    <row r="330">
      <c r="A330" s="3">
        <f>IFERROR(__xludf.DUMMYFUNCTION("""COMPUTED_VALUE"""),45406.66666666667)</f>
        <v>45406.66667</v>
      </c>
      <c r="B330" s="2">
        <f>IFERROR(__xludf.DUMMYFUNCTION("""COMPUTED_VALUE"""),166.54)</f>
        <v>166.54</v>
      </c>
      <c r="C330" s="2">
        <f>IFERROR(__xludf.DUMMYFUNCTION("""COMPUTED_VALUE"""),169.3)</f>
        <v>169.3</v>
      </c>
      <c r="D330" s="2">
        <f>IFERROR(__xludf.DUMMYFUNCTION("""COMPUTED_VALUE"""),166.21)</f>
        <v>166.21</v>
      </c>
      <c r="E330" s="2">
        <f>IFERROR(__xludf.DUMMYFUNCTION("""COMPUTED_VALUE"""),169.02)</f>
        <v>169.02</v>
      </c>
      <c r="F330" s="2">
        <f>IFERROR(__xludf.DUMMYFUNCTION("""COMPUTED_VALUE"""),4.8251835E7)</f>
        <v>48251835</v>
      </c>
    </row>
    <row r="331">
      <c r="A331" s="3">
        <f>IFERROR(__xludf.DUMMYFUNCTION("""COMPUTED_VALUE"""),45407.66666666667)</f>
        <v>45407.66667</v>
      </c>
      <c r="B331" s="2">
        <f>IFERROR(__xludf.DUMMYFUNCTION("""COMPUTED_VALUE"""),169.53)</f>
        <v>169.53</v>
      </c>
      <c r="C331" s="2">
        <f>IFERROR(__xludf.DUMMYFUNCTION("""COMPUTED_VALUE"""),170.61)</f>
        <v>170.61</v>
      </c>
      <c r="D331" s="2">
        <f>IFERROR(__xludf.DUMMYFUNCTION("""COMPUTED_VALUE"""),168.15)</f>
        <v>168.15</v>
      </c>
      <c r="E331" s="2">
        <f>IFERROR(__xludf.DUMMYFUNCTION("""COMPUTED_VALUE"""),169.89)</f>
        <v>169.89</v>
      </c>
      <c r="F331" s="2">
        <f>IFERROR(__xludf.DUMMYFUNCTION("""COMPUTED_VALUE"""),5.0558329E7)</f>
        <v>50558329</v>
      </c>
    </row>
    <row r="332">
      <c r="A332" s="3">
        <f>IFERROR(__xludf.DUMMYFUNCTION("""COMPUTED_VALUE"""),45408.66666666667)</f>
        <v>45408.66667</v>
      </c>
      <c r="B332" s="2">
        <f>IFERROR(__xludf.DUMMYFUNCTION("""COMPUTED_VALUE"""),169.88)</f>
        <v>169.88</v>
      </c>
      <c r="C332" s="2">
        <f>IFERROR(__xludf.DUMMYFUNCTION("""COMPUTED_VALUE"""),171.34)</f>
        <v>171.34</v>
      </c>
      <c r="D332" s="2">
        <f>IFERROR(__xludf.DUMMYFUNCTION("""COMPUTED_VALUE"""),169.18)</f>
        <v>169.18</v>
      </c>
      <c r="E332" s="2">
        <f>IFERROR(__xludf.DUMMYFUNCTION("""COMPUTED_VALUE"""),169.3)</f>
        <v>169.3</v>
      </c>
      <c r="F332" s="2">
        <f>IFERROR(__xludf.DUMMYFUNCTION("""COMPUTED_VALUE"""),4.4838354E7)</f>
        <v>44838354</v>
      </c>
    </row>
    <row r="333">
      <c r="A333" s="3">
        <f>IFERROR(__xludf.DUMMYFUNCTION("""COMPUTED_VALUE"""),45411.66666666667)</f>
        <v>45411.66667</v>
      </c>
      <c r="B333" s="2">
        <f>IFERROR(__xludf.DUMMYFUNCTION("""COMPUTED_VALUE"""),173.37)</f>
        <v>173.37</v>
      </c>
      <c r="C333" s="2">
        <f>IFERROR(__xludf.DUMMYFUNCTION("""COMPUTED_VALUE"""),176.03)</f>
        <v>176.03</v>
      </c>
      <c r="D333" s="2">
        <f>IFERROR(__xludf.DUMMYFUNCTION("""COMPUTED_VALUE"""),173.1)</f>
        <v>173.1</v>
      </c>
      <c r="E333" s="2">
        <f>IFERROR(__xludf.DUMMYFUNCTION("""COMPUTED_VALUE"""),173.5)</f>
        <v>173.5</v>
      </c>
      <c r="F333" s="2">
        <f>IFERROR(__xludf.DUMMYFUNCTION("""COMPUTED_VALUE"""),6.8169419E7)</f>
        <v>68169419</v>
      </c>
    </row>
    <row r="334">
      <c r="A334" s="3">
        <f>IFERROR(__xludf.DUMMYFUNCTION("""COMPUTED_VALUE"""),45412.66666666667)</f>
        <v>45412.66667</v>
      </c>
      <c r="B334" s="2">
        <f>IFERROR(__xludf.DUMMYFUNCTION("""COMPUTED_VALUE"""),173.33)</f>
        <v>173.33</v>
      </c>
      <c r="C334" s="2">
        <f>IFERROR(__xludf.DUMMYFUNCTION("""COMPUTED_VALUE"""),174.99)</f>
        <v>174.99</v>
      </c>
      <c r="D334" s="2">
        <f>IFERROR(__xludf.DUMMYFUNCTION("""COMPUTED_VALUE"""),170.0)</f>
        <v>170</v>
      </c>
      <c r="E334" s="2">
        <f>IFERROR(__xludf.DUMMYFUNCTION("""COMPUTED_VALUE"""),170.33)</f>
        <v>170.33</v>
      </c>
      <c r="F334" s="2">
        <f>IFERROR(__xludf.DUMMYFUNCTION("""COMPUTED_VALUE"""),6.5934776E7)</f>
        <v>65934776</v>
      </c>
    </row>
    <row r="335">
      <c r="A335" s="3">
        <f>IFERROR(__xludf.DUMMYFUNCTION("""COMPUTED_VALUE"""),45413.66666666667)</f>
        <v>45413.66667</v>
      </c>
      <c r="B335" s="2">
        <f>IFERROR(__xludf.DUMMYFUNCTION("""COMPUTED_VALUE"""),169.58)</f>
        <v>169.58</v>
      </c>
      <c r="C335" s="2">
        <f>IFERROR(__xludf.DUMMYFUNCTION("""COMPUTED_VALUE"""),172.71)</f>
        <v>172.71</v>
      </c>
      <c r="D335" s="2">
        <f>IFERROR(__xludf.DUMMYFUNCTION("""COMPUTED_VALUE"""),169.11)</f>
        <v>169.11</v>
      </c>
      <c r="E335" s="2">
        <f>IFERROR(__xludf.DUMMYFUNCTION("""COMPUTED_VALUE"""),169.3)</f>
        <v>169.3</v>
      </c>
      <c r="F335" s="2">
        <f>IFERROR(__xludf.DUMMYFUNCTION("""COMPUTED_VALUE"""),5.0383147E7)</f>
        <v>50383147</v>
      </c>
    </row>
    <row r="336">
      <c r="A336" s="3">
        <f>IFERROR(__xludf.DUMMYFUNCTION("""COMPUTED_VALUE"""),45414.66666666667)</f>
        <v>45414.66667</v>
      </c>
      <c r="B336" s="2">
        <f>IFERROR(__xludf.DUMMYFUNCTION("""COMPUTED_VALUE"""),172.51)</f>
        <v>172.51</v>
      </c>
      <c r="C336" s="2">
        <f>IFERROR(__xludf.DUMMYFUNCTION("""COMPUTED_VALUE"""),173.42)</f>
        <v>173.42</v>
      </c>
      <c r="D336" s="2">
        <f>IFERROR(__xludf.DUMMYFUNCTION("""COMPUTED_VALUE"""),170.89)</f>
        <v>170.89</v>
      </c>
      <c r="E336" s="2">
        <f>IFERROR(__xludf.DUMMYFUNCTION("""COMPUTED_VALUE"""),173.03)</f>
        <v>173.03</v>
      </c>
      <c r="F336" s="2">
        <f>IFERROR(__xludf.DUMMYFUNCTION("""COMPUTED_VALUE"""),9.4214915E7)</f>
        <v>94214915</v>
      </c>
    </row>
    <row r="337">
      <c r="A337" s="3">
        <f>IFERROR(__xludf.DUMMYFUNCTION("""COMPUTED_VALUE"""),45415.66666666667)</f>
        <v>45415.66667</v>
      </c>
      <c r="B337" s="2">
        <f>IFERROR(__xludf.DUMMYFUNCTION("""COMPUTED_VALUE"""),186.65)</f>
        <v>186.65</v>
      </c>
      <c r="C337" s="2">
        <f>IFERROR(__xludf.DUMMYFUNCTION("""COMPUTED_VALUE"""),187.0)</f>
        <v>187</v>
      </c>
      <c r="D337" s="2">
        <f>IFERROR(__xludf.DUMMYFUNCTION("""COMPUTED_VALUE"""),182.66)</f>
        <v>182.66</v>
      </c>
      <c r="E337" s="2">
        <f>IFERROR(__xludf.DUMMYFUNCTION("""COMPUTED_VALUE"""),183.38)</f>
        <v>183.38</v>
      </c>
      <c r="F337" s="2">
        <f>IFERROR(__xludf.DUMMYFUNCTION("""COMPUTED_VALUE"""),1.63224109E8)</f>
        <v>163224109</v>
      </c>
    </row>
    <row r="338">
      <c r="A338" s="3">
        <f>IFERROR(__xludf.DUMMYFUNCTION("""COMPUTED_VALUE"""),45418.66666666667)</f>
        <v>45418.66667</v>
      </c>
      <c r="B338" s="2">
        <f>IFERROR(__xludf.DUMMYFUNCTION("""COMPUTED_VALUE"""),182.35)</f>
        <v>182.35</v>
      </c>
      <c r="C338" s="2">
        <f>IFERROR(__xludf.DUMMYFUNCTION("""COMPUTED_VALUE"""),184.2)</f>
        <v>184.2</v>
      </c>
      <c r="D338" s="2">
        <f>IFERROR(__xludf.DUMMYFUNCTION("""COMPUTED_VALUE"""),180.42)</f>
        <v>180.42</v>
      </c>
      <c r="E338" s="2">
        <f>IFERROR(__xludf.DUMMYFUNCTION("""COMPUTED_VALUE"""),181.71)</f>
        <v>181.71</v>
      </c>
      <c r="F338" s="2">
        <f>IFERROR(__xludf.DUMMYFUNCTION("""COMPUTED_VALUE"""),7.8569667E7)</f>
        <v>78569667</v>
      </c>
    </row>
    <row r="339">
      <c r="A339" s="3">
        <f>IFERROR(__xludf.DUMMYFUNCTION("""COMPUTED_VALUE"""),45419.66666666667)</f>
        <v>45419.66667</v>
      </c>
      <c r="B339" s="2">
        <f>IFERROR(__xludf.DUMMYFUNCTION("""COMPUTED_VALUE"""),183.45)</f>
        <v>183.45</v>
      </c>
      <c r="C339" s="2">
        <f>IFERROR(__xludf.DUMMYFUNCTION("""COMPUTED_VALUE"""),184.9)</f>
        <v>184.9</v>
      </c>
      <c r="D339" s="2">
        <f>IFERROR(__xludf.DUMMYFUNCTION("""COMPUTED_VALUE"""),181.32)</f>
        <v>181.32</v>
      </c>
      <c r="E339" s="2">
        <f>IFERROR(__xludf.DUMMYFUNCTION("""COMPUTED_VALUE"""),182.4)</f>
        <v>182.4</v>
      </c>
      <c r="F339" s="2">
        <f>IFERROR(__xludf.DUMMYFUNCTION("""COMPUTED_VALUE"""),7.7305771E7)</f>
        <v>77305771</v>
      </c>
    </row>
    <row r="340">
      <c r="A340" s="3">
        <f>IFERROR(__xludf.DUMMYFUNCTION("""COMPUTED_VALUE"""),45420.66666666667)</f>
        <v>45420.66667</v>
      </c>
      <c r="B340" s="2">
        <f>IFERROR(__xludf.DUMMYFUNCTION("""COMPUTED_VALUE"""),182.85)</f>
        <v>182.85</v>
      </c>
      <c r="C340" s="2">
        <f>IFERROR(__xludf.DUMMYFUNCTION("""COMPUTED_VALUE"""),183.07)</f>
        <v>183.07</v>
      </c>
      <c r="D340" s="2">
        <f>IFERROR(__xludf.DUMMYFUNCTION("""COMPUTED_VALUE"""),181.45)</f>
        <v>181.45</v>
      </c>
      <c r="E340" s="2">
        <f>IFERROR(__xludf.DUMMYFUNCTION("""COMPUTED_VALUE"""),182.74)</f>
        <v>182.74</v>
      </c>
      <c r="F340" s="2">
        <f>IFERROR(__xludf.DUMMYFUNCTION("""COMPUTED_VALUE"""),4.5057087E7)</f>
        <v>45057087</v>
      </c>
    </row>
    <row r="341">
      <c r="A341" s="3">
        <f>IFERROR(__xludf.DUMMYFUNCTION("""COMPUTED_VALUE"""),45421.66666666667)</f>
        <v>45421.66667</v>
      </c>
      <c r="B341" s="2">
        <f>IFERROR(__xludf.DUMMYFUNCTION("""COMPUTED_VALUE"""),182.56)</f>
        <v>182.56</v>
      </c>
      <c r="C341" s="2">
        <f>IFERROR(__xludf.DUMMYFUNCTION("""COMPUTED_VALUE"""),184.66)</f>
        <v>184.66</v>
      </c>
      <c r="D341" s="2">
        <f>IFERROR(__xludf.DUMMYFUNCTION("""COMPUTED_VALUE"""),182.11)</f>
        <v>182.11</v>
      </c>
      <c r="E341" s="2">
        <f>IFERROR(__xludf.DUMMYFUNCTION("""COMPUTED_VALUE"""),184.57)</f>
        <v>184.57</v>
      </c>
      <c r="F341" s="2">
        <f>IFERROR(__xludf.DUMMYFUNCTION("""COMPUTED_VALUE"""),4.8982972E7)</f>
        <v>48982972</v>
      </c>
    </row>
    <row r="342">
      <c r="A342" s="3">
        <f>IFERROR(__xludf.DUMMYFUNCTION("""COMPUTED_VALUE"""),45422.66666666667)</f>
        <v>45422.66667</v>
      </c>
      <c r="B342" s="2">
        <f>IFERROR(__xludf.DUMMYFUNCTION("""COMPUTED_VALUE"""),184.9)</f>
        <v>184.9</v>
      </c>
      <c r="C342" s="2">
        <f>IFERROR(__xludf.DUMMYFUNCTION("""COMPUTED_VALUE"""),185.09)</f>
        <v>185.09</v>
      </c>
      <c r="D342" s="2">
        <f>IFERROR(__xludf.DUMMYFUNCTION("""COMPUTED_VALUE"""),182.13)</f>
        <v>182.13</v>
      </c>
      <c r="E342" s="2">
        <f>IFERROR(__xludf.DUMMYFUNCTION("""COMPUTED_VALUE"""),183.05)</f>
        <v>183.05</v>
      </c>
      <c r="F342" s="2">
        <f>IFERROR(__xludf.DUMMYFUNCTION("""COMPUTED_VALUE"""),5.0759496E7)</f>
        <v>50759496</v>
      </c>
    </row>
    <row r="343">
      <c r="A343" s="3">
        <f>IFERROR(__xludf.DUMMYFUNCTION("""COMPUTED_VALUE"""),45425.66666666667)</f>
        <v>45425.66667</v>
      </c>
      <c r="B343" s="2">
        <f>IFERROR(__xludf.DUMMYFUNCTION("""COMPUTED_VALUE"""),185.44)</f>
        <v>185.44</v>
      </c>
      <c r="C343" s="2">
        <f>IFERROR(__xludf.DUMMYFUNCTION("""COMPUTED_VALUE"""),187.1)</f>
        <v>187.1</v>
      </c>
      <c r="D343" s="2">
        <f>IFERROR(__xludf.DUMMYFUNCTION("""COMPUTED_VALUE"""),184.62)</f>
        <v>184.62</v>
      </c>
      <c r="E343" s="2">
        <f>IFERROR(__xludf.DUMMYFUNCTION("""COMPUTED_VALUE"""),186.28)</f>
        <v>186.28</v>
      </c>
      <c r="F343" s="2">
        <f>IFERROR(__xludf.DUMMYFUNCTION("""COMPUTED_VALUE"""),7.2044809E7)</f>
        <v>72044809</v>
      </c>
    </row>
    <row r="344">
      <c r="A344" s="3">
        <f>IFERROR(__xludf.DUMMYFUNCTION("""COMPUTED_VALUE"""),45426.66666666667)</f>
        <v>45426.66667</v>
      </c>
      <c r="B344" s="2">
        <f>IFERROR(__xludf.DUMMYFUNCTION("""COMPUTED_VALUE"""),187.51)</f>
        <v>187.51</v>
      </c>
      <c r="C344" s="2">
        <f>IFERROR(__xludf.DUMMYFUNCTION("""COMPUTED_VALUE"""),188.3)</f>
        <v>188.3</v>
      </c>
      <c r="D344" s="2">
        <f>IFERROR(__xludf.DUMMYFUNCTION("""COMPUTED_VALUE"""),186.29)</f>
        <v>186.29</v>
      </c>
      <c r="E344" s="2">
        <f>IFERROR(__xludf.DUMMYFUNCTION("""COMPUTED_VALUE"""),187.43)</f>
        <v>187.43</v>
      </c>
      <c r="F344" s="2">
        <f>IFERROR(__xludf.DUMMYFUNCTION("""COMPUTED_VALUE"""),5.2393619E7)</f>
        <v>52393619</v>
      </c>
    </row>
    <row r="345">
      <c r="A345" s="3">
        <f>IFERROR(__xludf.DUMMYFUNCTION("""COMPUTED_VALUE"""),45427.66666666667)</f>
        <v>45427.66667</v>
      </c>
      <c r="B345" s="2">
        <f>IFERROR(__xludf.DUMMYFUNCTION("""COMPUTED_VALUE"""),187.91)</f>
        <v>187.91</v>
      </c>
      <c r="C345" s="2">
        <f>IFERROR(__xludf.DUMMYFUNCTION("""COMPUTED_VALUE"""),190.65)</f>
        <v>190.65</v>
      </c>
      <c r="D345" s="2">
        <f>IFERROR(__xludf.DUMMYFUNCTION("""COMPUTED_VALUE"""),187.37)</f>
        <v>187.37</v>
      </c>
      <c r="E345" s="2">
        <f>IFERROR(__xludf.DUMMYFUNCTION("""COMPUTED_VALUE"""),189.72)</f>
        <v>189.72</v>
      </c>
      <c r="F345" s="2">
        <f>IFERROR(__xludf.DUMMYFUNCTION("""COMPUTED_VALUE"""),7.0399988E7)</f>
        <v>70399988</v>
      </c>
    </row>
    <row r="346">
      <c r="A346" s="3">
        <f>IFERROR(__xludf.DUMMYFUNCTION("""COMPUTED_VALUE"""),45428.66666666667)</f>
        <v>45428.66667</v>
      </c>
      <c r="B346" s="2">
        <f>IFERROR(__xludf.DUMMYFUNCTION("""COMPUTED_VALUE"""),190.47)</f>
        <v>190.47</v>
      </c>
      <c r="C346" s="2">
        <f>IFERROR(__xludf.DUMMYFUNCTION("""COMPUTED_VALUE"""),191.1)</f>
        <v>191.1</v>
      </c>
      <c r="D346" s="2">
        <f>IFERROR(__xludf.DUMMYFUNCTION("""COMPUTED_VALUE"""),189.66)</f>
        <v>189.66</v>
      </c>
      <c r="E346" s="2">
        <f>IFERROR(__xludf.DUMMYFUNCTION("""COMPUTED_VALUE"""),189.84)</f>
        <v>189.84</v>
      </c>
      <c r="F346" s="2">
        <f>IFERROR(__xludf.DUMMYFUNCTION("""COMPUTED_VALUE"""),5.284523E7)</f>
        <v>52845230</v>
      </c>
    </row>
    <row r="347">
      <c r="A347" s="3">
        <f>IFERROR(__xludf.DUMMYFUNCTION("""COMPUTED_VALUE"""),45429.66666666667)</f>
        <v>45429.66667</v>
      </c>
      <c r="B347" s="2">
        <f>IFERROR(__xludf.DUMMYFUNCTION("""COMPUTED_VALUE"""),189.51)</f>
        <v>189.51</v>
      </c>
      <c r="C347" s="2">
        <f>IFERROR(__xludf.DUMMYFUNCTION("""COMPUTED_VALUE"""),190.81)</f>
        <v>190.81</v>
      </c>
      <c r="D347" s="2">
        <f>IFERROR(__xludf.DUMMYFUNCTION("""COMPUTED_VALUE"""),189.18)</f>
        <v>189.18</v>
      </c>
      <c r="E347" s="2">
        <f>IFERROR(__xludf.DUMMYFUNCTION("""COMPUTED_VALUE"""),189.87)</f>
        <v>189.87</v>
      </c>
      <c r="F347" s="2">
        <f>IFERROR(__xludf.DUMMYFUNCTION("""COMPUTED_VALUE"""),4.1282925E7)</f>
        <v>41282925</v>
      </c>
    </row>
    <row r="348">
      <c r="A348" s="3">
        <f>IFERROR(__xludf.DUMMYFUNCTION("""COMPUTED_VALUE"""),45432.66666666667)</f>
        <v>45432.66667</v>
      </c>
      <c r="B348" s="2">
        <f>IFERROR(__xludf.DUMMYFUNCTION("""COMPUTED_VALUE"""),189.35)</f>
        <v>189.35</v>
      </c>
      <c r="C348" s="2">
        <f>IFERROR(__xludf.DUMMYFUNCTION("""COMPUTED_VALUE"""),191.92)</f>
        <v>191.92</v>
      </c>
      <c r="D348" s="2">
        <f>IFERROR(__xludf.DUMMYFUNCTION("""COMPUTED_VALUE"""),189.01)</f>
        <v>189.01</v>
      </c>
      <c r="E348" s="2">
        <f>IFERROR(__xludf.DUMMYFUNCTION("""COMPUTED_VALUE"""),191.04)</f>
        <v>191.04</v>
      </c>
      <c r="F348" s="2">
        <f>IFERROR(__xludf.DUMMYFUNCTION("""COMPUTED_VALUE"""),4.4361275E7)</f>
        <v>44361275</v>
      </c>
    </row>
    <row r="349">
      <c r="A349" s="3">
        <f>IFERROR(__xludf.DUMMYFUNCTION("""COMPUTED_VALUE"""),45433.66666666667)</f>
        <v>45433.66667</v>
      </c>
      <c r="B349" s="2">
        <f>IFERROR(__xludf.DUMMYFUNCTION("""COMPUTED_VALUE"""),191.09)</f>
        <v>191.09</v>
      </c>
      <c r="C349" s="2">
        <f>IFERROR(__xludf.DUMMYFUNCTION("""COMPUTED_VALUE"""),192.73)</f>
        <v>192.73</v>
      </c>
      <c r="D349" s="2">
        <f>IFERROR(__xludf.DUMMYFUNCTION("""COMPUTED_VALUE"""),190.92)</f>
        <v>190.92</v>
      </c>
      <c r="E349" s="2">
        <f>IFERROR(__xludf.DUMMYFUNCTION("""COMPUTED_VALUE"""),192.35)</f>
        <v>192.35</v>
      </c>
      <c r="F349" s="2">
        <f>IFERROR(__xludf.DUMMYFUNCTION("""COMPUTED_VALUE"""),4.2309401E7)</f>
        <v>42309401</v>
      </c>
    </row>
    <row r="350">
      <c r="A350" s="3">
        <f>IFERROR(__xludf.DUMMYFUNCTION("""COMPUTED_VALUE"""),45434.66666666667)</f>
        <v>45434.66667</v>
      </c>
      <c r="B350" s="2">
        <f>IFERROR(__xludf.DUMMYFUNCTION("""COMPUTED_VALUE"""),192.27)</f>
        <v>192.27</v>
      </c>
      <c r="C350" s="2">
        <f>IFERROR(__xludf.DUMMYFUNCTION("""COMPUTED_VALUE"""),192.82)</f>
        <v>192.82</v>
      </c>
      <c r="D350" s="2">
        <f>IFERROR(__xludf.DUMMYFUNCTION("""COMPUTED_VALUE"""),190.27)</f>
        <v>190.27</v>
      </c>
      <c r="E350" s="2">
        <f>IFERROR(__xludf.DUMMYFUNCTION("""COMPUTED_VALUE"""),190.9)</f>
        <v>190.9</v>
      </c>
      <c r="F350" s="2">
        <f>IFERROR(__xludf.DUMMYFUNCTION("""COMPUTED_VALUE"""),3.4648547E7)</f>
        <v>34648547</v>
      </c>
    </row>
    <row r="351">
      <c r="A351" s="3">
        <f>IFERROR(__xludf.DUMMYFUNCTION("""COMPUTED_VALUE"""),45435.66666666667)</f>
        <v>45435.66667</v>
      </c>
      <c r="B351" s="2">
        <f>IFERROR(__xludf.DUMMYFUNCTION("""COMPUTED_VALUE"""),190.98)</f>
        <v>190.98</v>
      </c>
      <c r="C351" s="2">
        <f>IFERROR(__xludf.DUMMYFUNCTION("""COMPUTED_VALUE"""),191.0)</f>
        <v>191</v>
      </c>
      <c r="D351" s="2">
        <f>IFERROR(__xludf.DUMMYFUNCTION("""COMPUTED_VALUE"""),186.63)</f>
        <v>186.63</v>
      </c>
      <c r="E351" s="2">
        <f>IFERROR(__xludf.DUMMYFUNCTION("""COMPUTED_VALUE"""),186.88)</f>
        <v>186.88</v>
      </c>
      <c r="F351" s="2">
        <f>IFERROR(__xludf.DUMMYFUNCTION("""COMPUTED_VALUE"""),5.1005924E7)</f>
        <v>51005924</v>
      </c>
    </row>
    <row r="352">
      <c r="A352" s="3">
        <f>IFERROR(__xludf.DUMMYFUNCTION("""COMPUTED_VALUE"""),45436.66666666667)</f>
        <v>45436.66667</v>
      </c>
      <c r="B352" s="2">
        <f>IFERROR(__xludf.DUMMYFUNCTION("""COMPUTED_VALUE"""),188.82)</f>
        <v>188.82</v>
      </c>
      <c r="C352" s="2">
        <f>IFERROR(__xludf.DUMMYFUNCTION("""COMPUTED_VALUE"""),190.58)</f>
        <v>190.58</v>
      </c>
      <c r="D352" s="2">
        <f>IFERROR(__xludf.DUMMYFUNCTION("""COMPUTED_VALUE"""),188.04)</f>
        <v>188.04</v>
      </c>
      <c r="E352" s="2">
        <f>IFERROR(__xludf.DUMMYFUNCTION("""COMPUTED_VALUE"""),189.98)</f>
        <v>189.98</v>
      </c>
      <c r="F352" s="2">
        <f>IFERROR(__xludf.DUMMYFUNCTION("""COMPUTED_VALUE"""),3.6326975E7)</f>
        <v>36326975</v>
      </c>
    </row>
    <row r="353">
      <c r="A353" s="3">
        <f>IFERROR(__xludf.DUMMYFUNCTION("""COMPUTED_VALUE"""),45440.66666666667)</f>
        <v>45440.66667</v>
      </c>
      <c r="B353" s="2">
        <f>IFERROR(__xludf.DUMMYFUNCTION("""COMPUTED_VALUE"""),191.51)</f>
        <v>191.51</v>
      </c>
      <c r="C353" s="2">
        <f>IFERROR(__xludf.DUMMYFUNCTION("""COMPUTED_VALUE"""),193.0)</f>
        <v>193</v>
      </c>
      <c r="D353" s="2">
        <f>IFERROR(__xludf.DUMMYFUNCTION("""COMPUTED_VALUE"""),189.1)</f>
        <v>189.1</v>
      </c>
      <c r="E353" s="2">
        <f>IFERROR(__xludf.DUMMYFUNCTION("""COMPUTED_VALUE"""),189.99)</f>
        <v>189.99</v>
      </c>
      <c r="F353" s="2">
        <f>IFERROR(__xludf.DUMMYFUNCTION("""COMPUTED_VALUE"""),5.2280051E7)</f>
        <v>52280051</v>
      </c>
    </row>
    <row r="354">
      <c r="A354" s="3">
        <f>IFERROR(__xludf.DUMMYFUNCTION("""COMPUTED_VALUE"""),45441.66666666667)</f>
        <v>45441.66667</v>
      </c>
      <c r="B354" s="2">
        <f>IFERROR(__xludf.DUMMYFUNCTION("""COMPUTED_VALUE"""),189.61)</f>
        <v>189.61</v>
      </c>
      <c r="C354" s="2">
        <f>IFERROR(__xludf.DUMMYFUNCTION("""COMPUTED_VALUE"""),192.25)</f>
        <v>192.25</v>
      </c>
      <c r="D354" s="2">
        <f>IFERROR(__xludf.DUMMYFUNCTION("""COMPUTED_VALUE"""),189.51)</f>
        <v>189.51</v>
      </c>
      <c r="E354" s="2">
        <f>IFERROR(__xludf.DUMMYFUNCTION("""COMPUTED_VALUE"""),190.29)</f>
        <v>190.29</v>
      </c>
      <c r="F354" s="2">
        <f>IFERROR(__xludf.DUMMYFUNCTION("""COMPUTED_VALUE"""),5.3068016E7)</f>
        <v>53068016</v>
      </c>
    </row>
    <row r="355">
      <c r="A355" s="3">
        <f>IFERROR(__xludf.DUMMYFUNCTION("""COMPUTED_VALUE"""),45442.66666666667)</f>
        <v>45442.66667</v>
      </c>
      <c r="B355" s="2">
        <f>IFERROR(__xludf.DUMMYFUNCTION("""COMPUTED_VALUE"""),190.76)</f>
        <v>190.76</v>
      </c>
      <c r="C355" s="2">
        <f>IFERROR(__xludf.DUMMYFUNCTION("""COMPUTED_VALUE"""),192.18)</f>
        <v>192.18</v>
      </c>
      <c r="D355" s="2">
        <f>IFERROR(__xludf.DUMMYFUNCTION("""COMPUTED_VALUE"""),190.63)</f>
        <v>190.63</v>
      </c>
      <c r="E355" s="2">
        <f>IFERROR(__xludf.DUMMYFUNCTION("""COMPUTED_VALUE"""),191.29)</f>
        <v>191.29</v>
      </c>
      <c r="F355" s="2">
        <f>IFERROR(__xludf.DUMMYFUNCTION("""COMPUTED_VALUE"""),4.9947941E7)</f>
        <v>49947941</v>
      </c>
    </row>
    <row r="356">
      <c r="A356" s="3">
        <f>IFERROR(__xludf.DUMMYFUNCTION("""COMPUTED_VALUE"""),45443.66666666667)</f>
        <v>45443.66667</v>
      </c>
      <c r="B356" s="2">
        <f>IFERROR(__xludf.DUMMYFUNCTION("""COMPUTED_VALUE"""),191.44)</f>
        <v>191.44</v>
      </c>
      <c r="C356" s="2">
        <f>IFERROR(__xludf.DUMMYFUNCTION("""COMPUTED_VALUE"""),192.57)</f>
        <v>192.57</v>
      </c>
      <c r="D356" s="2">
        <f>IFERROR(__xludf.DUMMYFUNCTION("""COMPUTED_VALUE"""),189.91)</f>
        <v>189.91</v>
      </c>
      <c r="E356" s="2">
        <f>IFERROR(__xludf.DUMMYFUNCTION("""COMPUTED_VALUE"""),192.25)</f>
        <v>192.25</v>
      </c>
      <c r="F356" s="2">
        <f>IFERROR(__xludf.DUMMYFUNCTION("""COMPUTED_VALUE"""),7.5158277E7)</f>
        <v>75158277</v>
      </c>
    </row>
    <row r="357">
      <c r="A357" s="3">
        <f>IFERROR(__xludf.DUMMYFUNCTION("""COMPUTED_VALUE"""),45446.66666666667)</f>
        <v>45446.66667</v>
      </c>
      <c r="B357" s="2">
        <f>IFERROR(__xludf.DUMMYFUNCTION("""COMPUTED_VALUE"""),192.9)</f>
        <v>192.9</v>
      </c>
      <c r="C357" s="2">
        <f>IFERROR(__xludf.DUMMYFUNCTION("""COMPUTED_VALUE"""),194.99)</f>
        <v>194.99</v>
      </c>
      <c r="D357" s="2">
        <f>IFERROR(__xludf.DUMMYFUNCTION("""COMPUTED_VALUE"""),192.52)</f>
        <v>192.52</v>
      </c>
      <c r="E357" s="2">
        <f>IFERROR(__xludf.DUMMYFUNCTION("""COMPUTED_VALUE"""),194.03)</f>
        <v>194.03</v>
      </c>
      <c r="F357" s="2">
        <f>IFERROR(__xludf.DUMMYFUNCTION("""COMPUTED_VALUE"""),5.0080539E7)</f>
        <v>50080539</v>
      </c>
    </row>
    <row r="358">
      <c r="A358" s="3">
        <f>IFERROR(__xludf.DUMMYFUNCTION("""COMPUTED_VALUE"""),45447.66666666667)</f>
        <v>45447.66667</v>
      </c>
      <c r="B358" s="2">
        <f>IFERROR(__xludf.DUMMYFUNCTION("""COMPUTED_VALUE"""),194.64)</f>
        <v>194.64</v>
      </c>
      <c r="C358" s="2">
        <f>IFERROR(__xludf.DUMMYFUNCTION("""COMPUTED_VALUE"""),195.32)</f>
        <v>195.32</v>
      </c>
      <c r="D358" s="2">
        <f>IFERROR(__xludf.DUMMYFUNCTION("""COMPUTED_VALUE"""),193.03)</f>
        <v>193.03</v>
      </c>
      <c r="E358" s="2">
        <f>IFERROR(__xludf.DUMMYFUNCTION("""COMPUTED_VALUE"""),194.35)</f>
        <v>194.35</v>
      </c>
      <c r="F358" s="2">
        <f>IFERROR(__xludf.DUMMYFUNCTION("""COMPUTED_VALUE"""),4.7471445E7)</f>
        <v>47471445</v>
      </c>
    </row>
    <row r="359">
      <c r="A359" s="3">
        <f>IFERROR(__xludf.DUMMYFUNCTION("""COMPUTED_VALUE"""),45448.66666666667)</f>
        <v>45448.66667</v>
      </c>
      <c r="B359" s="2">
        <f>IFERROR(__xludf.DUMMYFUNCTION("""COMPUTED_VALUE"""),195.4)</f>
        <v>195.4</v>
      </c>
      <c r="C359" s="2">
        <f>IFERROR(__xludf.DUMMYFUNCTION("""COMPUTED_VALUE"""),196.9)</f>
        <v>196.9</v>
      </c>
      <c r="D359" s="2">
        <f>IFERROR(__xludf.DUMMYFUNCTION("""COMPUTED_VALUE"""),194.87)</f>
        <v>194.87</v>
      </c>
      <c r="E359" s="2">
        <f>IFERROR(__xludf.DUMMYFUNCTION("""COMPUTED_VALUE"""),195.87)</f>
        <v>195.87</v>
      </c>
      <c r="F359" s="2">
        <f>IFERROR(__xludf.DUMMYFUNCTION("""COMPUTED_VALUE"""),5.4156785E7)</f>
        <v>54156785</v>
      </c>
    </row>
    <row r="360">
      <c r="A360" s="3">
        <f>IFERROR(__xludf.DUMMYFUNCTION("""COMPUTED_VALUE"""),45449.66666666667)</f>
        <v>45449.66667</v>
      </c>
      <c r="B360" s="2">
        <f>IFERROR(__xludf.DUMMYFUNCTION("""COMPUTED_VALUE"""),195.69)</f>
        <v>195.69</v>
      </c>
      <c r="C360" s="2">
        <f>IFERROR(__xludf.DUMMYFUNCTION("""COMPUTED_VALUE"""),196.5)</f>
        <v>196.5</v>
      </c>
      <c r="D360" s="2">
        <f>IFERROR(__xludf.DUMMYFUNCTION("""COMPUTED_VALUE"""),194.17)</f>
        <v>194.17</v>
      </c>
      <c r="E360" s="2">
        <f>IFERROR(__xludf.DUMMYFUNCTION("""COMPUTED_VALUE"""),194.48)</f>
        <v>194.48</v>
      </c>
      <c r="F360" s="2">
        <f>IFERROR(__xludf.DUMMYFUNCTION("""COMPUTED_VALUE"""),4.1181753E7)</f>
        <v>41181753</v>
      </c>
    </row>
    <row r="361">
      <c r="A361" s="3">
        <f>IFERROR(__xludf.DUMMYFUNCTION("""COMPUTED_VALUE"""),45450.66666666667)</f>
        <v>45450.66667</v>
      </c>
      <c r="B361" s="2">
        <f>IFERROR(__xludf.DUMMYFUNCTION("""COMPUTED_VALUE"""),194.65)</f>
        <v>194.65</v>
      </c>
      <c r="C361" s="2">
        <f>IFERROR(__xludf.DUMMYFUNCTION("""COMPUTED_VALUE"""),196.94)</f>
        <v>196.94</v>
      </c>
      <c r="D361" s="2">
        <f>IFERROR(__xludf.DUMMYFUNCTION("""COMPUTED_VALUE"""),194.14)</f>
        <v>194.14</v>
      </c>
      <c r="E361" s="2">
        <f>IFERROR(__xludf.DUMMYFUNCTION("""COMPUTED_VALUE"""),196.89)</f>
        <v>196.89</v>
      </c>
      <c r="F361" s="2">
        <f>IFERROR(__xludf.DUMMYFUNCTION("""COMPUTED_VALUE"""),5.3103912E7)</f>
        <v>53103912</v>
      </c>
    </row>
    <row r="362">
      <c r="A362" s="3">
        <f>IFERROR(__xludf.DUMMYFUNCTION("""COMPUTED_VALUE"""),45453.66666666667)</f>
        <v>45453.66667</v>
      </c>
      <c r="B362" s="2">
        <f>IFERROR(__xludf.DUMMYFUNCTION("""COMPUTED_VALUE"""),196.9)</f>
        <v>196.9</v>
      </c>
      <c r="C362" s="2">
        <f>IFERROR(__xludf.DUMMYFUNCTION("""COMPUTED_VALUE"""),197.3)</f>
        <v>197.3</v>
      </c>
      <c r="D362" s="2">
        <f>IFERROR(__xludf.DUMMYFUNCTION("""COMPUTED_VALUE"""),192.15)</f>
        <v>192.15</v>
      </c>
      <c r="E362" s="2">
        <f>IFERROR(__xludf.DUMMYFUNCTION("""COMPUTED_VALUE"""),193.12)</f>
        <v>193.12</v>
      </c>
      <c r="F362" s="2">
        <f>IFERROR(__xludf.DUMMYFUNCTION("""COMPUTED_VALUE"""),9.7262077E7)</f>
        <v>97262077</v>
      </c>
    </row>
    <row r="363">
      <c r="A363" s="3">
        <f>IFERROR(__xludf.DUMMYFUNCTION("""COMPUTED_VALUE"""),45454.66666666667)</f>
        <v>45454.66667</v>
      </c>
      <c r="B363" s="2">
        <f>IFERROR(__xludf.DUMMYFUNCTION("""COMPUTED_VALUE"""),193.65)</f>
        <v>193.65</v>
      </c>
      <c r="C363" s="2">
        <f>IFERROR(__xludf.DUMMYFUNCTION("""COMPUTED_VALUE"""),207.16)</f>
        <v>207.16</v>
      </c>
      <c r="D363" s="2">
        <f>IFERROR(__xludf.DUMMYFUNCTION("""COMPUTED_VALUE"""),193.63)</f>
        <v>193.63</v>
      </c>
      <c r="E363" s="2">
        <f>IFERROR(__xludf.DUMMYFUNCTION("""COMPUTED_VALUE"""),207.15)</f>
        <v>207.15</v>
      </c>
      <c r="F363" s="2">
        <f>IFERROR(__xludf.DUMMYFUNCTION("""COMPUTED_VALUE"""),1.72373296E8)</f>
        <v>172373296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tr">
        <f>IFERROR(__xludf.DUMMYFUNCTION("(GOOGLEFINANCE(""AMZN"", ""all"", DATE(2023, 1, 1), today()))"),"Date")</f>
        <v>Date</v>
      </c>
      <c r="B1" s="2" t="str">
        <f>IFERROR(__xludf.DUMMYFUNCTION("""COMPUTED_VALUE"""),"Open")</f>
        <v>Open</v>
      </c>
      <c r="C1" s="2" t="str">
        <f>IFERROR(__xludf.DUMMYFUNCTION("""COMPUTED_VALUE"""),"High")</f>
        <v>High</v>
      </c>
      <c r="D1" s="2" t="str">
        <f>IFERROR(__xludf.DUMMYFUNCTION("""COMPUTED_VALUE"""),"Low")</f>
        <v>Low</v>
      </c>
      <c r="E1" s="2" t="str">
        <f>IFERROR(__xludf.DUMMYFUNCTION("""COMPUTED_VALUE"""),"Close")</f>
        <v>Close</v>
      </c>
      <c r="F1" s="2" t="str">
        <f>IFERROR(__xludf.DUMMYFUNCTION("""COMPUTED_VALUE"""),"Volume")</f>
        <v>Volume</v>
      </c>
    </row>
    <row r="2">
      <c r="A2" s="3">
        <f>IFERROR(__xludf.DUMMYFUNCTION("""COMPUTED_VALUE"""),44929.66666666667)</f>
        <v>44929.66667</v>
      </c>
      <c r="B2" s="2">
        <f>IFERROR(__xludf.DUMMYFUNCTION("""COMPUTED_VALUE"""),85.46)</f>
        <v>85.46</v>
      </c>
      <c r="C2" s="2">
        <f>IFERROR(__xludf.DUMMYFUNCTION("""COMPUTED_VALUE"""),86.96)</f>
        <v>86.96</v>
      </c>
      <c r="D2" s="2">
        <f>IFERROR(__xludf.DUMMYFUNCTION("""COMPUTED_VALUE"""),84.21)</f>
        <v>84.21</v>
      </c>
      <c r="E2" s="2">
        <f>IFERROR(__xludf.DUMMYFUNCTION("""COMPUTED_VALUE"""),85.82)</f>
        <v>85.82</v>
      </c>
      <c r="F2" s="2">
        <f>IFERROR(__xludf.DUMMYFUNCTION("""COMPUTED_VALUE"""),7.670604E7)</f>
        <v>76706040</v>
      </c>
    </row>
    <row r="3">
      <c r="A3" s="3">
        <f>IFERROR(__xludf.DUMMYFUNCTION("""COMPUTED_VALUE"""),44930.66666666667)</f>
        <v>44930.66667</v>
      </c>
      <c r="B3" s="2">
        <f>IFERROR(__xludf.DUMMYFUNCTION("""COMPUTED_VALUE"""),86.55)</f>
        <v>86.55</v>
      </c>
      <c r="C3" s="2">
        <f>IFERROR(__xludf.DUMMYFUNCTION("""COMPUTED_VALUE"""),86.98)</f>
        <v>86.98</v>
      </c>
      <c r="D3" s="2">
        <f>IFERROR(__xludf.DUMMYFUNCTION("""COMPUTED_VALUE"""),83.36)</f>
        <v>83.36</v>
      </c>
      <c r="E3" s="2">
        <f>IFERROR(__xludf.DUMMYFUNCTION("""COMPUTED_VALUE"""),85.14)</f>
        <v>85.14</v>
      </c>
      <c r="F3" s="2">
        <f>IFERROR(__xludf.DUMMYFUNCTION("""COMPUTED_VALUE"""),6.8885123E7)</f>
        <v>68885123</v>
      </c>
    </row>
    <row r="4">
      <c r="A4" s="3">
        <f>IFERROR(__xludf.DUMMYFUNCTION("""COMPUTED_VALUE"""),44931.66666666667)</f>
        <v>44931.66667</v>
      </c>
      <c r="B4" s="2">
        <f>IFERROR(__xludf.DUMMYFUNCTION("""COMPUTED_VALUE"""),85.33)</f>
        <v>85.33</v>
      </c>
      <c r="C4" s="2">
        <f>IFERROR(__xludf.DUMMYFUNCTION("""COMPUTED_VALUE"""),85.42)</f>
        <v>85.42</v>
      </c>
      <c r="D4" s="2">
        <f>IFERROR(__xludf.DUMMYFUNCTION("""COMPUTED_VALUE"""),83.07)</f>
        <v>83.07</v>
      </c>
      <c r="E4" s="2">
        <f>IFERROR(__xludf.DUMMYFUNCTION("""COMPUTED_VALUE"""),83.12)</f>
        <v>83.12</v>
      </c>
      <c r="F4" s="2">
        <f>IFERROR(__xludf.DUMMYFUNCTION("""COMPUTED_VALUE"""),6.7930825E7)</f>
        <v>67930825</v>
      </c>
    </row>
    <row r="5">
      <c r="A5" s="3">
        <f>IFERROR(__xludf.DUMMYFUNCTION("""COMPUTED_VALUE"""),44932.66666666667)</f>
        <v>44932.66667</v>
      </c>
      <c r="B5" s="2">
        <f>IFERROR(__xludf.DUMMYFUNCTION("""COMPUTED_VALUE"""),83.03)</f>
        <v>83.03</v>
      </c>
      <c r="C5" s="2">
        <f>IFERROR(__xludf.DUMMYFUNCTION("""COMPUTED_VALUE"""),86.4)</f>
        <v>86.4</v>
      </c>
      <c r="D5" s="2">
        <f>IFERROR(__xludf.DUMMYFUNCTION("""COMPUTED_VALUE"""),81.43)</f>
        <v>81.43</v>
      </c>
      <c r="E5" s="2">
        <f>IFERROR(__xludf.DUMMYFUNCTION("""COMPUTED_VALUE"""),86.08)</f>
        <v>86.08</v>
      </c>
      <c r="F5" s="2">
        <f>IFERROR(__xludf.DUMMYFUNCTION("""COMPUTED_VALUE"""),8.3303361E7)</f>
        <v>83303361</v>
      </c>
    </row>
    <row r="6">
      <c r="A6" s="3">
        <f>IFERROR(__xludf.DUMMYFUNCTION("""COMPUTED_VALUE"""),44935.66666666667)</f>
        <v>44935.66667</v>
      </c>
      <c r="B6" s="2">
        <f>IFERROR(__xludf.DUMMYFUNCTION("""COMPUTED_VALUE"""),87.46)</f>
        <v>87.46</v>
      </c>
      <c r="C6" s="2">
        <f>IFERROR(__xludf.DUMMYFUNCTION("""COMPUTED_VALUE"""),89.48)</f>
        <v>89.48</v>
      </c>
      <c r="D6" s="2">
        <f>IFERROR(__xludf.DUMMYFUNCTION("""COMPUTED_VALUE"""),87.08)</f>
        <v>87.08</v>
      </c>
      <c r="E6" s="2">
        <f>IFERROR(__xludf.DUMMYFUNCTION("""COMPUTED_VALUE"""),87.36)</f>
        <v>87.36</v>
      </c>
      <c r="F6" s="2">
        <f>IFERROR(__xludf.DUMMYFUNCTION("""COMPUTED_VALUE"""),6.5266056E7)</f>
        <v>65266056</v>
      </c>
    </row>
    <row r="7">
      <c r="A7" s="3">
        <f>IFERROR(__xludf.DUMMYFUNCTION("""COMPUTED_VALUE"""),44936.66666666667)</f>
        <v>44936.66667</v>
      </c>
      <c r="B7" s="2">
        <f>IFERROR(__xludf.DUMMYFUNCTION("""COMPUTED_VALUE"""),87.57)</f>
        <v>87.57</v>
      </c>
      <c r="C7" s="2">
        <f>IFERROR(__xludf.DUMMYFUNCTION("""COMPUTED_VALUE"""),90.19)</f>
        <v>90.19</v>
      </c>
      <c r="D7" s="2">
        <f>IFERROR(__xludf.DUMMYFUNCTION("""COMPUTED_VALUE"""),87.29)</f>
        <v>87.29</v>
      </c>
      <c r="E7" s="2">
        <f>IFERROR(__xludf.DUMMYFUNCTION("""COMPUTED_VALUE"""),89.87)</f>
        <v>89.87</v>
      </c>
      <c r="F7" s="2">
        <f>IFERROR(__xludf.DUMMYFUNCTION("""COMPUTED_VALUE"""),6.7756601E7)</f>
        <v>67756601</v>
      </c>
    </row>
    <row r="8">
      <c r="A8" s="3">
        <f>IFERROR(__xludf.DUMMYFUNCTION("""COMPUTED_VALUE"""),44937.66666666667)</f>
        <v>44937.66667</v>
      </c>
      <c r="B8" s="2">
        <f>IFERROR(__xludf.DUMMYFUNCTION("""COMPUTED_VALUE"""),90.93)</f>
        <v>90.93</v>
      </c>
      <c r="C8" s="2">
        <f>IFERROR(__xludf.DUMMYFUNCTION("""COMPUTED_VALUE"""),95.26)</f>
        <v>95.26</v>
      </c>
      <c r="D8" s="2">
        <f>IFERROR(__xludf.DUMMYFUNCTION("""COMPUTED_VALUE"""),90.93)</f>
        <v>90.93</v>
      </c>
      <c r="E8" s="2">
        <f>IFERROR(__xludf.DUMMYFUNCTION("""COMPUTED_VALUE"""),95.09)</f>
        <v>95.09</v>
      </c>
      <c r="F8" s="2">
        <f>IFERROR(__xludf.DUMMYFUNCTION("""COMPUTED_VALUE"""),1.03126183E8)</f>
        <v>103126183</v>
      </c>
    </row>
    <row r="9">
      <c r="A9" s="3">
        <f>IFERROR(__xludf.DUMMYFUNCTION("""COMPUTED_VALUE"""),44938.66666666667)</f>
        <v>44938.66667</v>
      </c>
      <c r="B9" s="2">
        <f>IFERROR(__xludf.DUMMYFUNCTION("""COMPUTED_VALUE"""),96.93)</f>
        <v>96.93</v>
      </c>
      <c r="C9" s="2">
        <f>IFERROR(__xludf.DUMMYFUNCTION("""COMPUTED_VALUE"""),97.19)</f>
        <v>97.19</v>
      </c>
      <c r="D9" s="2">
        <f>IFERROR(__xludf.DUMMYFUNCTION("""COMPUTED_VALUE"""),93.5)</f>
        <v>93.5</v>
      </c>
      <c r="E9" s="2">
        <f>IFERROR(__xludf.DUMMYFUNCTION("""COMPUTED_VALUE"""),95.27)</f>
        <v>95.27</v>
      </c>
      <c r="F9" s="2">
        <f>IFERROR(__xludf.DUMMYFUNCTION("""COMPUTED_VALUE"""),8.5254781E7)</f>
        <v>85254781</v>
      </c>
    </row>
    <row r="10">
      <c r="A10" s="3">
        <f>IFERROR(__xludf.DUMMYFUNCTION("""COMPUTED_VALUE"""),44939.66666666667)</f>
        <v>44939.66667</v>
      </c>
      <c r="B10" s="2">
        <f>IFERROR(__xludf.DUMMYFUNCTION("""COMPUTED_VALUE"""),94.18)</f>
        <v>94.18</v>
      </c>
      <c r="C10" s="2">
        <f>IFERROR(__xludf.DUMMYFUNCTION("""COMPUTED_VALUE"""),98.37)</f>
        <v>98.37</v>
      </c>
      <c r="D10" s="2">
        <f>IFERROR(__xludf.DUMMYFUNCTION("""COMPUTED_VALUE"""),94.12)</f>
        <v>94.12</v>
      </c>
      <c r="E10" s="2">
        <f>IFERROR(__xludf.DUMMYFUNCTION("""COMPUTED_VALUE"""),98.12)</f>
        <v>98.12</v>
      </c>
      <c r="F10" s="2">
        <f>IFERROR(__xludf.DUMMYFUNCTION("""COMPUTED_VALUE"""),8.5549432E7)</f>
        <v>85549432</v>
      </c>
    </row>
    <row r="11">
      <c r="A11" s="3">
        <f>IFERROR(__xludf.DUMMYFUNCTION("""COMPUTED_VALUE"""),44943.66666666667)</f>
        <v>44943.66667</v>
      </c>
      <c r="B11" s="2">
        <f>IFERROR(__xludf.DUMMYFUNCTION("""COMPUTED_VALUE"""),98.68)</f>
        <v>98.68</v>
      </c>
      <c r="C11" s="2">
        <f>IFERROR(__xludf.DUMMYFUNCTION("""COMPUTED_VALUE"""),98.89)</f>
        <v>98.89</v>
      </c>
      <c r="D11" s="2">
        <f>IFERROR(__xludf.DUMMYFUNCTION("""COMPUTED_VALUE"""),95.73)</f>
        <v>95.73</v>
      </c>
      <c r="E11" s="2">
        <f>IFERROR(__xludf.DUMMYFUNCTION("""COMPUTED_VALUE"""),96.05)</f>
        <v>96.05</v>
      </c>
      <c r="F11" s="2">
        <f>IFERROR(__xludf.DUMMYFUNCTION("""COMPUTED_VALUE"""),7.2755001E7)</f>
        <v>72755001</v>
      </c>
    </row>
    <row r="12">
      <c r="A12" s="3">
        <f>IFERROR(__xludf.DUMMYFUNCTION("""COMPUTED_VALUE"""),44944.66666666667)</f>
        <v>44944.66667</v>
      </c>
      <c r="B12" s="2">
        <f>IFERROR(__xludf.DUMMYFUNCTION("""COMPUTED_VALUE"""),97.25)</f>
        <v>97.25</v>
      </c>
      <c r="C12" s="2">
        <f>IFERROR(__xludf.DUMMYFUNCTION("""COMPUTED_VALUE"""),99.32)</f>
        <v>99.32</v>
      </c>
      <c r="D12" s="2">
        <f>IFERROR(__xludf.DUMMYFUNCTION("""COMPUTED_VALUE"""),95.38)</f>
        <v>95.38</v>
      </c>
      <c r="E12" s="2">
        <f>IFERROR(__xludf.DUMMYFUNCTION("""COMPUTED_VALUE"""),95.46)</f>
        <v>95.46</v>
      </c>
      <c r="F12" s="2">
        <f>IFERROR(__xludf.DUMMYFUNCTION("""COMPUTED_VALUE"""),7.957037E7)</f>
        <v>79570370</v>
      </c>
    </row>
    <row r="13">
      <c r="A13" s="3">
        <f>IFERROR(__xludf.DUMMYFUNCTION("""COMPUTED_VALUE"""),44945.66666666667)</f>
        <v>44945.66667</v>
      </c>
      <c r="B13" s="2">
        <f>IFERROR(__xludf.DUMMYFUNCTION("""COMPUTED_VALUE"""),94.74)</f>
        <v>94.74</v>
      </c>
      <c r="C13" s="2">
        <f>IFERROR(__xludf.DUMMYFUNCTION("""COMPUTED_VALUE"""),95.44)</f>
        <v>95.44</v>
      </c>
      <c r="D13" s="2">
        <f>IFERROR(__xludf.DUMMYFUNCTION("""COMPUTED_VALUE"""),92.86)</f>
        <v>92.86</v>
      </c>
      <c r="E13" s="2">
        <f>IFERROR(__xludf.DUMMYFUNCTION("""COMPUTED_VALUE"""),93.68)</f>
        <v>93.68</v>
      </c>
      <c r="F13" s="2">
        <f>IFERROR(__xludf.DUMMYFUNCTION("""COMPUTED_VALUE"""),6.9002663E7)</f>
        <v>69002663</v>
      </c>
    </row>
    <row r="14">
      <c r="A14" s="3">
        <f>IFERROR(__xludf.DUMMYFUNCTION("""COMPUTED_VALUE"""),44946.66666666667)</f>
        <v>44946.66667</v>
      </c>
      <c r="B14" s="2">
        <f>IFERROR(__xludf.DUMMYFUNCTION("""COMPUTED_VALUE"""),93.86)</f>
        <v>93.86</v>
      </c>
      <c r="C14" s="2">
        <f>IFERROR(__xludf.DUMMYFUNCTION("""COMPUTED_VALUE"""),97.35)</f>
        <v>97.35</v>
      </c>
      <c r="D14" s="2">
        <f>IFERROR(__xludf.DUMMYFUNCTION("""COMPUTED_VALUE"""),93.2)</f>
        <v>93.2</v>
      </c>
      <c r="E14" s="2">
        <f>IFERROR(__xludf.DUMMYFUNCTION("""COMPUTED_VALUE"""),97.25)</f>
        <v>97.25</v>
      </c>
      <c r="F14" s="2">
        <f>IFERROR(__xludf.DUMMYFUNCTION("""COMPUTED_VALUE"""),6.7481539E7)</f>
        <v>67481539</v>
      </c>
    </row>
    <row r="15">
      <c r="A15" s="3">
        <f>IFERROR(__xludf.DUMMYFUNCTION("""COMPUTED_VALUE"""),44949.66666666667)</f>
        <v>44949.66667</v>
      </c>
      <c r="B15" s="2">
        <f>IFERROR(__xludf.DUMMYFUNCTION("""COMPUTED_VALUE"""),97.56)</f>
        <v>97.56</v>
      </c>
      <c r="C15" s="2">
        <f>IFERROR(__xludf.DUMMYFUNCTION("""COMPUTED_VALUE"""),97.78)</f>
        <v>97.78</v>
      </c>
      <c r="D15" s="2">
        <f>IFERROR(__xludf.DUMMYFUNCTION("""COMPUTED_VALUE"""),95.86)</f>
        <v>95.86</v>
      </c>
      <c r="E15" s="2">
        <f>IFERROR(__xludf.DUMMYFUNCTION("""COMPUTED_VALUE"""),97.52)</f>
        <v>97.52</v>
      </c>
      <c r="F15" s="2">
        <f>IFERROR(__xludf.DUMMYFUNCTION("""COMPUTED_VALUE"""),7.6501103E7)</f>
        <v>76501103</v>
      </c>
    </row>
    <row r="16">
      <c r="A16" s="3">
        <f>IFERROR(__xludf.DUMMYFUNCTION("""COMPUTED_VALUE"""),44950.66666666667)</f>
        <v>44950.66667</v>
      </c>
      <c r="B16" s="2">
        <f>IFERROR(__xludf.DUMMYFUNCTION("""COMPUTED_VALUE"""),96.93)</f>
        <v>96.93</v>
      </c>
      <c r="C16" s="2">
        <f>IFERROR(__xludf.DUMMYFUNCTION("""COMPUTED_VALUE"""),98.09)</f>
        <v>98.09</v>
      </c>
      <c r="D16" s="2">
        <f>IFERROR(__xludf.DUMMYFUNCTION("""COMPUTED_VALUE"""),96.0)</f>
        <v>96</v>
      </c>
      <c r="E16" s="2">
        <f>IFERROR(__xludf.DUMMYFUNCTION("""COMPUTED_VALUE"""),96.32)</f>
        <v>96.32</v>
      </c>
      <c r="F16" s="2">
        <f>IFERROR(__xludf.DUMMYFUNCTION("""COMPUTED_VALUE"""),6.6929452E7)</f>
        <v>66929452</v>
      </c>
    </row>
    <row r="17">
      <c r="A17" s="3">
        <f>IFERROR(__xludf.DUMMYFUNCTION("""COMPUTED_VALUE"""),44951.66666666667)</f>
        <v>44951.66667</v>
      </c>
      <c r="B17" s="2">
        <f>IFERROR(__xludf.DUMMYFUNCTION("""COMPUTED_VALUE"""),92.56)</f>
        <v>92.56</v>
      </c>
      <c r="C17" s="2">
        <f>IFERROR(__xludf.DUMMYFUNCTION("""COMPUTED_VALUE"""),97.24)</f>
        <v>97.24</v>
      </c>
      <c r="D17" s="2">
        <f>IFERROR(__xludf.DUMMYFUNCTION("""COMPUTED_VALUE"""),91.52)</f>
        <v>91.52</v>
      </c>
      <c r="E17" s="2">
        <f>IFERROR(__xludf.DUMMYFUNCTION("""COMPUTED_VALUE"""),97.18)</f>
        <v>97.18</v>
      </c>
      <c r="F17" s="2">
        <f>IFERROR(__xludf.DUMMYFUNCTION("""COMPUTED_VALUE"""),9.426157E7)</f>
        <v>94261570</v>
      </c>
    </row>
    <row r="18">
      <c r="A18" s="3">
        <f>IFERROR(__xludf.DUMMYFUNCTION("""COMPUTED_VALUE"""),44952.66666666667)</f>
        <v>44952.66667</v>
      </c>
      <c r="B18" s="2">
        <f>IFERROR(__xludf.DUMMYFUNCTION("""COMPUTED_VALUE"""),98.24)</f>
        <v>98.24</v>
      </c>
      <c r="C18" s="2">
        <f>IFERROR(__xludf.DUMMYFUNCTION("""COMPUTED_VALUE"""),99.49)</f>
        <v>99.49</v>
      </c>
      <c r="D18" s="2">
        <f>IFERROR(__xludf.DUMMYFUNCTION("""COMPUTED_VALUE"""),96.92)</f>
        <v>96.92</v>
      </c>
      <c r="E18" s="2">
        <f>IFERROR(__xludf.DUMMYFUNCTION("""COMPUTED_VALUE"""),99.22)</f>
        <v>99.22</v>
      </c>
      <c r="F18" s="2">
        <f>IFERROR(__xludf.DUMMYFUNCTION("""COMPUTED_VALUE"""),6.8523557E7)</f>
        <v>68523557</v>
      </c>
    </row>
    <row r="19">
      <c r="A19" s="3">
        <f>IFERROR(__xludf.DUMMYFUNCTION("""COMPUTED_VALUE"""),44953.66666666667)</f>
        <v>44953.66667</v>
      </c>
      <c r="B19" s="2">
        <f>IFERROR(__xludf.DUMMYFUNCTION("""COMPUTED_VALUE"""),99.53)</f>
        <v>99.53</v>
      </c>
      <c r="C19" s="2">
        <f>IFERROR(__xludf.DUMMYFUNCTION("""COMPUTED_VALUE"""),103.49)</f>
        <v>103.49</v>
      </c>
      <c r="D19" s="2">
        <f>IFERROR(__xludf.DUMMYFUNCTION("""COMPUTED_VALUE"""),99.53)</f>
        <v>99.53</v>
      </c>
      <c r="E19" s="2">
        <f>IFERROR(__xludf.DUMMYFUNCTION("""COMPUTED_VALUE"""),102.24)</f>
        <v>102.24</v>
      </c>
      <c r="F19" s="2">
        <f>IFERROR(__xludf.DUMMYFUNCTION("""COMPUTED_VALUE"""),8.7775614E7)</f>
        <v>87775614</v>
      </c>
    </row>
    <row r="20">
      <c r="A20" s="3">
        <f>IFERROR(__xludf.DUMMYFUNCTION("""COMPUTED_VALUE"""),44956.66666666667)</f>
        <v>44956.66667</v>
      </c>
      <c r="B20" s="2">
        <f>IFERROR(__xludf.DUMMYFUNCTION("""COMPUTED_VALUE"""),101.09)</f>
        <v>101.09</v>
      </c>
      <c r="C20" s="2">
        <f>IFERROR(__xludf.DUMMYFUNCTION("""COMPUTED_VALUE"""),101.74)</f>
        <v>101.74</v>
      </c>
      <c r="D20" s="2">
        <f>IFERROR(__xludf.DUMMYFUNCTION("""COMPUTED_VALUE"""),99.01)</f>
        <v>99.01</v>
      </c>
      <c r="E20" s="2">
        <f>IFERROR(__xludf.DUMMYFUNCTION("""COMPUTED_VALUE"""),100.55)</f>
        <v>100.55</v>
      </c>
      <c r="F20" s="2">
        <f>IFERROR(__xludf.DUMMYFUNCTION("""COMPUTED_VALUE"""),7.069186E7)</f>
        <v>70691860</v>
      </c>
    </row>
    <row r="21">
      <c r="A21" s="3">
        <f>IFERROR(__xludf.DUMMYFUNCTION("""COMPUTED_VALUE"""),44957.66666666667)</f>
        <v>44957.66667</v>
      </c>
      <c r="B21" s="2">
        <f>IFERROR(__xludf.DUMMYFUNCTION("""COMPUTED_VALUE"""),101.16)</f>
        <v>101.16</v>
      </c>
      <c r="C21" s="2">
        <f>IFERROR(__xludf.DUMMYFUNCTION("""COMPUTED_VALUE"""),103.35)</f>
        <v>103.35</v>
      </c>
      <c r="D21" s="2">
        <f>IFERROR(__xludf.DUMMYFUNCTION("""COMPUTED_VALUE"""),101.14)</f>
        <v>101.14</v>
      </c>
      <c r="E21" s="2">
        <f>IFERROR(__xludf.DUMMYFUNCTION("""COMPUTED_VALUE"""),103.13)</f>
        <v>103.13</v>
      </c>
      <c r="F21" s="2">
        <f>IFERROR(__xludf.DUMMYFUNCTION("""COMPUTED_VALUE"""),6.6527253E7)</f>
        <v>66527253</v>
      </c>
    </row>
    <row r="22">
      <c r="A22" s="3">
        <f>IFERROR(__xludf.DUMMYFUNCTION("""COMPUTED_VALUE"""),44958.66666666667)</f>
        <v>44958.66667</v>
      </c>
      <c r="B22" s="2">
        <f>IFERROR(__xludf.DUMMYFUNCTION("""COMPUTED_VALUE"""),102.53)</f>
        <v>102.53</v>
      </c>
      <c r="C22" s="2">
        <f>IFERROR(__xludf.DUMMYFUNCTION("""COMPUTED_VALUE"""),106.24)</f>
        <v>106.24</v>
      </c>
      <c r="D22" s="2">
        <f>IFERROR(__xludf.DUMMYFUNCTION("""COMPUTED_VALUE"""),101.24)</f>
        <v>101.24</v>
      </c>
      <c r="E22" s="2">
        <f>IFERROR(__xludf.DUMMYFUNCTION("""COMPUTED_VALUE"""),105.15)</f>
        <v>105.15</v>
      </c>
      <c r="F22" s="2">
        <f>IFERROR(__xludf.DUMMYFUNCTION("""COMPUTED_VALUE"""),8.0450121E7)</f>
        <v>80450121</v>
      </c>
    </row>
    <row r="23">
      <c r="A23" s="3">
        <f>IFERROR(__xludf.DUMMYFUNCTION("""COMPUTED_VALUE"""),44959.66666666667)</f>
        <v>44959.66667</v>
      </c>
      <c r="B23" s="2">
        <f>IFERROR(__xludf.DUMMYFUNCTION("""COMPUTED_VALUE"""),110.25)</f>
        <v>110.25</v>
      </c>
      <c r="C23" s="2">
        <f>IFERROR(__xludf.DUMMYFUNCTION("""COMPUTED_VALUE"""),114.0)</f>
        <v>114</v>
      </c>
      <c r="D23" s="2">
        <f>IFERROR(__xludf.DUMMYFUNCTION("""COMPUTED_VALUE"""),108.88)</f>
        <v>108.88</v>
      </c>
      <c r="E23" s="2">
        <f>IFERROR(__xludf.DUMMYFUNCTION("""COMPUTED_VALUE"""),112.91)</f>
        <v>112.91</v>
      </c>
      <c r="F23" s="2">
        <f>IFERROR(__xludf.DUMMYFUNCTION("""COMPUTED_VALUE"""),1.58154243E8)</f>
        <v>158154243</v>
      </c>
    </row>
    <row r="24">
      <c r="A24" s="3">
        <f>IFERROR(__xludf.DUMMYFUNCTION("""COMPUTED_VALUE"""),44960.66666666667)</f>
        <v>44960.66667</v>
      </c>
      <c r="B24" s="2">
        <f>IFERROR(__xludf.DUMMYFUNCTION("""COMPUTED_VALUE"""),105.26)</f>
        <v>105.26</v>
      </c>
      <c r="C24" s="2">
        <f>IFERROR(__xludf.DUMMYFUNCTION("""COMPUTED_VALUE"""),108.78)</f>
        <v>108.78</v>
      </c>
      <c r="D24" s="2">
        <f>IFERROR(__xludf.DUMMYFUNCTION("""COMPUTED_VALUE"""),102.52)</f>
        <v>102.52</v>
      </c>
      <c r="E24" s="2">
        <f>IFERROR(__xludf.DUMMYFUNCTION("""COMPUTED_VALUE"""),103.39)</f>
        <v>103.39</v>
      </c>
      <c r="F24" s="2">
        <f>IFERROR(__xludf.DUMMYFUNCTION("""COMPUTED_VALUE"""),1.44374828E8)</f>
        <v>144374828</v>
      </c>
    </row>
    <row r="25">
      <c r="A25" s="3">
        <f>IFERROR(__xludf.DUMMYFUNCTION("""COMPUTED_VALUE"""),44963.66666666667)</f>
        <v>44963.66667</v>
      </c>
      <c r="B25" s="2">
        <f>IFERROR(__xludf.DUMMYFUNCTION("""COMPUTED_VALUE"""),102.93)</f>
        <v>102.93</v>
      </c>
      <c r="C25" s="2">
        <f>IFERROR(__xludf.DUMMYFUNCTION("""COMPUTED_VALUE"""),103.95)</f>
        <v>103.95</v>
      </c>
      <c r="D25" s="2">
        <f>IFERROR(__xludf.DUMMYFUNCTION("""COMPUTED_VALUE"""),100.65)</f>
        <v>100.65</v>
      </c>
      <c r="E25" s="2">
        <f>IFERROR(__xludf.DUMMYFUNCTION("""COMPUTED_VALUE"""),102.18)</f>
        <v>102.18</v>
      </c>
      <c r="F25" s="2">
        <f>IFERROR(__xludf.DUMMYFUNCTION("""COMPUTED_VALUE"""),8.1945199E7)</f>
        <v>81945199</v>
      </c>
    </row>
    <row r="26">
      <c r="A26" s="3">
        <f>IFERROR(__xludf.DUMMYFUNCTION("""COMPUTED_VALUE"""),44964.66666666667)</f>
        <v>44964.66667</v>
      </c>
      <c r="B26" s="2">
        <f>IFERROR(__xludf.DUMMYFUNCTION("""COMPUTED_VALUE"""),101.17)</f>
        <v>101.17</v>
      </c>
      <c r="C26" s="2">
        <f>IFERROR(__xludf.DUMMYFUNCTION("""COMPUTED_VALUE"""),102.41)</f>
        <v>102.41</v>
      </c>
      <c r="D26" s="2">
        <f>IFERROR(__xludf.DUMMYFUNCTION("""COMPUTED_VALUE"""),98.08)</f>
        <v>98.08</v>
      </c>
      <c r="E26" s="2">
        <f>IFERROR(__xludf.DUMMYFUNCTION("""COMPUTED_VALUE"""),102.11)</f>
        <v>102.11</v>
      </c>
      <c r="F26" s="2">
        <f>IFERROR(__xludf.DUMMYFUNCTION("""COMPUTED_VALUE"""),1.19501301E8)</f>
        <v>119501301</v>
      </c>
    </row>
    <row r="27">
      <c r="A27" s="3">
        <f>IFERROR(__xludf.DUMMYFUNCTION("""COMPUTED_VALUE"""),44965.66666666667)</f>
        <v>44965.66667</v>
      </c>
      <c r="B27" s="2">
        <f>IFERROR(__xludf.DUMMYFUNCTION("""COMPUTED_VALUE"""),102.04)</f>
        <v>102.04</v>
      </c>
      <c r="C27" s="2">
        <f>IFERROR(__xludf.DUMMYFUNCTION("""COMPUTED_VALUE"""),102.67)</f>
        <v>102.67</v>
      </c>
      <c r="D27" s="2">
        <f>IFERROR(__xludf.DUMMYFUNCTION("""COMPUTED_VALUE"""),98.78)</f>
        <v>98.78</v>
      </c>
      <c r="E27" s="2">
        <f>IFERROR(__xludf.DUMMYFUNCTION("""COMPUTED_VALUE"""),100.05)</f>
        <v>100.05</v>
      </c>
      <c r="F27" s="2">
        <f>IFERROR(__xludf.DUMMYFUNCTION("""COMPUTED_VALUE"""),7.5878304E7)</f>
        <v>75878304</v>
      </c>
    </row>
    <row r="28">
      <c r="A28" s="3">
        <f>IFERROR(__xludf.DUMMYFUNCTION("""COMPUTED_VALUE"""),44966.66666666667)</f>
        <v>44966.66667</v>
      </c>
      <c r="B28" s="2">
        <f>IFERROR(__xludf.DUMMYFUNCTION("""COMPUTED_VALUE"""),101.32)</f>
        <v>101.32</v>
      </c>
      <c r="C28" s="2">
        <f>IFERROR(__xludf.DUMMYFUNCTION("""COMPUTED_VALUE"""),101.78)</f>
        <v>101.78</v>
      </c>
      <c r="D28" s="2">
        <f>IFERROR(__xludf.DUMMYFUNCTION("""COMPUTED_VALUE"""),97.57)</f>
        <v>97.57</v>
      </c>
      <c r="E28" s="2">
        <f>IFERROR(__xludf.DUMMYFUNCTION("""COMPUTED_VALUE"""),98.24)</f>
        <v>98.24</v>
      </c>
      <c r="F28" s="2">
        <f>IFERROR(__xludf.DUMMYFUNCTION("""COMPUTED_VALUE"""),6.4622489E7)</f>
        <v>64622489</v>
      </c>
    </row>
    <row r="29">
      <c r="A29" s="3">
        <f>IFERROR(__xludf.DUMMYFUNCTION("""COMPUTED_VALUE"""),44967.66666666667)</f>
        <v>44967.66667</v>
      </c>
      <c r="B29" s="2">
        <f>IFERROR(__xludf.DUMMYFUNCTION("""COMPUTED_VALUE"""),97.56)</f>
        <v>97.56</v>
      </c>
      <c r="C29" s="2">
        <f>IFERROR(__xludf.DUMMYFUNCTION("""COMPUTED_VALUE"""),98.82)</f>
        <v>98.82</v>
      </c>
      <c r="D29" s="2">
        <f>IFERROR(__xludf.DUMMYFUNCTION("""COMPUTED_VALUE"""),96.23)</f>
        <v>96.23</v>
      </c>
      <c r="E29" s="2">
        <f>IFERROR(__xludf.DUMMYFUNCTION("""COMPUTED_VALUE"""),97.61)</f>
        <v>97.61</v>
      </c>
      <c r="F29" s="2">
        <f>IFERROR(__xludf.DUMMYFUNCTION("""COMPUTED_VALUE"""),5.2740133E7)</f>
        <v>52740133</v>
      </c>
    </row>
    <row r="30">
      <c r="A30" s="3">
        <f>IFERROR(__xludf.DUMMYFUNCTION("""COMPUTED_VALUE"""),44970.66666666667)</f>
        <v>44970.66667</v>
      </c>
      <c r="B30" s="2">
        <f>IFERROR(__xludf.DUMMYFUNCTION("""COMPUTED_VALUE"""),97.85)</f>
        <v>97.85</v>
      </c>
      <c r="C30" s="2">
        <f>IFERROR(__xludf.DUMMYFUNCTION("""COMPUTED_VALUE"""),99.68)</f>
        <v>99.68</v>
      </c>
      <c r="D30" s="2">
        <f>IFERROR(__xludf.DUMMYFUNCTION("""COMPUTED_VALUE"""),96.91)</f>
        <v>96.91</v>
      </c>
      <c r="E30" s="2">
        <f>IFERROR(__xludf.DUMMYFUNCTION("""COMPUTED_VALUE"""),99.54)</f>
        <v>99.54</v>
      </c>
      <c r="F30" s="2">
        <f>IFERROR(__xludf.DUMMYFUNCTION("""COMPUTED_VALUE"""),5.2841464E7)</f>
        <v>52841464</v>
      </c>
    </row>
    <row r="31">
      <c r="A31" s="3">
        <f>IFERROR(__xludf.DUMMYFUNCTION("""COMPUTED_VALUE"""),44971.66666666667)</f>
        <v>44971.66667</v>
      </c>
      <c r="B31" s="2">
        <f>IFERROR(__xludf.DUMMYFUNCTION("""COMPUTED_VALUE"""),98.41)</f>
        <v>98.41</v>
      </c>
      <c r="C31" s="2">
        <f>IFERROR(__xludf.DUMMYFUNCTION("""COMPUTED_VALUE"""),100.92)</f>
        <v>100.92</v>
      </c>
      <c r="D31" s="2">
        <f>IFERROR(__xludf.DUMMYFUNCTION("""COMPUTED_VALUE"""),97.52)</f>
        <v>97.52</v>
      </c>
      <c r="E31" s="2">
        <f>IFERROR(__xludf.DUMMYFUNCTION("""COMPUTED_VALUE"""),99.7)</f>
        <v>99.7</v>
      </c>
      <c r="F31" s="2">
        <f>IFERROR(__xludf.DUMMYFUNCTION("""COMPUTED_VALUE"""),5.6202898E7)</f>
        <v>56202898</v>
      </c>
    </row>
    <row r="32">
      <c r="A32" s="3">
        <f>IFERROR(__xludf.DUMMYFUNCTION("""COMPUTED_VALUE"""),44972.66666666667)</f>
        <v>44972.66667</v>
      </c>
      <c r="B32" s="2">
        <f>IFERROR(__xludf.DUMMYFUNCTION("""COMPUTED_VALUE"""),99.09)</f>
        <v>99.09</v>
      </c>
      <c r="C32" s="2">
        <f>IFERROR(__xludf.DUMMYFUNCTION("""COMPUTED_VALUE"""),101.17)</f>
        <v>101.17</v>
      </c>
      <c r="D32" s="2">
        <f>IFERROR(__xludf.DUMMYFUNCTION("""COMPUTED_VALUE"""),98.45)</f>
        <v>98.45</v>
      </c>
      <c r="E32" s="2">
        <f>IFERROR(__xludf.DUMMYFUNCTION("""COMPUTED_VALUE"""),101.16)</f>
        <v>101.16</v>
      </c>
      <c r="F32" s="2">
        <f>IFERROR(__xludf.DUMMYFUNCTION("""COMPUTED_VALUE"""),4.8053879E7)</f>
        <v>48053879</v>
      </c>
    </row>
    <row r="33">
      <c r="A33" s="3">
        <f>IFERROR(__xludf.DUMMYFUNCTION("""COMPUTED_VALUE"""),44973.66666666667)</f>
        <v>44973.66667</v>
      </c>
      <c r="B33" s="2">
        <f>IFERROR(__xludf.DUMMYFUNCTION("""COMPUTED_VALUE"""),99.21)</f>
        <v>99.21</v>
      </c>
      <c r="C33" s="2">
        <f>IFERROR(__xludf.DUMMYFUNCTION("""COMPUTED_VALUE"""),100.63)</f>
        <v>100.63</v>
      </c>
      <c r="D33" s="2">
        <f>IFERROR(__xludf.DUMMYFUNCTION("""COMPUTED_VALUE"""),98.1)</f>
        <v>98.1</v>
      </c>
      <c r="E33" s="2">
        <f>IFERROR(__xludf.DUMMYFUNCTION("""COMPUTED_VALUE"""),98.15)</f>
        <v>98.15</v>
      </c>
      <c r="F33" s="2">
        <f>IFERROR(__xludf.DUMMYFUNCTION("""COMPUTED_VALUE"""),5.6339173E7)</f>
        <v>56339173</v>
      </c>
    </row>
    <row r="34">
      <c r="A34" s="3">
        <f>IFERROR(__xludf.DUMMYFUNCTION("""COMPUTED_VALUE"""),44974.66666666667)</f>
        <v>44974.66667</v>
      </c>
      <c r="B34" s="2">
        <f>IFERROR(__xludf.DUMMYFUNCTION("""COMPUTED_VALUE"""),97.8)</f>
        <v>97.8</v>
      </c>
      <c r="C34" s="2">
        <f>IFERROR(__xludf.DUMMYFUNCTION("""COMPUTED_VALUE"""),97.94)</f>
        <v>97.94</v>
      </c>
      <c r="D34" s="2">
        <f>IFERROR(__xludf.DUMMYFUNCTION("""COMPUTED_VALUE"""),95.65)</f>
        <v>95.65</v>
      </c>
      <c r="E34" s="2">
        <f>IFERROR(__xludf.DUMMYFUNCTION("""COMPUTED_VALUE"""),97.2)</f>
        <v>97.2</v>
      </c>
      <c r="F34" s="2">
        <f>IFERROR(__xludf.DUMMYFUNCTION("""COMPUTED_VALUE"""),6.0029405E7)</f>
        <v>60029405</v>
      </c>
    </row>
    <row r="35">
      <c r="A35" s="3">
        <f>IFERROR(__xludf.DUMMYFUNCTION("""COMPUTED_VALUE"""),44978.66666666667)</f>
        <v>44978.66667</v>
      </c>
      <c r="B35" s="2">
        <f>IFERROR(__xludf.DUMMYFUNCTION("""COMPUTED_VALUE"""),95.34)</f>
        <v>95.34</v>
      </c>
      <c r="C35" s="2">
        <f>IFERROR(__xludf.DUMMYFUNCTION("""COMPUTED_VALUE"""),95.61)</f>
        <v>95.61</v>
      </c>
      <c r="D35" s="2">
        <f>IFERROR(__xludf.DUMMYFUNCTION("""COMPUTED_VALUE"""),94.27)</f>
        <v>94.27</v>
      </c>
      <c r="E35" s="2">
        <f>IFERROR(__xludf.DUMMYFUNCTION("""COMPUTED_VALUE"""),94.58)</f>
        <v>94.58</v>
      </c>
      <c r="F35" s="2">
        <f>IFERROR(__xludf.DUMMYFUNCTION("""COMPUTED_VALUE"""),5.658036E7)</f>
        <v>56580360</v>
      </c>
    </row>
    <row r="36">
      <c r="A36" s="3">
        <f>IFERROR(__xludf.DUMMYFUNCTION("""COMPUTED_VALUE"""),44979.66666666667)</f>
        <v>44979.66667</v>
      </c>
      <c r="B36" s="2">
        <f>IFERROR(__xludf.DUMMYFUNCTION("""COMPUTED_VALUE"""),95.1)</f>
        <v>95.1</v>
      </c>
      <c r="C36" s="2">
        <f>IFERROR(__xludf.DUMMYFUNCTION("""COMPUTED_VALUE"""),97.01)</f>
        <v>97.01</v>
      </c>
      <c r="D36" s="2">
        <f>IFERROR(__xludf.DUMMYFUNCTION("""COMPUTED_VALUE"""),94.8)</f>
        <v>94.8</v>
      </c>
      <c r="E36" s="2">
        <f>IFERROR(__xludf.DUMMYFUNCTION("""COMPUTED_VALUE"""),95.79)</f>
        <v>95.79</v>
      </c>
      <c r="F36" s="2">
        <f>IFERROR(__xludf.DUMMYFUNCTION("""COMPUTED_VALUE"""),5.9534094E7)</f>
        <v>59534094</v>
      </c>
    </row>
    <row r="37">
      <c r="A37" s="3">
        <f>IFERROR(__xludf.DUMMYFUNCTION("""COMPUTED_VALUE"""),44980.66666666667)</f>
        <v>44980.66667</v>
      </c>
      <c r="B37" s="2">
        <f>IFERROR(__xludf.DUMMYFUNCTION("""COMPUTED_VALUE"""),96.12)</f>
        <v>96.12</v>
      </c>
      <c r="C37" s="2">
        <f>IFERROR(__xludf.DUMMYFUNCTION("""COMPUTED_VALUE"""),96.43)</f>
        <v>96.43</v>
      </c>
      <c r="D37" s="2">
        <f>IFERROR(__xludf.DUMMYFUNCTION("""COMPUTED_VALUE"""),93.67)</f>
        <v>93.67</v>
      </c>
      <c r="E37" s="2">
        <f>IFERROR(__xludf.DUMMYFUNCTION("""COMPUTED_VALUE"""),95.82)</f>
        <v>95.82</v>
      </c>
      <c r="F37" s="2">
        <f>IFERROR(__xludf.DUMMYFUNCTION("""COMPUTED_VALUE"""),4.8466994E7)</f>
        <v>48466994</v>
      </c>
    </row>
    <row r="38">
      <c r="A38" s="3">
        <f>IFERROR(__xludf.DUMMYFUNCTION("""COMPUTED_VALUE"""),44981.66666666667)</f>
        <v>44981.66667</v>
      </c>
      <c r="B38" s="2">
        <f>IFERROR(__xludf.DUMMYFUNCTION("""COMPUTED_VALUE"""),93.53)</f>
        <v>93.53</v>
      </c>
      <c r="C38" s="2">
        <f>IFERROR(__xludf.DUMMYFUNCTION("""COMPUTED_VALUE"""),94.14)</f>
        <v>94.14</v>
      </c>
      <c r="D38" s="2">
        <f>IFERROR(__xludf.DUMMYFUNCTION("""COMPUTED_VALUE"""),92.32)</f>
        <v>92.32</v>
      </c>
      <c r="E38" s="2">
        <f>IFERROR(__xludf.DUMMYFUNCTION("""COMPUTED_VALUE"""),93.5)</f>
        <v>93.5</v>
      </c>
      <c r="F38" s="2">
        <f>IFERROR(__xludf.DUMMYFUNCTION("""COMPUTED_VALUE"""),5.7053812E7)</f>
        <v>57053812</v>
      </c>
    </row>
    <row r="39">
      <c r="A39" s="3">
        <f>IFERROR(__xludf.DUMMYFUNCTION("""COMPUTED_VALUE"""),44984.66666666667)</f>
        <v>44984.66667</v>
      </c>
      <c r="B39" s="2">
        <f>IFERROR(__xludf.DUMMYFUNCTION("""COMPUTED_VALUE"""),94.28)</f>
        <v>94.28</v>
      </c>
      <c r="C39" s="2">
        <f>IFERROR(__xludf.DUMMYFUNCTION("""COMPUTED_VALUE"""),94.78)</f>
        <v>94.78</v>
      </c>
      <c r="D39" s="2">
        <f>IFERROR(__xludf.DUMMYFUNCTION("""COMPUTED_VALUE"""),93.14)</f>
        <v>93.14</v>
      </c>
      <c r="E39" s="2">
        <f>IFERROR(__xludf.DUMMYFUNCTION("""COMPUTED_VALUE"""),93.76)</f>
        <v>93.76</v>
      </c>
      <c r="F39" s="2">
        <f>IFERROR(__xludf.DUMMYFUNCTION("""COMPUTED_VALUE"""),4.7470321E7)</f>
        <v>47470321</v>
      </c>
    </row>
    <row r="40">
      <c r="A40" s="3">
        <f>IFERROR(__xludf.DUMMYFUNCTION("""COMPUTED_VALUE"""),44985.66666666667)</f>
        <v>44985.66667</v>
      </c>
      <c r="B40" s="2">
        <f>IFERROR(__xludf.DUMMYFUNCTION("""COMPUTED_VALUE"""),93.14)</f>
        <v>93.14</v>
      </c>
      <c r="C40" s="2">
        <f>IFERROR(__xludf.DUMMYFUNCTION("""COMPUTED_VALUE"""),94.69)</f>
        <v>94.69</v>
      </c>
      <c r="D40" s="2">
        <f>IFERROR(__xludf.DUMMYFUNCTION("""COMPUTED_VALUE"""),92.92)</f>
        <v>92.92</v>
      </c>
      <c r="E40" s="2">
        <f>IFERROR(__xludf.DUMMYFUNCTION("""COMPUTED_VALUE"""),94.23)</f>
        <v>94.23</v>
      </c>
      <c r="F40" s="2">
        <f>IFERROR(__xludf.DUMMYFUNCTION("""COMPUTED_VALUE"""),4.395929E7)</f>
        <v>43959290</v>
      </c>
    </row>
    <row r="41">
      <c r="A41" s="3">
        <f>IFERROR(__xludf.DUMMYFUNCTION("""COMPUTED_VALUE"""),44986.66666666667)</f>
        <v>44986.66667</v>
      </c>
      <c r="B41" s="2">
        <f>IFERROR(__xludf.DUMMYFUNCTION("""COMPUTED_VALUE"""),93.87)</f>
        <v>93.87</v>
      </c>
      <c r="C41" s="2">
        <f>IFERROR(__xludf.DUMMYFUNCTION("""COMPUTED_VALUE"""),94.68)</f>
        <v>94.68</v>
      </c>
      <c r="D41" s="2">
        <f>IFERROR(__xludf.DUMMYFUNCTION("""COMPUTED_VALUE"""),91.59)</f>
        <v>91.59</v>
      </c>
      <c r="E41" s="2">
        <f>IFERROR(__xludf.DUMMYFUNCTION("""COMPUTED_VALUE"""),92.17)</f>
        <v>92.17</v>
      </c>
      <c r="F41" s="2">
        <f>IFERROR(__xludf.DUMMYFUNCTION("""COMPUTED_VALUE"""),5.2299524E7)</f>
        <v>52299524</v>
      </c>
    </row>
    <row r="42">
      <c r="A42" s="3">
        <f>IFERROR(__xludf.DUMMYFUNCTION("""COMPUTED_VALUE"""),44987.66666666667)</f>
        <v>44987.66667</v>
      </c>
      <c r="B42" s="2">
        <f>IFERROR(__xludf.DUMMYFUNCTION("""COMPUTED_VALUE"""),91.41)</f>
        <v>91.41</v>
      </c>
      <c r="C42" s="2">
        <f>IFERROR(__xludf.DUMMYFUNCTION("""COMPUTED_VALUE"""),92.23)</f>
        <v>92.23</v>
      </c>
      <c r="D42" s="2">
        <f>IFERROR(__xludf.DUMMYFUNCTION("""COMPUTED_VALUE"""),90.39)</f>
        <v>90.39</v>
      </c>
      <c r="E42" s="2">
        <f>IFERROR(__xludf.DUMMYFUNCTION("""COMPUTED_VALUE"""),92.13)</f>
        <v>92.13</v>
      </c>
      <c r="F42" s="2">
        <f>IFERROR(__xludf.DUMMYFUNCTION("""COMPUTED_VALUE"""),5.557482E7)</f>
        <v>55574820</v>
      </c>
    </row>
    <row r="43">
      <c r="A43" s="3">
        <f>IFERROR(__xludf.DUMMYFUNCTION("""COMPUTED_VALUE"""),44988.66666666667)</f>
        <v>44988.66667</v>
      </c>
      <c r="B43" s="2">
        <f>IFERROR(__xludf.DUMMYFUNCTION("""COMPUTED_VALUE"""),92.74)</f>
        <v>92.74</v>
      </c>
      <c r="C43" s="2">
        <f>IFERROR(__xludf.DUMMYFUNCTION("""COMPUTED_VALUE"""),94.94)</f>
        <v>94.94</v>
      </c>
      <c r="D43" s="2">
        <f>IFERROR(__xludf.DUMMYFUNCTION("""COMPUTED_VALUE"""),92.66)</f>
        <v>92.66</v>
      </c>
      <c r="E43" s="2">
        <f>IFERROR(__xludf.DUMMYFUNCTION("""COMPUTED_VALUE"""),94.9)</f>
        <v>94.9</v>
      </c>
      <c r="F43" s="2">
        <f>IFERROR(__xludf.DUMMYFUNCTION("""COMPUTED_VALUE"""),5.5759609E7)</f>
        <v>55759609</v>
      </c>
    </row>
    <row r="44">
      <c r="A44" s="3">
        <f>IFERROR(__xludf.DUMMYFUNCTION("""COMPUTED_VALUE"""),44991.66666666667)</f>
        <v>44991.66667</v>
      </c>
      <c r="B44" s="2">
        <f>IFERROR(__xludf.DUMMYFUNCTION("""COMPUTED_VALUE"""),95.19)</f>
        <v>95.19</v>
      </c>
      <c r="C44" s="2">
        <f>IFERROR(__xludf.DUMMYFUNCTION("""COMPUTED_VALUE"""),96.55)</f>
        <v>96.55</v>
      </c>
      <c r="D44" s="2">
        <f>IFERROR(__xludf.DUMMYFUNCTION("""COMPUTED_VALUE"""),93.74)</f>
        <v>93.74</v>
      </c>
      <c r="E44" s="2">
        <f>IFERROR(__xludf.DUMMYFUNCTION("""COMPUTED_VALUE"""),93.75)</f>
        <v>93.75</v>
      </c>
      <c r="F44" s="2">
        <f>IFERROR(__xludf.DUMMYFUNCTION("""COMPUTED_VALUE"""),5.2112355E7)</f>
        <v>52112355</v>
      </c>
    </row>
    <row r="45">
      <c r="A45" s="3">
        <f>IFERROR(__xludf.DUMMYFUNCTION("""COMPUTED_VALUE"""),44992.66666666667)</f>
        <v>44992.66667</v>
      </c>
      <c r="B45" s="2">
        <f>IFERROR(__xludf.DUMMYFUNCTION("""COMPUTED_VALUE"""),94.06)</f>
        <v>94.06</v>
      </c>
      <c r="C45" s="2">
        <f>IFERROR(__xludf.DUMMYFUNCTION("""COMPUTED_VALUE"""),95.09)</f>
        <v>95.09</v>
      </c>
      <c r="D45" s="2">
        <f>IFERROR(__xludf.DUMMYFUNCTION("""COMPUTED_VALUE"""),92.78)</f>
        <v>92.78</v>
      </c>
      <c r="E45" s="2">
        <f>IFERROR(__xludf.DUMMYFUNCTION("""COMPUTED_VALUE"""),93.55)</f>
        <v>93.55</v>
      </c>
      <c r="F45" s="2">
        <f>IFERROR(__xludf.DUMMYFUNCTION("""COMPUTED_VALUE"""),4.9100668E7)</f>
        <v>49100668</v>
      </c>
    </row>
    <row r="46">
      <c r="A46" s="3">
        <f>IFERROR(__xludf.DUMMYFUNCTION("""COMPUTED_VALUE"""),44993.66666666667)</f>
        <v>44993.66667</v>
      </c>
      <c r="B46" s="2">
        <f>IFERROR(__xludf.DUMMYFUNCTION("""COMPUTED_VALUE"""),93.6)</f>
        <v>93.6</v>
      </c>
      <c r="C46" s="2">
        <f>IFERROR(__xludf.DUMMYFUNCTION("""COMPUTED_VALUE"""),94.17)</f>
        <v>94.17</v>
      </c>
      <c r="D46" s="2">
        <f>IFERROR(__xludf.DUMMYFUNCTION("""COMPUTED_VALUE"""),92.18)</f>
        <v>92.18</v>
      </c>
      <c r="E46" s="2">
        <f>IFERROR(__xludf.DUMMYFUNCTION("""COMPUTED_VALUE"""),93.92)</f>
        <v>93.92</v>
      </c>
      <c r="F46" s="2">
        <f>IFERROR(__xludf.DUMMYFUNCTION("""COMPUTED_VALUE"""),4.4899128E7)</f>
        <v>44899128</v>
      </c>
    </row>
    <row r="47">
      <c r="A47" s="3">
        <f>IFERROR(__xludf.DUMMYFUNCTION("""COMPUTED_VALUE"""),44994.66666666667)</f>
        <v>44994.66667</v>
      </c>
      <c r="B47" s="2">
        <f>IFERROR(__xludf.DUMMYFUNCTION("""COMPUTED_VALUE"""),93.68)</f>
        <v>93.68</v>
      </c>
      <c r="C47" s="2">
        <f>IFERROR(__xludf.DUMMYFUNCTION("""COMPUTED_VALUE"""),96.21)</f>
        <v>96.21</v>
      </c>
      <c r="D47" s="2">
        <f>IFERROR(__xludf.DUMMYFUNCTION("""COMPUTED_VALUE"""),92.18)</f>
        <v>92.18</v>
      </c>
      <c r="E47" s="2">
        <f>IFERROR(__xludf.DUMMYFUNCTION("""COMPUTED_VALUE"""),92.25)</f>
        <v>92.25</v>
      </c>
      <c r="F47" s="2">
        <f>IFERROR(__xludf.DUMMYFUNCTION("""COMPUTED_VALUE"""),5.6218705E7)</f>
        <v>56218705</v>
      </c>
    </row>
    <row r="48">
      <c r="A48" s="3">
        <f>IFERROR(__xludf.DUMMYFUNCTION("""COMPUTED_VALUE"""),44995.66666666667)</f>
        <v>44995.66667</v>
      </c>
      <c r="B48" s="2">
        <f>IFERROR(__xludf.DUMMYFUNCTION("""COMPUTED_VALUE"""),92.67)</f>
        <v>92.67</v>
      </c>
      <c r="C48" s="2">
        <f>IFERROR(__xludf.DUMMYFUNCTION("""COMPUTED_VALUE"""),93.57)</f>
        <v>93.57</v>
      </c>
      <c r="D48" s="2">
        <f>IFERROR(__xludf.DUMMYFUNCTION("""COMPUTED_VALUE"""),90.25)</f>
        <v>90.25</v>
      </c>
      <c r="E48" s="2">
        <f>IFERROR(__xludf.DUMMYFUNCTION("""COMPUTED_VALUE"""),90.73)</f>
        <v>90.73</v>
      </c>
      <c r="F48" s="2">
        <f>IFERROR(__xludf.DUMMYFUNCTION("""COMPUTED_VALUE"""),6.982749E7)</f>
        <v>69827490</v>
      </c>
    </row>
    <row r="49">
      <c r="A49" s="3">
        <f>IFERROR(__xludf.DUMMYFUNCTION("""COMPUTED_VALUE"""),44998.66666666667)</f>
        <v>44998.66667</v>
      </c>
      <c r="B49" s="2">
        <f>IFERROR(__xludf.DUMMYFUNCTION("""COMPUTED_VALUE"""),89.97)</f>
        <v>89.97</v>
      </c>
      <c r="C49" s="2">
        <f>IFERROR(__xludf.DUMMYFUNCTION("""COMPUTED_VALUE"""),94.02)</f>
        <v>94.02</v>
      </c>
      <c r="D49" s="2">
        <f>IFERROR(__xludf.DUMMYFUNCTION("""COMPUTED_VALUE"""),88.12)</f>
        <v>88.12</v>
      </c>
      <c r="E49" s="2">
        <f>IFERROR(__xludf.DUMMYFUNCTION("""COMPUTED_VALUE"""),92.43)</f>
        <v>92.43</v>
      </c>
      <c r="F49" s="2">
        <f>IFERROR(__xludf.DUMMYFUNCTION("""COMPUTED_VALUE"""),7.2397053E7)</f>
        <v>72397053</v>
      </c>
    </row>
    <row r="50">
      <c r="A50" s="3">
        <f>IFERROR(__xludf.DUMMYFUNCTION("""COMPUTED_VALUE"""),44999.66666666667)</f>
        <v>44999.66667</v>
      </c>
      <c r="B50" s="2">
        <f>IFERROR(__xludf.DUMMYFUNCTION("""COMPUTED_VALUE"""),93.83)</f>
        <v>93.83</v>
      </c>
      <c r="C50" s="2">
        <f>IFERROR(__xludf.DUMMYFUNCTION("""COMPUTED_VALUE"""),95.07)</f>
        <v>95.07</v>
      </c>
      <c r="D50" s="2">
        <f>IFERROR(__xludf.DUMMYFUNCTION("""COMPUTED_VALUE"""),92.71)</f>
        <v>92.71</v>
      </c>
      <c r="E50" s="2">
        <f>IFERROR(__xludf.DUMMYFUNCTION("""COMPUTED_VALUE"""),94.88)</f>
        <v>94.88</v>
      </c>
      <c r="F50" s="2">
        <f>IFERROR(__xludf.DUMMYFUNCTION("""COMPUTED_VALUE"""),6.0912674E7)</f>
        <v>60912674</v>
      </c>
    </row>
    <row r="51">
      <c r="A51" s="3">
        <f>IFERROR(__xludf.DUMMYFUNCTION("""COMPUTED_VALUE"""),45000.66666666667)</f>
        <v>45000.66667</v>
      </c>
      <c r="B51" s="2">
        <f>IFERROR(__xludf.DUMMYFUNCTION("""COMPUTED_VALUE"""),93.22)</f>
        <v>93.22</v>
      </c>
      <c r="C51" s="2">
        <f>IFERROR(__xludf.DUMMYFUNCTION("""COMPUTED_VALUE"""),96.67)</f>
        <v>96.67</v>
      </c>
      <c r="D51" s="2">
        <f>IFERROR(__xludf.DUMMYFUNCTION("""COMPUTED_VALUE"""),93.07)</f>
        <v>93.07</v>
      </c>
      <c r="E51" s="2">
        <f>IFERROR(__xludf.DUMMYFUNCTION("""COMPUTED_VALUE"""),96.2)</f>
        <v>96.2</v>
      </c>
      <c r="F51" s="2">
        <f>IFERROR(__xludf.DUMMYFUNCTION("""COMPUTED_VALUE"""),7.0731792E7)</f>
        <v>70731792</v>
      </c>
    </row>
    <row r="52">
      <c r="A52" s="3">
        <f>IFERROR(__xludf.DUMMYFUNCTION("""COMPUTED_VALUE"""),45001.66666666667)</f>
        <v>45001.66667</v>
      </c>
      <c r="B52" s="2">
        <f>IFERROR(__xludf.DUMMYFUNCTION("""COMPUTED_VALUE"""),95.75)</f>
        <v>95.75</v>
      </c>
      <c r="C52" s="2">
        <f>IFERROR(__xludf.DUMMYFUNCTION("""COMPUTED_VALUE"""),100.99)</f>
        <v>100.99</v>
      </c>
      <c r="D52" s="2">
        <f>IFERROR(__xludf.DUMMYFUNCTION("""COMPUTED_VALUE"""),95.61)</f>
        <v>95.61</v>
      </c>
      <c r="E52" s="2">
        <f>IFERROR(__xludf.DUMMYFUNCTION("""COMPUTED_VALUE"""),100.04)</f>
        <v>100.04</v>
      </c>
      <c r="F52" s="2">
        <f>IFERROR(__xludf.DUMMYFUNCTION("""COMPUTED_VALUE"""),8.4558934E7)</f>
        <v>84558934</v>
      </c>
    </row>
    <row r="53">
      <c r="A53" s="3">
        <f>IFERROR(__xludf.DUMMYFUNCTION("""COMPUTED_VALUE"""),45002.66666666667)</f>
        <v>45002.66667</v>
      </c>
      <c r="B53" s="2">
        <f>IFERROR(__xludf.DUMMYFUNCTION("""COMPUTED_VALUE"""),99.79)</f>
        <v>99.79</v>
      </c>
      <c r="C53" s="2">
        <f>IFERROR(__xludf.DUMMYFUNCTION("""COMPUTED_VALUE"""),100.66)</f>
        <v>100.66</v>
      </c>
      <c r="D53" s="2">
        <f>IFERROR(__xludf.DUMMYFUNCTION("""COMPUTED_VALUE"""),97.46)</f>
        <v>97.46</v>
      </c>
      <c r="E53" s="2">
        <f>IFERROR(__xludf.DUMMYFUNCTION("""COMPUTED_VALUE"""),98.95)</f>
        <v>98.95</v>
      </c>
      <c r="F53" s="2">
        <f>IFERROR(__xludf.DUMMYFUNCTION("""COMPUTED_VALUE"""),8.7300242E7)</f>
        <v>87300242</v>
      </c>
    </row>
    <row r="54">
      <c r="A54" s="3">
        <f>IFERROR(__xludf.DUMMYFUNCTION("""COMPUTED_VALUE"""),45005.66666666667)</f>
        <v>45005.66667</v>
      </c>
      <c r="B54" s="2">
        <f>IFERROR(__xludf.DUMMYFUNCTION("""COMPUTED_VALUE"""),98.41)</f>
        <v>98.41</v>
      </c>
      <c r="C54" s="2">
        <f>IFERROR(__xludf.DUMMYFUNCTION("""COMPUTED_VALUE"""),98.48)</f>
        <v>98.48</v>
      </c>
      <c r="D54" s="2">
        <f>IFERROR(__xludf.DUMMYFUNCTION("""COMPUTED_VALUE"""),95.7)</f>
        <v>95.7</v>
      </c>
      <c r="E54" s="2">
        <f>IFERROR(__xludf.DUMMYFUNCTION("""COMPUTED_VALUE"""),97.71)</f>
        <v>97.71</v>
      </c>
      <c r="F54" s="2">
        <f>IFERROR(__xludf.DUMMYFUNCTION("""COMPUTED_VALUE"""),6.2388911E7)</f>
        <v>62388911</v>
      </c>
    </row>
    <row r="55">
      <c r="A55" s="3">
        <f>IFERROR(__xludf.DUMMYFUNCTION("""COMPUTED_VALUE"""),45006.66666666667)</f>
        <v>45006.66667</v>
      </c>
      <c r="B55" s="2">
        <f>IFERROR(__xludf.DUMMYFUNCTION("""COMPUTED_VALUE"""),98.14)</f>
        <v>98.14</v>
      </c>
      <c r="C55" s="2">
        <f>IFERROR(__xludf.DUMMYFUNCTION("""COMPUTED_VALUE"""),100.85)</f>
        <v>100.85</v>
      </c>
      <c r="D55" s="2">
        <f>IFERROR(__xludf.DUMMYFUNCTION("""COMPUTED_VALUE"""),98.0)</f>
        <v>98</v>
      </c>
      <c r="E55" s="2">
        <f>IFERROR(__xludf.DUMMYFUNCTION("""COMPUTED_VALUE"""),100.61)</f>
        <v>100.61</v>
      </c>
      <c r="F55" s="2">
        <f>IFERROR(__xludf.DUMMYFUNCTION("""COMPUTED_VALUE"""),5.8597275E7)</f>
        <v>58597275</v>
      </c>
    </row>
    <row r="56">
      <c r="A56" s="3">
        <f>IFERROR(__xludf.DUMMYFUNCTION("""COMPUTED_VALUE"""),45007.66666666667)</f>
        <v>45007.66667</v>
      </c>
      <c r="B56" s="2">
        <f>IFERROR(__xludf.DUMMYFUNCTION("""COMPUTED_VALUE"""),100.45)</f>
        <v>100.45</v>
      </c>
      <c r="C56" s="2">
        <f>IFERROR(__xludf.DUMMYFUNCTION("""COMPUTED_VALUE"""),102.1)</f>
        <v>102.1</v>
      </c>
      <c r="D56" s="2">
        <f>IFERROR(__xludf.DUMMYFUNCTION("""COMPUTED_VALUE"""),98.61)</f>
        <v>98.61</v>
      </c>
      <c r="E56" s="2">
        <f>IFERROR(__xludf.DUMMYFUNCTION("""COMPUTED_VALUE"""),98.7)</f>
        <v>98.7</v>
      </c>
      <c r="F56" s="2">
        <f>IFERROR(__xludf.DUMMYFUNCTION("""COMPUTED_VALUE"""),5.7475365E7)</f>
        <v>57475365</v>
      </c>
    </row>
    <row r="57">
      <c r="A57" s="3">
        <f>IFERROR(__xludf.DUMMYFUNCTION("""COMPUTED_VALUE"""),45008.66666666667)</f>
        <v>45008.66667</v>
      </c>
      <c r="B57" s="2">
        <f>IFERROR(__xludf.DUMMYFUNCTION("""COMPUTED_VALUE"""),100.43)</f>
        <v>100.43</v>
      </c>
      <c r="C57" s="2">
        <f>IFERROR(__xludf.DUMMYFUNCTION("""COMPUTED_VALUE"""),101.06)</f>
        <v>101.06</v>
      </c>
      <c r="D57" s="2">
        <f>IFERROR(__xludf.DUMMYFUNCTION("""COMPUTED_VALUE"""),97.62)</f>
        <v>97.62</v>
      </c>
      <c r="E57" s="2">
        <f>IFERROR(__xludf.DUMMYFUNCTION("""COMPUTED_VALUE"""),98.71)</f>
        <v>98.71</v>
      </c>
      <c r="F57" s="2">
        <f>IFERROR(__xludf.DUMMYFUNCTION("""COMPUTED_VALUE"""),5.755931E7)</f>
        <v>57559310</v>
      </c>
    </row>
    <row r="58">
      <c r="A58" s="3">
        <f>IFERROR(__xludf.DUMMYFUNCTION("""COMPUTED_VALUE"""),45009.66666666667)</f>
        <v>45009.66667</v>
      </c>
      <c r="B58" s="2">
        <f>IFERROR(__xludf.DUMMYFUNCTION("""COMPUTED_VALUE"""),98.07)</f>
        <v>98.07</v>
      </c>
      <c r="C58" s="2">
        <f>IFERROR(__xludf.DUMMYFUNCTION("""COMPUTED_VALUE"""),98.3)</f>
        <v>98.3</v>
      </c>
      <c r="D58" s="2">
        <f>IFERROR(__xludf.DUMMYFUNCTION("""COMPUTED_VALUE"""),96.4)</f>
        <v>96.4</v>
      </c>
      <c r="E58" s="2">
        <f>IFERROR(__xludf.DUMMYFUNCTION("""COMPUTED_VALUE"""),98.13)</f>
        <v>98.13</v>
      </c>
      <c r="F58" s="2">
        <f>IFERROR(__xludf.DUMMYFUNCTION("""COMPUTED_VALUE"""),5.6144801E7)</f>
        <v>56144801</v>
      </c>
    </row>
    <row r="59">
      <c r="A59" s="3">
        <f>IFERROR(__xludf.DUMMYFUNCTION("""COMPUTED_VALUE"""),45012.66666666667)</f>
        <v>45012.66667</v>
      </c>
      <c r="B59" s="2">
        <f>IFERROR(__xludf.DUMMYFUNCTION("""COMPUTED_VALUE"""),99.07)</f>
        <v>99.07</v>
      </c>
      <c r="C59" s="2">
        <f>IFERROR(__xludf.DUMMYFUNCTION("""COMPUTED_VALUE"""),99.34)</f>
        <v>99.34</v>
      </c>
      <c r="D59" s="2">
        <f>IFERROR(__xludf.DUMMYFUNCTION("""COMPUTED_VALUE"""),97.08)</f>
        <v>97.08</v>
      </c>
      <c r="E59" s="2">
        <f>IFERROR(__xludf.DUMMYFUNCTION("""COMPUTED_VALUE"""),98.04)</f>
        <v>98.04</v>
      </c>
      <c r="F59" s="2">
        <f>IFERROR(__xludf.DUMMYFUNCTION("""COMPUTED_VALUE"""),4.6721296E7)</f>
        <v>46721296</v>
      </c>
    </row>
    <row r="60">
      <c r="A60" s="3">
        <f>IFERROR(__xludf.DUMMYFUNCTION("""COMPUTED_VALUE"""),45013.66666666667)</f>
        <v>45013.66667</v>
      </c>
      <c r="B60" s="2">
        <f>IFERROR(__xludf.DUMMYFUNCTION("""COMPUTED_VALUE"""),98.11)</f>
        <v>98.11</v>
      </c>
      <c r="C60" s="2">
        <f>IFERROR(__xludf.DUMMYFUNCTION("""COMPUTED_VALUE"""),98.44)</f>
        <v>98.44</v>
      </c>
      <c r="D60" s="2">
        <f>IFERROR(__xludf.DUMMYFUNCTION("""COMPUTED_VALUE"""),96.29)</f>
        <v>96.29</v>
      </c>
      <c r="E60" s="2">
        <f>IFERROR(__xludf.DUMMYFUNCTION("""COMPUTED_VALUE"""),97.24)</f>
        <v>97.24</v>
      </c>
      <c r="F60" s="2">
        <f>IFERROR(__xludf.DUMMYFUNCTION("""COMPUTED_VALUE"""),3.872005E7)</f>
        <v>38720050</v>
      </c>
    </row>
    <row r="61">
      <c r="A61" s="3">
        <f>IFERROR(__xludf.DUMMYFUNCTION("""COMPUTED_VALUE"""),45014.66666666667)</f>
        <v>45014.66667</v>
      </c>
      <c r="B61" s="2">
        <f>IFERROR(__xludf.DUMMYFUNCTION("""COMPUTED_VALUE"""),98.69)</f>
        <v>98.69</v>
      </c>
      <c r="C61" s="2">
        <f>IFERROR(__xludf.DUMMYFUNCTION("""COMPUTED_VALUE"""),100.42)</f>
        <v>100.42</v>
      </c>
      <c r="D61" s="2">
        <f>IFERROR(__xludf.DUMMYFUNCTION("""COMPUTED_VALUE"""),98.56)</f>
        <v>98.56</v>
      </c>
      <c r="E61" s="2">
        <f>IFERROR(__xludf.DUMMYFUNCTION("""COMPUTED_VALUE"""),100.25)</f>
        <v>100.25</v>
      </c>
      <c r="F61" s="2">
        <f>IFERROR(__xludf.DUMMYFUNCTION("""COMPUTED_VALUE"""),4.9783279E7)</f>
        <v>49783279</v>
      </c>
    </row>
    <row r="62">
      <c r="A62" s="3">
        <f>IFERROR(__xludf.DUMMYFUNCTION("""COMPUTED_VALUE"""),45015.66666666667)</f>
        <v>45015.66667</v>
      </c>
      <c r="B62" s="2">
        <f>IFERROR(__xludf.DUMMYFUNCTION("""COMPUTED_VALUE"""),101.55)</f>
        <v>101.55</v>
      </c>
      <c r="C62" s="2">
        <f>IFERROR(__xludf.DUMMYFUNCTION("""COMPUTED_VALUE"""),103.04)</f>
        <v>103.04</v>
      </c>
      <c r="D62" s="2">
        <f>IFERROR(__xludf.DUMMYFUNCTION("""COMPUTED_VALUE"""),101.01)</f>
        <v>101.01</v>
      </c>
      <c r="E62" s="2">
        <f>IFERROR(__xludf.DUMMYFUNCTION("""COMPUTED_VALUE"""),102.0)</f>
        <v>102</v>
      </c>
      <c r="F62" s="2">
        <f>IFERROR(__xludf.DUMMYFUNCTION("""COMPUTED_VALUE"""),5.3633398E7)</f>
        <v>53633398</v>
      </c>
    </row>
    <row r="63">
      <c r="A63" s="3">
        <f>IFERROR(__xludf.DUMMYFUNCTION("""COMPUTED_VALUE"""),45016.66666666667)</f>
        <v>45016.66667</v>
      </c>
      <c r="B63" s="2">
        <f>IFERROR(__xludf.DUMMYFUNCTION("""COMPUTED_VALUE"""),102.16)</f>
        <v>102.16</v>
      </c>
      <c r="C63" s="2">
        <f>IFERROR(__xludf.DUMMYFUNCTION("""COMPUTED_VALUE"""),103.49)</f>
        <v>103.49</v>
      </c>
      <c r="D63" s="2">
        <f>IFERROR(__xludf.DUMMYFUNCTION("""COMPUTED_VALUE"""),101.95)</f>
        <v>101.95</v>
      </c>
      <c r="E63" s="2">
        <f>IFERROR(__xludf.DUMMYFUNCTION("""COMPUTED_VALUE"""),103.29)</f>
        <v>103.29</v>
      </c>
      <c r="F63" s="2">
        <f>IFERROR(__xludf.DUMMYFUNCTION("""COMPUTED_VALUE"""),5.6750317E7)</f>
        <v>56750317</v>
      </c>
    </row>
    <row r="64">
      <c r="A64" s="3">
        <f>IFERROR(__xludf.DUMMYFUNCTION("""COMPUTED_VALUE"""),45019.66666666667)</f>
        <v>45019.66667</v>
      </c>
      <c r="B64" s="2">
        <f>IFERROR(__xludf.DUMMYFUNCTION("""COMPUTED_VALUE"""),102.3)</f>
        <v>102.3</v>
      </c>
      <c r="C64" s="2">
        <f>IFERROR(__xludf.DUMMYFUNCTION("""COMPUTED_VALUE"""),103.29)</f>
        <v>103.29</v>
      </c>
      <c r="D64" s="2">
        <f>IFERROR(__xludf.DUMMYFUNCTION("""COMPUTED_VALUE"""),101.43)</f>
        <v>101.43</v>
      </c>
      <c r="E64" s="2">
        <f>IFERROR(__xludf.DUMMYFUNCTION("""COMPUTED_VALUE"""),102.41)</f>
        <v>102.41</v>
      </c>
      <c r="F64" s="2">
        <f>IFERROR(__xludf.DUMMYFUNCTION("""COMPUTED_VALUE"""),4.1135733E7)</f>
        <v>41135733</v>
      </c>
    </row>
    <row r="65">
      <c r="A65" s="3">
        <f>IFERROR(__xludf.DUMMYFUNCTION("""COMPUTED_VALUE"""),45020.66666666667)</f>
        <v>45020.66667</v>
      </c>
      <c r="B65" s="2">
        <f>IFERROR(__xludf.DUMMYFUNCTION("""COMPUTED_VALUE"""),102.75)</f>
        <v>102.75</v>
      </c>
      <c r="C65" s="2">
        <f>IFERROR(__xludf.DUMMYFUNCTION("""COMPUTED_VALUE"""),104.2)</f>
        <v>104.2</v>
      </c>
      <c r="D65" s="2">
        <f>IFERROR(__xludf.DUMMYFUNCTION("""COMPUTED_VALUE"""),102.11)</f>
        <v>102.11</v>
      </c>
      <c r="E65" s="2">
        <f>IFERROR(__xludf.DUMMYFUNCTION("""COMPUTED_VALUE"""),103.95)</f>
        <v>103.95</v>
      </c>
      <c r="F65" s="2">
        <f>IFERROR(__xludf.DUMMYFUNCTION("""COMPUTED_VALUE"""),4.8662496E7)</f>
        <v>48662496</v>
      </c>
    </row>
    <row r="66">
      <c r="A66" s="3">
        <f>IFERROR(__xludf.DUMMYFUNCTION("""COMPUTED_VALUE"""),45021.66666666667)</f>
        <v>45021.66667</v>
      </c>
      <c r="B66" s="2">
        <f>IFERROR(__xludf.DUMMYFUNCTION("""COMPUTED_VALUE"""),103.91)</f>
        <v>103.91</v>
      </c>
      <c r="C66" s="2">
        <f>IFERROR(__xludf.DUMMYFUNCTION("""COMPUTED_VALUE"""),103.91)</f>
        <v>103.91</v>
      </c>
      <c r="D66" s="2">
        <f>IFERROR(__xludf.DUMMYFUNCTION("""COMPUTED_VALUE"""),100.75)</f>
        <v>100.75</v>
      </c>
      <c r="E66" s="2">
        <f>IFERROR(__xludf.DUMMYFUNCTION("""COMPUTED_VALUE"""),101.1)</f>
        <v>101.1</v>
      </c>
      <c r="F66" s="2">
        <f>IFERROR(__xludf.DUMMYFUNCTION("""COMPUTED_VALUE"""),4.5175393E7)</f>
        <v>45175393</v>
      </c>
    </row>
    <row r="67">
      <c r="A67" s="3">
        <f>IFERROR(__xludf.DUMMYFUNCTION("""COMPUTED_VALUE"""),45022.66666666667)</f>
        <v>45022.66667</v>
      </c>
      <c r="B67" s="2">
        <f>IFERROR(__xludf.DUMMYFUNCTION("""COMPUTED_VALUE"""),100.75)</f>
        <v>100.75</v>
      </c>
      <c r="C67" s="2">
        <f>IFERROR(__xludf.DUMMYFUNCTION("""COMPUTED_VALUE"""),102.38)</f>
        <v>102.38</v>
      </c>
      <c r="D67" s="2">
        <f>IFERROR(__xludf.DUMMYFUNCTION("""COMPUTED_VALUE"""),99.8)</f>
        <v>99.8</v>
      </c>
      <c r="E67" s="2">
        <f>IFERROR(__xludf.DUMMYFUNCTION("""COMPUTED_VALUE"""),102.06)</f>
        <v>102.06</v>
      </c>
      <c r="F67" s="2">
        <f>IFERROR(__xludf.DUMMYFUNCTION("""COMPUTED_VALUE"""),4.380802E7)</f>
        <v>43808020</v>
      </c>
    </row>
    <row r="68">
      <c r="A68" s="3">
        <f>IFERROR(__xludf.DUMMYFUNCTION("""COMPUTED_VALUE"""),45026.66666666667)</f>
        <v>45026.66667</v>
      </c>
      <c r="B68" s="2">
        <f>IFERROR(__xludf.DUMMYFUNCTION("""COMPUTED_VALUE"""),100.96)</f>
        <v>100.96</v>
      </c>
      <c r="C68" s="2">
        <f>IFERROR(__xludf.DUMMYFUNCTION("""COMPUTED_VALUE"""),102.2)</f>
        <v>102.2</v>
      </c>
      <c r="D68" s="2">
        <f>IFERROR(__xludf.DUMMYFUNCTION("""COMPUTED_VALUE"""),99.57)</f>
        <v>99.57</v>
      </c>
      <c r="E68" s="2">
        <f>IFERROR(__xludf.DUMMYFUNCTION("""COMPUTED_VALUE"""),102.17)</f>
        <v>102.17</v>
      </c>
      <c r="F68" s="2">
        <f>IFERROR(__xludf.DUMMYFUNCTION("""COMPUTED_VALUE"""),3.7261185E7)</f>
        <v>37261185</v>
      </c>
    </row>
    <row r="69">
      <c r="A69" s="3">
        <f>IFERROR(__xludf.DUMMYFUNCTION("""COMPUTED_VALUE"""),45027.66666666667)</f>
        <v>45027.66667</v>
      </c>
      <c r="B69" s="2">
        <f>IFERROR(__xludf.DUMMYFUNCTION("""COMPUTED_VALUE"""),100.8)</f>
        <v>100.8</v>
      </c>
      <c r="C69" s="2">
        <f>IFERROR(__xludf.DUMMYFUNCTION("""COMPUTED_VALUE"""),101.0)</f>
        <v>101</v>
      </c>
      <c r="D69" s="2">
        <f>IFERROR(__xludf.DUMMYFUNCTION("""COMPUTED_VALUE"""),99.01)</f>
        <v>99.01</v>
      </c>
      <c r="E69" s="2">
        <f>IFERROR(__xludf.DUMMYFUNCTION("""COMPUTED_VALUE"""),99.92)</f>
        <v>99.92</v>
      </c>
      <c r="F69" s="2">
        <f>IFERROR(__xludf.DUMMYFUNCTION("""COMPUTED_VALUE"""),6.0417847E7)</f>
        <v>60417847</v>
      </c>
    </row>
    <row r="70">
      <c r="A70" s="3">
        <f>IFERROR(__xludf.DUMMYFUNCTION("""COMPUTED_VALUE"""),45028.66666666667)</f>
        <v>45028.66667</v>
      </c>
      <c r="B70" s="2">
        <f>IFERROR(__xludf.DUMMYFUNCTION("""COMPUTED_VALUE"""),100.4)</f>
        <v>100.4</v>
      </c>
      <c r="C70" s="2">
        <f>IFERROR(__xludf.DUMMYFUNCTION("""COMPUTED_VALUE"""),100.51)</f>
        <v>100.51</v>
      </c>
      <c r="D70" s="2">
        <f>IFERROR(__xludf.DUMMYFUNCTION("""COMPUTED_VALUE"""),97.71)</f>
        <v>97.71</v>
      </c>
      <c r="E70" s="2">
        <f>IFERROR(__xludf.DUMMYFUNCTION("""COMPUTED_VALUE"""),97.83)</f>
        <v>97.83</v>
      </c>
      <c r="F70" s="2">
        <f>IFERROR(__xludf.DUMMYFUNCTION("""COMPUTED_VALUE"""),5.6735007E7)</f>
        <v>56735007</v>
      </c>
    </row>
    <row r="71">
      <c r="A71" s="3">
        <f>IFERROR(__xludf.DUMMYFUNCTION("""COMPUTED_VALUE"""),45029.66666666667)</f>
        <v>45029.66667</v>
      </c>
      <c r="B71" s="2">
        <f>IFERROR(__xludf.DUMMYFUNCTION("""COMPUTED_VALUE"""),98.95)</f>
        <v>98.95</v>
      </c>
      <c r="C71" s="2">
        <f>IFERROR(__xludf.DUMMYFUNCTION("""COMPUTED_VALUE"""),102.57)</f>
        <v>102.57</v>
      </c>
      <c r="D71" s="2">
        <f>IFERROR(__xludf.DUMMYFUNCTION("""COMPUTED_VALUE"""),98.71)</f>
        <v>98.71</v>
      </c>
      <c r="E71" s="2">
        <f>IFERROR(__xludf.DUMMYFUNCTION("""COMPUTED_VALUE"""),102.4)</f>
        <v>102.4</v>
      </c>
      <c r="F71" s="2">
        <f>IFERROR(__xludf.DUMMYFUNCTION("""COMPUTED_VALUE"""),6.7925138E7)</f>
        <v>67925138</v>
      </c>
    </row>
    <row r="72">
      <c r="A72" s="3">
        <f>IFERROR(__xludf.DUMMYFUNCTION("""COMPUTED_VALUE"""),45030.66666666667)</f>
        <v>45030.66667</v>
      </c>
      <c r="B72" s="2">
        <f>IFERROR(__xludf.DUMMYFUNCTION("""COMPUTED_VALUE"""),102.07)</f>
        <v>102.07</v>
      </c>
      <c r="C72" s="2">
        <f>IFERROR(__xludf.DUMMYFUNCTION("""COMPUTED_VALUE"""),103.2)</f>
        <v>103.2</v>
      </c>
      <c r="D72" s="2">
        <f>IFERROR(__xludf.DUMMYFUNCTION("""COMPUTED_VALUE"""),101.11)</f>
        <v>101.11</v>
      </c>
      <c r="E72" s="2">
        <f>IFERROR(__xludf.DUMMYFUNCTION("""COMPUTED_VALUE"""),102.51)</f>
        <v>102.51</v>
      </c>
      <c r="F72" s="2">
        <f>IFERROR(__xludf.DUMMYFUNCTION("""COMPUTED_VALUE"""),5.1450522E7)</f>
        <v>51450522</v>
      </c>
    </row>
    <row r="73">
      <c r="A73" s="3">
        <f>IFERROR(__xludf.DUMMYFUNCTION("""COMPUTED_VALUE"""),45033.66666666667)</f>
        <v>45033.66667</v>
      </c>
      <c r="B73" s="2">
        <f>IFERROR(__xludf.DUMMYFUNCTION("""COMPUTED_VALUE"""),103.16)</f>
        <v>103.16</v>
      </c>
      <c r="C73" s="2">
        <f>IFERROR(__xludf.DUMMYFUNCTION("""COMPUTED_VALUE"""),103.73)</f>
        <v>103.73</v>
      </c>
      <c r="D73" s="2">
        <f>IFERROR(__xludf.DUMMYFUNCTION("""COMPUTED_VALUE"""),101.59)</f>
        <v>101.59</v>
      </c>
      <c r="E73" s="2">
        <f>IFERROR(__xludf.DUMMYFUNCTION("""COMPUTED_VALUE"""),102.74)</f>
        <v>102.74</v>
      </c>
      <c r="F73" s="2">
        <f>IFERROR(__xludf.DUMMYFUNCTION("""COMPUTED_VALUE"""),3.9919457E7)</f>
        <v>39919457</v>
      </c>
    </row>
    <row r="74">
      <c r="A74" s="3">
        <f>IFERROR(__xludf.DUMMYFUNCTION("""COMPUTED_VALUE"""),45034.66666666667)</f>
        <v>45034.66667</v>
      </c>
      <c r="B74" s="2">
        <f>IFERROR(__xludf.DUMMYFUNCTION("""COMPUTED_VALUE"""),103.95)</f>
        <v>103.95</v>
      </c>
      <c r="C74" s="2">
        <f>IFERROR(__xludf.DUMMYFUNCTION("""COMPUTED_VALUE"""),104.2)</f>
        <v>104.2</v>
      </c>
      <c r="D74" s="2">
        <f>IFERROR(__xludf.DUMMYFUNCTION("""COMPUTED_VALUE"""),101.52)</f>
        <v>101.52</v>
      </c>
      <c r="E74" s="2">
        <f>IFERROR(__xludf.DUMMYFUNCTION("""COMPUTED_VALUE"""),102.3)</f>
        <v>102.3</v>
      </c>
      <c r="F74" s="2">
        <f>IFERROR(__xludf.DUMMYFUNCTION("""COMPUTED_VALUE"""),3.9790518E7)</f>
        <v>39790518</v>
      </c>
    </row>
    <row r="75">
      <c r="A75" s="3">
        <f>IFERROR(__xludf.DUMMYFUNCTION("""COMPUTED_VALUE"""),45035.66666666667)</f>
        <v>45035.66667</v>
      </c>
      <c r="B75" s="2">
        <f>IFERROR(__xludf.DUMMYFUNCTION("""COMPUTED_VALUE"""),101.58)</f>
        <v>101.58</v>
      </c>
      <c r="C75" s="2">
        <f>IFERROR(__xludf.DUMMYFUNCTION("""COMPUTED_VALUE"""),105.12)</f>
        <v>105.12</v>
      </c>
      <c r="D75" s="2">
        <f>IFERROR(__xludf.DUMMYFUNCTION("""COMPUTED_VALUE"""),101.39)</f>
        <v>101.39</v>
      </c>
      <c r="E75" s="2">
        <f>IFERROR(__xludf.DUMMYFUNCTION("""COMPUTED_VALUE"""),104.3)</f>
        <v>104.3</v>
      </c>
      <c r="F75" s="2">
        <f>IFERROR(__xludf.DUMMYFUNCTION("""COMPUTED_VALUE"""),5.839889E7)</f>
        <v>58398890</v>
      </c>
    </row>
    <row r="76">
      <c r="A76" s="3">
        <f>IFERROR(__xludf.DUMMYFUNCTION("""COMPUTED_VALUE"""),45036.66666666667)</f>
        <v>45036.66667</v>
      </c>
      <c r="B76" s="2">
        <f>IFERROR(__xludf.DUMMYFUNCTION("""COMPUTED_VALUE"""),103.53)</f>
        <v>103.53</v>
      </c>
      <c r="C76" s="2">
        <f>IFERROR(__xludf.DUMMYFUNCTION("""COMPUTED_VALUE"""),105.25)</f>
        <v>105.25</v>
      </c>
      <c r="D76" s="2">
        <f>IFERROR(__xludf.DUMMYFUNCTION("""COMPUTED_VALUE"""),103.21)</f>
        <v>103.21</v>
      </c>
      <c r="E76" s="2">
        <f>IFERROR(__xludf.DUMMYFUNCTION("""COMPUTED_VALUE"""),103.81)</f>
        <v>103.81</v>
      </c>
      <c r="F76" s="2">
        <f>IFERROR(__xludf.DUMMYFUNCTION("""COMPUTED_VALUE"""),5.7696866E7)</f>
        <v>57696866</v>
      </c>
    </row>
    <row r="77">
      <c r="A77" s="3">
        <f>IFERROR(__xludf.DUMMYFUNCTION("""COMPUTED_VALUE"""),45037.66666666667)</f>
        <v>45037.66667</v>
      </c>
      <c r="B77" s="2">
        <f>IFERROR(__xludf.DUMMYFUNCTION("""COMPUTED_VALUE"""),106.1)</f>
        <v>106.1</v>
      </c>
      <c r="C77" s="2">
        <f>IFERROR(__xludf.DUMMYFUNCTION("""COMPUTED_VALUE"""),108.15)</f>
        <v>108.15</v>
      </c>
      <c r="D77" s="2">
        <f>IFERROR(__xludf.DUMMYFUNCTION("""COMPUTED_VALUE"""),105.08)</f>
        <v>105.08</v>
      </c>
      <c r="E77" s="2">
        <f>IFERROR(__xludf.DUMMYFUNCTION("""COMPUTED_VALUE"""),106.96)</f>
        <v>106.96</v>
      </c>
      <c r="F77" s="2">
        <f>IFERROR(__xludf.DUMMYFUNCTION("""COMPUTED_VALUE"""),8.6774185E7)</f>
        <v>86774185</v>
      </c>
    </row>
    <row r="78">
      <c r="A78" s="3">
        <f>IFERROR(__xludf.DUMMYFUNCTION("""COMPUTED_VALUE"""),45040.66666666667)</f>
        <v>45040.66667</v>
      </c>
      <c r="B78" s="2">
        <f>IFERROR(__xludf.DUMMYFUNCTION("""COMPUTED_VALUE"""),107.66)</f>
        <v>107.66</v>
      </c>
      <c r="C78" s="2">
        <f>IFERROR(__xludf.DUMMYFUNCTION("""COMPUTED_VALUE"""),109.23)</f>
        <v>109.23</v>
      </c>
      <c r="D78" s="2">
        <f>IFERROR(__xludf.DUMMYFUNCTION("""COMPUTED_VALUE"""),105.07)</f>
        <v>105.07</v>
      </c>
      <c r="E78" s="2">
        <f>IFERROR(__xludf.DUMMYFUNCTION("""COMPUTED_VALUE"""),106.21)</f>
        <v>106.21</v>
      </c>
      <c r="F78" s="2">
        <f>IFERROR(__xludf.DUMMYFUNCTION("""COMPUTED_VALUE"""),6.957561E7)</f>
        <v>69575610</v>
      </c>
    </row>
    <row r="79">
      <c r="A79" s="3">
        <f>IFERROR(__xludf.DUMMYFUNCTION("""COMPUTED_VALUE"""),45041.66666666667)</f>
        <v>45041.66667</v>
      </c>
      <c r="B79" s="2">
        <f>IFERROR(__xludf.DUMMYFUNCTION("""COMPUTED_VALUE"""),104.91)</f>
        <v>104.91</v>
      </c>
      <c r="C79" s="2">
        <f>IFERROR(__xludf.DUMMYFUNCTION("""COMPUTED_VALUE"""),105.45)</f>
        <v>105.45</v>
      </c>
      <c r="D79" s="2">
        <f>IFERROR(__xludf.DUMMYFUNCTION("""COMPUTED_VALUE"""),102.45)</f>
        <v>102.45</v>
      </c>
      <c r="E79" s="2">
        <f>IFERROR(__xludf.DUMMYFUNCTION("""COMPUTED_VALUE"""),102.57)</f>
        <v>102.57</v>
      </c>
      <c r="F79" s="2">
        <f>IFERROR(__xludf.DUMMYFUNCTION("""COMPUTED_VALUE"""),6.5026818E7)</f>
        <v>65026818</v>
      </c>
    </row>
    <row r="80">
      <c r="A80" s="3">
        <f>IFERROR(__xludf.DUMMYFUNCTION("""COMPUTED_VALUE"""),45042.66666666667)</f>
        <v>45042.66667</v>
      </c>
      <c r="B80" s="2">
        <f>IFERROR(__xludf.DUMMYFUNCTION("""COMPUTED_VALUE"""),105.04)</f>
        <v>105.04</v>
      </c>
      <c r="C80" s="2">
        <f>IFERROR(__xludf.DUMMYFUNCTION("""COMPUTED_VALUE"""),106.62)</f>
        <v>106.62</v>
      </c>
      <c r="D80" s="2">
        <f>IFERROR(__xludf.DUMMYFUNCTION("""COMPUTED_VALUE"""),104.1)</f>
        <v>104.1</v>
      </c>
      <c r="E80" s="2">
        <f>IFERROR(__xludf.DUMMYFUNCTION("""COMPUTED_VALUE"""),104.98)</f>
        <v>104.98</v>
      </c>
      <c r="F80" s="2">
        <f>IFERROR(__xludf.DUMMYFUNCTION("""COMPUTED_VALUE"""),7.380379E7)</f>
        <v>73803790</v>
      </c>
    </row>
    <row r="81">
      <c r="A81" s="3">
        <f>IFERROR(__xludf.DUMMYFUNCTION("""COMPUTED_VALUE"""),45043.66666666667)</f>
        <v>45043.66667</v>
      </c>
      <c r="B81" s="2">
        <f>IFERROR(__xludf.DUMMYFUNCTION("""COMPUTED_VALUE"""),108.16)</f>
        <v>108.16</v>
      </c>
      <c r="C81" s="2">
        <f>IFERROR(__xludf.DUMMYFUNCTION("""COMPUTED_VALUE"""),110.86)</f>
        <v>110.86</v>
      </c>
      <c r="D81" s="2">
        <f>IFERROR(__xludf.DUMMYFUNCTION("""COMPUTED_VALUE"""),106.8)</f>
        <v>106.8</v>
      </c>
      <c r="E81" s="2">
        <f>IFERROR(__xludf.DUMMYFUNCTION("""COMPUTED_VALUE"""),109.82)</f>
        <v>109.82</v>
      </c>
      <c r="F81" s="2">
        <f>IFERROR(__xludf.DUMMYFUNCTION("""COMPUTED_VALUE"""),1.49961167E8)</f>
        <v>149961167</v>
      </c>
    </row>
    <row r="82">
      <c r="A82" s="3">
        <f>IFERROR(__xludf.DUMMYFUNCTION("""COMPUTED_VALUE"""),45044.66666666667)</f>
        <v>45044.66667</v>
      </c>
      <c r="B82" s="2">
        <f>IFERROR(__xludf.DUMMYFUNCTION("""COMPUTED_VALUE"""),107.73)</f>
        <v>107.73</v>
      </c>
      <c r="C82" s="2">
        <f>IFERROR(__xludf.DUMMYFUNCTION("""COMPUTED_VALUE"""),109.48)</f>
        <v>109.48</v>
      </c>
      <c r="D82" s="2">
        <f>IFERROR(__xludf.DUMMYFUNCTION("""COMPUTED_VALUE"""),104.33)</f>
        <v>104.33</v>
      </c>
      <c r="E82" s="2">
        <f>IFERROR(__xludf.DUMMYFUNCTION("""COMPUTED_VALUE"""),105.45)</f>
        <v>105.45</v>
      </c>
      <c r="F82" s="2">
        <f>IFERROR(__xludf.DUMMYFUNCTION("""COMPUTED_VALUE"""),1.30715946E8)</f>
        <v>130715946</v>
      </c>
    </row>
    <row r="83">
      <c r="A83" s="3">
        <f>IFERROR(__xludf.DUMMYFUNCTION("""COMPUTED_VALUE"""),45047.66666666667)</f>
        <v>45047.66667</v>
      </c>
      <c r="B83" s="2">
        <f>IFERROR(__xludf.DUMMYFUNCTION("""COMPUTED_VALUE"""),104.95)</f>
        <v>104.95</v>
      </c>
      <c r="C83" s="2">
        <f>IFERROR(__xludf.DUMMYFUNCTION("""COMPUTED_VALUE"""),105.23)</f>
        <v>105.23</v>
      </c>
      <c r="D83" s="2">
        <f>IFERROR(__xludf.DUMMYFUNCTION("""COMPUTED_VALUE"""),101.82)</f>
        <v>101.82</v>
      </c>
      <c r="E83" s="2">
        <f>IFERROR(__xludf.DUMMYFUNCTION("""COMPUTED_VALUE"""),102.05)</f>
        <v>102.05</v>
      </c>
      <c r="F83" s="2">
        <f>IFERROR(__xludf.DUMMYFUNCTION("""COMPUTED_VALUE"""),7.4728096E7)</f>
        <v>74728096</v>
      </c>
    </row>
    <row r="84">
      <c r="A84" s="3">
        <f>IFERROR(__xludf.DUMMYFUNCTION("""COMPUTED_VALUE"""),45048.66666666667)</f>
        <v>45048.66667</v>
      </c>
      <c r="B84" s="2">
        <f>IFERROR(__xludf.DUMMYFUNCTION("""COMPUTED_VALUE"""),101.47)</f>
        <v>101.47</v>
      </c>
      <c r="C84" s="2">
        <f>IFERROR(__xludf.DUMMYFUNCTION("""COMPUTED_VALUE"""),103.9)</f>
        <v>103.9</v>
      </c>
      <c r="D84" s="2">
        <f>IFERROR(__xludf.DUMMYFUNCTION("""COMPUTED_VALUE"""),101.15)</f>
        <v>101.15</v>
      </c>
      <c r="E84" s="2">
        <f>IFERROR(__xludf.DUMMYFUNCTION("""COMPUTED_VALUE"""),103.63)</f>
        <v>103.63</v>
      </c>
      <c r="F84" s="2">
        <f>IFERROR(__xludf.DUMMYFUNCTION("""COMPUTED_VALUE"""),7.346935E7)</f>
        <v>73469350</v>
      </c>
    </row>
    <row r="85">
      <c r="A85" s="3">
        <f>IFERROR(__xludf.DUMMYFUNCTION("""COMPUTED_VALUE"""),45049.66666666667)</f>
        <v>45049.66667</v>
      </c>
      <c r="B85" s="2">
        <f>IFERROR(__xludf.DUMMYFUNCTION("""COMPUTED_VALUE"""),103.74)</f>
        <v>103.74</v>
      </c>
      <c r="C85" s="2">
        <f>IFERROR(__xludf.DUMMYFUNCTION("""COMPUTED_VALUE"""),105.96)</f>
        <v>105.96</v>
      </c>
      <c r="D85" s="2">
        <f>IFERROR(__xludf.DUMMYFUNCTION("""COMPUTED_VALUE"""),103.28)</f>
        <v>103.28</v>
      </c>
      <c r="E85" s="2">
        <f>IFERROR(__xludf.DUMMYFUNCTION("""COMPUTED_VALUE"""),103.65)</f>
        <v>103.65</v>
      </c>
      <c r="F85" s="2">
        <f>IFERROR(__xludf.DUMMYFUNCTION("""COMPUTED_VALUE"""),6.5051925E7)</f>
        <v>65051925</v>
      </c>
    </row>
    <row r="86">
      <c r="A86" s="3">
        <f>IFERROR(__xludf.DUMMYFUNCTION("""COMPUTED_VALUE"""),45050.66666666667)</f>
        <v>45050.66667</v>
      </c>
      <c r="B86" s="2">
        <f>IFERROR(__xludf.DUMMYFUNCTION("""COMPUTED_VALUE"""),104.04)</f>
        <v>104.04</v>
      </c>
      <c r="C86" s="2">
        <f>IFERROR(__xludf.DUMMYFUNCTION("""COMPUTED_VALUE"""),105.39)</f>
        <v>105.39</v>
      </c>
      <c r="D86" s="2">
        <f>IFERROR(__xludf.DUMMYFUNCTION("""COMPUTED_VALUE"""),103.31)</f>
        <v>103.31</v>
      </c>
      <c r="E86" s="2">
        <f>IFERROR(__xludf.DUMMYFUNCTION("""COMPUTED_VALUE"""),104.0)</f>
        <v>104</v>
      </c>
      <c r="F86" s="2">
        <f>IFERROR(__xludf.DUMMYFUNCTION("""COMPUTED_VALUE"""),4.5345523E7)</f>
        <v>45345523</v>
      </c>
    </row>
    <row r="87">
      <c r="A87" s="3">
        <f>IFERROR(__xludf.DUMMYFUNCTION("""COMPUTED_VALUE"""),45051.66666666667)</f>
        <v>45051.66667</v>
      </c>
      <c r="B87" s="2">
        <f>IFERROR(__xludf.DUMMYFUNCTION("""COMPUTED_VALUE"""),104.27)</f>
        <v>104.27</v>
      </c>
      <c r="C87" s="2">
        <f>IFERROR(__xludf.DUMMYFUNCTION("""COMPUTED_VALUE"""),105.76)</f>
        <v>105.76</v>
      </c>
      <c r="D87" s="2">
        <f>IFERROR(__xludf.DUMMYFUNCTION("""COMPUTED_VALUE"""),103.55)</f>
        <v>103.55</v>
      </c>
      <c r="E87" s="2">
        <f>IFERROR(__xludf.DUMMYFUNCTION("""COMPUTED_VALUE"""),105.66)</f>
        <v>105.66</v>
      </c>
      <c r="F87" s="2">
        <f>IFERROR(__xludf.DUMMYFUNCTION("""COMPUTED_VALUE"""),5.6951744E7)</f>
        <v>56951744</v>
      </c>
    </row>
    <row r="88">
      <c r="A88" s="3">
        <f>IFERROR(__xludf.DUMMYFUNCTION("""COMPUTED_VALUE"""),45054.66666666667)</f>
        <v>45054.66667</v>
      </c>
      <c r="B88" s="2">
        <f>IFERROR(__xludf.DUMMYFUNCTION("""COMPUTED_VALUE"""),105.04)</f>
        <v>105.04</v>
      </c>
      <c r="C88" s="2">
        <f>IFERROR(__xludf.DUMMYFUNCTION("""COMPUTED_VALUE"""),106.1)</f>
        <v>106.1</v>
      </c>
      <c r="D88" s="2">
        <f>IFERROR(__xludf.DUMMYFUNCTION("""COMPUTED_VALUE"""),104.7)</f>
        <v>104.7</v>
      </c>
      <c r="E88" s="2">
        <f>IFERROR(__xludf.DUMMYFUNCTION("""COMPUTED_VALUE"""),105.83)</f>
        <v>105.83</v>
      </c>
      <c r="F88" s="2">
        <f>IFERROR(__xludf.DUMMYFUNCTION("""COMPUTED_VALUE"""),4.9430909E7)</f>
        <v>49430909</v>
      </c>
    </row>
    <row r="89">
      <c r="A89" s="3">
        <f>IFERROR(__xludf.DUMMYFUNCTION("""COMPUTED_VALUE"""),45055.66666666667)</f>
        <v>45055.66667</v>
      </c>
      <c r="B89" s="2">
        <f>IFERROR(__xludf.DUMMYFUNCTION("""COMPUTED_VALUE"""),105.48)</f>
        <v>105.48</v>
      </c>
      <c r="C89" s="2">
        <f>IFERROR(__xludf.DUMMYFUNCTION("""COMPUTED_VALUE"""),106.79)</f>
        <v>106.79</v>
      </c>
      <c r="D89" s="2">
        <f>IFERROR(__xludf.DUMMYFUNCTION("""COMPUTED_VALUE"""),105.16)</f>
        <v>105.16</v>
      </c>
      <c r="E89" s="2">
        <f>IFERROR(__xludf.DUMMYFUNCTION("""COMPUTED_VALUE"""),106.62)</f>
        <v>106.62</v>
      </c>
      <c r="F89" s="2">
        <f>IFERROR(__xludf.DUMMYFUNCTION("""COMPUTED_VALUE"""),4.4089359E7)</f>
        <v>44089359</v>
      </c>
    </row>
    <row r="90">
      <c r="A90" s="3">
        <f>IFERROR(__xludf.DUMMYFUNCTION("""COMPUTED_VALUE"""),45056.66666666667)</f>
        <v>45056.66667</v>
      </c>
      <c r="B90" s="2">
        <f>IFERROR(__xludf.DUMMYFUNCTION("""COMPUTED_VALUE"""),108.1)</f>
        <v>108.1</v>
      </c>
      <c r="C90" s="2">
        <f>IFERROR(__xludf.DUMMYFUNCTION("""COMPUTED_VALUE"""),110.67)</f>
        <v>110.67</v>
      </c>
      <c r="D90" s="2">
        <f>IFERROR(__xludf.DUMMYFUNCTION("""COMPUTED_VALUE"""),108.05)</f>
        <v>108.05</v>
      </c>
      <c r="E90" s="2">
        <f>IFERROR(__xludf.DUMMYFUNCTION("""COMPUTED_VALUE"""),110.19)</f>
        <v>110.19</v>
      </c>
      <c r="F90" s="2">
        <f>IFERROR(__xludf.DUMMYFUNCTION("""COMPUTED_VALUE"""),7.8627616E7)</f>
        <v>78627616</v>
      </c>
    </row>
    <row r="91">
      <c r="A91" s="3">
        <f>IFERROR(__xludf.DUMMYFUNCTION("""COMPUTED_VALUE"""),45057.66666666667)</f>
        <v>45057.66667</v>
      </c>
      <c r="B91" s="2">
        <f>IFERROR(__xludf.DUMMYFUNCTION("""COMPUTED_VALUE"""),111.03)</f>
        <v>111.03</v>
      </c>
      <c r="C91" s="2">
        <f>IFERROR(__xludf.DUMMYFUNCTION("""COMPUTED_VALUE"""),113.28)</f>
        <v>113.28</v>
      </c>
      <c r="D91" s="2">
        <f>IFERROR(__xludf.DUMMYFUNCTION("""COMPUTED_VALUE"""),110.49)</f>
        <v>110.49</v>
      </c>
      <c r="E91" s="2">
        <f>IFERROR(__xludf.DUMMYFUNCTION("""COMPUTED_VALUE"""),112.18)</f>
        <v>112.18</v>
      </c>
      <c r="F91" s="2">
        <f>IFERROR(__xludf.DUMMYFUNCTION("""COMPUTED_VALUE"""),7.4924841E7)</f>
        <v>74924841</v>
      </c>
    </row>
    <row r="92">
      <c r="A92" s="3">
        <f>IFERROR(__xludf.DUMMYFUNCTION("""COMPUTED_VALUE"""),45058.66666666667)</f>
        <v>45058.66667</v>
      </c>
      <c r="B92" s="2">
        <f>IFERROR(__xludf.DUMMYFUNCTION("""COMPUTED_VALUE"""),112.16)</f>
        <v>112.16</v>
      </c>
      <c r="C92" s="2">
        <f>IFERROR(__xludf.DUMMYFUNCTION("""COMPUTED_VALUE"""),112.64)</f>
        <v>112.64</v>
      </c>
      <c r="D92" s="2">
        <f>IFERROR(__xludf.DUMMYFUNCTION("""COMPUTED_VALUE"""),109.32)</f>
        <v>109.32</v>
      </c>
      <c r="E92" s="2">
        <f>IFERROR(__xludf.DUMMYFUNCTION("""COMPUTED_VALUE"""),110.26)</f>
        <v>110.26</v>
      </c>
      <c r="F92" s="2">
        <f>IFERROR(__xludf.DUMMYFUNCTION("""COMPUTED_VALUE"""),4.9852671E7)</f>
        <v>49852671</v>
      </c>
    </row>
    <row r="93">
      <c r="A93" s="3">
        <f>IFERROR(__xludf.DUMMYFUNCTION("""COMPUTED_VALUE"""),45061.66666666667)</f>
        <v>45061.66667</v>
      </c>
      <c r="B93" s="2">
        <f>IFERROR(__xludf.DUMMYFUNCTION("""COMPUTED_VALUE"""),111.15)</f>
        <v>111.15</v>
      </c>
      <c r="C93" s="2">
        <f>IFERROR(__xludf.DUMMYFUNCTION("""COMPUTED_VALUE"""),112.29)</f>
        <v>112.29</v>
      </c>
      <c r="D93" s="2">
        <f>IFERROR(__xludf.DUMMYFUNCTION("""COMPUTED_VALUE"""),109.25)</f>
        <v>109.25</v>
      </c>
      <c r="E93" s="2">
        <f>IFERROR(__xludf.DUMMYFUNCTION("""COMPUTED_VALUE"""),111.2)</f>
        <v>111.2</v>
      </c>
      <c r="F93" s="2">
        <f>IFERROR(__xludf.DUMMYFUNCTION("""COMPUTED_VALUE"""),5.3011145E7)</f>
        <v>53011145</v>
      </c>
    </row>
    <row r="94">
      <c r="A94" s="3">
        <f>IFERROR(__xludf.DUMMYFUNCTION("""COMPUTED_VALUE"""),45062.66666666667)</f>
        <v>45062.66667</v>
      </c>
      <c r="B94" s="2">
        <f>IFERROR(__xludf.DUMMYFUNCTION("""COMPUTED_VALUE"""),111.05)</f>
        <v>111.05</v>
      </c>
      <c r="C94" s="2">
        <f>IFERROR(__xludf.DUMMYFUNCTION("""COMPUTED_VALUE"""),114.79)</f>
        <v>114.79</v>
      </c>
      <c r="D94" s="2">
        <f>IFERROR(__xludf.DUMMYFUNCTION("""COMPUTED_VALUE"""),111.05)</f>
        <v>111.05</v>
      </c>
      <c r="E94" s="2">
        <f>IFERROR(__xludf.DUMMYFUNCTION("""COMPUTED_VALUE"""),113.4)</f>
        <v>113.4</v>
      </c>
      <c r="F94" s="2">
        <f>IFERROR(__xludf.DUMMYFUNCTION("""COMPUTED_VALUE"""),7.1472908E7)</f>
        <v>71472908</v>
      </c>
    </row>
    <row r="95">
      <c r="A95" s="3">
        <f>IFERROR(__xludf.DUMMYFUNCTION("""COMPUTED_VALUE"""),45063.66666666667)</f>
        <v>45063.66667</v>
      </c>
      <c r="B95" s="2">
        <f>IFERROR(__xludf.DUMMYFUNCTION("""COMPUTED_VALUE"""),114.89)</f>
        <v>114.89</v>
      </c>
      <c r="C95" s="2">
        <f>IFERROR(__xludf.DUMMYFUNCTION("""COMPUTED_VALUE"""),115.83)</f>
        <v>115.83</v>
      </c>
      <c r="D95" s="2">
        <f>IFERROR(__xludf.DUMMYFUNCTION("""COMPUTED_VALUE"""),114.22)</f>
        <v>114.22</v>
      </c>
      <c r="E95" s="2">
        <f>IFERROR(__xludf.DUMMYFUNCTION("""COMPUTED_VALUE"""),115.5)</f>
        <v>115.5</v>
      </c>
      <c r="F95" s="2">
        <f>IFERROR(__xludf.DUMMYFUNCTION("""COMPUTED_VALUE"""),6.5655177E7)</f>
        <v>65655177</v>
      </c>
    </row>
    <row r="96">
      <c r="A96" s="3">
        <f>IFERROR(__xludf.DUMMYFUNCTION("""COMPUTED_VALUE"""),45064.66666666667)</f>
        <v>45064.66667</v>
      </c>
      <c r="B96" s="2">
        <f>IFERROR(__xludf.DUMMYFUNCTION("""COMPUTED_VALUE"""),116.69)</f>
        <v>116.69</v>
      </c>
      <c r="C96" s="2">
        <f>IFERROR(__xludf.DUMMYFUNCTION("""COMPUTED_VALUE"""),118.6)</f>
        <v>118.6</v>
      </c>
      <c r="D96" s="2">
        <f>IFERROR(__xludf.DUMMYFUNCTION("""COMPUTED_VALUE"""),116.34)</f>
        <v>116.34</v>
      </c>
      <c r="E96" s="2">
        <f>IFERROR(__xludf.DUMMYFUNCTION("""COMPUTED_VALUE"""),118.15)</f>
        <v>118.15</v>
      </c>
      <c r="F96" s="2">
        <f>IFERROR(__xludf.DUMMYFUNCTION("""COMPUTED_VALUE"""),7.3174087E7)</f>
        <v>73174087</v>
      </c>
    </row>
    <row r="97">
      <c r="A97" s="3">
        <f>IFERROR(__xludf.DUMMYFUNCTION("""COMPUTED_VALUE"""),45065.66666666667)</f>
        <v>45065.66667</v>
      </c>
      <c r="B97" s="2">
        <f>IFERROR(__xludf.DUMMYFUNCTION("""COMPUTED_VALUE"""),118.16)</f>
        <v>118.16</v>
      </c>
      <c r="C97" s="2">
        <f>IFERROR(__xludf.DUMMYFUNCTION("""COMPUTED_VALUE"""),118.31)</f>
        <v>118.31</v>
      </c>
      <c r="D97" s="2">
        <f>IFERROR(__xludf.DUMMYFUNCTION("""COMPUTED_VALUE"""),115.7)</f>
        <v>115.7</v>
      </c>
      <c r="E97" s="2">
        <f>IFERROR(__xludf.DUMMYFUNCTION("""COMPUTED_VALUE"""),116.25)</f>
        <v>116.25</v>
      </c>
      <c r="F97" s="2">
        <f>IFERROR(__xludf.DUMMYFUNCTION("""COMPUTED_VALUE"""),5.5056307E7)</f>
        <v>55056307</v>
      </c>
    </row>
    <row r="98">
      <c r="A98" s="3">
        <f>IFERROR(__xludf.DUMMYFUNCTION("""COMPUTED_VALUE"""),45068.66666666667)</f>
        <v>45068.66667</v>
      </c>
      <c r="B98" s="2">
        <f>IFERROR(__xludf.DUMMYFUNCTION("""COMPUTED_VALUE"""),116.77)</f>
        <v>116.77</v>
      </c>
      <c r="C98" s="2">
        <f>IFERROR(__xludf.DUMMYFUNCTION("""COMPUTED_VALUE"""),116.77)</f>
        <v>116.77</v>
      </c>
      <c r="D98" s="2">
        <f>IFERROR(__xludf.DUMMYFUNCTION("""COMPUTED_VALUE"""),114.25)</f>
        <v>114.25</v>
      </c>
      <c r="E98" s="2">
        <f>IFERROR(__xludf.DUMMYFUNCTION("""COMPUTED_VALUE"""),115.01)</f>
        <v>115.01</v>
      </c>
      <c r="F98" s="2">
        <f>IFERROR(__xludf.DUMMYFUNCTION("""COMPUTED_VALUE"""),7.0741123E7)</f>
        <v>70741123</v>
      </c>
    </row>
    <row r="99">
      <c r="A99" s="3">
        <f>IFERROR(__xludf.DUMMYFUNCTION("""COMPUTED_VALUE"""),45069.66666666667)</f>
        <v>45069.66667</v>
      </c>
      <c r="B99" s="2">
        <f>IFERROR(__xludf.DUMMYFUNCTION("""COMPUTED_VALUE"""),114.27)</f>
        <v>114.27</v>
      </c>
      <c r="C99" s="2">
        <f>IFERROR(__xludf.DUMMYFUNCTION("""COMPUTED_VALUE"""),117.14)</f>
        <v>117.14</v>
      </c>
      <c r="D99" s="2">
        <f>IFERROR(__xludf.DUMMYFUNCTION("""COMPUTED_VALUE"""),113.78)</f>
        <v>113.78</v>
      </c>
      <c r="E99" s="2">
        <f>IFERROR(__xludf.DUMMYFUNCTION("""COMPUTED_VALUE"""),114.99)</f>
        <v>114.99</v>
      </c>
      <c r="F99" s="2">
        <f>IFERROR(__xludf.DUMMYFUNCTION("""COMPUTED_VALUE"""),6.7576262E7)</f>
        <v>67576262</v>
      </c>
    </row>
    <row r="100">
      <c r="A100" s="3">
        <f>IFERROR(__xludf.DUMMYFUNCTION("""COMPUTED_VALUE"""),45070.66666666667)</f>
        <v>45070.66667</v>
      </c>
      <c r="B100" s="2">
        <f>IFERROR(__xludf.DUMMYFUNCTION("""COMPUTED_VALUE"""),115.35)</f>
        <v>115.35</v>
      </c>
      <c r="C100" s="2">
        <f>IFERROR(__xludf.DUMMYFUNCTION("""COMPUTED_VALUE"""),117.34)</f>
        <v>117.34</v>
      </c>
      <c r="D100" s="2">
        <f>IFERROR(__xludf.DUMMYFUNCTION("""COMPUTED_VALUE"""),115.02)</f>
        <v>115.02</v>
      </c>
      <c r="E100" s="2">
        <f>IFERROR(__xludf.DUMMYFUNCTION("""COMPUTED_VALUE"""),116.75)</f>
        <v>116.75</v>
      </c>
      <c r="F100" s="2">
        <f>IFERROR(__xludf.DUMMYFUNCTION("""COMPUTED_VALUE"""),6.3487938E7)</f>
        <v>63487938</v>
      </c>
    </row>
    <row r="101">
      <c r="A101" s="3">
        <f>IFERROR(__xludf.DUMMYFUNCTION("""COMPUTED_VALUE"""),45071.66666666667)</f>
        <v>45071.66667</v>
      </c>
      <c r="B101" s="2">
        <f>IFERROR(__xludf.DUMMYFUNCTION("""COMPUTED_VALUE"""),116.63)</f>
        <v>116.63</v>
      </c>
      <c r="C101" s="2">
        <f>IFERROR(__xludf.DUMMYFUNCTION("""COMPUTED_VALUE"""),116.87)</f>
        <v>116.87</v>
      </c>
      <c r="D101" s="2">
        <f>IFERROR(__xludf.DUMMYFUNCTION("""COMPUTED_VALUE"""),114.31)</f>
        <v>114.31</v>
      </c>
      <c r="E101" s="2">
        <f>IFERROR(__xludf.DUMMYFUNCTION("""COMPUTED_VALUE"""),115.0)</f>
        <v>115</v>
      </c>
      <c r="F101" s="2">
        <f>IFERROR(__xludf.DUMMYFUNCTION("""COMPUTED_VALUE"""),6.6496681E7)</f>
        <v>66496681</v>
      </c>
    </row>
    <row r="102">
      <c r="A102" s="3">
        <f>IFERROR(__xludf.DUMMYFUNCTION("""COMPUTED_VALUE"""),45072.66666666667)</f>
        <v>45072.66667</v>
      </c>
      <c r="B102" s="2">
        <f>IFERROR(__xludf.DUMMYFUNCTION("""COMPUTED_VALUE"""),116.04)</f>
        <v>116.04</v>
      </c>
      <c r="C102" s="2">
        <f>IFERROR(__xludf.DUMMYFUNCTION("""COMPUTED_VALUE"""),121.5)</f>
        <v>121.5</v>
      </c>
      <c r="D102" s="2">
        <f>IFERROR(__xludf.DUMMYFUNCTION("""COMPUTED_VALUE"""),116.02)</f>
        <v>116.02</v>
      </c>
      <c r="E102" s="2">
        <f>IFERROR(__xludf.DUMMYFUNCTION("""COMPUTED_VALUE"""),120.11)</f>
        <v>120.11</v>
      </c>
      <c r="F102" s="2">
        <f>IFERROR(__xludf.DUMMYFUNCTION("""COMPUTED_VALUE"""),9.6779889E7)</f>
        <v>96779889</v>
      </c>
    </row>
    <row r="103">
      <c r="A103" s="3">
        <f>IFERROR(__xludf.DUMMYFUNCTION("""COMPUTED_VALUE"""),45076.66666666667)</f>
        <v>45076.66667</v>
      </c>
      <c r="B103" s="2">
        <f>IFERROR(__xludf.DUMMYFUNCTION("""COMPUTED_VALUE"""),122.37)</f>
        <v>122.37</v>
      </c>
      <c r="C103" s="2">
        <f>IFERROR(__xludf.DUMMYFUNCTION("""COMPUTED_VALUE"""),122.92)</f>
        <v>122.92</v>
      </c>
      <c r="D103" s="2">
        <f>IFERROR(__xludf.DUMMYFUNCTION("""COMPUTED_VALUE"""),119.86)</f>
        <v>119.86</v>
      </c>
      <c r="E103" s="2">
        <f>IFERROR(__xludf.DUMMYFUNCTION("""COMPUTED_VALUE"""),121.66)</f>
        <v>121.66</v>
      </c>
      <c r="F103" s="2">
        <f>IFERROR(__xludf.DUMMYFUNCTION("""COMPUTED_VALUE"""),6.4314808E7)</f>
        <v>64314808</v>
      </c>
    </row>
    <row r="104">
      <c r="A104" s="3">
        <f>IFERROR(__xludf.DUMMYFUNCTION("""COMPUTED_VALUE"""),45077.66666666667)</f>
        <v>45077.66667</v>
      </c>
      <c r="B104" s="2">
        <f>IFERROR(__xludf.DUMMYFUNCTION("""COMPUTED_VALUE"""),121.45)</f>
        <v>121.45</v>
      </c>
      <c r="C104" s="2">
        <f>IFERROR(__xludf.DUMMYFUNCTION("""COMPUTED_VALUE"""),122.04)</f>
        <v>122.04</v>
      </c>
      <c r="D104" s="2">
        <f>IFERROR(__xludf.DUMMYFUNCTION("""COMPUTED_VALUE"""),119.17)</f>
        <v>119.17</v>
      </c>
      <c r="E104" s="2">
        <f>IFERROR(__xludf.DUMMYFUNCTION("""COMPUTED_VALUE"""),120.58)</f>
        <v>120.58</v>
      </c>
      <c r="F104" s="2">
        <f>IFERROR(__xludf.DUMMYFUNCTION("""COMPUTED_VALUE"""),7.2800787E7)</f>
        <v>72800787</v>
      </c>
    </row>
    <row r="105">
      <c r="A105" s="3">
        <f>IFERROR(__xludf.DUMMYFUNCTION("""COMPUTED_VALUE"""),45078.66666666667)</f>
        <v>45078.66667</v>
      </c>
      <c r="B105" s="2">
        <f>IFERROR(__xludf.DUMMYFUNCTION("""COMPUTED_VALUE"""),120.69)</f>
        <v>120.69</v>
      </c>
      <c r="C105" s="2">
        <f>IFERROR(__xludf.DUMMYFUNCTION("""COMPUTED_VALUE"""),123.49)</f>
        <v>123.49</v>
      </c>
      <c r="D105" s="2">
        <f>IFERROR(__xludf.DUMMYFUNCTION("""COMPUTED_VALUE"""),119.93)</f>
        <v>119.93</v>
      </c>
      <c r="E105" s="2">
        <f>IFERROR(__xludf.DUMMYFUNCTION("""COMPUTED_VALUE"""),122.77)</f>
        <v>122.77</v>
      </c>
      <c r="F105" s="2">
        <f>IFERROR(__xludf.DUMMYFUNCTION("""COMPUTED_VALUE"""),5.4375131E7)</f>
        <v>54375131</v>
      </c>
    </row>
    <row r="106">
      <c r="A106" s="3">
        <f>IFERROR(__xludf.DUMMYFUNCTION("""COMPUTED_VALUE"""),45079.66666666667)</f>
        <v>45079.66667</v>
      </c>
      <c r="B106" s="2">
        <f>IFERROR(__xludf.DUMMYFUNCTION("""COMPUTED_VALUE"""),124.92)</f>
        <v>124.92</v>
      </c>
      <c r="C106" s="2">
        <f>IFERROR(__xludf.DUMMYFUNCTION("""COMPUTED_VALUE"""),126.39)</f>
        <v>126.39</v>
      </c>
      <c r="D106" s="2">
        <f>IFERROR(__xludf.DUMMYFUNCTION("""COMPUTED_VALUE"""),124.02)</f>
        <v>124.02</v>
      </c>
      <c r="E106" s="2">
        <f>IFERROR(__xludf.DUMMYFUNCTION("""COMPUTED_VALUE"""),124.25)</f>
        <v>124.25</v>
      </c>
      <c r="F106" s="2">
        <f>IFERROR(__xludf.DUMMYFUNCTION("""COMPUTED_VALUE"""),6.1264414E7)</f>
        <v>61264414</v>
      </c>
    </row>
    <row r="107">
      <c r="A107" s="3">
        <f>IFERROR(__xludf.DUMMYFUNCTION("""COMPUTED_VALUE"""),45082.66666666667)</f>
        <v>45082.66667</v>
      </c>
      <c r="B107" s="2">
        <f>IFERROR(__xludf.DUMMYFUNCTION("""COMPUTED_VALUE"""),123.36)</f>
        <v>123.36</v>
      </c>
      <c r="C107" s="2">
        <f>IFERROR(__xludf.DUMMYFUNCTION("""COMPUTED_VALUE"""),125.8)</f>
        <v>125.8</v>
      </c>
      <c r="D107" s="2">
        <f>IFERROR(__xludf.DUMMYFUNCTION("""COMPUTED_VALUE"""),123.03)</f>
        <v>123.03</v>
      </c>
      <c r="E107" s="2">
        <f>IFERROR(__xludf.DUMMYFUNCTION("""COMPUTED_VALUE"""),125.3)</f>
        <v>125.3</v>
      </c>
      <c r="F107" s="2">
        <f>IFERROR(__xludf.DUMMYFUNCTION("""COMPUTED_VALUE"""),4.7950128E7)</f>
        <v>47950128</v>
      </c>
    </row>
    <row r="108">
      <c r="A108" s="3">
        <f>IFERROR(__xludf.DUMMYFUNCTION("""COMPUTED_VALUE"""),45083.66666666667)</f>
        <v>45083.66667</v>
      </c>
      <c r="B108" s="2">
        <f>IFERROR(__xludf.DUMMYFUNCTION("""COMPUTED_VALUE"""),125.07)</f>
        <v>125.07</v>
      </c>
      <c r="C108" s="2">
        <f>IFERROR(__xludf.DUMMYFUNCTION("""COMPUTED_VALUE"""),127.4)</f>
        <v>127.4</v>
      </c>
      <c r="D108" s="2">
        <f>IFERROR(__xludf.DUMMYFUNCTION("""COMPUTED_VALUE"""),125.0)</f>
        <v>125</v>
      </c>
      <c r="E108" s="2">
        <f>IFERROR(__xludf.DUMMYFUNCTION("""COMPUTED_VALUE"""),126.61)</f>
        <v>126.61</v>
      </c>
      <c r="F108" s="2">
        <f>IFERROR(__xludf.DUMMYFUNCTION("""COMPUTED_VALUE"""),4.5695212E7)</f>
        <v>45695212</v>
      </c>
    </row>
    <row r="109">
      <c r="A109" s="3">
        <f>IFERROR(__xludf.DUMMYFUNCTION("""COMPUTED_VALUE"""),45084.66666666667)</f>
        <v>45084.66667</v>
      </c>
      <c r="B109" s="2">
        <f>IFERROR(__xludf.DUMMYFUNCTION("""COMPUTED_VALUE"""),127.01)</f>
        <v>127.01</v>
      </c>
      <c r="C109" s="2">
        <f>IFERROR(__xludf.DUMMYFUNCTION("""COMPUTED_VALUE"""),127.37)</f>
        <v>127.37</v>
      </c>
      <c r="D109" s="2">
        <f>IFERROR(__xludf.DUMMYFUNCTION("""COMPUTED_VALUE"""),120.63)</f>
        <v>120.63</v>
      </c>
      <c r="E109" s="2">
        <f>IFERROR(__xludf.DUMMYFUNCTION("""COMPUTED_VALUE"""),121.23)</f>
        <v>121.23</v>
      </c>
      <c r="F109" s="2">
        <f>IFERROR(__xludf.DUMMYFUNCTION("""COMPUTED_VALUE"""),9.5663275E7)</f>
        <v>95663275</v>
      </c>
    </row>
    <row r="110">
      <c r="A110" s="3">
        <f>IFERROR(__xludf.DUMMYFUNCTION("""COMPUTED_VALUE"""),45085.66666666667)</f>
        <v>45085.66667</v>
      </c>
      <c r="B110" s="2">
        <f>IFERROR(__xludf.DUMMYFUNCTION("""COMPUTED_VALUE"""),123.01)</f>
        <v>123.01</v>
      </c>
      <c r="C110" s="2">
        <f>IFERROR(__xludf.DUMMYFUNCTION("""COMPUTED_VALUE"""),125.63)</f>
        <v>125.63</v>
      </c>
      <c r="D110" s="2">
        <f>IFERROR(__xludf.DUMMYFUNCTION("""COMPUTED_VALUE"""),122.26)</f>
        <v>122.26</v>
      </c>
      <c r="E110" s="2">
        <f>IFERROR(__xludf.DUMMYFUNCTION("""COMPUTED_VALUE"""),124.25)</f>
        <v>124.25</v>
      </c>
      <c r="F110" s="2">
        <f>IFERROR(__xludf.DUMMYFUNCTION("""COMPUTED_VALUE"""),6.215927E7)</f>
        <v>62159270</v>
      </c>
    </row>
    <row r="111">
      <c r="A111" s="3">
        <f>IFERROR(__xludf.DUMMYFUNCTION("""COMPUTED_VALUE"""),45086.66666666667)</f>
        <v>45086.66667</v>
      </c>
      <c r="B111" s="2">
        <f>IFERROR(__xludf.DUMMYFUNCTION("""COMPUTED_VALUE"""),124.08)</f>
        <v>124.08</v>
      </c>
      <c r="C111" s="2">
        <f>IFERROR(__xludf.DUMMYFUNCTION("""COMPUTED_VALUE"""),125.8)</f>
        <v>125.8</v>
      </c>
      <c r="D111" s="2">
        <f>IFERROR(__xludf.DUMMYFUNCTION("""COMPUTED_VALUE"""),123.19)</f>
        <v>123.19</v>
      </c>
      <c r="E111" s="2">
        <f>IFERROR(__xludf.DUMMYFUNCTION("""COMPUTED_VALUE"""),123.43)</f>
        <v>123.43</v>
      </c>
      <c r="F111" s="2">
        <f>IFERROR(__xludf.DUMMYFUNCTION("""COMPUTED_VALUE"""),5.1396018E7)</f>
        <v>51396018</v>
      </c>
    </row>
    <row r="112">
      <c r="A112" s="3">
        <f>IFERROR(__xludf.DUMMYFUNCTION("""COMPUTED_VALUE"""),45089.66666666667)</f>
        <v>45089.66667</v>
      </c>
      <c r="B112" s="2">
        <f>IFERROR(__xludf.DUMMYFUNCTION("""COMPUTED_VALUE"""),124.02)</f>
        <v>124.02</v>
      </c>
      <c r="C112" s="2">
        <f>IFERROR(__xludf.DUMMYFUNCTION("""COMPUTED_VALUE"""),126.78)</f>
        <v>126.78</v>
      </c>
      <c r="D112" s="2">
        <f>IFERROR(__xludf.DUMMYFUNCTION("""COMPUTED_VALUE"""),123.53)</f>
        <v>123.53</v>
      </c>
      <c r="E112" s="2">
        <f>IFERROR(__xludf.DUMMYFUNCTION("""COMPUTED_VALUE"""),126.57)</f>
        <v>126.57</v>
      </c>
      <c r="F112" s="2">
        <f>IFERROR(__xludf.DUMMYFUNCTION("""COMPUTED_VALUE"""),5.1473376E7)</f>
        <v>51473376</v>
      </c>
    </row>
    <row r="113">
      <c r="A113" s="3">
        <f>IFERROR(__xludf.DUMMYFUNCTION("""COMPUTED_VALUE"""),45090.66666666667)</f>
        <v>45090.66667</v>
      </c>
      <c r="B113" s="2">
        <f>IFERROR(__xludf.DUMMYFUNCTION("""COMPUTED_VALUE"""),128.12)</f>
        <v>128.12</v>
      </c>
      <c r="C113" s="2">
        <f>IFERROR(__xludf.DUMMYFUNCTION("""COMPUTED_VALUE"""),128.41)</f>
        <v>128.41</v>
      </c>
      <c r="D113" s="2">
        <f>IFERROR(__xludf.DUMMYFUNCTION("""COMPUTED_VALUE"""),125.18)</f>
        <v>125.18</v>
      </c>
      <c r="E113" s="2">
        <f>IFERROR(__xludf.DUMMYFUNCTION("""COMPUTED_VALUE"""),126.66)</f>
        <v>126.66</v>
      </c>
      <c r="F113" s="2">
        <f>IFERROR(__xludf.DUMMYFUNCTION("""COMPUTED_VALUE"""),5.0564785E7)</f>
        <v>50564785</v>
      </c>
    </row>
    <row r="114">
      <c r="A114" s="3">
        <f>IFERROR(__xludf.DUMMYFUNCTION("""COMPUTED_VALUE"""),45091.66666666667)</f>
        <v>45091.66667</v>
      </c>
      <c r="B114" s="2">
        <f>IFERROR(__xludf.DUMMYFUNCTION("""COMPUTED_VALUE"""),126.7)</f>
        <v>126.7</v>
      </c>
      <c r="C114" s="2">
        <f>IFERROR(__xludf.DUMMYFUNCTION("""COMPUTED_VALUE"""),126.95)</f>
        <v>126.95</v>
      </c>
      <c r="D114" s="2">
        <f>IFERROR(__xludf.DUMMYFUNCTION("""COMPUTED_VALUE"""),124.12)</f>
        <v>124.12</v>
      </c>
      <c r="E114" s="2">
        <f>IFERROR(__xludf.DUMMYFUNCTION("""COMPUTED_VALUE"""),126.42)</f>
        <v>126.42</v>
      </c>
      <c r="F114" s="2">
        <f>IFERROR(__xludf.DUMMYFUNCTION("""COMPUTED_VALUE"""),5.2422463E7)</f>
        <v>52422463</v>
      </c>
    </row>
    <row r="115">
      <c r="A115" s="3">
        <f>IFERROR(__xludf.DUMMYFUNCTION("""COMPUTED_VALUE"""),45092.66666666667)</f>
        <v>45092.66667</v>
      </c>
      <c r="B115" s="2">
        <f>IFERROR(__xludf.DUMMYFUNCTION("""COMPUTED_VALUE"""),125.21)</f>
        <v>125.21</v>
      </c>
      <c r="C115" s="2">
        <f>IFERROR(__xludf.DUMMYFUNCTION("""COMPUTED_VALUE"""),127.69)</f>
        <v>127.69</v>
      </c>
      <c r="D115" s="2">
        <f>IFERROR(__xludf.DUMMYFUNCTION("""COMPUTED_VALUE"""),124.32)</f>
        <v>124.32</v>
      </c>
      <c r="E115" s="2">
        <f>IFERROR(__xludf.DUMMYFUNCTION("""COMPUTED_VALUE"""),127.11)</f>
        <v>127.11</v>
      </c>
      <c r="F115" s="2">
        <f>IFERROR(__xludf.DUMMYFUNCTION("""COMPUTED_VALUE"""),6.0458471E7)</f>
        <v>60458471</v>
      </c>
    </row>
    <row r="116">
      <c r="A116" s="3">
        <f>IFERROR(__xludf.DUMMYFUNCTION("""COMPUTED_VALUE"""),45093.66666666667)</f>
        <v>45093.66667</v>
      </c>
      <c r="B116" s="2">
        <f>IFERROR(__xludf.DUMMYFUNCTION("""COMPUTED_VALUE"""),127.71)</f>
        <v>127.71</v>
      </c>
      <c r="C116" s="2">
        <f>IFERROR(__xludf.DUMMYFUNCTION("""COMPUTED_VALUE"""),127.9)</f>
        <v>127.9</v>
      </c>
      <c r="D116" s="2">
        <f>IFERROR(__xludf.DUMMYFUNCTION("""COMPUTED_VALUE"""),125.3)</f>
        <v>125.3</v>
      </c>
      <c r="E116" s="2">
        <f>IFERROR(__xludf.DUMMYFUNCTION("""COMPUTED_VALUE"""),125.49)</f>
        <v>125.49</v>
      </c>
      <c r="F116" s="2">
        <f>IFERROR(__xludf.DUMMYFUNCTION("""COMPUTED_VALUE"""),8.4247104E7)</f>
        <v>84247104</v>
      </c>
    </row>
    <row r="117">
      <c r="A117" s="3">
        <f>IFERROR(__xludf.DUMMYFUNCTION("""COMPUTED_VALUE"""),45097.66666666667)</f>
        <v>45097.66667</v>
      </c>
      <c r="B117" s="2">
        <f>IFERROR(__xludf.DUMMYFUNCTION("""COMPUTED_VALUE"""),124.97)</f>
        <v>124.97</v>
      </c>
      <c r="C117" s="2">
        <f>IFERROR(__xludf.DUMMYFUNCTION("""COMPUTED_VALUE"""),127.25)</f>
        <v>127.25</v>
      </c>
      <c r="D117" s="2">
        <f>IFERROR(__xludf.DUMMYFUNCTION("""COMPUTED_VALUE"""),124.5)</f>
        <v>124.5</v>
      </c>
      <c r="E117" s="2">
        <f>IFERROR(__xludf.DUMMYFUNCTION("""COMPUTED_VALUE"""),125.78)</f>
        <v>125.78</v>
      </c>
      <c r="F117" s="2">
        <f>IFERROR(__xludf.DUMMYFUNCTION("""COMPUTED_VALUE"""),5.6930122E7)</f>
        <v>56930122</v>
      </c>
    </row>
    <row r="118">
      <c r="A118" s="3">
        <f>IFERROR(__xludf.DUMMYFUNCTION("""COMPUTED_VALUE"""),45098.66666666667)</f>
        <v>45098.66667</v>
      </c>
      <c r="B118" s="2">
        <f>IFERROR(__xludf.DUMMYFUNCTION("""COMPUTED_VALUE"""),125.64)</f>
        <v>125.64</v>
      </c>
      <c r="C118" s="2">
        <f>IFERROR(__xludf.DUMMYFUNCTION("""COMPUTED_VALUE"""),126.73)</f>
        <v>126.73</v>
      </c>
      <c r="D118" s="2">
        <f>IFERROR(__xludf.DUMMYFUNCTION("""COMPUTED_VALUE"""),123.85)</f>
        <v>123.85</v>
      </c>
      <c r="E118" s="2">
        <f>IFERROR(__xludf.DUMMYFUNCTION("""COMPUTED_VALUE"""),124.83)</f>
        <v>124.83</v>
      </c>
      <c r="F118" s="2">
        <f>IFERROR(__xludf.DUMMYFUNCTION("""COMPUTED_VALUE"""),5.213767E7)</f>
        <v>52137670</v>
      </c>
    </row>
    <row r="119">
      <c r="A119" s="3">
        <f>IFERROR(__xludf.DUMMYFUNCTION("""COMPUTED_VALUE"""),45099.66666666667)</f>
        <v>45099.66667</v>
      </c>
      <c r="B119" s="2">
        <f>IFERROR(__xludf.DUMMYFUNCTION("""COMPUTED_VALUE"""),125.31)</f>
        <v>125.31</v>
      </c>
      <c r="C119" s="2">
        <f>IFERROR(__xludf.DUMMYFUNCTION("""COMPUTED_VALUE"""),130.33)</f>
        <v>130.33</v>
      </c>
      <c r="D119" s="2">
        <f>IFERROR(__xludf.DUMMYFUNCTION("""COMPUTED_VALUE"""),125.14)</f>
        <v>125.14</v>
      </c>
      <c r="E119" s="2">
        <f>IFERROR(__xludf.DUMMYFUNCTION("""COMPUTED_VALUE"""),130.15)</f>
        <v>130.15</v>
      </c>
      <c r="F119" s="2">
        <f>IFERROR(__xludf.DUMMYFUNCTION("""COMPUTED_VALUE"""),9.0354572E7)</f>
        <v>90354572</v>
      </c>
    </row>
    <row r="120">
      <c r="A120" s="3">
        <f>IFERROR(__xludf.DUMMYFUNCTION("""COMPUTED_VALUE"""),45100.66666666667)</f>
        <v>45100.66667</v>
      </c>
      <c r="B120" s="2">
        <f>IFERROR(__xludf.DUMMYFUNCTION("""COMPUTED_VALUE"""),129.11)</f>
        <v>129.11</v>
      </c>
      <c r="C120" s="2">
        <f>IFERROR(__xludf.DUMMYFUNCTION("""COMPUTED_VALUE"""),130.84)</f>
        <v>130.84</v>
      </c>
      <c r="D120" s="2">
        <f>IFERROR(__xludf.DUMMYFUNCTION("""COMPUTED_VALUE"""),128.28)</f>
        <v>128.28</v>
      </c>
      <c r="E120" s="2">
        <f>IFERROR(__xludf.DUMMYFUNCTION("""COMPUTED_VALUE"""),129.33)</f>
        <v>129.33</v>
      </c>
      <c r="F120" s="2">
        <f>IFERROR(__xludf.DUMMYFUNCTION("""COMPUTED_VALUE"""),7.1927776E7)</f>
        <v>71927776</v>
      </c>
    </row>
    <row r="121">
      <c r="A121" s="3">
        <f>IFERROR(__xludf.DUMMYFUNCTION("""COMPUTED_VALUE"""),45103.66666666667)</f>
        <v>45103.66667</v>
      </c>
      <c r="B121" s="2">
        <f>IFERROR(__xludf.DUMMYFUNCTION("""COMPUTED_VALUE"""),129.33)</f>
        <v>129.33</v>
      </c>
      <c r="C121" s="2">
        <f>IFERROR(__xludf.DUMMYFUNCTION("""COMPUTED_VALUE"""),131.49)</f>
        <v>131.49</v>
      </c>
      <c r="D121" s="2">
        <f>IFERROR(__xludf.DUMMYFUNCTION("""COMPUTED_VALUE"""),127.1)</f>
        <v>127.1</v>
      </c>
      <c r="E121" s="2">
        <f>IFERROR(__xludf.DUMMYFUNCTION("""COMPUTED_VALUE"""),127.33)</f>
        <v>127.33</v>
      </c>
      <c r="F121" s="2">
        <f>IFERROR(__xludf.DUMMYFUNCTION("""COMPUTED_VALUE"""),5.9989317E7)</f>
        <v>59989317</v>
      </c>
    </row>
    <row r="122">
      <c r="A122" s="3">
        <f>IFERROR(__xludf.DUMMYFUNCTION("""COMPUTED_VALUE"""),45104.66666666667)</f>
        <v>45104.66667</v>
      </c>
      <c r="B122" s="2">
        <f>IFERROR(__xludf.DUMMYFUNCTION("""COMPUTED_VALUE"""),128.63)</f>
        <v>128.63</v>
      </c>
      <c r="C122" s="2">
        <f>IFERROR(__xludf.DUMMYFUNCTION("""COMPUTED_VALUE"""),130.09)</f>
        <v>130.09</v>
      </c>
      <c r="D122" s="2">
        <f>IFERROR(__xludf.DUMMYFUNCTION("""COMPUTED_VALUE"""),127.55)</f>
        <v>127.55</v>
      </c>
      <c r="E122" s="2">
        <f>IFERROR(__xludf.DUMMYFUNCTION("""COMPUTED_VALUE"""),129.18)</f>
        <v>129.18</v>
      </c>
      <c r="F122" s="2">
        <f>IFERROR(__xludf.DUMMYFUNCTION("""COMPUTED_VALUE"""),4.6801008E7)</f>
        <v>46801008</v>
      </c>
    </row>
    <row r="123">
      <c r="A123" s="3">
        <f>IFERROR(__xludf.DUMMYFUNCTION("""COMPUTED_VALUE"""),45105.66666666667)</f>
        <v>45105.66667</v>
      </c>
      <c r="B123" s="2">
        <f>IFERROR(__xludf.DUMMYFUNCTION("""COMPUTED_VALUE"""),128.94)</f>
        <v>128.94</v>
      </c>
      <c r="C123" s="2">
        <f>IFERROR(__xludf.DUMMYFUNCTION("""COMPUTED_VALUE"""),131.48)</f>
        <v>131.48</v>
      </c>
      <c r="D123" s="2">
        <f>IFERROR(__xludf.DUMMYFUNCTION("""COMPUTED_VALUE"""),128.44)</f>
        <v>128.44</v>
      </c>
      <c r="E123" s="2">
        <f>IFERROR(__xludf.DUMMYFUNCTION("""COMPUTED_VALUE"""),129.04)</f>
        <v>129.04</v>
      </c>
      <c r="F123" s="2">
        <f>IFERROR(__xludf.DUMMYFUNCTION("""COMPUTED_VALUE"""),5.2149512E7)</f>
        <v>52149512</v>
      </c>
    </row>
    <row r="124">
      <c r="A124" s="3">
        <f>IFERROR(__xludf.DUMMYFUNCTION("""COMPUTED_VALUE"""),45106.66666666667)</f>
        <v>45106.66667</v>
      </c>
      <c r="B124" s="2">
        <f>IFERROR(__xludf.DUMMYFUNCTION("""COMPUTED_VALUE"""),128.77)</f>
        <v>128.77</v>
      </c>
      <c r="C124" s="2">
        <f>IFERROR(__xludf.DUMMYFUNCTION("""COMPUTED_VALUE"""),129.26)</f>
        <v>129.26</v>
      </c>
      <c r="D124" s="2">
        <f>IFERROR(__xludf.DUMMYFUNCTION("""COMPUTED_VALUE"""),127.26)</f>
        <v>127.26</v>
      </c>
      <c r="E124" s="2">
        <f>IFERROR(__xludf.DUMMYFUNCTION("""COMPUTED_VALUE"""),127.9)</f>
        <v>127.9</v>
      </c>
      <c r="F124" s="2">
        <f>IFERROR(__xludf.DUMMYFUNCTION("""COMPUTED_VALUE"""),4.0760959E7)</f>
        <v>40760959</v>
      </c>
    </row>
    <row r="125">
      <c r="A125" s="3">
        <f>IFERROR(__xludf.DUMMYFUNCTION("""COMPUTED_VALUE"""),45107.66666666667)</f>
        <v>45107.66667</v>
      </c>
      <c r="B125" s="2">
        <f>IFERROR(__xludf.DUMMYFUNCTION("""COMPUTED_VALUE"""),129.47)</f>
        <v>129.47</v>
      </c>
      <c r="C125" s="2">
        <f>IFERROR(__xludf.DUMMYFUNCTION("""COMPUTED_VALUE"""),131.25)</f>
        <v>131.25</v>
      </c>
      <c r="D125" s="2">
        <f>IFERROR(__xludf.DUMMYFUNCTION("""COMPUTED_VALUE"""),128.95)</f>
        <v>128.95</v>
      </c>
      <c r="E125" s="2">
        <f>IFERROR(__xludf.DUMMYFUNCTION("""COMPUTED_VALUE"""),130.36)</f>
        <v>130.36</v>
      </c>
      <c r="F125" s="2">
        <f>IFERROR(__xludf.DUMMYFUNCTION("""COMPUTED_VALUE"""),5.4350684E7)</f>
        <v>54350684</v>
      </c>
    </row>
    <row r="126">
      <c r="A126" s="3">
        <f>IFERROR(__xludf.DUMMYFUNCTION("""COMPUTED_VALUE"""),45110.54513888889)</f>
        <v>45110.54514</v>
      </c>
      <c r="B126" s="2">
        <f>IFERROR(__xludf.DUMMYFUNCTION("""COMPUTED_VALUE"""),130.82)</f>
        <v>130.82</v>
      </c>
      <c r="C126" s="2">
        <f>IFERROR(__xludf.DUMMYFUNCTION("""COMPUTED_VALUE"""),131.85)</f>
        <v>131.85</v>
      </c>
      <c r="D126" s="2">
        <f>IFERROR(__xludf.DUMMYFUNCTION("""COMPUTED_VALUE"""),130.07)</f>
        <v>130.07</v>
      </c>
      <c r="E126" s="2">
        <f>IFERROR(__xludf.DUMMYFUNCTION("""COMPUTED_VALUE"""),130.22)</f>
        <v>130.22</v>
      </c>
      <c r="F126" s="2">
        <f>IFERROR(__xludf.DUMMYFUNCTION("""COMPUTED_VALUE"""),2.8264785E7)</f>
        <v>28264785</v>
      </c>
    </row>
    <row r="127">
      <c r="A127" s="3">
        <f>IFERROR(__xludf.DUMMYFUNCTION("""COMPUTED_VALUE"""),45112.66666666667)</f>
        <v>45112.66667</v>
      </c>
      <c r="B127" s="2">
        <f>IFERROR(__xludf.DUMMYFUNCTION("""COMPUTED_VALUE"""),130.24)</f>
        <v>130.24</v>
      </c>
      <c r="C127" s="2">
        <f>IFERROR(__xludf.DUMMYFUNCTION("""COMPUTED_VALUE"""),131.4)</f>
        <v>131.4</v>
      </c>
      <c r="D127" s="2">
        <f>IFERROR(__xludf.DUMMYFUNCTION("""COMPUTED_VALUE"""),129.64)</f>
        <v>129.64</v>
      </c>
      <c r="E127" s="2">
        <f>IFERROR(__xludf.DUMMYFUNCTION("""COMPUTED_VALUE"""),130.38)</f>
        <v>130.38</v>
      </c>
      <c r="F127" s="2">
        <f>IFERROR(__xludf.DUMMYFUNCTION("""COMPUTED_VALUE"""),3.5895409E7)</f>
        <v>35895409</v>
      </c>
    </row>
    <row r="128">
      <c r="A128" s="3">
        <f>IFERROR(__xludf.DUMMYFUNCTION("""COMPUTED_VALUE"""),45113.66666666667)</f>
        <v>45113.66667</v>
      </c>
      <c r="B128" s="2">
        <f>IFERROR(__xludf.DUMMYFUNCTION("""COMPUTED_VALUE"""),128.25)</f>
        <v>128.25</v>
      </c>
      <c r="C128" s="2">
        <f>IFERROR(__xludf.DUMMYFUNCTION("""COMPUTED_VALUE"""),128.73)</f>
        <v>128.73</v>
      </c>
      <c r="D128" s="2">
        <f>IFERROR(__xludf.DUMMYFUNCTION("""COMPUTED_VALUE"""),127.37)</f>
        <v>127.37</v>
      </c>
      <c r="E128" s="2">
        <f>IFERROR(__xludf.DUMMYFUNCTION("""COMPUTED_VALUE"""),128.36)</f>
        <v>128.36</v>
      </c>
      <c r="F128" s="2">
        <f>IFERROR(__xludf.DUMMYFUNCTION("""COMPUTED_VALUE"""),4.0697848E7)</f>
        <v>40697848</v>
      </c>
    </row>
    <row r="129">
      <c r="A129" s="3">
        <f>IFERROR(__xludf.DUMMYFUNCTION("""COMPUTED_VALUE"""),45114.66666666667)</f>
        <v>45114.66667</v>
      </c>
      <c r="B129" s="2">
        <f>IFERROR(__xludf.DUMMYFUNCTION("""COMPUTED_VALUE"""),128.59)</f>
        <v>128.59</v>
      </c>
      <c r="C129" s="2">
        <f>IFERROR(__xludf.DUMMYFUNCTION("""COMPUTED_VALUE"""),130.97)</f>
        <v>130.97</v>
      </c>
      <c r="D129" s="2">
        <f>IFERROR(__xludf.DUMMYFUNCTION("""COMPUTED_VALUE"""),128.13)</f>
        <v>128.13</v>
      </c>
      <c r="E129" s="2">
        <f>IFERROR(__xludf.DUMMYFUNCTION("""COMPUTED_VALUE"""),129.78)</f>
        <v>129.78</v>
      </c>
      <c r="F129" s="2">
        <f>IFERROR(__xludf.DUMMYFUNCTION("""COMPUTED_VALUE"""),4.1992251E7)</f>
        <v>41992251</v>
      </c>
    </row>
    <row r="130">
      <c r="A130" s="3">
        <f>IFERROR(__xludf.DUMMYFUNCTION("""COMPUTED_VALUE"""),45117.66666666667)</f>
        <v>45117.66667</v>
      </c>
      <c r="B130" s="2">
        <f>IFERROR(__xludf.DUMMYFUNCTION("""COMPUTED_VALUE"""),129.07)</f>
        <v>129.07</v>
      </c>
      <c r="C130" s="2">
        <f>IFERROR(__xludf.DUMMYFUNCTION("""COMPUTED_VALUE"""),129.28)</f>
        <v>129.28</v>
      </c>
      <c r="D130" s="2">
        <f>IFERROR(__xludf.DUMMYFUNCTION("""COMPUTED_VALUE"""),125.92)</f>
        <v>125.92</v>
      </c>
      <c r="E130" s="2">
        <f>IFERROR(__xludf.DUMMYFUNCTION("""COMPUTED_VALUE"""),127.13)</f>
        <v>127.13</v>
      </c>
      <c r="F130" s="2">
        <f>IFERROR(__xludf.DUMMYFUNCTION("""COMPUTED_VALUE"""),6.1889289E7)</f>
        <v>61889289</v>
      </c>
    </row>
    <row r="131">
      <c r="A131" s="3">
        <f>IFERROR(__xludf.DUMMYFUNCTION("""COMPUTED_VALUE"""),45118.66666666667)</f>
        <v>45118.66667</v>
      </c>
      <c r="B131" s="2">
        <f>IFERROR(__xludf.DUMMYFUNCTION("""COMPUTED_VALUE"""),127.75)</f>
        <v>127.75</v>
      </c>
      <c r="C131" s="2">
        <f>IFERROR(__xludf.DUMMYFUNCTION("""COMPUTED_VALUE"""),129.77)</f>
        <v>129.77</v>
      </c>
      <c r="D131" s="2">
        <f>IFERROR(__xludf.DUMMYFUNCTION("""COMPUTED_VALUE"""),127.35)</f>
        <v>127.35</v>
      </c>
      <c r="E131" s="2">
        <f>IFERROR(__xludf.DUMMYFUNCTION("""COMPUTED_VALUE"""),128.78)</f>
        <v>128.78</v>
      </c>
      <c r="F131" s="2">
        <f>IFERROR(__xludf.DUMMYFUNCTION("""COMPUTED_VALUE"""),4.995146E7)</f>
        <v>49951460</v>
      </c>
    </row>
    <row r="132">
      <c r="A132" s="3">
        <f>IFERROR(__xludf.DUMMYFUNCTION("""COMPUTED_VALUE"""),45119.66666666667)</f>
        <v>45119.66667</v>
      </c>
      <c r="B132" s="2">
        <f>IFERROR(__xludf.DUMMYFUNCTION("""COMPUTED_VALUE"""),130.31)</f>
        <v>130.31</v>
      </c>
      <c r="C132" s="2">
        <f>IFERROR(__xludf.DUMMYFUNCTION("""COMPUTED_VALUE"""),131.26)</f>
        <v>131.26</v>
      </c>
      <c r="D132" s="2">
        <f>IFERROR(__xludf.DUMMYFUNCTION("""COMPUTED_VALUE"""),128.83)</f>
        <v>128.83</v>
      </c>
      <c r="E132" s="2">
        <f>IFERROR(__xludf.DUMMYFUNCTION("""COMPUTED_VALUE"""),130.8)</f>
        <v>130.8</v>
      </c>
      <c r="F132" s="2">
        <f>IFERROR(__xludf.DUMMYFUNCTION("""COMPUTED_VALUE"""),5.4022847E7)</f>
        <v>54022847</v>
      </c>
    </row>
    <row r="133">
      <c r="A133" s="3">
        <f>IFERROR(__xludf.DUMMYFUNCTION("""COMPUTED_VALUE"""),45120.66666666667)</f>
        <v>45120.66667</v>
      </c>
      <c r="B133" s="2">
        <f>IFERROR(__xludf.DUMMYFUNCTION("""COMPUTED_VALUE"""),134.04)</f>
        <v>134.04</v>
      </c>
      <c r="C133" s="2">
        <f>IFERROR(__xludf.DUMMYFUNCTION("""COMPUTED_VALUE"""),134.67)</f>
        <v>134.67</v>
      </c>
      <c r="D133" s="2">
        <f>IFERROR(__xludf.DUMMYFUNCTION("""COMPUTED_VALUE"""),132.71)</f>
        <v>132.71</v>
      </c>
      <c r="E133" s="2">
        <f>IFERROR(__xludf.DUMMYFUNCTION("""COMPUTED_VALUE"""),134.3)</f>
        <v>134.3</v>
      </c>
      <c r="F133" s="2">
        <f>IFERROR(__xludf.DUMMYFUNCTION("""COMPUTED_VALUE"""),6.1170883E7)</f>
        <v>61170883</v>
      </c>
    </row>
    <row r="134">
      <c r="A134" s="3">
        <f>IFERROR(__xludf.DUMMYFUNCTION("""COMPUTED_VALUE"""),45121.66666666667)</f>
        <v>45121.66667</v>
      </c>
      <c r="B134" s="2">
        <f>IFERROR(__xludf.DUMMYFUNCTION("""COMPUTED_VALUE"""),134.06)</f>
        <v>134.06</v>
      </c>
      <c r="C134" s="2">
        <f>IFERROR(__xludf.DUMMYFUNCTION("""COMPUTED_VALUE"""),136.65)</f>
        <v>136.65</v>
      </c>
      <c r="D134" s="2">
        <f>IFERROR(__xludf.DUMMYFUNCTION("""COMPUTED_VALUE"""),134.06)</f>
        <v>134.06</v>
      </c>
      <c r="E134" s="2">
        <f>IFERROR(__xludf.DUMMYFUNCTION("""COMPUTED_VALUE"""),134.68)</f>
        <v>134.68</v>
      </c>
      <c r="F134" s="2">
        <f>IFERROR(__xludf.DUMMYFUNCTION("""COMPUTED_VALUE"""),5.448709E7)</f>
        <v>54487090</v>
      </c>
    </row>
    <row r="135">
      <c r="A135" s="3">
        <f>IFERROR(__xludf.DUMMYFUNCTION("""COMPUTED_VALUE"""),45124.66666666667)</f>
        <v>45124.66667</v>
      </c>
      <c r="B135" s="2">
        <f>IFERROR(__xludf.DUMMYFUNCTION("""COMPUTED_VALUE"""),134.56)</f>
        <v>134.56</v>
      </c>
      <c r="C135" s="2">
        <f>IFERROR(__xludf.DUMMYFUNCTION("""COMPUTED_VALUE"""),135.62)</f>
        <v>135.62</v>
      </c>
      <c r="D135" s="2">
        <f>IFERROR(__xludf.DUMMYFUNCTION("""COMPUTED_VALUE"""),133.21)</f>
        <v>133.21</v>
      </c>
      <c r="E135" s="2">
        <f>IFERROR(__xludf.DUMMYFUNCTION("""COMPUTED_VALUE"""),133.56)</f>
        <v>133.56</v>
      </c>
      <c r="F135" s="2">
        <f>IFERROR(__xludf.DUMMYFUNCTION("""COMPUTED_VALUE"""),4.8450198E7)</f>
        <v>48450198</v>
      </c>
    </row>
    <row r="136">
      <c r="A136" s="3">
        <f>IFERROR(__xludf.DUMMYFUNCTION("""COMPUTED_VALUE"""),45125.66666666667)</f>
        <v>45125.66667</v>
      </c>
      <c r="B136" s="2">
        <f>IFERROR(__xludf.DUMMYFUNCTION("""COMPUTED_VALUE"""),132.71)</f>
        <v>132.71</v>
      </c>
      <c r="C136" s="2">
        <f>IFERROR(__xludf.DUMMYFUNCTION("""COMPUTED_VALUE"""),133.86)</f>
        <v>133.86</v>
      </c>
      <c r="D136" s="2">
        <f>IFERROR(__xludf.DUMMYFUNCTION("""COMPUTED_VALUE"""),131.35)</f>
        <v>131.35</v>
      </c>
      <c r="E136" s="2">
        <f>IFERROR(__xludf.DUMMYFUNCTION("""COMPUTED_VALUE"""),132.83)</f>
        <v>132.83</v>
      </c>
      <c r="F136" s="2">
        <f>IFERROR(__xludf.DUMMYFUNCTION("""COMPUTED_VALUE"""),5.4969133E7)</f>
        <v>54969133</v>
      </c>
    </row>
    <row r="137">
      <c r="A137" s="3">
        <f>IFERROR(__xludf.DUMMYFUNCTION("""COMPUTED_VALUE"""),45126.66666666667)</f>
        <v>45126.66667</v>
      </c>
      <c r="B137" s="2">
        <f>IFERROR(__xludf.DUMMYFUNCTION("""COMPUTED_VALUE"""),133.39)</f>
        <v>133.39</v>
      </c>
      <c r="C137" s="2">
        <f>IFERROR(__xludf.DUMMYFUNCTION("""COMPUTED_VALUE"""),135.99)</f>
        <v>135.99</v>
      </c>
      <c r="D137" s="2">
        <f>IFERROR(__xludf.DUMMYFUNCTION("""COMPUTED_VALUE"""),132.53)</f>
        <v>132.53</v>
      </c>
      <c r="E137" s="2">
        <f>IFERROR(__xludf.DUMMYFUNCTION("""COMPUTED_VALUE"""),135.36)</f>
        <v>135.36</v>
      </c>
      <c r="F137" s="2">
        <f>IFERROR(__xludf.DUMMYFUNCTION("""COMPUTED_VALUE"""),5.4531037E7)</f>
        <v>54531037</v>
      </c>
    </row>
    <row r="138">
      <c r="A138" s="3">
        <f>IFERROR(__xludf.DUMMYFUNCTION("""COMPUTED_VALUE"""),45127.66666666667)</f>
        <v>45127.66667</v>
      </c>
      <c r="B138" s="2">
        <f>IFERROR(__xludf.DUMMYFUNCTION("""COMPUTED_VALUE"""),134.07)</f>
        <v>134.07</v>
      </c>
      <c r="C138" s="2">
        <f>IFERROR(__xludf.DUMMYFUNCTION("""COMPUTED_VALUE"""),134.79)</f>
        <v>134.79</v>
      </c>
      <c r="D138" s="2">
        <f>IFERROR(__xludf.DUMMYFUNCTION("""COMPUTED_VALUE"""),129.33)</f>
        <v>129.33</v>
      </c>
      <c r="E138" s="2">
        <f>IFERROR(__xludf.DUMMYFUNCTION("""COMPUTED_VALUE"""),129.96)</f>
        <v>129.96</v>
      </c>
      <c r="F138" s="2">
        <f>IFERROR(__xludf.DUMMYFUNCTION("""COMPUTED_VALUE"""),5.9820579E7)</f>
        <v>59820579</v>
      </c>
    </row>
    <row r="139">
      <c r="A139" s="3">
        <f>IFERROR(__xludf.DUMMYFUNCTION("""COMPUTED_VALUE"""),45128.66666666667)</f>
        <v>45128.66667</v>
      </c>
      <c r="B139" s="2">
        <f>IFERROR(__xludf.DUMMYFUNCTION("""COMPUTED_VALUE"""),131.34)</f>
        <v>131.34</v>
      </c>
      <c r="C139" s="2">
        <f>IFERROR(__xludf.DUMMYFUNCTION("""COMPUTED_VALUE"""),131.37)</f>
        <v>131.37</v>
      </c>
      <c r="D139" s="2">
        <f>IFERROR(__xludf.DUMMYFUNCTION("""COMPUTED_VALUE"""),128.42)</f>
        <v>128.42</v>
      </c>
      <c r="E139" s="2">
        <f>IFERROR(__xludf.DUMMYFUNCTION("""COMPUTED_VALUE"""),130.0)</f>
        <v>130</v>
      </c>
      <c r="F139" s="2">
        <f>IFERROR(__xludf.DUMMYFUNCTION("""COMPUTED_VALUE"""),1.33307294E8)</f>
        <v>133307294</v>
      </c>
    </row>
    <row r="140">
      <c r="A140" s="3">
        <f>IFERROR(__xludf.DUMMYFUNCTION("""COMPUTED_VALUE"""),45131.66666666667)</f>
        <v>45131.66667</v>
      </c>
      <c r="B140" s="2">
        <f>IFERROR(__xludf.DUMMYFUNCTION("""COMPUTED_VALUE"""),130.31)</f>
        <v>130.31</v>
      </c>
      <c r="C140" s="2">
        <f>IFERROR(__xludf.DUMMYFUNCTION("""COMPUTED_VALUE"""),131.66)</f>
        <v>131.66</v>
      </c>
      <c r="D140" s="2">
        <f>IFERROR(__xludf.DUMMYFUNCTION("""COMPUTED_VALUE"""),128.35)</f>
        <v>128.35</v>
      </c>
      <c r="E140" s="2">
        <f>IFERROR(__xludf.DUMMYFUNCTION("""COMPUTED_VALUE"""),128.8)</f>
        <v>128.8</v>
      </c>
      <c r="F140" s="2">
        <f>IFERROR(__xludf.DUMMYFUNCTION("""COMPUTED_VALUE"""),4.5671535E7)</f>
        <v>45671535</v>
      </c>
    </row>
    <row r="141">
      <c r="A141" s="3">
        <f>IFERROR(__xludf.DUMMYFUNCTION("""COMPUTED_VALUE"""),45132.66666666667)</f>
        <v>45132.66667</v>
      </c>
      <c r="B141" s="2">
        <f>IFERROR(__xludf.DUMMYFUNCTION("""COMPUTED_VALUE"""),129.31)</f>
        <v>129.31</v>
      </c>
      <c r="C141" s="2">
        <f>IFERROR(__xludf.DUMMYFUNCTION("""COMPUTED_VALUE"""),129.58)</f>
        <v>129.58</v>
      </c>
      <c r="D141" s="2">
        <f>IFERROR(__xludf.DUMMYFUNCTION("""COMPUTED_VALUE"""),128.53)</f>
        <v>128.53</v>
      </c>
      <c r="E141" s="2">
        <f>IFERROR(__xludf.DUMMYFUNCTION("""COMPUTED_VALUE"""),129.13)</f>
        <v>129.13</v>
      </c>
      <c r="F141" s="2">
        <f>IFERROR(__xludf.DUMMYFUNCTION("""COMPUTED_VALUE"""),3.9236663E7)</f>
        <v>39236663</v>
      </c>
    </row>
    <row r="142">
      <c r="A142" s="3">
        <f>IFERROR(__xludf.DUMMYFUNCTION("""COMPUTED_VALUE"""),45133.66666666667)</f>
        <v>45133.66667</v>
      </c>
      <c r="B142" s="2">
        <f>IFERROR(__xludf.DUMMYFUNCTION("""COMPUTED_VALUE"""),126.51)</f>
        <v>126.51</v>
      </c>
      <c r="C142" s="2">
        <f>IFERROR(__xludf.DUMMYFUNCTION("""COMPUTED_VALUE"""),129.08)</f>
        <v>129.08</v>
      </c>
      <c r="D142" s="2">
        <f>IFERROR(__xludf.DUMMYFUNCTION("""COMPUTED_VALUE"""),126.11)</f>
        <v>126.11</v>
      </c>
      <c r="E142" s="2">
        <f>IFERROR(__xludf.DUMMYFUNCTION("""COMPUTED_VALUE"""),128.15)</f>
        <v>128.15</v>
      </c>
      <c r="F142" s="2">
        <f>IFERROR(__xludf.DUMMYFUNCTION("""COMPUTED_VALUE"""),5.3910087E7)</f>
        <v>53910087</v>
      </c>
    </row>
    <row r="143">
      <c r="A143" s="3">
        <f>IFERROR(__xludf.DUMMYFUNCTION("""COMPUTED_VALUE"""),45134.66666666667)</f>
        <v>45134.66667</v>
      </c>
      <c r="B143" s="2">
        <f>IFERROR(__xludf.DUMMYFUNCTION("""COMPUTED_VALUE"""),131.0)</f>
        <v>131</v>
      </c>
      <c r="C143" s="2">
        <f>IFERROR(__xludf.DUMMYFUNCTION("""COMPUTED_VALUE"""),132.63)</f>
        <v>132.63</v>
      </c>
      <c r="D143" s="2">
        <f>IFERROR(__xludf.DUMMYFUNCTION("""COMPUTED_VALUE"""),127.79)</f>
        <v>127.79</v>
      </c>
      <c r="E143" s="2">
        <f>IFERROR(__xludf.DUMMYFUNCTION("""COMPUTED_VALUE"""),128.25)</f>
        <v>128.25</v>
      </c>
      <c r="F143" s="2">
        <f>IFERROR(__xludf.DUMMYFUNCTION("""COMPUTED_VALUE"""),5.2610661E7)</f>
        <v>52610661</v>
      </c>
    </row>
    <row r="144">
      <c r="A144" s="3">
        <f>IFERROR(__xludf.DUMMYFUNCTION("""COMPUTED_VALUE"""),45135.66666666667)</f>
        <v>45135.66667</v>
      </c>
      <c r="B144" s="2">
        <f>IFERROR(__xludf.DUMMYFUNCTION("""COMPUTED_VALUE"""),129.69)</f>
        <v>129.69</v>
      </c>
      <c r="C144" s="2">
        <f>IFERROR(__xludf.DUMMYFUNCTION("""COMPUTED_VALUE"""),133.01)</f>
        <v>133.01</v>
      </c>
      <c r="D144" s="2">
        <f>IFERROR(__xludf.DUMMYFUNCTION("""COMPUTED_VALUE"""),129.33)</f>
        <v>129.33</v>
      </c>
      <c r="E144" s="2">
        <f>IFERROR(__xludf.DUMMYFUNCTION("""COMPUTED_VALUE"""),132.21)</f>
        <v>132.21</v>
      </c>
      <c r="F144" s="2">
        <f>IFERROR(__xludf.DUMMYFUNCTION("""COMPUTED_VALUE"""),4.6317381E7)</f>
        <v>46317381</v>
      </c>
    </row>
    <row r="145">
      <c r="A145" s="3">
        <f>IFERROR(__xludf.DUMMYFUNCTION("""COMPUTED_VALUE"""),45138.66666666667)</f>
        <v>45138.66667</v>
      </c>
      <c r="B145" s="2">
        <f>IFERROR(__xludf.DUMMYFUNCTION("""COMPUTED_VALUE"""),133.2)</f>
        <v>133.2</v>
      </c>
      <c r="C145" s="2">
        <f>IFERROR(__xludf.DUMMYFUNCTION("""COMPUTED_VALUE"""),133.87)</f>
        <v>133.87</v>
      </c>
      <c r="D145" s="2">
        <f>IFERROR(__xludf.DUMMYFUNCTION("""COMPUTED_VALUE"""),132.38)</f>
        <v>132.38</v>
      </c>
      <c r="E145" s="2">
        <f>IFERROR(__xludf.DUMMYFUNCTION("""COMPUTED_VALUE"""),133.68)</f>
        <v>133.68</v>
      </c>
      <c r="F145" s="2">
        <f>IFERROR(__xludf.DUMMYFUNCTION("""COMPUTED_VALUE"""),4.1901516E7)</f>
        <v>41901516</v>
      </c>
    </row>
    <row r="146">
      <c r="A146" s="3">
        <f>IFERROR(__xludf.DUMMYFUNCTION("""COMPUTED_VALUE"""),45139.66666666667)</f>
        <v>45139.66667</v>
      </c>
      <c r="B146" s="2">
        <f>IFERROR(__xludf.DUMMYFUNCTION("""COMPUTED_VALUE"""),133.55)</f>
        <v>133.55</v>
      </c>
      <c r="C146" s="2">
        <f>IFERROR(__xludf.DUMMYFUNCTION("""COMPUTED_VALUE"""),133.69)</f>
        <v>133.69</v>
      </c>
      <c r="D146" s="2">
        <f>IFERROR(__xludf.DUMMYFUNCTION("""COMPUTED_VALUE"""),131.62)</f>
        <v>131.62</v>
      </c>
      <c r="E146" s="2">
        <f>IFERROR(__xludf.DUMMYFUNCTION("""COMPUTED_VALUE"""),131.69)</f>
        <v>131.69</v>
      </c>
      <c r="F146" s="2">
        <f>IFERROR(__xludf.DUMMYFUNCTION("""COMPUTED_VALUE"""),4.2298925E7)</f>
        <v>42298925</v>
      </c>
    </row>
    <row r="147">
      <c r="A147" s="3">
        <f>IFERROR(__xludf.DUMMYFUNCTION("""COMPUTED_VALUE"""),45140.66666666667)</f>
        <v>45140.66667</v>
      </c>
      <c r="B147" s="2">
        <f>IFERROR(__xludf.DUMMYFUNCTION("""COMPUTED_VALUE"""),130.15)</f>
        <v>130.15</v>
      </c>
      <c r="C147" s="2">
        <f>IFERROR(__xludf.DUMMYFUNCTION("""COMPUTED_VALUE"""),130.23)</f>
        <v>130.23</v>
      </c>
      <c r="D147" s="2">
        <f>IFERROR(__xludf.DUMMYFUNCTION("""COMPUTED_VALUE"""),126.82)</f>
        <v>126.82</v>
      </c>
      <c r="E147" s="2">
        <f>IFERROR(__xludf.DUMMYFUNCTION("""COMPUTED_VALUE"""),128.21)</f>
        <v>128.21</v>
      </c>
      <c r="F147" s="2">
        <f>IFERROR(__xludf.DUMMYFUNCTION("""COMPUTED_VALUE"""),5.1027614E7)</f>
        <v>51027614</v>
      </c>
    </row>
    <row r="148">
      <c r="A148" s="3">
        <f>IFERROR(__xludf.DUMMYFUNCTION("""COMPUTED_VALUE"""),45141.66666666667)</f>
        <v>45141.66667</v>
      </c>
      <c r="B148" s="2">
        <f>IFERROR(__xludf.DUMMYFUNCTION("""COMPUTED_VALUE"""),127.48)</f>
        <v>127.48</v>
      </c>
      <c r="C148" s="2">
        <f>IFERROR(__xludf.DUMMYFUNCTION("""COMPUTED_VALUE"""),129.84)</f>
        <v>129.84</v>
      </c>
      <c r="D148" s="2">
        <f>IFERROR(__xludf.DUMMYFUNCTION("""COMPUTED_VALUE"""),126.41)</f>
        <v>126.41</v>
      </c>
      <c r="E148" s="2">
        <f>IFERROR(__xludf.DUMMYFUNCTION("""COMPUTED_VALUE"""),128.91)</f>
        <v>128.91</v>
      </c>
      <c r="F148" s="2">
        <f>IFERROR(__xludf.DUMMYFUNCTION("""COMPUTED_VALUE"""),9.1163736E7)</f>
        <v>91163736</v>
      </c>
    </row>
    <row r="149">
      <c r="A149" s="3">
        <f>IFERROR(__xludf.DUMMYFUNCTION("""COMPUTED_VALUE"""),45142.66666666667)</f>
        <v>45142.66667</v>
      </c>
      <c r="B149" s="2">
        <f>IFERROR(__xludf.DUMMYFUNCTION("""COMPUTED_VALUE"""),141.06)</f>
        <v>141.06</v>
      </c>
      <c r="C149" s="2">
        <f>IFERROR(__xludf.DUMMYFUNCTION("""COMPUTED_VALUE"""),143.63)</f>
        <v>143.63</v>
      </c>
      <c r="D149" s="2">
        <f>IFERROR(__xludf.DUMMYFUNCTION("""COMPUTED_VALUE"""),139.32)</f>
        <v>139.32</v>
      </c>
      <c r="E149" s="2">
        <f>IFERROR(__xludf.DUMMYFUNCTION("""COMPUTED_VALUE"""),139.57)</f>
        <v>139.57</v>
      </c>
      <c r="F149" s="2">
        <f>IFERROR(__xludf.DUMMYFUNCTION("""COMPUTED_VALUE"""),1.5312847E8)</f>
        <v>153128470</v>
      </c>
    </row>
    <row r="150">
      <c r="A150" s="3">
        <f>IFERROR(__xludf.DUMMYFUNCTION("""COMPUTED_VALUE"""),45145.66666666667)</f>
        <v>45145.66667</v>
      </c>
      <c r="B150" s="2">
        <f>IFERROR(__xludf.DUMMYFUNCTION("""COMPUTED_VALUE"""),140.99)</f>
        <v>140.99</v>
      </c>
      <c r="C150" s="2">
        <f>IFERROR(__xludf.DUMMYFUNCTION("""COMPUTED_VALUE"""),142.54)</f>
        <v>142.54</v>
      </c>
      <c r="D150" s="2">
        <f>IFERROR(__xludf.DUMMYFUNCTION("""COMPUTED_VALUE"""),138.95)</f>
        <v>138.95</v>
      </c>
      <c r="E150" s="2">
        <f>IFERROR(__xludf.DUMMYFUNCTION("""COMPUTED_VALUE"""),142.22)</f>
        <v>142.22</v>
      </c>
      <c r="F150" s="2">
        <f>IFERROR(__xludf.DUMMYFUNCTION("""COMPUTED_VALUE"""),7.1213112E7)</f>
        <v>71213112</v>
      </c>
    </row>
    <row r="151">
      <c r="A151" s="3">
        <f>IFERROR(__xludf.DUMMYFUNCTION("""COMPUTED_VALUE"""),45146.66666666667)</f>
        <v>45146.66667</v>
      </c>
      <c r="B151" s="2">
        <f>IFERROR(__xludf.DUMMYFUNCTION("""COMPUTED_VALUE"""),140.62)</f>
        <v>140.62</v>
      </c>
      <c r="C151" s="2">
        <f>IFERROR(__xludf.DUMMYFUNCTION("""COMPUTED_VALUE"""),140.84)</f>
        <v>140.84</v>
      </c>
      <c r="D151" s="2">
        <f>IFERROR(__xludf.DUMMYFUNCTION("""COMPUTED_VALUE"""),138.42)</f>
        <v>138.42</v>
      </c>
      <c r="E151" s="2">
        <f>IFERROR(__xludf.DUMMYFUNCTION("""COMPUTED_VALUE"""),139.94)</f>
        <v>139.94</v>
      </c>
      <c r="F151" s="2">
        <f>IFERROR(__xludf.DUMMYFUNCTION("""COMPUTED_VALUE"""),5.1710497E7)</f>
        <v>51710497</v>
      </c>
    </row>
    <row r="152">
      <c r="A152" s="3">
        <f>IFERROR(__xludf.DUMMYFUNCTION("""COMPUTED_VALUE"""),45147.66666666667)</f>
        <v>45147.66667</v>
      </c>
      <c r="B152" s="2">
        <f>IFERROR(__xludf.DUMMYFUNCTION("""COMPUTED_VALUE"""),139.97)</f>
        <v>139.97</v>
      </c>
      <c r="C152" s="2">
        <f>IFERROR(__xludf.DUMMYFUNCTION("""COMPUTED_VALUE"""),140.32)</f>
        <v>140.32</v>
      </c>
      <c r="D152" s="2">
        <f>IFERROR(__xludf.DUMMYFUNCTION("""COMPUTED_VALUE"""),137.1)</f>
        <v>137.1</v>
      </c>
      <c r="E152" s="2">
        <f>IFERROR(__xludf.DUMMYFUNCTION("""COMPUTED_VALUE"""),137.85)</f>
        <v>137.85</v>
      </c>
      <c r="F152" s="2">
        <f>IFERROR(__xludf.DUMMYFUNCTION("""COMPUTED_VALUE"""),5.0017349E7)</f>
        <v>50017349</v>
      </c>
    </row>
    <row r="153">
      <c r="A153" s="3">
        <f>IFERROR(__xludf.DUMMYFUNCTION("""COMPUTED_VALUE"""),45148.66666666667)</f>
        <v>45148.66667</v>
      </c>
      <c r="B153" s="2">
        <f>IFERROR(__xludf.DUMMYFUNCTION("""COMPUTED_VALUE"""),139.07)</f>
        <v>139.07</v>
      </c>
      <c r="C153" s="2">
        <f>IFERROR(__xludf.DUMMYFUNCTION("""COMPUTED_VALUE"""),140.41)</f>
        <v>140.41</v>
      </c>
      <c r="D153" s="2">
        <f>IFERROR(__xludf.DUMMYFUNCTION("""COMPUTED_VALUE"""),137.49)</f>
        <v>137.49</v>
      </c>
      <c r="E153" s="2">
        <f>IFERROR(__xludf.DUMMYFUNCTION("""COMPUTED_VALUE"""),138.56)</f>
        <v>138.56</v>
      </c>
      <c r="F153" s="2">
        <f>IFERROR(__xludf.DUMMYFUNCTION("""COMPUTED_VALUE"""),5.8928402E7)</f>
        <v>58928402</v>
      </c>
    </row>
    <row r="154">
      <c r="A154" s="3">
        <f>IFERROR(__xludf.DUMMYFUNCTION("""COMPUTED_VALUE"""),45149.66666666667)</f>
        <v>45149.66667</v>
      </c>
      <c r="B154" s="2">
        <f>IFERROR(__xludf.DUMMYFUNCTION("""COMPUTED_VALUE"""),137.4)</f>
        <v>137.4</v>
      </c>
      <c r="C154" s="2">
        <f>IFERROR(__xludf.DUMMYFUNCTION("""COMPUTED_VALUE"""),139.33)</f>
        <v>139.33</v>
      </c>
      <c r="D154" s="2">
        <f>IFERROR(__xludf.DUMMYFUNCTION("""COMPUTED_VALUE"""),137.0)</f>
        <v>137</v>
      </c>
      <c r="E154" s="2">
        <f>IFERROR(__xludf.DUMMYFUNCTION("""COMPUTED_VALUE"""),138.41)</f>
        <v>138.41</v>
      </c>
      <c r="F154" s="2">
        <f>IFERROR(__xludf.DUMMYFUNCTION("""COMPUTED_VALUE"""),4.2905833E7)</f>
        <v>42905833</v>
      </c>
    </row>
    <row r="155">
      <c r="A155" s="3">
        <f>IFERROR(__xludf.DUMMYFUNCTION("""COMPUTED_VALUE"""),45152.66666666667)</f>
        <v>45152.66667</v>
      </c>
      <c r="B155" s="2">
        <f>IFERROR(__xludf.DUMMYFUNCTION("""COMPUTED_VALUE"""),138.3)</f>
        <v>138.3</v>
      </c>
      <c r="C155" s="2">
        <f>IFERROR(__xludf.DUMMYFUNCTION("""COMPUTED_VALUE"""),140.59)</f>
        <v>140.59</v>
      </c>
      <c r="D155" s="2">
        <f>IFERROR(__xludf.DUMMYFUNCTION("""COMPUTED_VALUE"""),137.75)</f>
        <v>137.75</v>
      </c>
      <c r="E155" s="2">
        <f>IFERROR(__xludf.DUMMYFUNCTION("""COMPUTED_VALUE"""),140.57)</f>
        <v>140.57</v>
      </c>
      <c r="F155" s="2">
        <f>IFERROR(__xludf.DUMMYFUNCTION("""COMPUTED_VALUE"""),4.7148699E7)</f>
        <v>47148699</v>
      </c>
    </row>
    <row r="156">
      <c r="A156" s="3">
        <f>IFERROR(__xludf.DUMMYFUNCTION("""COMPUTED_VALUE"""),45153.66666666667)</f>
        <v>45153.66667</v>
      </c>
      <c r="B156" s="2">
        <f>IFERROR(__xludf.DUMMYFUNCTION("""COMPUTED_VALUE"""),140.05)</f>
        <v>140.05</v>
      </c>
      <c r="C156" s="2">
        <f>IFERROR(__xludf.DUMMYFUNCTION("""COMPUTED_VALUE"""),141.28)</f>
        <v>141.28</v>
      </c>
      <c r="D156" s="2">
        <f>IFERROR(__xludf.DUMMYFUNCTION("""COMPUTED_VALUE"""),137.23)</f>
        <v>137.23</v>
      </c>
      <c r="E156" s="2">
        <f>IFERROR(__xludf.DUMMYFUNCTION("""COMPUTED_VALUE"""),137.67)</f>
        <v>137.67</v>
      </c>
      <c r="F156" s="2">
        <f>IFERROR(__xludf.DUMMYFUNCTION("""COMPUTED_VALUE"""),4.2781521E7)</f>
        <v>42781521</v>
      </c>
    </row>
    <row r="157">
      <c r="A157" s="3">
        <f>IFERROR(__xludf.DUMMYFUNCTION("""COMPUTED_VALUE"""),45154.66666666667)</f>
        <v>45154.66667</v>
      </c>
      <c r="B157" s="2">
        <f>IFERROR(__xludf.DUMMYFUNCTION("""COMPUTED_VALUE"""),137.19)</f>
        <v>137.19</v>
      </c>
      <c r="C157" s="2">
        <f>IFERROR(__xludf.DUMMYFUNCTION("""COMPUTED_VALUE"""),137.27)</f>
        <v>137.27</v>
      </c>
      <c r="D157" s="2">
        <f>IFERROR(__xludf.DUMMYFUNCTION("""COMPUTED_VALUE"""),135.01)</f>
        <v>135.01</v>
      </c>
      <c r="E157" s="2">
        <f>IFERROR(__xludf.DUMMYFUNCTION("""COMPUTED_VALUE"""),135.07)</f>
        <v>135.07</v>
      </c>
      <c r="F157" s="2">
        <f>IFERROR(__xludf.DUMMYFUNCTION("""COMPUTED_VALUE"""),4.1675903E7)</f>
        <v>41675903</v>
      </c>
    </row>
    <row r="158">
      <c r="A158" s="3">
        <f>IFERROR(__xludf.DUMMYFUNCTION("""COMPUTED_VALUE"""),45155.66666666667)</f>
        <v>45155.66667</v>
      </c>
      <c r="B158" s="2">
        <f>IFERROR(__xludf.DUMMYFUNCTION("""COMPUTED_VALUE"""),135.46)</f>
        <v>135.46</v>
      </c>
      <c r="C158" s="2">
        <f>IFERROR(__xludf.DUMMYFUNCTION("""COMPUTED_VALUE"""),136.09)</f>
        <v>136.09</v>
      </c>
      <c r="D158" s="2">
        <f>IFERROR(__xludf.DUMMYFUNCTION("""COMPUTED_VALUE"""),133.53)</f>
        <v>133.53</v>
      </c>
      <c r="E158" s="2">
        <f>IFERROR(__xludf.DUMMYFUNCTION("""COMPUTED_VALUE"""),133.98)</f>
        <v>133.98</v>
      </c>
      <c r="F158" s="2">
        <f>IFERROR(__xludf.DUMMYFUNCTION("""COMPUTED_VALUE"""),4.8354085E7)</f>
        <v>48354085</v>
      </c>
    </row>
    <row r="159">
      <c r="A159" s="3">
        <f>IFERROR(__xludf.DUMMYFUNCTION("""COMPUTED_VALUE"""),45156.66666666667)</f>
        <v>45156.66667</v>
      </c>
      <c r="B159" s="2">
        <f>IFERROR(__xludf.DUMMYFUNCTION("""COMPUTED_VALUE"""),131.62)</f>
        <v>131.62</v>
      </c>
      <c r="C159" s="2">
        <f>IFERROR(__xludf.DUMMYFUNCTION("""COMPUTED_VALUE"""),134.07)</f>
        <v>134.07</v>
      </c>
      <c r="D159" s="2">
        <f>IFERROR(__xludf.DUMMYFUNCTION("""COMPUTED_VALUE"""),131.15)</f>
        <v>131.15</v>
      </c>
      <c r="E159" s="2">
        <f>IFERROR(__xludf.DUMMYFUNCTION("""COMPUTED_VALUE"""),133.22)</f>
        <v>133.22</v>
      </c>
      <c r="F159" s="2">
        <f>IFERROR(__xludf.DUMMYFUNCTION("""COMPUTED_VALUE"""),4.8497698E7)</f>
        <v>48497698</v>
      </c>
    </row>
    <row r="160">
      <c r="A160" s="3">
        <f>IFERROR(__xludf.DUMMYFUNCTION("""COMPUTED_VALUE"""),45159.66666666667)</f>
        <v>45159.66667</v>
      </c>
      <c r="B160" s="2">
        <f>IFERROR(__xludf.DUMMYFUNCTION("""COMPUTED_VALUE"""),133.74)</f>
        <v>133.74</v>
      </c>
      <c r="C160" s="2">
        <f>IFERROR(__xludf.DUMMYFUNCTION("""COMPUTED_VALUE"""),135.19)</f>
        <v>135.19</v>
      </c>
      <c r="D160" s="2">
        <f>IFERROR(__xludf.DUMMYFUNCTION("""COMPUTED_VALUE"""),132.71)</f>
        <v>132.71</v>
      </c>
      <c r="E160" s="2">
        <f>IFERROR(__xludf.DUMMYFUNCTION("""COMPUTED_VALUE"""),134.68)</f>
        <v>134.68</v>
      </c>
      <c r="F160" s="2">
        <f>IFERROR(__xludf.DUMMYFUNCTION("""COMPUTED_VALUE"""),4.1442483E7)</f>
        <v>41442483</v>
      </c>
    </row>
    <row r="161">
      <c r="A161" s="3">
        <f>IFERROR(__xludf.DUMMYFUNCTION("""COMPUTED_VALUE"""),45160.66666666667)</f>
        <v>45160.66667</v>
      </c>
      <c r="B161" s="2">
        <f>IFERROR(__xludf.DUMMYFUNCTION("""COMPUTED_VALUE"""),135.08)</f>
        <v>135.08</v>
      </c>
      <c r="C161" s="2">
        <f>IFERROR(__xludf.DUMMYFUNCTION("""COMPUTED_VALUE"""),135.65)</f>
        <v>135.65</v>
      </c>
      <c r="D161" s="2">
        <f>IFERROR(__xludf.DUMMYFUNCTION("""COMPUTED_VALUE"""),133.73)</f>
        <v>133.73</v>
      </c>
      <c r="E161" s="2">
        <f>IFERROR(__xludf.DUMMYFUNCTION("""COMPUTED_VALUE"""),134.25)</f>
        <v>134.25</v>
      </c>
      <c r="F161" s="2">
        <f>IFERROR(__xludf.DUMMYFUNCTION("""COMPUTED_VALUE"""),3.2935104E7)</f>
        <v>32935104</v>
      </c>
    </row>
    <row r="162">
      <c r="A162" s="3">
        <f>IFERROR(__xludf.DUMMYFUNCTION("""COMPUTED_VALUE"""),45161.66666666667)</f>
        <v>45161.66667</v>
      </c>
      <c r="B162" s="2">
        <f>IFERROR(__xludf.DUMMYFUNCTION("""COMPUTED_VALUE"""),134.5)</f>
        <v>134.5</v>
      </c>
      <c r="C162" s="2">
        <f>IFERROR(__xludf.DUMMYFUNCTION("""COMPUTED_VALUE"""),135.95)</f>
        <v>135.95</v>
      </c>
      <c r="D162" s="2">
        <f>IFERROR(__xludf.DUMMYFUNCTION("""COMPUTED_VALUE"""),133.22)</f>
        <v>133.22</v>
      </c>
      <c r="E162" s="2">
        <f>IFERROR(__xludf.DUMMYFUNCTION("""COMPUTED_VALUE"""),135.52)</f>
        <v>135.52</v>
      </c>
      <c r="F162" s="2">
        <f>IFERROR(__xludf.DUMMYFUNCTION("""COMPUTED_VALUE"""),4.2801043E7)</f>
        <v>42801043</v>
      </c>
    </row>
    <row r="163">
      <c r="A163" s="3">
        <f>IFERROR(__xludf.DUMMYFUNCTION("""COMPUTED_VALUE"""),45162.66666666667)</f>
        <v>45162.66667</v>
      </c>
      <c r="B163" s="2">
        <f>IFERROR(__xludf.DUMMYFUNCTION("""COMPUTED_VALUE"""),136.4)</f>
        <v>136.4</v>
      </c>
      <c r="C163" s="2">
        <f>IFERROR(__xludf.DUMMYFUNCTION("""COMPUTED_VALUE"""),136.78)</f>
        <v>136.78</v>
      </c>
      <c r="D163" s="2">
        <f>IFERROR(__xludf.DUMMYFUNCTION("""COMPUTED_VALUE"""),131.83)</f>
        <v>131.83</v>
      </c>
      <c r="E163" s="2">
        <f>IFERROR(__xludf.DUMMYFUNCTION("""COMPUTED_VALUE"""),131.84)</f>
        <v>131.84</v>
      </c>
      <c r="F163" s="2">
        <f>IFERROR(__xludf.DUMMYFUNCTION("""COMPUTED_VALUE"""),4.364625E7)</f>
        <v>43646250</v>
      </c>
    </row>
    <row r="164">
      <c r="A164" s="3">
        <f>IFERROR(__xludf.DUMMYFUNCTION("""COMPUTED_VALUE"""),45163.66666666667)</f>
        <v>45163.66667</v>
      </c>
      <c r="B164" s="2">
        <f>IFERROR(__xludf.DUMMYFUNCTION("""COMPUTED_VALUE"""),132.47)</f>
        <v>132.47</v>
      </c>
      <c r="C164" s="2">
        <f>IFERROR(__xludf.DUMMYFUNCTION("""COMPUTED_VALUE"""),133.87)</f>
        <v>133.87</v>
      </c>
      <c r="D164" s="2">
        <f>IFERROR(__xludf.DUMMYFUNCTION("""COMPUTED_VALUE"""),130.58)</f>
        <v>130.58</v>
      </c>
      <c r="E164" s="2">
        <f>IFERROR(__xludf.DUMMYFUNCTION("""COMPUTED_VALUE"""),133.26)</f>
        <v>133.26</v>
      </c>
      <c r="F164" s="2">
        <f>IFERROR(__xludf.DUMMYFUNCTION("""COMPUTED_VALUE"""),4.4147451E7)</f>
        <v>44147451</v>
      </c>
    </row>
    <row r="165">
      <c r="A165" s="3">
        <f>IFERROR(__xludf.DUMMYFUNCTION("""COMPUTED_VALUE"""),45166.66666666667)</f>
        <v>45166.66667</v>
      </c>
      <c r="B165" s="2">
        <f>IFERROR(__xludf.DUMMYFUNCTION("""COMPUTED_VALUE"""),133.78)</f>
        <v>133.78</v>
      </c>
      <c r="C165" s="2">
        <f>IFERROR(__xludf.DUMMYFUNCTION("""COMPUTED_VALUE"""),133.95)</f>
        <v>133.95</v>
      </c>
      <c r="D165" s="2">
        <f>IFERROR(__xludf.DUMMYFUNCTION("""COMPUTED_VALUE"""),131.85)</f>
        <v>131.85</v>
      </c>
      <c r="E165" s="2">
        <f>IFERROR(__xludf.DUMMYFUNCTION("""COMPUTED_VALUE"""),133.14)</f>
        <v>133.14</v>
      </c>
      <c r="F165" s="2">
        <f>IFERROR(__xludf.DUMMYFUNCTION("""COMPUTED_VALUE"""),3.410841E7)</f>
        <v>34108410</v>
      </c>
    </row>
    <row r="166">
      <c r="A166" s="3">
        <f>IFERROR(__xludf.DUMMYFUNCTION("""COMPUTED_VALUE"""),45167.66666666667)</f>
        <v>45167.66667</v>
      </c>
      <c r="B166" s="2">
        <f>IFERROR(__xludf.DUMMYFUNCTION("""COMPUTED_VALUE"""),133.38)</f>
        <v>133.38</v>
      </c>
      <c r="C166" s="2">
        <f>IFERROR(__xludf.DUMMYFUNCTION("""COMPUTED_VALUE"""),135.14)</f>
        <v>135.14</v>
      </c>
      <c r="D166" s="2">
        <f>IFERROR(__xludf.DUMMYFUNCTION("""COMPUTED_VALUE"""),133.25)</f>
        <v>133.25</v>
      </c>
      <c r="E166" s="2">
        <f>IFERROR(__xludf.DUMMYFUNCTION("""COMPUTED_VALUE"""),134.91)</f>
        <v>134.91</v>
      </c>
      <c r="F166" s="2">
        <f>IFERROR(__xludf.DUMMYFUNCTION("""COMPUTED_VALUE"""),3.8646093E7)</f>
        <v>38646093</v>
      </c>
    </row>
    <row r="167">
      <c r="A167" s="3">
        <f>IFERROR(__xludf.DUMMYFUNCTION("""COMPUTED_VALUE"""),45168.66666666667)</f>
        <v>45168.66667</v>
      </c>
      <c r="B167" s="2">
        <f>IFERROR(__xludf.DUMMYFUNCTION("""COMPUTED_VALUE"""),134.93)</f>
        <v>134.93</v>
      </c>
      <c r="C167" s="2">
        <f>IFERROR(__xludf.DUMMYFUNCTION("""COMPUTED_VALUE"""),135.68)</f>
        <v>135.68</v>
      </c>
      <c r="D167" s="2">
        <f>IFERROR(__xludf.DUMMYFUNCTION("""COMPUTED_VALUE"""),133.92)</f>
        <v>133.92</v>
      </c>
      <c r="E167" s="2">
        <f>IFERROR(__xludf.DUMMYFUNCTION("""COMPUTED_VALUE"""),135.07)</f>
        <v>135.07</v>
      </c>
      <c r="F167" s="2">
        <f>IFERROR(__xludf.DUMMYFUNCTION("""COMPUTED_VALUE"""),3.6137015E7)</f>
        <v>36137015</v>
      </c>
    </row>
    <row r="168">
      <c r="A168" s="3">
        <f>IFERROR(__xludf.DUMMYFUNCTION("""COMPUTED_VALUE"""),45169.66666666667)</f>
        <v>45169.66667</v>
      </c>
      <c r="B168" s="2">
        <f>IFERROR(__xludf.DUMMYFUNCTION("""COMPUTED_VALUE"""),135.06)</f>
        <v>135.06</v>
      </c>
      <c r="C168" s="2">
        <f>IFERROR(__xludf.DUMMYFUNCTION("""COMPUTED_VALUE"""),138.79)</f>
        <v>138.79</v>
      </c>
      <c r="D168" s="2">
        <f>IFERROR(__xludf.DUMMYFUNCTION("""COMPUTED_VALUE"""),135.0)</f>
        <v>135</v>
      </c>
      <c r="E168" s="2">
        <f>IFERROR(__xludf.DUMMYFUNCTION("""COMPUTED_VALUE"""),138.01)</f>
        <v>138.01</v>
      </c>
      <c r="F168" s="2">
        <f>IFERROR(__xludf.DUMMYFUNCTION("""COMPUTED_VALUE"""),5.8781314E7)</f>
        <v>58781314</v>
      </c>
    </row>
    <row r="169">
      <c r="A169" s="3">
        <f>IFERROR(__xludf.DUMMYFUNCTION("""COMPUTED_VALUE"""),45170.66666666667)</f>
        <v>45170.66667</v>
      </c>
      <c r="B169" s="2">
        <f>IFERROR(__xludf.DUMMYFUNCTION("""COMPUTED_VALUE"""),139.46)</f>
        <v>139.46</v>
      </c>
      <c r="C169" s="2">
        <f>IFERROR(__xludf.DUMMYFUNCTION("""COMPUTED_VALUE"""),139.96)</f>
        <v>139.96</v>
      </c>
      <c r="D169" s="2">
        <f>IFERROR(__xludf.DUMMYFUNCTION("""COMPUTED_VALUE"""),136.88)</f>
        <v>136.88</v>
      </c>
      <c r="E169" s="2">
        <f>IFERROR(__xludf.DUMMYFUNCTION("""COMPUTED_VALUE"""),138.12)</f>
        <v>138.12</v>
      </c>
      <c r="F169" s="2">
        <f>IFERROR(__xludf.DUMMYFUNCTION("""COMPUTED_VALUE"""),4.0991536E7)</f>
        <v>40991536</v>
      </c>
    </row>
    <row r="170">
      <c r="A170" s="3">
        <f>IFERROR(__xludf.DUMMYFUNCTION("""COMPUTED_VALUE"""),45174.66666666667)</f>
        <v>45174.66667</v>
      </c>
      <c r="B170" s="2">
        <f>IFERROR(__xludf.DUMMYFUNCTION("""COMPUTED_VALUE"""),137.73)</f>
        <v>137.73</v>
      </c>
      <c r="C170" s="2">
        <f>IFERROR(__xludf.DUMMYFUNCTION("""COMPUTED_VALUE"""),137.8)</f>
        <v>137.8</v>
      </c>
      <c r="D170" s="2">
        <f>IFERROR(__xludf.DUMMYFUNCTION("""COMPUTED_VALUE"""),135.82)</f>
        <v>135.82</v>
      </c>
      <c r="E170" s="2">
        <f>IFERROR(__xludf.DUMMYFUNCTION("""COMPUTED_VALUE"""),137.27)</f>
        <v>137.27</v>
      </c>
      <c r="F170" s="2">
        <f>IFERROR(__xludf.DUMMYFUNCTION("""COMPUTED_VALUE"""),4.0636738E7)</f>
        <v>40636738</v>
      </c>
    </row>
    <row r="171">
      <c r="A171" s="3">
        <f>IFERROR(__xludf.DUMMYFUNCTION("""COMPUTED_VALUE"""),45175.66666666667)</f>
        <v>45175.66667</v>
      </c>
      <c r="B171" s="2">
        <f>IFERROR(__xludf.DUMMYFUNCTION("""COMPUTED_VALUE"""),136.32)</f>
        <v>136.32</v>
      </c>
      <c r="C171" s="2">
        <f>IFERROR(__xludf.DUMMYFUNCTION("""COMPUTED_VALUE"""),137.45)</f>
        <v>137.45</v>
      </c>
      <c r="D171" s="2">
        <f>IFERROR(__xludf.DUMMYFUNCTION("""COMPUTED_VALUE"""),134.61)</f>
        <v>134.61</v>
      </c>
      <c r="E171" s="2">
        <f>IFERROR(__xludf.DUMMYFUNCTION("""COMPUTED_VALUE"""),135.36)</f>
        <v>135.36</v>
      </c>
      <c r="F171" s="2">
        <f>IFERROR(__xludf.DUMMYFUNCTION("""COMPUTED_VALUE"""),4.1785507E7)</f>
        <v>41785507</v>
      </c>
    </row>
    <row r="172">
      <c r="A172" s="3">
        <f>IFERROR(__xludf.DUMMYFUNCTION("""COMPUTED_VALUE"""),45176.66666666667)</f>
        <v>45176.66667</v>
      </c>
      <c r="B172" s="2">
        <f>IFERROR(__xludf.DUMMYFUNCTION("""COMPUTED_VALUE"""),133.9)</f>
        <v>133.9</v>
      </c>
      <c r="C172" s="2">
        <f>IFERROR(__xludf.DUMMYFUNCTION("""COMPUTED_VALUE"""),138.03)</f>
        <v>138.03</v>
      </c>
      <c r="D172" s="2">
        <f>IFERROR(__xludf.DUMMYFUNCTION("""COMPUTED_VALUE"""),133.16)</f>
        <v>133.16</v>
      </c>
      <c r="E172" s="2">
        <f>IFERROR(__xludf.DUMMYFUNCTION("""COMPUTED_VALUE"""),137.85)</f>
        <v>137.85</v>
      </c>
      <c r="F172" s="2">
        <f>IFERROR(__xludf.DUMMYFUNCTION("""COMPUTED_VALUE"""),4.8498912E7)</f>
        <v>48498912</v>
      </c>
    </row>
    <row r="173">
      <c r="A173" s="3">
        <f>IFERROR(__xludf.DUMMYFUNCTION("""COMPUTED_VALUE"""),45177.66666666667)</f>
        <v>45177.66667</v>
      </c>
      <c r="B173" s="2">
        <f>IFERROR(__xludf.DUMMYFUNCTION("""COMPUTED_VALUE"""),136.86)</f>
        <v>136.86</v>
      </c>
      <c r="C173" s="2">
        <f>IFERROR(__xludf.DUMMYFUNCTION("""COMPUTED_VALUE"""),138.85)</f>
        <v>138.85</v>
      </c>
      <c r="D173" s="2">
        <f>IFERROR(__xludf.DUMMYFUNCTION("""COMPUTED_VALUE"""),136.75)</f>
        <v>136.75</v>
      </c>
      <c r="E173" s="2">
        <f>IFERROR(__xludf.DUMMYFUNCTION("""COMPUTED_VALUE"""),138.23)</f>
        <v>138.23</v>
      </c>
      <c r="F173" s="2">
        <f>IFERROR(__xludf.DUMMYFUNCTION("""COMPUTED_VALUE"""),3.8365929E7)</f>
        <v>38365929</v>
      </c>
    </row>
    <row r="174">
      <c r="A174" s="3">
        <f>IFERROR(__xludf.DUMMYFUNCTION("""COMPUTED_VALUE"""),45180.66666666667)</f>
        <v>45180.66667</v>
      </c>
      <c r="B174" s="2">
        <f>IFERROR(__xludf.DUMMYFUNCTION("""COMPUTED_VALUE"""),138.75)</f>
        <v>138.75</v>
      </c>
      <c r="C174" s="2">
        <f>IFERROR(__xludf.DUMMYFUNCTION("""COMPUTED_VALUE"""),143.62)</f>
        <v>143.62</v>
      </c>
      <c r="D174" s="2">
        <f>IFERROR(__xludf.DUMMYFUNCTION("""COMPUTED_VALUE"""),138.64)</f>
        <v>138.64</v>
      </c>
      <c r="E174" s="2">
        <f>IFERROR(__xludf.DUMMYFUNCTION("""COMPUTED_VALUE"""),143.1)</f>
        <v>143.1</v>
      </c>
      <c r="F174" s="2">
        <f>IFERROR(__xludf.DUMMYFUNCTION("""COMPUTED_VALUE"""),5.6764525E7)</f>
        <v>56764525</v>
      </c>
    </row>
    <row r="175">
      <c r="A175" s="3">
        <f>IFERROR(__xludf.DUMMYFUNCTION("""COMPUTED_VALUE"""),45181.66666666667)</f>
        <v>45181.66667</v>
      </c>
      <c r="B175" s="2">
        <f>IFERROR(__xludf.DUMMYFUNCTION("""COMPUTED_VALUE"""),142.32)</f>
        <v>142.32</v>
      </c>
      <c r="C175" s="2">
        <f>IFERROR(__xludf.DUMMYFUNCTION("""COMPUTED_VALUE"""),143.0)</f>
        <v>143</v>
      </c>
      <c r="D175" s="2">
        <f>IFERROR(__xludf.DUMMYFUNCTION("""COMPUTED_VALUE"""),140.61)</f>
        <v>140.61</v>
      </c>
      <c r="E175" s="2">
        <f>IFERROR(__xludf.DUMMYFUNCTION("""COMPUTED_VALUE"""),141.23)</f>
        <v>141.23</v>
      </c>
      <c r="F175" s="2">
        <f>IFERROR(__xludf.DUMMYFUNCTION("""COMPUTED_VALUE"""),4.2668452E7)</f>
        <v>42668452</v>
      </c>
    </row>
    <row r="176">
      <c r="A176" s="3">
        <f>IFERROR(__xludf.DUMMYFUNCTION("""COMPUTED_VALUE"""),45182.66666666667)</f>
        <v>45182.66667</v>
      </c>
      <c r="B176" s="2">
        <f>IFERROR(__xludf.DUMMYFUNCTION("""COMPUTED_VALUE"""),140.95)</f>
        <v>140.95</v>
      </c>
      <c r="C176" s="2">
        <f>IFERROR(__xludf.DUMMYFUNCTION("""COMPUTED_VALUE"""),144.98)</f>
        <v>144.98</v>
      </c>
      <c r="D176" s="2">
        <f>IFERROR(__xludf.DUMMYFUNCTION("""COMPUTED_VALUE"""),140.87)</f>
        <v>140.87</v>
      </c>
      <c r="E176" s="2">
        <f>IFERROR(__xludf.DUMMYFUNCTION("""COMPUTED_VALUE"""),144.85)</f>
        <v>144.85</v>
      </c>
      <c r="F176" s="2">
        <f>IFERROR(__xludf.DUMMYFUNCTION("""COMPUTED_VALUE"""),6.0465175E7)</f>
        <v>60465175</v>
      </c>
    </row>
    <row r="177">
      <c r="A177" s="3">
        <f>IFERROR(__xludf.DUMMYFUNCTION("""COMPUTED_VALUE"""),45183.66666666667)</f>
        <v>45183.66667</v>
      </c>
      <c r="B177" s="2">
        <f>IFERROR(__xludf.DUMMYFUNCTION("""COMPUTED_VALUE"""),145.08)</f>
        <v>145.08</v>
      </c>
      <c r="C177" s="2">
        <f>IFERROR(__xludf.DUMMYFUNCTION("""COMPUTED_VALUE"""),145.86)</f>
        <v>145.86</v>
      </c>
      <c r="D177" s="2">
        <f>IFERROR(__xludf.DUMMYFUNCTION("""COMPUTED_VALUE"""),142.95)</f>
        <v>142.95</v>
      </c>
      <c r="E177" s="2">
        <f>IFERROR(__xludf.DUMMYFUNCTION("""COMPUTED_VALUE"""),144.72)</f>
        <v>144.72</v>
      </c>
      <c r="F177" s="2">
        <f>IFERROR(__xludf.DUMMYFUNCTION("""COMPUTED_VALUE"""),6.4033607E7)</f>
        <v>64033607</v>
      </c>
    </row>
    <row r="178">
      <c r="A178" s="3">
        <f>IFERROR(__xludf.DUMMYFUNCTION("""COMPUTED_VALUE"""),45184.66666666667)</f>
        <v>45184.66667</v>
      </c>
      <c r="B178" s="2">
        <f>IFERROR(__xludf.DUMMYFUNCTION("""COMPUTED_VALUE"""),142.69)</f>
        <v>142.69</v>
      </c>
      <c r="C178" s="2">
        <f>IFERROR(__xludf.DUMMYFUNCTION("""COMPUTED_VALUE"""),143.57)</f>
        <v>143.57</v>
      </c>
      <c r="D178" s="2">
        <f>IFERROR(__xludf.DUMMYFUNCTION("""COMPUTED_VALUE"""),140.09)</f>
        <v>140.09</v>
      </c>
      <c r="E178" s="2">
        <f>IFERROR(__xludf.DUMMYFUNCTION("""COMPUTED_VALUE"""),140.39)</f>
        <v>140.39</v>
      </c>
      <c r="F178" s="2">
        <f>IFERROR(__xludf.DUMMYFUNCTION("""COMPUTED_VALUE"""),1.02909327E8)</f>
        <v>102909327</v>
      </c>
    </row>
    <row r="179">
      <c r="A179" s="3">
        <f>IFERROR(__xludf.DUMMYFUNCTION("""COMPUTED_VALUE"""),45187.66666666667)</f>
        <v>45187.66667</v>
      </c>
      <c r="B179" s="2">
        <f>IFERROR(__xludf.DUMMYFUNCTION("""COMPUTED_VALUE"""),140.48)</f>
        <v>140.48</v>
      </c>
      <c r="C179" s="2">
        <f>IFERROR(__xludf.DUMMYFUNCTION("""COMPUTED_VALUE"""),141.75)</f>
        <v>141.75</v>
      </c>
      <c r="D179" s="2">
        <f>IFERROR(__xludf.DUMMYFUNCTION("""COMPUTED_VALUE"""),139.22)</f>
        <v>139.22</v>
      </c>
      <c r="E179" s="2">
        <f>IFERROR(__xludf.DUMMYFUNCTION("""COMPUTED_VALUE"""),139.98)</f>
        <v>139.98</v>
      </c>
      <c r="F179" s="2">
        <f>IFERROR(__xludf.DUMMYFUNCTION("""COMPUTED_VALUE"""),4.282348E7)</f>
        <v>42823480</v>
      </c>
    </row>
    <row r="180">
      <c r="A180" s="3">
        <f>IFERROR(__xludf.DUMMYFUNCTION("""COMPUTED_VALUE"""),45188.66666666667)</f>
        <v>45188.66667</v>
      </c>
      <c r="B180" s="2">
        <f>IFERROR(__xludf.DUMMYFUNCTION("""COMPUTED_VALUE"""),138.7)</f>
        <v>138.7</v>
      </c>
      <c r="C180" s="2">
        <f>IFERROR(__xludf.DUMMYFUNCTION("""COMPUTED_VALUE"""),138.84)</f>
        <v>138.84</v>
      </c>
      <c r="D180" s="2">
        <f>IFERROR(__xludf.DUMMYFUNCTION("""COMPUTED_VALUE"""),135.56)</f>
        <v>135.56</v>
      </c>
      <c r="E180" s="2">
        <f>IFERROR(__xludf.DUMMYFUNCTION("""COMPUTED_VALUE"""),137.63)</f>
        <v>137.63</v>
      </c>
      <c r="F180" s="2">
        <f>IFERROR(__xludf.DUMMYFUNCTION("""COMPUTED_VALUE"""),6.148247E7)</f>
        <v>61482470</v>
      </c>
    </row>
    <row r="181">
      <c r="A181" s="3">
        <f>IFERROR(__xludf.DUMMYFUNCTION("""COMPUTED_VALUE"""),45189.66666666667)</f>
        <v>45189.66667</v>
      </c>
      <c r="B181" s="2">
        <f>IFERROR(__xludf.DUMMYFUNCTION("""COMPUTED_VALUE"""),138.55)</f>
        <v>138.55</v>
      </c>
      <c r="C181" s="2">
        <f>IFERROR(__xludf.DUMMYFUNCTION("""COMPUTED_VALUE"""),139.37)</f>
        <v>139.37</v>
      </c>
      <c r="D181" s="2">
        <f>IFERROR(__xludf.DUMMYFUNCTION("""COMPUTED_VALUE"""),135.2)</f>
        <v>135.2</v>
      </c>
      <c r="E181" s="2">
        <f>IFERROR(__xludf.DUMMYFUNCTION("""COMPUTED_VALUE"""),135.29)</f>
        <v>135.29</v>
      </c>
      <c r="F181" s="2">
        <f>IFERROR(__xludf.DUMMYFUNCTION("""COMPUTED_VALUE"""),4.6263716E7)</f>
        <v>46263716</v>
      </c>
    </row>
    <row r="182">
      <c r="A182" s="3">
        <f>IFERROR(__xludf.DUMMYFUNCTION("""COMPUTED_VALUE"""),45190.66666666667)</f>
        <v>45190.66667</v>
      </c>
      <c r="B182" s="2">
        <f>IFERROR(__xludf.DUMMYFUNCTION("""COMPUTED_VALUE"""),131.94)</f>
        <v>131.94</v>
      </c>
      <c r="C182" s="2">
        <f>IFERROR(__xludf.DUMMYFUNCTION("""COMPUTED_VALUE"""),132.24)</f>
        <v>132.24</v>
      </c>
      <c r="D182" s="2">
        <f>IFERROR(__xludf.DUMMYFUNCTION("""COMPUTED_VALUE"""),129.31)</f>
        <v>129.31</v>
      </c>
      <c r="E182" s="2">
        <f>IFERROR(__xludf.DUMMYFUNCTION("""COMPUTED_VALUE"""),129.33)</f>
        <v>129.33</v>
      </c>
      <c r="F182" s="2">
        <f>IFERROR(__xludf.DUMMYFUNCTION("""COMPUTED_VALUE"""),7.0343342E7)</f>
        <v>70343342</v>
      </c>
    </row>
    <row r="183">
      <c r="A183" s="3">
        <f>IFERROR(__xludf.DUMMYFUNCTION("""COMPUTED_VALUE"""),45191.66666666667)</f>
        <v>45191.66667</v>
      </c>
      <c r="B183" s="2">
        <f>IFERROR(__xludf.DUMMYFUNCTION("""COMPUTED_VALUE"""),131.11)</f>
        <v>131.11</v>
      </c>
      <c r="C183" s="2">
        <f>IFERROR(__xludf.DUMMYFUNCTION("""COMPUTED_VALUE"""),132.03)</f>
        <v>132.03</v>
      </c>
      <c r="D183" s="2">
        <f>IFERROR(__xludf.DUMMYFUNCTION("""COMPUTED_VALUE"""),128.52)</f>
        <v>128.52</v>
      </c>
      <c r="E183" s="2">
        <f>IFERROR(__xludf.DUMMYFUNCTION("""COMPUTED_VALUE"""),129.12)</f>
        <v>129.12</v>
      </c>
      <c r="F183" s="2">
        <f>IFERROR(__xludf.DUMMYFUNCTION("""COMPUTED_VALUE"""),5.9904348E7)</f>
        <v>59904348</v>
      </c>
    </row>
    <row r="184">
      <c r="A184" s="3">
        <f>IFERROR(__xludf.DUMMYFUNCTION("""COMPUTED_VALUE"""),45194.66666666667)</f>
        <v>45194.66667</v>
      </c>
      <c r="B184" s="2">
        <f>IFERROR(__xludf.DUMMYFUNCTION("""COMPUTED_VALUE"""),129.36)</f>
        <v>129.36</v>
      </c>
      <c r="C184" s="2">
        <f>IFERROR(__xludf.DUMMYFUNCTION("""COMPUTED_VALUE"""),131.78)</f>
        <v>131.78</v>
      </c>
      <c r="D184" s="2">
        <f>IFERROR(__xludf.DUMMYFUNCTION("""COMPUTED_VALUE"""),128.77)</f>
        <v>128.77</v>
      </c>
      <c r="E184" s="2">
        <f>IFERROR(__xludf.DUMMYFUNCTION("""COMPUTED_VALUE"""),131.27)</f>
        <v>131.27</v>
      </c>
      <c r="F184" s="2">
        <f>IFERROR(__xludf.DUMMYFUNCTION("""COMPUTED_VALUE"""),4.6017825E7)</f>
        <v>46017825</v>
      </c>
    </row>
    <row r="185">
      <c r="A185" s="3">
        <f>IFERROR(__xludf.DUMMYFUNCTION("""COMPUTED_VALUE"""),45195.66666666667)</f>
        <v>45195.66667</v>
      </c>
      <c r="B185" s="2">
        <f>IFERROR(__xludf.DUMMYFUNCTION("""COMPUTED_VALUE"""),130.12)</f>
        <v>130.12</v>
      </c>
      <c r="C185" s="2">
        <f>IFERROR(__xludf.DUMMYFUNCTION("""COMPUTED_VALUE"""),130.39)</f>
        <v>130.39</v>
      </c>
      <c r="D185" s="2">
        <f>IFERROR(__xludf.DUMMYFUNCTION("""COMPUTED_VALUE"""),125.28)</f>
        <v>125.28</v>
      </c>
      <c r="E185" s="2">
        <f>IFERROR(__xludf.DUMMYFUNCTION("""COMPUTED_VALUE"""),125.98)</f>
        <v>125.98</v>
      </c>
      <c r="F185" s="2">
        <f>IFERROR(__xludf.DUMMYFUNCTION("""COMPUTED_VALUE"""),7.3048207E7)</f>
        <v>73048207</v>
      </c>
    </row>
    <row r="186">
      <c r="A186" s="3">
        <f>IFERROR(__xludf.DUMMYFUNCTION("""COMPUTED_VALUE"""),45196.66666666667)</f>
        <v>45196.66667</v>
      </c>
      <c r="B186" s="2">
        <f>IFERROR(__xludf.DUMMYFUNCTION("""COMPUTED_VALUE"""),125.76)</f>
        <v>125.76</v>
      </c>
      <c r="C186" s="2">
        <f>IFERROR(__xludf.DUMMYFUNCTION("""COMPUTED_VALUE"""),127.48)</f>
        <v>127.48</v>
      </c>
      <c r="D186" s="2">
        <f>IFERROR(__xludf.DUMMYFUNCTION("""COMPUTED_VALUE"""),124.13)</f>
        <v>124.13</v>
      </c>
      <c r="E186" s="2">
        <f>IFERROR(__xludf.DUMMYFUNCTION("""COMPUTED_VALUE"""),125.98)</f>
        <v>125.98</v>
      </c>
      <c r="F186" s="2">
        <f>IFERROR(__xludf.DUMMYFUNCTION("""COMPUTED_VALUE"""),6.6553449E7)</f>
        <v>66553449</v>
      </c>
    </row>
    <row r="187">
      <c r="A187" s="3">
        <f>IFERROR(__xludf.DUMMYFUNCTION("""COMPUTED_VALUE"""),45197.66666666667)</f>
        <v>45197.66667</v>
      </c>
      <c r="B187" s="2">
        <f>IFERROR(__xludf.DUMMYFUNCTION("""COMPUTED_VALUE"""),124.04)</f>
        <v>124.04</v>
      </c>
      <c r="C187" s="2">
        <f>IFERROR(__xludf.DUMMYFUNCTION("""COMPUTED_VALUE"""),126.58)</f>
        <v>126.58</v>
      </c>
      <c r="D187" s="2">
        <f>IFERROR(__xludf.DUMMYFUNCTION("""COMPUTED_VALUE"""),123.04)</f>
        <v>123.04</v>
      </c>
      <c r="E187" s="2">
        <f>IFERROR(__xludf.DUMMYFUNCTION("""COMPUTED_VALUE"""),125.98)</f>
        <v>125.98</v>
      </c>
      <c r="F187" s="2">
        <f>IFERROR(__xludf.DUMMYFUNCTION("""COMPUTED_VALUE"""),5.4554968E7)</f>
        <v>54554968</v>
      </c>
    </row>
    <row r="188">
      <c r="A188" s="3">
        <f>IFERROR(__xludf.DUMMYFUNCTION("""COMPUTED_VALUE"""),45198.66666666667)</f>
        <v>45198.66667</v>
      </c>
      <c r="B188" s="2">
        <f>IFERROR(__xludf.DUMMYFUNCTION("""COMPUTED_VALUE"""),128.2)</f>
        <v>128.2</v>
      </c>
      <c r="C188" s="2">
        <f>IFERROR(__xludf.DUMMYFUNCTION("""COMPUTED_VALUE"""),129.15)</f>
        <v>129.15</v>
      </c>
      <c r="D188" s="2">
        <f>IFERROR(__xludf.DUMMYFUNCTION("""COMPUTED_VALUE"""),126.32)</f>
        <v>126.32</v>
      </c>
      <c r="E188" s="2">
        <f>IFERROR(__xludf.DUMMYFUNCTION("""COMPUTED_VALUE"""),127.12)</f>
        <v>127.12</v>
      </c>
      <c r="F188" s="2">
        <f>IFERROR(__xludf.DUMMYFUNCTION("""COMPUTED_VALUE"""),6.241173E7)</f>
        <v>62411730</v>
      </c>
    </row>
    <row r="189">
      <c r="A189" s="3">
        <f>IFERROR(__xludf.DUMMYFUNCTION("""COMPUTED_VALUE"""),45201.66666666667)</f>
        <v>45201.66667</v>
      </c>
      <c r="B189" s="2">
        <f>IFERROR(__xludf.DUMMYFUNCTION("""COMPUTED_VALUE"""),127.28)</f>
        <v>127.28</v>
      </c>
      <c r="C189" s="2">
        <f>IFERROR(__xludf.DUMMYFUNCTION("""COMPUTED_VALUE"""),130.47)</f>
        <v>130.47</v>
      </c>
      <c r="D189" s="2">
        <f>IFERROR(__xludf.DUMMYFUNCTION("""COMPUTED_VALUE"""),126.54)</f>
        <v>126.54</v>
      </c>
      <c r="E189" s="2">
        <f>IFERROR(__xludf.DUMMYFUNCTION("""COMPUTED_VALUE"""),129.46)</f>
        <v>129.46</v>
      </c>
      <c r="F189" s="2">
        <f>IFERROR(__xludf.DUMMYFUNCTION("""COMPUTED_VALUE"""),4.8029744E7)</f>
        <v>48029744</v>
      </c>
    </row>
    <row r="190">
      <c r="A190" s="3">
        <f>IFERROR(__xludf.DUMMYFUNCTION("""COMPUTED_VALUE"""),45202.66666666667)</f>
        <v>45202.66667</v>
      </c>
      <c r="B190" s="2">
        <f>IFERROR(__xludf.DUMMYFUNCTION("""COMPUTED_VALUE"""),128.06)</f>
        <v>128.06</v>
      </c>
      <c r="C190" s="2">
        <f>IFERROR(__xludf.DUMMYFUNCTION("""COMPUTED_VALUE"""),128.52)</f>
        <v>128.52</v>
      </c>
      <c r="D190" s="2">
        <f>IFERROR(__xludf.DUMMYFUNCTION("""COMPUTED_VALUE"""),124.25)</f>
        <v>124.25</v>
      </c>
      <c r="E190" s="2">
        <f>IFERROR(__xludf.DUMMYFUNCTION("""COMPUTED_VALUE"""),124.72)</f>
        <v>124.72</v>
      </c>
      <c r="F190" s="2">
        <f>IFERROR(__xludf.DUMMYFUNCTION("""COMPUTED_VALUE"""),5.1564991E7)</f>
        <v>51564991</v>
      </c>
    </row>
    <row r="191">
      <c r="A191" s="3">
        <f>IFERROR(__xludf.DUMMYFUNCTION("""COMPUTED_VALUE"""),45203.66666666667)</f>
        <v>45203.66667</v>
      </c>
      <c r="B191" s="2">
        <f>IFERROR(__xludf.DUMMYFUNCTION("""COMPUTED_VALUE"""),126.06)</f>
        <v>126.06</v>
      </c>
      <c r="C191" s="2">
        <f>IFERROR(__xludf.DUMMYFUNCTION("""COMPUTED_VALUE"""),127.36)</f>
        <v>127.36</v>
      </c>
      <c r="D191" s="2">
        <f>IFERROR(__xludf.DUMMYFUNCTION("""COMPUTED_VALUE"""),125.68)</f>
        <v>125.68</v>
      </c>
      <c r="E191" s="2">
        <f>IFERROR(__xludf.DUMMYFUNCTION("""COMPUTED_VALUE"""),127.0)</f>
        <v>127</v>
      </c>
      <c r="F191" s="2">
        <f>IFERROR(__xludf.DUMMYFUNCTION("""COMPUTED_VALUE"""),4.420387E7)</f>
        <v>44203870</v>
      </c>
    </row>
    <row r="192">
      <c r="A192" s="3">
        <f>IFERROR(__xludf.DUMMYFUNCTION("""COMPUTED_VALUE"""),45204.66666666667)</f>
        <v>45204.66667</v>
      </c>
      <c r="B192" s="2">
        <f>IFERROR(__xludf.DUMMYFUNCTION("""COMPUTED_VALUE"""),126.71)</f>
        <v>126.71</v>
      </c>
      <c r="C192" s="2">
        <f>IFERROR(__xludf.DUMMYFUNCTION("""COMPUTED_VALUE"""),126.73)</f>
        <v>126.73</v>
      </c>
      <c r="D192" s="2">
        <f>IFERROR(__xludf.DUMMYFUNCTION("""COMPUTED_VALUE"""),124.33)</f>
        <v>124.33</v>
      </c>
      <c r="E192" s="2">
        <f>IFERROR(__xludf.DUMMYFUNCTION("""COMPUTED_VALUE"""),125.96)</f>
        <v>125.96</v>
      </c>
      <c r="F192" s="2">
        <f>IFERROR(__xludf.DUMMYFUNCTION("""COMPUTED_VALUE"""),3.9660643E7)</f>
        <v>39660643</v>
      </c>
    </row>
    <row r="193">
      <c r="A193" s="3">
        <f>IFERROR(__xludf.DUMMYFUNCTION("""COMPUTED_VALUE"""),45205.66666666667)</f>
        <v>45205.66667</v>
      </c>
      <c r="B193" s="2">
        <f>IFERROR(__xludf.DUMMYFUNCTION("""COMPUTED_VALUE"""),124.16)</f>
        <v>124.16</v>
      </c>
      <c r="C193" s="2">
        <f>IFERROR(__xludf.DUMMYFUNCTION("""COMPUTED_VALUE"""),128.45)</f>
        <v>128.45</v>
      </c>
      <c r="D193" s="2">
        <f>IFERROR(__xludf.DUMMYFUNCTION("""COMPUTED_VALUE"""),124.13)</f>
        <v>124.13</v>
      </c>
      <c r="E193" s="2">
        <f>IFERROR(__xludf.DUMMYFUNCTION("""COMPUTED_VALUE"""),127.96)</f>
        <v>127.96</v>
      </c>
      <c r="F193" s="2">
        <f>IFERROR(__xludf.DUMMYFUNCTION("""COMPUTED_VALUE"""),4.6836698E7)</f>
        <v>46836698</v>
      </c>
    </row>
    <row r="194">
      <c r="A194" s="3">
        <f>IFERROR(__xludf.DUMMYFUNCTION("""COMPUTED_VALUE"""),45208.66666666667)</f>
        <v>45208.66667</v>
      </c>
      <c r="B194" s="2">
        <f>IFERROR(__xludf.DUMMYFUNCTION("""COMPUTED_VALUE"""),126.22)</f>
        <v>126.22</v>
      </c>
      <c r="C194" s="2">
        <f>IFERROR(__xludf.DUMMYFUNCTION("""COMPUTED_VALUE"""),128.79)</f>
        <v>128.79</v>
      </c>
      <c r="D194" s="2">
        <f>IFERROR(__xludf.DUMMYFUNCTION("""COMPUTED_VALUE"""),124.76)</f>
        <v>124.76</v>
      </c>
      <c r="E194" s="2">
        <f>IFERROR(__xludf.DUMMYFUNCTION("""COMPUTED_VALUE"""),128.26)</f>
        <v>128.26</v>
      </c>
      <c r="F194" s="2">
        <f>IFERROR(__xludf.DUMMYFUNCTION("""COMPUTED_VALUE"""),3.8773738E7)</f>
        <v>38773738</v>
      </c>
    </row>
    <row r="195">
      <c r="A195" s="3">
        <f>IFERROR(__xludf.DUMMYFUNCTION("""COMPUTED_VALUE"""),45209.66666666667)</f>
        <v>45209.66667</v>
      </c>
      <c r="B195" s="2">
        <f>IFERROR(__xludf.DUMMYFUNCTION("""COMPUTED_VALUE"""),128.82)</f>
        <v>128.82</v>
      </c>
      <c r="C195" s="2">
        <f>IFERROR(__xludf.DUMMYFUNCTION("""COMPUTED_VALUE"""),130.74)</f>
        <v>130.74</v>
      </c>
      <c r="D195" s="2">
        <f>IFERROR(__xludf.DUMMYFUNCTION("""COMPUTED_VALUE"""),128.05)</f>
        <v>128.05</v>
      </c>
      <c r="E195" s="2">
        <f>IFERROR(__xludf.DUMMYFUNCTION("""COMPUTED_VALUE"""),129.48)</f>
        <v>129.48</v>
      </c>
      <c r="F195" s="2">
        <f>IFERROR(__xludf.DUMMYFUNCTION("""COMPUTED_VALUE"""),4.2178619E7)</f>
        <v>42178619</v>
      </c>
    </row>
    <row r="196">
      <c r="A196" s="3">
        <f>IFERROR(__xludf.DUMMYFUNCTION("""COMPUTED_VALUE"""),45210.66666666667)</f>
        <v>45210.66667</v>
      </c>
      <c r="B196" s="2">
        <f>IFERROR(__xludf.DUMMYFUNCTION("""COMPUTED_VALUE"""),129.74)</f>
        <v>129.74</v>
      </c>
      <c r="C196" s="2">
        <f>IFERROR(__xludf.DUMMYFUNCTION("""COMPUTED_VALUE"""),132.05)</f>
        <v>132.05</v>
      </c>
      <c r="D196" s="2">
        <f>IFERROR(__xludf.DUMMYFUNCTION("""COMPUTED_VALUE"""),129.61)</f>
        <v>129.61</v>
      </c>
      <c r="E196" s="2">
        <f>IFERROR(__xludf.DUMMYFUNCTION("""COMPUTED_VALUE"""),131.83)</f>
        <v>131.83</v>
      </c>
      <c r="F196" s="2">
        <f>IFERROR(__xludf.DUMMYFUNCTION("""COMPUTED_VALUE"""),4.0741842E7)</f>
        <v>40741842</v>
      </c>
    </row>
    <row r="197">
      <c r="A197" s="3">
        <f>IFERROR(__xludf.DUMMYFUNCTION("""COMPUTED_VALUE"""),45211.66666666667)</f>
        <v>45211.66667</v>
      </c>
      <c r="B197" s="2">
        <f>IFERROR(__xludf.DUMMYFUNCTION("""COMPUTED_VALUE"""),132.17)</f>
        <v>132.17</v>
      </c>
      <c r="C197" s="2">
        <f>IFERROR(__xludf.DUMMYFUNCTION("""COMPUTED_VALUE"""),134.48)</f>
        <v>134.48</v>
      </c>
      <c r="D197" s="2">
        <f>IFERROR(__xludf.DUMMYFUNCTION("""COMPUTED_VALUE"""),131.23)</f>
        <v>131.23</v>
      </c>
      <c r="E197" s="2">
        <f>IFERROR(__xludf.DUMMYFUNCTION("""COMPUTED_VALUE"""),132.33)</f>
        <v>132.33</v>
      </c>
      <c r="F197" s="2">
        <f>IFERROR(__xludf.DUMMYFUNCTION("""COMPUTED_VALUE"""),5.5528581E7)</f>
        <v>55528581</v>
      </c>
    </row>
    <row r="198">
      <c r="A198" s="3">
        <f>IFERROR(__xludf.DUMMYFUNCTION("""COMPUTED_VALUE"""),45212.66666666667)</f>
        <v>45212.66667</v>
      </c>
      <c r="B198" s="2">
        <f>IFERROR(__xludf.DUMMYFUNCTION("""COMPUTED_VALUE"""),132.98)</f>
        <v>132.98</v>
      </c>
      <c r="C198" s="2">
        <f>IFERROR(__xludf.DUMMYFUNCTION("""COMPUTED_VALUE"""),133.31)</f>
        <v>133.31</v>
      </c>
      <c r="D198" s="2">
        <f>IFERROR(__xludf.DUMMYFUNCTION("""COMPUTED_VALUE"""),128.95)</f>
        <v>128.95</v>
      </c>
      <c r="E198" s="2">
        <f>IFERROR(__xludf.DUMMYFUNCTION("""COMPUTED_VALUE"""),129.79)</f>
        <v>129.79</v>
      </c>
      <c r="F198" s="2">
        <f>IFERROR(__xludf.DUMMYFUNCTION("""COMPUTED_VALUE"""),4.5824685E7)</f>
        <v>45824685</v>
      </c>
    </row>
    <row r="199">
      <c r="A199" s="3">
        <f>IFERROR(__xludf.DUMMYFUNCTION("""COMPUTED_VALUE"""),45215.66666666667)</f>
        <v>45215.66667</v>
      </c>
      <c r="B199" s="2">
        <f>IFERROR(__xludf.DUMMYFUNCTION("""COMPUTED_VALUE"""),130.69)</f>
        <v>130.69</v>
      </c>
      <c r="C199" s="2">
        <f>IFERROR(__xludf.DUMMYFUNCTION("""COMPUTED_VALUE"""),133.07)</f>
        <v>133.07</v>
      </c>
      <c r="D199" s="2">
        <f>IFERROR(__xludf.DUMMYFUNCTION("""COMPUTED_VALUE"""),130.43)</f>
        <v>130.43</v>
      </c>
      <c r="E199" s="2">
        <f>IFERROR(__xludf.DUMMYFUNCTION("""COMPUTED_VALUE"""),132.55)</f>
        <v>132.55</v>
      </c>
      <c r="F199" s="2">
        <f>IFERROR(__xludf.DUMMYFUNCTION("""COMPUTED_VALUE"""),4.2832918E7)</f>
        <v>42832918</v>
      </c>
    </row>
    <row r="200">
      <c r="A200" s="3">
        <f>IFERROR(__xludf.DUMMYFUNCTION("""COMPUTED_VALUE"""),45216.66666666667)</f>
        <v>45216.66667</v>
      </c>
      <c r="B200" s="2">
        <f>IFERROR(__xludf.DUMMYFUNCTION("""COMPUTED_VALUE"""),130.39)</f>
        <v>130.39</v>
      </c>
      <c r="C200" s="2">
        <f>IFERROR(__xludf.DUMMYFUNCTION("""COMPUTED_VALUE"""),132.58)</f>
        <v>132.58</v>
      </c>
      <c r="D200" s="2">
        <f>IFERROR(__xludf.DUMMYFUNCTION("""COMPUTED_VALUE"""),128.71)</f>
        <v>128.71</v>
      </c>
      <c r="E200" s="2">
        <f>IFERROR(__xludf.DUMMYFUNCTION("""COMPUTED_VALUE"""),131.47)</f>
        <v>131.47</v>
      </c>
      <c r="F200" s="2">
        <f>IFERROR(__xludf.DUMMYFUNCTION("""COMPUTED_VALUE"""),4.934455E7)</f>
        <v>49344550</v>
      </c>
    </row>
    <row r="201">
      <c r="A201" s="3">
        <f>IFERROR(__xludf.DUMMYFUNCTION("""COMPUTED_VALUE"""),45217.66666666667)</f>
        <v>45217.66667</v>
      </c>
      <c r="B201" s="2">
        <f>IFERROR(__xludf.DUMMYFUNCTION("""COMPUTED_VALUE"""),129.9)</f>
        <v>129.9</v>
      </c>
      <c r="C201" s="2">
        <f>IFERROR(__xludf.DUMMYFUNCTION("""COMPUTED_VALUE"""),130.67)</f>
        <v>130.67</v>
      </c>
      <c r="D201" s="2">
        <f>IFERROR(__xludf.DUMMYFUNCTION("""COMPUTED_VALUE"""),127.51)</f>
        <v>127.51</v>
      </c>
      <c r="E201" s="2">
        <f>IFERROR(__xludf.DUMMYFUNCTION("""COMPUTED_VALUE"""),128.13)</f>
        <v>128.13</v>
      </c>
      <c r="F201" s="2">
        <f>IFERROR(__xludf.DUMMYFUNCTION("""COMPUTED_VALUE"""),4.2699479E7)</f>
        <v>42699479</v>
      </c>
    </row>
    <row r="202">
      <c r="A202" s="3">
        <f>IFERROR(__xludf.DUMMYFUNCTION("""COMPUTED_VALUE"""),45218.66666666667)</f>
        <v>45218.66667</v>
      </c>
      <c r="B202" s="2">
        <f>IFERROR(__xludf.DUMMYFUNCTION("""COMPUTED_VALUE"""),130.57)</f>
        <v>130.57</v>
      </c>
      <c r="C202" s="2">
        <f>IFERROR(__xludf.DUMMYFUNCTION("""COMPUTED_VALUE"""),132.24)</f>
        <v>132.24</v>
      </c>
      <c r="D202" s="2">
        <f>IFERROR(__xludf.DUMMYFUNCTION("""COMPUTED_VALUE"""),127.47)</f>
        <v>127.47</v>
      </c>
      <c r="E202" s="2">
        <f>IFERROR(__xludf.DUMMYFUNCTION("""COMPUTED_VALUE"""),128.4)</f>
        <v>128.4</v>
      </c>
      <c r="F202" s="2">
        <f>IFERROR(__xludf.DUMMYFUNCTION("""COMPUTED_VALUE"""),6.0961355E7)</f>
        <v>60961355</v>
      </c>
    </row>
    <row r="203">
      <c r="A203" s="3">
        <f>IFERROR(__xludf.DUMMYFUNCTION("""COMPUTED_VALUE"""),45219.66666666667)</f>
        <v>45219.66667</v>
      </c>
      <c r="B203" s="2">
        <f>IFERROR(__xludf.DUMMYFUNCTION("""COMPUTED_VALUE"""),128.05)</f>
        <v>128.05</v>
      </c>
      <c r="C203" s="2">
        <f>IFERROR(__xludf.DUMMYFUNCTION("""COMPUTED_VALUE"""),128.17)</f>
        <v>128.17</v>
      </c>
      <c r="D203" s="2">
        <f>IFERROR(__xludf.DUMMYFUNCTION("""COMPUTED_VALUE"""),124.97)</f>
        <v>124.97</v>
      </c>
      <c r="E203" s="2">
        <f>IFERROR(__xludf.DUMMYFUNCTION("""COMPUTED_VALUE"""),125.17)</f>
        <v>125.17</v>
      </c>
      <c r="F203" s="2">
        <f>IFERROR(__xludf.DUMMYFUNCTION("""COMPUTED_VALUE"""),5.640641E7)</f>
        <v>56406410</v>
      </c>
    </row>
    <row r="204">
      <c r="A204" s="3">
        <f>IFERROR(__xludf.DUMMYFUNCTION("""COMPUTED_VALUE"""),45222.66666666667)</f>
        <v>45222.66667</v>
      </c>
      <c r="B204" s="2">
        <f>IFERROR(__xludf.DUMMYFUNCTION("""COMPUTED_VALUE"""),124.63)</f>
        <v>124.63</v>
      </c>
      <c r="C204" s="2">
        <f>IFERROR(__xludf.DUMMYFUNCTION("""COMPUTED_VALUE"""),127.88)</f>
        <v>127.88</v>
      </c>
      <c r="D204" s="2">
        <f>IFERROR(__xludf.DUMMYFUNCTION("""COMPUTED_VALUE"""),123.98)</f>
        <v>123.98</v>
      </c>
      <c r="E204" s="2">
        <f>IFERROR(__xludf.DUMMYFUNCTION("""COMPUTED_VALUE"""),126.56)</f>
        <v>126.56</v>
      </c>
      <c r="F204" s="2">
        <f>IFERROR(__xludf.DUMMYFUNCTION("""COMPUTED_VALUE"""),4.8259953E7)</f>
        <v>48259953</v>
      </c>
    </row>
    <row r="205">
      <c r="A205" s="3">
        <f>IFERROR(__xludf.DUMMYFUNCTION("""COMPUTED_VALUE"""),45223.66666666667)</f>
        <v>45223.66667</v>
      </c>
      <c r="B205" s="2">
        <f>IFERROR(__xludf.DUMMYFUNCTION("""COMPUTED_VALUE"""),127.74)</f>
        <v>127.74</v>
      </c>
      <c r="C205" s="2">
        <f>IFERROR(__xludf.DUMMYFUNCTION("""COMPUTED_VALUE"""),128.8)</f>
        <v>128.8</v>
      </c>
      <c r="D205" s="2">
        <f>IFERROR(__xludf.DUMMYFUNCTION("""COMPUTED_VALUE"""),126.34)</f>
        <v>126.34</v>
      </c>
      <c r="E205" s="2">
        <f>IFERROR(__xludf.DUMMYFUNCTION("""COMPUTED_VALUE"""),128.56)</f>
        <v>128.56</v>
      </c>
      <c r="F205" s="2">
        <f>IFERROR(__xludf.DUMMYFUNCTION("""COMPUTED_VALUE"""),4.6477355E7)</f>
        <v>46477355</v>
      </c>
    </row>
    <row r="206">
      <c r="A206" s="3">
        <f>IFERROR(__xludf.DUMMYFUNCTION("""COMPUTED_VALUE"""),45224.66666666667)</f>
        <v>45224.66667</v>
      </c>
      <c r="B206" s="2">
        <f>IFERROR(__xludf.DUMMYFUNCTION("""COMPUTED_VALUE"""),126.04)</f>
        <v>126.04</v>
      </c>
      <c r="C206" s="2">
        <f>IFERROR(__xludf.DUMMYFUNCTION("""COMPUTED_VALUE"""),126.34)</f>
        <v>126.34</v>
      </c>
      <c r="D206" s="2">
        <f>IFERROR(__xludf.DUMMYFUNCTION("""COMPUTED_VALUE"""),120.79)</f>
        <v>120.79</v>
      </c>
      <c r="E206" s="2">
        <f>IFERROR(__xludf.DUMMYFUNCTION("""COMPUTED_VALUE"""),121.39)</f>
        <v>121.39</v>
      </c>
      <c r="F206" s="2">
        <f>IFERROR(__xludf.DUMMYFUNCTION("""COMPUTED_VALUE"""),7.4577544E7)</f>
        <v>74577544</v>
      </c>
    </row>
    <row r="207">
      <c r="A207" s="3">
        <f>IFERROR(__xludf.DUMMYFUNCTION("""COMPUTED_VALUE"""),45225.66666666667)</f>
        <v>45225.66667</v>
      </c>
      <c r="B207" s="2">
        <f>IFERROR(__xludf.DUMMYFUNCTION("""COMPUTED_VALUE"""),120.63)</f>
        <v>120.63</v>
      </c>
      <c r="C207" s="2">
        <f>IFERROR(__xludf.DUMMYFUNCTION("""COMPUTED_VALUE"""),121.64)</f>
        <v>121.64</v>
      </c>
      <c r="D207" s="2">
        <f>IFERROR(__xludf.DUMMYFUNCTION("""COMPUTED_VALUE"""),118.35)</f>
        <v>118.35</v>
      </c>
      <c r="E207" s="2">
        <f>IFERROR(__xludf.DUMMYFUNCTION("""COMPUTED_VALUE"""),119.57)</f>
        <v>119.57</v>
      </c>
      <c r="F207" s="2">
        <f>IFERROR(__xludf.DUMMYFUNCTION("""COMPUTED_VALUE"""),1.00419516E8)</f>
        <v>100419516</v>
      </c>
    </row>
    <row r="208">
      <c r="A208" s="3">
        <f>IFERROR(__xludf.DUMMYFUNCTION("""COMPUTED_VALUE"""),45226.66666666667)</f>
        <v>45226.66667</v>
      </c>
      <c r="B208" s="2">
        <f>IFERROR(__xludf.DUMMYFUNCTION("""COMPUTED_VALUE"""),126.2)</f>
        <v>126.2</v>
      </c>
      <c r="C208" s="2">
        <f>IFERROR(__xludf.DUMMYFUNCTION("""COMPUTED_VALUE"""),130.02)</f>
        <v>130.02</v>
      </c>
      <c r="D208" s="2">
        <f>IFERROR(__xludf.DUMMYFUNCTION("""COMPUTED_VALUE"""),125.52)</f>
        <v>125.52</v>
      </c>
      <c r="E208" s="2">
        <f>IFERROR(__xludf.DUMMYFUNCTION("""COMPUTED_VALUE"""),127.74)</f>
        <v>127.74</v>
      </c>
      <c r="F208" s="2">
        <f>IFERROR(__xludf.DUMMYFUNCTION("""COMPUTED_VALUE"""),1.25309313E8)</f>
        <v>125309313</v>
      </c>
    </row>
    <row r="209">
      <c r="A209" s="3">
        <f>IFERROR(__xludf.DUMMYFUNCTION("""COMPUTED_VALUE"""),45229.66666666667)</f>
        <v>45229.66667</v>
      </c>
      <c r="B209" s="2">
        <f>IFERROR(__xludf.DUMMYFUNCTION("""COMPUTED_VALUE"""),129.72)</f>
        <v>129.72</v>
      </c>
      <c r="C209" s="2">
        <f>IFERROR(__xludf.DUMMYFUNCTION("""COMPUTED_VALUE"""),133.0)</f>
        <v>133</v>
      </c>
      <c r="D209" s="2">
        <f>IFERROR(__xludf.DUMMYFUNCTION("""COMPUTED_VALUE"""),128.56)</f>
        <v>128.56</v>
      </c>
      <c r="E209" s="2">
        <f>IFERROR(__xludf.DUMMYFUNCTION("""COMPUTED_VALUE"""),132.71)</f>
        <v>132.71</v>
      </c>
      <c r="F209" s="2">
        <f>IFERROR(__xludf.DUMMYFUNCTION("""COMPUTED_VALUE"""),7.2485542E7)</f>
        <v>72485542</v>
      </c>
    </row>
    <row r="210">
      <c r="A210" s="3">
        <f>IFERROR(__xludf.DUMMYFUNCTION("""COMPUTED_VALUE"""),45230.66666666667)</f>
        <v>45230.66667</v>
      </c>
      <c r="B210" s="2">
        <f>IFERROR(__xludf.DUMMYFUNCTION("""COMPUTED_VALUE"""),132.75)</f>
        <v>132.75</v>
      </c>
      <c r="C210" s="2">
        <f>IFERROR(__xludf.DUMMYFUNCTION("""COMPUTED_VALUE"""),133.57)</f>
        <v>133.57</v>
      </c>
      <c r="D210" s="2">
        <f>IFERROR(__xludf.DUMMYFUNCTION("""COMPUTED_VALUE"""),131.71)</f>
        <v>131.71</v>
      </c>
      <c r="E210" s="2">
        <f>IFERROR(__xludf.DUMMYFUNCTION("""COMPUTED_VALUE"""),133.09)</f>
        <v>133.09</v>
      </c>
      <c r="F210" s="2">
        <f>IFERROR(__xludf.DUMMYFUNCTION("""COMPUTED_VALUE"""),5.158938E7)</f>
        <v>51589380</v>
      </c>
    </row>
    <row r="211">
      <c r="A211" s="3">
        <f>IFERROR(__xludf.DUMMYFUNCTION("""COMPUTED_VALUE"""),45231.66666666667)</f>
        <v>45231.66667</v>
      </c>
      <c r="B211" s="2">
        <f>IFERROR(__xludf.DUMMYFUNCTION("""COMPUTED_VALUE"""),133.96)</f>
        <v>133.96</v>
      </c>
      <c r="C211" s="2">
        <f>IFERROR(__xludf.DUMMYFUNCTION("""COMPUTED_VALUE"""),137.35)</f>
        <v>137.35</v>
      </c>
      <c r="D211" s="2">
        <f>IFERROR(__xludf.DUMMYFUNCTION("""COMPUTED_VALUE"""),133.71)</f>
        <v>133.71</v>
      </c>
      <c r="E211" s="2">
        <f>IFERROR(__xludf.DUMMYFUNCTION("""COMPUTED_VALUE"""),137.0)</f>
        <v>137</v>
      </c>
      <c r="F211" s="2">
        <f>IFERROR(__xludf.DUMMYFUNCTION("""COMPUTED_VALUE"""),6.1529409E7)</f>
        <v>61529409</v>
      </c>
    </row>
    <row r="212">
      <c r="A212" s="3">
        <f>IFERROR(__xludf.DUMMYFUNCTION("""COMPUTED_VALUE"""),45232.66666666667)</f>
        <v>45232.66667</v>
      </c>
      <c r="B212" s="2">
        <f>IFERROR(__xludf.DUMMYFUNCTION("""COMPUTED_VALUE"""),138.73)</f>
        <v>138.73</v>
      </c>
      <c r="C212" s="2">
        <f>IFERROR(__xludf.DUMMYFUNCTION("""COMPUTED_VALUE"""),138.81)</f>
        <v>138.81</v>
      </c>
      <c r="D212" s="2">
        <f>IFERROR(__xludf.DUMMYFUNCTION("""COMPUTED_VALUE"""),136.47)</f>
        <v>136.47</v>
      </c>
      <c r="E212" s="2">
        <f>IFERROR(__xludf.DUMMYFUNCTION("""COMPUTED_VALUE"""),138.07)</f>
        <v>138.07</v>
      </c>
      <c r="F212" s="2">
        <f>IFERROR(__xludf.DUMMYFUNCTION("""COMPUTED_VALUE"""),5.2236693E7)</f>
        <v>52236693</v>
      </c>
    </row>
    <row r="213">
      <c r="A213" s="3">
        <f>IFERROR(__xludf.DUMMYFUNCTION("""COMPUTED_VALUE"""),45233.66666666667)</f>
        <v>45233.66667</v>
      </c>
      <c r="B213" s="2">
        <f>IFERROR(__xludf.DUMMYFUNCTION("""COMPUTED_VALUE"""),138.99)</f>
        <v>138.99</v>
      </c>
      <c r="C213" s="2">
        <f>IFERROR(__xludf.DUMMYFUNCTION("""COMPUTED_VALUE"""),139.49)</f>
        <v>139.49</v>
      </c>
      <c r="D213" s="2">
        <f>IFERROR(__xludf.DUMMYFUNCTION("""COMPUTED_VALUE"""),137.45)</f>
        <v>137.45</v>
      </c>
      <c r="E213" s="2">
        <f>IFERROR(__xludf.DUMMYFUNCTION("""COMPUTED_VALUE"""),138.6)</f>
        <v>138.6</v>
      </c>
      <c r="F213" s="2">
        <f>IFERROR(__xludf.DUMMYFUNCTION("""COMPUTED_VALUE"""),4.4059805E7)</f>
        <v>44059805</v>
      </c>
    </row>
    <row r="214">
      <c r="A214" s="3">
        <f>IFERROR(__xludf.DUMMYFUNCTION("""COMPUTED_VALUE"""),45236.66666666667)</f>
        <v>45236.66667</v>
      </c>
      <c r="B214" s="2">
        <f>IFERROR(__xludf.DUMMYFUNCTION("""COMPUTED_VALUE"""),138.76)</f>
        <v>138.76</v>
      </c>
      <c r="C214" s="2">
        <f>IFERROR(__xludf.DUMMYFUNCTION("""COMPUTED_VALUE"""),140.73)</f>
        <v>140.73</v>
      </c>
      <c r="D214" s="2">
        <f>IFERROR(__xludf.DUMMYFUNCTION("""COMPUTED_VALUE"""),138.36)</f>
        <v>138.36</v>
      </c>
      <c r="E214" s="2">
        <f>IFERROR(__xludf.DUMMYFUNCTION("""COMPUTED_VALUE"""),139.74)</f>
        <v>139.74</v>
      </c>
      <c r="F214" s="2">
        <f>IFERROR(__xludf.DUMMYFUNCTION("""COMPUTED_VALUE"""),4.4970417E7)</f>
        <v>44970417</v>
      </c>
    </row>
    <row r="215">
      <c r="A215" s="3">
        <f>IFERROR(__xludf.DUMMYFUNCTION("""COMPUTED_VALUE"""),45237.66666666667)</f>
        <v>45237.66667</v>
      </c>
      <c r="B215" s="2">
        <f>IFERROR(__xludf.DUMMYFUNCTION("""COMPUTED_VALUE"""),140.55)</f>
        <v>140.55</v>
      </c>
      <c r="C215" s="2">
        <f>IFERROR(__xludf.DUMMYFUNCTION("""COMPUTED_VALUE"""),143.37)</f>
        <v>143.37</v>
      </c>
      <c r="D215" s="2">
        <f>IFERROR(__xludf.DUMMYFUNCTION("""COMPUTED_VALUE"""),140.5)</f>
        <v>140.5</v>
      </c>
      <c r="E215" s="2">
        <f>IFERROR(__xludf.DUMMYFUNCTION("""COMPUTED_VALUE"""),142.71)</f>
        <v>142.71</v>
      </c>
      <c r="F215" s="2">
        <f>IFERROR(__xludf.DUMMYFUNCTION("""COMPUTED_VALUE"""),5.3553537E7)</f>
        <v>53553537</v>
      </c>
    </row>
    <row r="216">
      <c r="A216" s="3">
        <f>IFERROR(__xludf.DUMMYFUNCTION("""COMPUTED_VALUE"""),45238.66666666667)</f>
        <v>45238.66667</v>
      </c>
      <c r="B216" s="2">
        <f>IFERROR(__xludf.DUMMYFUNCTION("""COMPUTED_VALUE"""),142.97)</f>
        <v>142.97</v>
      </c>
      <c r="C216" s="2">
        <f>IFERROR(__xludf.DUMMYFUNCTION("""COMPUTED_VALUE"""),143.12)</f>
        <v>143.12</v>
      </c>
      <c r="D216" s="2">
        <f>IFERROR(__xludf.DUMMYFUNCTION("""COMPUTED_VALUE"""),141.22)</f>
        <v>141.22</v>
      </c>
      <c r="E216" s="2">
        <f>IFERROR(__xludf.DUMMYFUNCTION("""COMPUTED_VALUE"""),142.08)</f>
        <v>142.08</v>
      </c>
      <c r="F216" s="2">
        <f>IFERROR(__xludf.DUMMYFUNCTION("""COMPUTED_VALUE"""),4.4521658E7)</f>
        <v>44521658</v>
      </c>
    </row>
    <row r="217">
      <c r="A217" s="3">
        <f>IFERROR(__xludf.DUMMYFUNCTION("""COMPUTED_VALUE"""),45239.66666666667)</f>
        <v>45239.66667</v>
      </c>
      <c r="B217" s="2">
        <f>IFERROR(__xludf.DUMMYFUNCTION("""COMPUTED_VALUE"""),142.02)</f>
        <v>142.02</v>
      </c>
      <c r="C217" s="2">
        <f>IFERROR(__xludf.DUMMYFUNCTION("""COMPUTED_VALUE"""),142.65)</f>
        <v>142.65</v>
      </c>
      <c r="D217" s="2">
        <f>IFERROR(__xludf.DUMMYFUNCTION("""COMPUTED_VALUE"""),139.84)</f>
        <v>139.84</v>
      </c>
      <c r="E217" s="2">
        <f>IFERROR(__xludf.DUMMYFUNCTION("""COMPUTED_VALUE"""),140.6)</f>
        <v>140.6</v>
      </c>
      <c r="F217" s="2">
        <f>IFERROR(__xludf.DUMMYFUNCTION("""COMPUTED_VALUE"""),3.6235367E7)</f>
        <v>36235367</v>
      </c>
    </row>
    <row r="218">
      <c r="A218" s="3">
        <f>IFERROR(__xludf.DUMMYFUNCTION("""COMPUTED_VALUE"""),45240.66666666667)</f>
        <v>45240.66667</v>
      </c>
      <c r="B218" s="2">
        <f>IFERROR(__xludf.DUMMYFUNCTION("""COMPUTED_VALUE"""),140.46)</f>
        <v>140.46</v>
      </c>
      <c r="C218" s="2">
        <f>IFERROR(__xludf.DUMMYFUNCTION("""COMPUTED_VALUE"""),143.65)</f>
        <v>143.65</v>
      </c>
      <c r="D218" s="2">
        <f>IFERROR(__xludf.DUMMYFUNCTION("""COMPUTED_VALUE"""),139.91)</f>
        <v>139.91</v>
      </c>
      <c r="E218" s="2">
        <f>IFERROR(__xludf.DUMMYFUNCTION("""COMPUTED_VALUE"""),143.56)</f>
        <v>143.56</v>
      </c>
      <c r="F218" s="2">
        <f>IFERROR(__xludf.DUMMYFUNCTION("""COMPUTED_VALUE"""),4.9349937E7)</f>
        <v>49349937</v>
      </c>
    </row>
    <row r="219">
      <c r="A219" s="3">
        <f>IFERROR(__xludf.DUMMYFUNCTION("""COMPUTED_VALUE"""),45243.66666666667)</f>
        <v>45243.66667</v>
      </c>
      <c r="B219" s="2">
        <f>IFERROR(__xludf.DUMMYFUNCTION("""COMPUTED_VALUE"""),142.08)</f>
        <v>142.08</v>
      </c>
      <c r="C219" s="2">
        <f>IFERROR(__xludf.DUMMYFUNCTION("""COMPUTED_VALUE"""),143.23)</f>
        <v>143.23</v>
      </c>
      <c r="D219" s="2">
        <f>IFERROR(__xludf.DUMMYFUNCTION("""COMPUTED_VALUE"""),140.67)</f>
        <v>140.67</v>
      </c>
      <c r="E219" s="2">
        <f>IFERROR(__xludf.DUMMYFUNCTION("""COMPUTED_VALUE"""),142.59)</f>
        <v>142.59</v>
      </c>
      <c r="F219" s="2">
        <f>IFERROR(__xludf.DUMMYFUNCTION("""COMPUTED_VALUE"""),3.568057E7)</f>
        <v>35680570</v>
      </c>
    </row>
    <row r="220">
      <c r="A220" s="3">
        <f>IFERROR(__xludf.DUMMYFUNCTION("""COMPUTED_VALUE"""),45244.66666666667)</f>
        <v>45244.66667</v>
      </c>
      <c r="B220" s="2">
        <f>IFERROR(__xludf.DUMMYFUNCTION("""COMPUTED_VALUE"""),145.0)</f>
        <v>145</v>
      </c>
      <c r="C220" s="2">
        <f>IFERROR(__xludf.DUMMYFUNCTION("""COMPUTED_VALUE"""),147.26)</f>
        <v>147.26</v>
      </c>
      <c r="D220" s="2">
        <f>IFERROR(__xludf.DUMMYFUNCTION("""COMPUTED_VALUE"""),144.68)</f>
        <v>144.68</v>
      </c>
      <c r="E220" s="2">
        <f>IFERROR(__xludf.DUMMYFUNCTION("""COMPUTED_VALUE"""),145.8)</f>
        <v>145.8</v>
      </c>
      <c r="F220" s="2">
        <f>IFERROR(__xludf.DUMMYFUNCTION("""COMPUTED_VALUE"""),5.6674551E7)</f>
        <v>56674551</v>
      </c>
    </row>
    <row r="221">
      <c r="A221" s="3">
        <f>IFERROR(__xludf.DUMMYFUNCTION("""COMPUTED_VALUE"""),45245.66666666667)</f>
        <v>45245.66667</v>
      </c>
      <c r="B221" s="2">
        <f>IFERROR(__xludf.DUMMYFUNCTION("""COMPUTED_VALUE"""),147.06)</f>
        <v>147.06</v>
      </c>
      <c r="C221" s="2">
        <f>IFERROR(__xludf.DUMMYFUNCTION("""COMPUTED_VALUE"""),147.29)</f>
        <v>147.29</v>
      </c>
      <c r="D221" s="2">
        <f>IFERROR(__xludf.DUMMYFUNCTION("""COMPUTED_VALUE"""),142.59)</f>
        <v>142.59</v>
      </c>
      <c r="E221" s="2">
        <f>IFERROR(__xludf.DUMMYFUNCTION("""COMPUTED_VALUE"""),143.2)</f>
        <v>143.2</v>
      </c>
      <c r="F221" s="2">
        <f>IFERROR(__xludf.DUMMYFUNCTION("""COMPUTED_VALUE"""),6.387572E7)</f>
        <v>63875720</v>
      </c>
    </row>
    <row r="222">
      <c r="A222" s="3">
        <f>IFERROR(__xludf.DUMMYFUNCTION("""COMPUTED_VALUE"""),45246.66666666667)</f>
        <v>45246.66667</v>
      </c>
      <c r="B222" s="2">
        <f>IFERROR(__xludf.DUMMYFUNCTION("""COMPUTED_VALUE"""),140.91)</f>
        <v>140.91</v>
      </c>
      <c r="C222" s="2">
        <f>IFERROR(__xludf.DUMMYFUNCTION("""COMPUTED_VALUE"""),143.32)</f>
        <v>143.32</v>
      </c>
      <c r="D222" s="2">
        <f>IFERROR(__xludf.DUMMYFUNCTION("""COMPUTED_VALUE"""),139.52)</f>
        <v>139.52</v>
      </c>
      <c r="E222" s="2">
        <f>IFERROR(__xludf.DUMMYFUNCTION("""COMPUTED_VALUE"""),142.83)</f>
        <v>142.83</v>
      </c>
      <c r="F222" s="2">
        <f>IFERROR(__xludf.DUMMYFUNCTION("""COMPUTED_VALUE"""),4.9653512E7)</f>
        <v>49653512</v>
      </c>
    </row>
    <row r="223">
      <c r="A223" s="3">
        <f>IFERROR(__xludf.DUMMYFUNCTION("""COMPUTED_VALUE"""),45247.66666666667)</f>
        <v>45247.66667</v>
      </c>
      <c r="B223" s="2">
        <f>IFERROR(__xludf.DUMMYFUNCTION("""COMPUTED_VALUE"""),142.66)</f>
        <v>142.66</v>
      </c>
      <c r="C223" s="2">
        <f>IFERROR(__xludf.DUMMYFUNCTION("""COMPUTED_VALUE"""),145.23)</f>
        <v>145.23</v>
      </c>
      <c r="D223" s="2">
        <f>IFERROR(__xludf.DUMMYFUNCTION("""COMPUTED_VALUE"""),142.54)</f>
        <v>142.54</v>
      </c>
      <c r="E223" s="2">
        <f>IFERROR(__xludf.DUMMYFUNCTION("""COMPUTED_VALUE"""),145.18)</f>
        <v>145.18</v>
      </c>
      <c r="F223" s="2">
        <f>IFERROR(__xludf.DUMMYFUNCTION("""COMPUTED_VALUE"""),4.9678437E7)</f>
        <v>49678437</v>
      </c>
    </row>
    <row r="224">
      <c r="A224" s="3">
        <f>IFERROR(__xludf.DUMMYFUNCTION("""COMPUTED_VALUE"""),45250.66666666667)</f>
        <v>45250.66667</v>
      </c>
      <c r="B224" s="2">
        <f>IFERROR(__xludf.DUMMYFUNCTION("""COMPUTED_VALUE"""),145.13)</f>
        <v>145.13</v>
      </c>
      <c r="C224" s="2">
        <f>IFERROR(__xludf.DUMMYFUNCTION("""COMPUTED_VALUE"""),146.63)</f>
        <v>146.63</v>
      </c>
      <c r="D224" s="2">
        <f>IFERROR(__xludf.DUMMYFUNCTION("""COMPUTED_VALUE"""),144.73)</f>
        <v>144.73</v>
      </c>
      <c r="E224" s="2">
        <f>IFERROR(__xludf.DUMMYFUNCTION("""COMPUTED_VALUE"""),146.13)</f>
        <v>146.13</v>
      </c>
      <c r="F224" s="2">
        <f>IFERROR(__xludf.DUMMYFUNCTION("""COMPUTED_VALUE"""),4.1978766E7)</f>
        <v>41978766</v>
      </c>
    </row>
    <row r="225">
      <c r="A225" s="3">
        <f>IFERROR(__xludf.DUMMYFUNCTION("""COMPUTED_VALUE"""),45251.66666666667)</f>
        <v>45251.66667</v>
      </c>
      <c r="B225" s="2">
        <f>IFERROR(__xludf.DUMMYFUNCTION("""COMPUTED_VALUE"""),143.91)</f>
        <v>143.91</v>
      </c>
      <c r="C225" s="2">
        <f>IFERROR(__xludf.DUMMYFUNCTION("""COMPUTED_VALUE"""),144.05)</f>
        <v>144.05</v>
      </c>
      <c r="D225" s="2">
        <f>IFERROR(__xludf.DUMMYFUNCTION("""COMPUTED_VALUE"""),141.5)</f>
        <v>141.5</v>
      </c>
      <c r="E225" s="2">
        <f>IFERROR(__xludf.DUMMYFUNCTION("""COMPUTED_VALUE"""),143.9)</f>
        <v>143.9</v>
      </c>
      <c r="F225" s="2">
        <f>IFERROR(__xludf.DUMMYFUNCTION("""COMPUTED_VALUE"""),7.1225992E7)</f>
        <v>71225992</v>
      </c>
    </row>
    <row r="226">
      <c r="A226" s="3">
        <f>IFERROR(__xludf.DUMMYFUNCTION("""COMPUTED_VALUE"""),45252.66666666667)</f>
        <v>45252.66667</v>
      </c>
      <c r="B226" s="2">
        <f>IFERROR(__xludf.DUMMYFUNCTION("""COMPUTED_VALUE"""),144.57)</f>
        <v>144.57</v>
      </c>
      <c r="C226" s="2">
        <f>IFERROR(__xludf.DUMMYFUNCTION("""COMPUTED_VALUE"""),147.74)</f>
        <v>147.74</v>
      </c>
      <c r="D226" s="2">
        <f>IFERROR(__xludf.DUMMYFUNCTION("""COMPUTED_VALUE"""),144.57)</f>
        <v>144.57</v>
      </c>
      <c r="E226" s="2">
        <f>IFERROR(__xludf.DUMMYFUNCTION("""COMPUTED_VALUE"""),146.71)</f>
        <v>146.71</v>
      </c>
      <c r="F226" s="2">
        <f>IFERROR(__xludf.DUMMYFUNCTION("""COMPUTED_VALUE"""),4.5700002E7)</f>
        <v>45700002</v>
      </c>
    </row>
    <row r="227">
      <c r="A227" s="3">
        <f>IFERROR(__xludf.DUMMYFUNCTION("""COMPUTED_VALUE"""),45254.54513888889)</f>
        <v>45254.54514</v>
      </c>
      <c r="B227" s="2">
        <f>IFERROR(__xludf.DUMMYFUNCTION("""COMPUTED_VALUE"""),146.7)</f>
        <v>146.7</v>
      </c>
      <c r="C227" s="2">
        <f>IFERROR(__xludf.DUMMYFUNCTION("""COMPUTED_VALUE"""),147.2)</f>
        <v>147.2</v>
      </c>
      <c r="D227" s="2">
        <f>IFERROR(__xludf.DUMMYFUNCTION("""COMPUTED_VALUE"""),145.32)</f>
        <v>145.32</v>
      </c>
      <c r="E227" s="2">
        <f>IFERROR(__xludf.DUMMYFUNCTION("""COMPUTED_VALUE"""),146.74)</f>
        <v>146.74</v>
      </c>
      <c r="F227" s="2">
        <f>IFERROR(__xludf.DUMMYFUNCTION("""COMPUTED_VALUE"""),2.2378379E7)</f>
        <v>22378379</v>
      </c>
    </row>
    <row r="228">
      <c r="A228" s="3">
        <f>IFERROR(__xludf.DUMMYFUNCTION("""COMPUTED_VALUE"""),45257.66666666667)</f>
        <v>45257.66667</v>
      </c>
      <c r="B228" s="2">
        <f>IFERROR(__xludf.DUMMYFUNCTION("""COMPUTED_VALUE"""),147.53)</f>
        <v>147.53</v>
      </c>
      <c r="C228" s="2">
        <f>IFERROR(__xludf.DUMMYFUNCTION("""COMPUTED_VALUE"""),149.26)</f>
        <v>149.26</v>
      </c>
      <c r="D228" s="2">
        <f>IFERROR(__xludf.DUMMYFUNCTION("""COMPUTED_VALUE"""),146.88)</f>
        <v>146.88</v>
      </c>
      <c r="E228" s="2">
        <f>IFERROR(__xludf.DUMMYFUNCTION("""COMPUTED_VALUE"""),147.73)</f>
        <v>147.73</v>
      </c>
      <c r="F228" s="2">
        <f>IFERROR(__xludf.DUMMYFUNCTION("""COMPUTED_VALUE"""),5.3762428E7)</f>
        <v>53762428</v>
      </c>
    </row>
    <row r="229">
      <c r="A229" s="3">
        <f>IFERROR(__xludf.DUMMYFUNCTION("""COMPUTED_VALUE"""),45258.66666666667)</f>
        <v>45258.66667</v>
      </c>
      <c r="B229" s="2">
        <f>IFERROR(__xludf.DUMMYFUNCTION("""COMPUTED_VALUE"""),146.98)</f>
        <v>146.98</v>
      </c>
      <c r="C229" s="2">
        <f>IFERROR(__xludf.DUMMYFUNCTION("""COMPUTED_VALUE"""),147.6)</f>
        <v>147.6</v>
      </c>
      <c r="D229" s="2">
        <f>IFERROR(__xludf.DUMMYFUNCTION("""COMPUTED_VALUE"""),145.53)</f>
        <v>145.53</v>
      </c>
      <c r="E229" s="2">
        <f>IFERROR(__xludf.DUMMYFUNCTION("""COMPUTED_VALUE"""),147.03)</f>
        <v>147.03</v>
      </c>
      <c r="F229" s="2">
        <f>IFERROR(__xludf.DUMMYFUNCTION("""COMPUTED_VALUE"""),4.2711682E7)</f>
        <v>42711682</v>
      </c>
    </row>
    <row r="230">
      <c r="A230" s="3">
        <f>IFERROR(__xludf.DUMMYFUNCTION("""COMPUTED_VALUE"""),45259.66666666667)</f>
        <v>45259.66667</v>
      </c>
      <c r="B230" s="2">
        <f>IFERROR(__xludf.DUMMYFUNCTION("""COMPUTED_VALUE"""),147.85)</f>
        <v>147.85</v>
      </c>
      <c r="C230" s="2">
        <f>IFERROR(__xludf.DUMMYFUNCTION("""COMPUTED_VALUE"""),148.54)</f>
        <v>148.54</v>
      </c>
      <c r="D230" s="2">
        <f>IFERROR(__xludf.DUMMYFUNCTION("""COMPUTED_VALUE"""),145.97)</f>
        <v>145.97</v>
      </c>
      <c r="E230" s="2">
        <f>IFERROR(__xludf.DUMMYFUNCTION("""COMPUTED_VALUE"""),146.32)</f>
        <v>146.32</v>
      </c>
      <c r="F230" s="2">
        <f>IFERROR(__xludf.DUMMYFUNCTION("""COMPUTED_VALUE"""),4.0610907E7)</f>
        <v>40610907</v>
      </c>
    </row>
    <row r="231">
      <c r="A231" s="3">
        <f>IFERROR(__xludf.DUMMYFUNCTION("""COMPUTED_VALUE"""),45260.66666666667)</f>
        <v>45260.66667</v>
      </c>
      <c r="B231" s="2">
        <f>IFERROR(__xludf.DUMMYFUNCTION("""COMPUTED_VALUE"""),144.76)</f>
        <v>144.76</v>
      </c>
      <c r="C231" s="2">
        <f>IFERROR(__xludf.DUMMYFUNCTION("""COMPUTED_VALUE"""),146.93)</f>
        <v>146.93</v>
      </c>
      <c r="D231" s="2">
        <f>IFERROR(__xludf.DUMMYFUNCTION("""COMPUTED_VALUE"""),144.33)</f>
        <v>144.33</v>
      </c>
      <c r="E231" s="2">
        <f>IFERROR(__xludf.DUMMYFUNCTION("""COMPUTED_VALUE"""),146.09)</f>
        <v>146.09</v>
      </c>
      <c r="F231" s="2">
        <f>IFERROR(__xludf.DUMMYFUNCTION("""COMPUTED_VALUE"""),6.5814022E7)</f>
        <v>65814022</v>
      </c>
    </row>
    <row r="232">
      <c r="A232" s="3">
        <f>IFERROR(__xludf.DUMMYFUNCTION("""COMPUTED_VALUE"""),45261.66666666667)</f>
        <v>45261.66667</v>
      </c>
      <c r="B232" s="2">
        <f>IFERROR(__xludf.DUMMYFUNCTION("""COMPUTED_VALUE"""),146.0)</f>
        <v>146</v>
      </c>
      <c r="C232" s="2">
        <f>IFERROR(__xludf.DUMMYFUNCTION("""COMPUTED_VALUE"""),147.25)</f>
        <v>147.25</v>
      </c>
      <c r="D232" s="2">
        <f>IFERROR(__xludf.DUMMYFUNCTION("""COMPUTED_VALUE"""),145.55)</f>
        <v>145.55</v>
      </c>
      <c r="E232" s="2">
        <f>IFERROR(__xludf.DUMMYFUNCTION("""COMPUTED_VALUE"""),147.03)</f>
        <v>147.03</v>
      </c>
      <c r="F232" s="2">
        <f>IFERROR(__xludf.DUMMYFUNCTION("""COMPUTED_VALUE"""),3.9951833E7)</f>
        <v>39951833</v>
      </c>
    </row>
    <row r="233">
      <c r="A233" s="3">
        <f>IFERROR(__xludf.DUMMYFUNCTION("""COMPUTED_VALUE"""),45264.66666666667)</f>
        <v>45264.66667</v>
      </c>
      <c r="B233" s="2">
        <f>IFERROR(__xludf.DUMMYFUNCTION("""COMPUTED_VALUE"""),145.25)</f>
        <v>145.25</v>
      </c>
      <c r="C233" s="2">
        <f>IFERROR(__xludf.DUMMYFUNCTION("""COMPUTED_VALUE"""),145.35)</f>
        <v>145.35</v>
      </c>
      <c r="D233" s="2">
        <f>IFERROR(__xludf.DUMMYFUNCTION("""COMPUTED_VALUE"""),142.81)</f>
        <v>142.81</v>
      </c>
      <c r="E233" s="2">
        <f>IFERROR(__xludf.DUMMYFUNCTION("""COMPUTED_VALUE"""),144.84)</f>
        <v>144.84</v>
      </c>
      <c r="F233" s="2">
        <f>IFERROR(__xludf.DUMMYFUNCTION("""COMPUTED_VALUE"""),4.8294244E7)</f>
        <v>48294244</v>
      </c>
    </row>
    <row r="234">
      <c r="A234" s="3">
        <f>IFERROR(__xludf.DUMMYFUNCTION("""COMPUTED_VALUE"""),45265.66666666667)</f>
        <v>45265.66667</v>
      </c>
      <c r="B234" s="2">
        <f>IFERROR(__xludf.DUMMYFUNCTION("""COMPUTED_VALUE"""),143.55)</f>
        <v>143.55</v>
      </c>
      <c r="C234" s="2">
        <f>IFERROR(__xludf.DUMMYFUNCTION("""COMPUTED_VALUE"""),148.57)</f>
        <v>148.57</v>
      </c>
      <c r="D234" s="2">
        <f>IFERROR(__xludf.DUMMYFUNCTION("""COMPUTED_VALUE"""),143.13)</f>
        <v>143.13</v>
      </c>
      <c r="E234" s="2">
        <f>IFERROR(__xludf.DUMMYFUNCTION("""COMPUTED_VALUE"""),146.88)</f>
        <v>146.88</v>
      </c>
      <c r="F234" s="2">
        <f>IFERROR(__xludf.DUMMYFUNCTION("""COMPUTED_VALUE"""),4.6822411E7)</f>
        <v>46822411</v>
      </c>
    </row>
    <row r="235">
      <c r="A235" s="3">
        <f>IFERROR(__xludf.DUMMYFUNCTION("""COMPUTED_VALUE"""),45266.66666666667)</f>
        <v>45266.66667</v>
      </c>
      <c r="B235" s="2">
        <f>IFERROR(__xludf.DUMMYFUNCTION("""COMPUTED_VALUE"""),147.58)</f>
        <v>147.58</v>
      </c>
      <c r="C235" s="2">
        <f>IFERROR(__xludf.DUMMYFUNCTION("""COMPUTED_VALUE"""),147.85)</f>
        <v>147.85</v>
      </c>
      <c r="D235" s="2">
        <f>IFERROR(__xludf.DUMMYFUNCTION("""COMPUTED_VALUE"""),144.28)</f>
        <v>144.28</v>
      </c>
      <c r="E235" s="2">
        <f>IFERROR(__xludf.DUMMYFUNCTION("""COMPUTED_VALUE"""),144.52)</f>
        <v>144.52</v>
      </c>
      <c r="F235" s="2">
        <f>IFERROR(__xludf.DUMMYFUNCTION("""COMPUTED_VALUE"""),3.967896E7)</f>
        <v>39678960</v>
      </c>
    </row>
    <row r="236">
      <c r="A236" s="3">
        <f>IFERROR(__xludf.DUMMYFUNCTION("""COMPUTED_VALUE"""),45267.66666666667)</f>
        <v>45267.66667</v>
      </c>
      <c r="B236" s="2">
        <f>IFERROR(__xludf.DUMMYFUNCTION("""COMPUTED_VALUE"""),146.15)</f>
        <v>146.15</v>
      </c>
      <c r="C236" s="2">
        <f>IFERROR(__xludf.DUMMYFUNCTION("""COMPUTED_VALUE"""),147.92)</f>
        <v>147.92</v>
      </c>
      <c r="D236" s="2">
        <f>IFERROR(__xludf.DUMMYFUNCTION("""COMPUTED_VALUE"""),145.34)</f>
        <v>145.34</v>
      </c>
      <c r="E236" s="2">
        <f>IFERROR(__xludf.DUMMYFUNCTION("""COMPUTED_VALUE"""),146.88)</f>
        <v>146.88</v>
      </c>
      <c r="F236" s="2">
        <f>IFERROR(__xludf.DUMMYFUNCTION("""COMPUTED_VALUE"""),5.235283E7)</f>
        <v>52352830</v>
      </c>
    </row>
    <row r="237">
      <c r="A237" s="3">
        <f>IFERROR(__xludf.DUMMYFUNCTION("""COMPUTED_VALUE"""),45268.66666666667)</f>
        <v>45268.66667</v>
      </c>
      <c r="B237" s="2">
        <f>IFERROR(__xludf.DUMMYFUNCTION("""COMPUTED_VALUE"""),145.48)</f>
        <v>145.48</v>
      </c>
      <c r="C237" s="2">
        <f>IFERROR(__xludf.DUMMYFUNCTION("""COMPUTED_VALUE"""),147.84)</f>
        <v>147.84</v>
      </c>
      <c r="D237" s="2">
        <f>IFERROR(__xludf.DUMMYFUNCTION("""COMPUTED_VALUE"""),145.4)</f>
        <v>145.4</v>
      </c>
      <c r="E237" s="2">
        <f>IFERROR(__xludf.DUMMYFUNCTION("""COMPUTED_VALUE"""),147.42)</f>
        <v>147.42</v>
      </c>
      <c r="F237" s="2">
        <f>IFERROR(__xludf.DUMMYFUNCTION("""COMPUTED_VALUE"""),4.1905965E7)</f>
        <v>41905965</v>
      </c>
    </row>
    <row r="238">
      <c r="A238" s="3">
        <f>IFERROR(__xludf.DUMMYFUNCTION("""COMPUTED_VALUE"""),45271.66666666667)</f>
        <v>45271.66667</v>
      </c>
      <c r="B238" s="2">
        <f>IFERROR(__xludf.DUMMYFUNCTION("""COMPUTED_VALUE"""),145.66)</f>
        <v>145.66</v>
      </c>
      <c r="C238" s="2">
        <f>IFERROR(__xludf.DUMMYFUNCTION("""COMPUTED_VALUE"""),146.19)</f>
        <v>146.19</v>
      </c>
      <c r="D238" s="2">
        <f>IFERROR(__xludf.DUMMYFUNCTION("""COMPUTED_VALUE"""),143.64)</f>
        <v>143.64</v>
      </c>
      <c r="E238" s="2">
        <f>IFERROR(__xludf.DUMMYFUNCTION("""COMPUTED_VALUE"""),145.89)</f>
        <v>145.89</v>
      </c>
      <c r="F238" s="2">
        <f>IFERROR(__xludf.DUMMYFUNCTION("""COMPUTED_VALUE"""),5.0907288E7)</f>
        <v>50907288</v>
      </c>
    </row>
    <row r="239">
      <c r="A239" s="3">
        <f>IFERROR(__xludf.DUMMYFUNCTION("""COMPUTED_VALUE"""),45272.66666666667)</f>
        <v>45272.66667</v>
      </c>
      <c r="B239" s="2">
        <f>IFERROR(__xludf.DUMMYFUNCTION("""COMPUTED_VALUE"""),145.52)</f>
        <v>145.52</v>
      </c>
      <c r="C239" s="2">
        <f>IFERROR(__xludf.DUMMYFUNCTION("""COMPUTED_VALUE"""),147.5)</f>
        <v>147.5</v>
      </c>
      <c r="D239" s="2">
        <f>IFERROR(__xludf.DUMMYFUNCTION("""COMPUTED_VALUE"""),145.3)</f>
        <v>145.3</v>
      </c>
      <c r="E239" s="2">
        <f>IFERROR(__xludf.DUMMYFUNCTION("""COMPUTED_VALUE"""),147.48)</f>
        <v>147.48</v>
      </c>
      <c r="F239" s="2">
        <f>IFERROR(__xludf.DUMMYFUNCTION("""COMPUTED_VALUE"""),4.4944264E7)</f>
        <v>44944264</v>
      </c>
    </row>
    <row r="240">
      <c r="A240" s="3">
        <f>IFERROR(__xludf.DUMMYFUNCTION("""COMPUTED_VALUE"""),45273.66666666667)</f>
        <v>45273.66667</v>
      </c>
      <c r="B240" s="2">
        <f>IFERROR(__xludf.DUMMYFUNCTION("""COMPUTED_VALUE"""),148.12)</f>
        <v>148.12</v>
      </c>
      <c r="C240" s="2">
        <f>IFERROR(__xludf.DUMMYFUNCTION("""COMPUTED_VALUE"""),149.46)</f>
        <v>149.46</v>
      </c>
      <c r="D240" s="2">
        <f>IFERROR(__xludf.DUMMYFUNCTION("""COMPUTED_VALUE"""),146.82)</f>
        <v>146.82</v>
      </c>
      <c r="E240" s="2">
        <f>IFERROR(__xludf.DUMMYFUNCTION("""COMPUTED_VALUE"""),148.84)</f>
        <v>148.84</v>
      </c>
      <c r="F240" s="2">
        <f>IFERROR(__xludf.DUMMYFUNCTION("""COMPUTED_VALUE"""),5.2766196E7)</f>
        <v>52766196</v>
      </c>
    </row>
    <row r="241">
      <c r="A241" s="3">
        <f>IFERROR(__xludf.DUMMYFUNCTION("""COMPUTED_VALUE"""),45274.66666666667)</f>
        <v>45274.66667</v>
      </c>
      <c r="B241" s="2">
        <f>IFERROR(__xludf.DUMMYFUNCTION("""COMPUTED_VALUE"""),149.93)</f>
        <v>149.93</v>
      </c>
      <c r="C241" s="2">
        <f>IFERROR(__xludf.DUMMYFUNCTION("""COMPUTED_VALUE"""),150.54)</f>
        <v>150.54</v>
      </c>
      <c r="D241" s="2">
        <f>IFERROR(__xludf.DUMMYFUNCTION("""COMPUTED_VALUE"""),145.52)</f>
        <v>145.52</v>
      </c>
      <c r="E241" s="2">
        <f>IFERROR(__xludf.DUMMYFUNCTION("""COMPUTED_VALUE"""),147.42)</f>
        <v>147.42</v>
      </c>
      <c r="F241" s="2">
        <f>IFERROR(__xludf.DUMMYFUNCTION("""COMPUTED_VALUE"""),5.8400848E7)</f>
        <v>58400848</v>
      </c>
    </row>
    <row r="242">
      <c r="A242" s="3">
        <f>IFERROR(__xludf.DUMMYFUNCTION("""COMPUTED_VALUE"""),45275.66666666667)</f>
        <v>45275.66667</v>
      </c>
      <c r="B242" s="2">
        <f>IFERROR(__xludf.DUMMYFUNCTION("""COMPUTED_VALUE"""),148.38)</f>
        <v>148.38</v>
      </c>
      <c r="C242" s="2">
        <f>IFERROR(__xludf.DUMMYFUNCTION("""COMPUTED_VALUE"""),150.57)</f>
        <v>150.57</v>
      </c>
      <c r="D242" s="2">
        <f>IFERROR(__xludf.DUMMYFUNCTION("""COMPUTED_VALUE"""),147.88)</f>
        <v>147.88</v>
      </c>
      <c r="E242" s="2">
        <f>IFERROR(__xludf.DUMMYFUNCTION("""COMPUTED_VALUE"""),149.97)</f>
        <v>149.97</v>
      </c>
      <c r="F242" s="2">
        <f>IFERROR(__xludf.DUMMYFUNCTION("""COMPUTED_VALUE"""),1.10089342E8)</f>
        <v>110089342</v>
      </c>
    </row>
    <row r="243">
      <c r="A243" s="3">
        <f>IFERROR(__xludf.DUMMYFUNCTION("""COMPUTED_VALUE"""),45278.66666666667)</f>
        <v>45278.66667</v>
      </c>
      <c r="B243" s="2">
        <f>IFERROR(__xludf.DUMMYFUNCTION("""COMPUTED_VALUE"""),150.56)</f>
        <v>150.56</v>
      </c>
      <c r="C243" s="2">
        <f>IFERROR(__xludf.DUMMYFUNCTION("""COMPUTED_VALUE"""),154.85)</f>
        <v>154.85</v>
      </c>
      <c r="D243" s="2">
        <f>IFERROR(__xludf.DUMMYFUNCTION("""COMPUTED_VALUE"""),150.05)</f>
        <v>150.05</v>
      </c>
      <c r="E243" s="2">
        <f>IFERROR(__xludf.DUMMYFUNCTION("""COMPUTED_VALUE"""),154.07)</f>
        <v>154.07</v>
      </c>
      <c r="F243" s="2">
        <f>IFERROR(__xludf.DUMMYFUNCTION("""COMPUTED_VALUE"""),6.2512828E7)</f>
        <v>62512828</v>
      </c>
    </row>
    <row r="244">
      <c r="A244" s="3">
        <f>IFERROR(__xludf.DUMMYFUNCTION("""COMPUTED_VALUE"""),45279.66666666667)</f>
        <v>45279.66667</v>
      </c>
      <c r="B244" s="2">
        <f>IFERROR(__xludf.DUMMYFUNCTION("""COMPUTED_VALUE"""),154.4)</f>
        <v>154.4</v>
      </c>
      <c r="C244" s="2">
        <f>IFERROR(__xludf.DUMMYFUNCTION("""COMPUTED_VALUE"""),155.12)</f>
        <v>155.12</v>
      </c>
      <c r="D244" s="2">
        <f>IFERROR(__xludf.DUMMYFUNCTION("""COMPUTED_VALUE"""),152.69)</f>
        <v>152.69</v>
      </c>
      <c r="E244" s="2">
        <f>IFERROR(__xludf.DUMMYFUNCTION("""COMPUTED_VALUE"""),153.79)</f>
        <v>153.79</v>
      </c>
      <c r="F244" s="2">
        <f>IFERROR(__xludf.DUMMYFUNCTION("""COMPUTED_VALUE"""),4.3171292E7)</f>
        <v>43171292</v>
      </c>
    </row>
    <row r="245">
      <c r="A245" s="3">
        <f>IFERROR(__xludf.DUMMYFUNCTION("""COMPUTED_VALUE"""),45280.66666666667)</f>
        <v>45280.66667</v>
      </c>
      <c r="B245" s="2">
        <f>IFERROR(__xludf.DUMMYFUNCTION("""COMPUTED_VALUE"""),152.9)</f>
        <v>152.9</v>
      </c>
      <c r="C245" s="2">
        <f>IFERROR(__xludf.DUMMYFUNCTION("""COMPUTED_VALUE"""),155.63)</f>
        <v>155.63</v>
      </c>
      <c r="D245" s="2">
        <f>IFERROR(__xludf.DUMMYFUNCTION("""COMPUTED_VALUE"""),151.56)</f>
        <v>151.56</v>
      </c>
      <c r="E245" s="2">
        <f>IFERROR(__xludf.DUMMYFUNCTION("""COMPUTED_VALUE"""),152.12)</f>
        <v>152.12</v>
      </c>
      <c r="F245" s="2">
        <f>IFERROR(__xludf.DUMMYFUNCTION("""COMPUTED_VALUE"""),5.0322106E7)</f>
        <v>50322106</v>
      </c>
    </row>
    <row r="246">
      <c r="A246" s="3">
        <f>IFERROR(__xludf.DUMMYFUNCTION("""COMPUTED_VALUE"""),45281.66666666667)</f>
        <v>45281.66667</v>
      </c>
      <c r="B246" s="2">
        <f>IFERROR(__xludf.DUMMYFUNCTION("""COMPUTED_VALUE"""),153.3)</f>
        <v>153.3</v>
      </c>
      <c r="C246" s="2">
        <f>IFERROR(__xludf.DUMMYFUNCTION("""COMPUTED_VALUE"""),153.97)</f>
        <v>153.97</v>
      </c>
      <c r="D246" s="2">
        <f>IFERROR(__xludf.DUMMYFUNCTION("""COMPUTED_VALUE"""),152.1)</f>
        <v>152.1</v>
      </c>
      <c r="E246" s="2">
        <f>IFERROR(__xludf.DUMMYFUNCTION("""COMPUTED_VALUE"""),153.84)</f>
        <v>153.84</v>
      </c>
      <c r="F246" s="2">
        <f>IFERROR(__xludf.DUMMYFUNCTION("""COMPUTED_VALUE"""),3.6305733E7)</f>
        <v>36305733</v>
      </c>
    </row>
    <row r="247">
      <c r="A247" s="3">
        <f>IFERROR(__xludf.DUMMYFUNCTION("""COMPUTED_VALUE"""),45282.66666666667)</f>
        <v>45282.66667</v>
      </c>
      <c r="B247" s="2">
        <f>IFERROR(__xludf.DUMMYFUNCTION("""COMPUTED_VALUE"""),153.77)</f>
        <v>153.77</v>
      </c>
      <c r="C247" s="2">
        <f>IFERROR(__xludf.DUMMYFUNCTION("""COMPUTED_VALUE"""),154.35)</f>
        <v>154.35</v>
      </c>
      <c r="D247" s="2">
        <f>IFERROR(__xludf.DUMMYFUNCTION("""COMPUTED_VALUE"""),152.71)</f>
        <v>152.71</v>
      </c>
      <c r="E247" s="2">
        <f>IFERROR(__xludf.DUMMYFUNCTION("""COMPUTED_VALUE"""),153.42)</f>
        <v>153.42</v>
      </c>
      <c r="F247" s="2">
        <f>IFERROR(__xludf.DUMMYFUNCTION("""COMPUTED_VALUE"""),2.9514093E7)</f>
        <v>29514093</v>
      </c>
    </row>
    <row r="248">
      <c r="A248" s="3">
        <f>IFERROR(__xludf.DUMMYFUNCTION("""COMPUTED_VALUE"""),45286.66666666667)</f>
        <v>45286.66667</v>
      </c>
      <c r="B248" s="2">
        <f>IFERROR(__xludf.DUMMYFUNCTION("""COMPUTED_VALUE"""),153.56)</f>
        <v>153.56</v>
      </c>
      <c r="C248" s="2">
        <f>IFERROR(__xludf.DUMMYFUNCTION("""COMPUTED_VALUE"""),153.98)</f>
        <v>153.98</v>
      </c>
      <c r="D248" s="2">
        <f>IFERROR(__xludf.DUMMYFUNCTION("""COMPUTED_VALUE"""),153.03)</f>
        <v>153.03</v>
      </c>
      <c r="E248" s="2">
        <f>IFERROR(__xludf.DUMMYFUNCTION("""COMPUTED_VALUE"""),153.41)</f>
        <v>153.41</v>
      </c>
      <c r="F248" s="2">
        <f>IFERROR(__xludf.DUMMYFUNCTION("""COMPUTED_VALUE"""),2.5067222E7)</f>
        <v>25067222</v>
      </c>
    </row>
    <row r="249">
      <c r="A249" s="3">
        <f>IFERROR(__xludf.DUMMYFUNCTION("""COMPUTED_VALUE"""),45287.66666666667)</f>
        <v>45287.66667</v>
      </c>
      <c r="B249" s="2">
        <f>IFERROR(__xludf.DUMMYFUNCTION("""COMPUTED_VALUE"""),153.56)</f>
        <v>153.56</v>
      </c>
      <c r="C249" s="2">
        <f>IFERROR(__xludf.DUMMYFUNCTION("""COMPUTED_VALUE"""),154.78)</f>
        <v>154.78</v>
      </c>
      <c r="D249" s="2">
        <f>IFERROR(__xludf.DUMMYFUNCTION("""COMPUTED_VALUE"""),153.12)</f>
        <v>153.12</v>
      </c>
      <c r="E249" s="2">
        <f>IFERROR(__xludf.DUMMYFUNCTION("""COMPUTED_VALUE"""),153.34)</f>
        <v>153.34</v>
      </c>
      <c r="F249" s="2">
        <f>IFERROR(__xludf.DUMMYFUNCTION("""COMPUTED_VALUE"""),3.1434733E7)</f>
        <v>31434733</v>
      </c>
    </row>
    <row r="250">
      <c r="A250" s="3">
        <f>IFERROR(__xludf.DUMMYFUNCTION("""COMPUTED_VALUE"""),45288.66666666667)</f>
        <v>45288.66667</v>
      </c>
      <c r="B250" s="2">
        <f>IFERROR(__xludf.DUMMYFUNCTION("""COMPUTED_VALUE"""),153.72)</f>
        <v>153.72</v>
      </c>
      <c r="C250" s="2">
        <f>IFERROR(__xludf.DUMMYFUNCTION("""COMPUTED_VALUE"""),154.08)</f>
        <v>154.08</v>
      </c>
      <c r="D250" s="2">
        <f>IFERROR(__xludf.DUMMYFUNCTION("""COMPUTED_VALUE"""),152.95)</f>
        <v>152.95</v>
      </c>
      <c r="E250" s="2">
        <f>IFERROR(__xludf.DUMMYFUNCTION("""COMPUTED_VALUE"""),153.38)</f>
        <v>153.38</v>
      </c>
      <c r="F250" s="2">
        <f>IFERROR(__xludf.DUMMYFUNCTION("""COMPUTED_VALUE"""),2.7057002E7)</f>
        <v>27057002</v>
      </c>
    </row>
    <row r="251">
      <c r="A251" s="3">
        <f>IFERROR(__xludf.DUMMYFUNCTION("""COMPUTED_VALUE"""),45289.66666666667)</f>
        <v>45289.66667</v>
      </c>
      <c r="B251" s="2">
        <f>IFERROR(__xludf.DUMMYFUNCTION("""COMPUTED_VALUE"""),153.1)</f>
        <v>153.1</v>
      </c>
      <c r="C251" s="2">
        <f>IFERROR(__xludf.DUMMYFUNCTION("""COMPUTED_VALUE"""),153.89)</f>
        <v>153.89</v>
      </c>
      <c r="D251" s="2">
        <f>IFERROR(__xludf.DUMMYFUNCTION("""COMPUTED_VALUE"""),151.03)</f>
        <v>151.03</v>
      </c>
      <c r="E251" s="2">
        <f>IFERROR(__xludf.DUMMYFUNCTION("""COMPUTED_VALUE"""),151.94)</f>
        <v>151.94</v>
      </c>
      <c r="F251" s="2">
        <f>IFERROR(__xludf.DUMMYFUNCTION("""COMPUTED_VALUE"""),3.9823204E7)</f>
        <v>39823204</v>
      </c>
    </row>
    <row r="252">
      <c r="A252" s="3">
        <f>IFERROR(__xludf.DUMMYFUNCTION("""COMPUTED_VALUE"""),45293.66666666667)</f>
        <v>45293.66667</v>
      </c>
      <c r="B252" s="2">
        <f>IFERROR(__xludf.DUMMYFUNCTION("""COMPUTED_VALUE"""),151.54)</f>
        <v>151.54</v>
      </c>
      <c r="C252" s="2">
        <f>IFERROR(__xludf.DUMMYFUNCTION("""COMPUTED_VALUE"""),152.38)</f>
        <v>152.38</v>
      </c>
      <c r="D252" s="2">
        <f>IFERROR(__xludf.DUMMYFUNCTION("""COMPUTED_VALUE"""),148.39)</f>
        <v>148.39</v>
      </c>
      <c r="E252" s="2">
        <f>IFERROR(__xludf.DUMMYFUNCTION("""COMPUTED_VALUE"""),149.93)</f>
        <v>149.93</v>
      </c>
      <c r="F252" s="2">
        <f>IFERROR(__xludf.DUMMYFUNCTION("""COMPUTED_VALUE"""),4.7339424E7)</f>
        <v>47339424</v>
      </c>
    </row>
    <row r="253">
      <c r="A253" s="3">
        <f>IFERROR(__xludf.DUMMYFUNCTION("""COMPUTED_VALUE"""),45294.66666666667)</f>
        <v>45294.66667</v>
      </c>
      <c r="B253" s="2">
        <f>IFERROR(__xludf.DUMMYFUNCTION("""COMPUTED_VALUE"""),149.2)</f>
        <v>149.2</v>
      </c>
      <c r="C253" s="2">
        <f>IFERROR(__xludf.DUMMYFUNCTION("""COMPUTED_VALUE"""),151.05)</f>
        <v>151.05</v>
      </c>
      <c r="D253" s="2">
        <f>IFERROR(__xludf.DUMMYFUNCTION("""COMPUTED_VALUE"""),148.33)</f>
        <v>148.33</v>
      </c>
      <c r="E253" s="2">
        <f>IFERROR(__xludf.DUMMYFUNCTION("""COMPUTED_VALUE"""),148.47)</f>
        <v>148.47</v>
      </c>
      <c r="F253" s="2">
        <f>IFERROR(__xludf.DUMMYFUNCTION("""COMPUTED_VALUE"""),4.9425495E7)</f>
        <v>49425495</v>
      </c>
    </row>
    <row r="254">
      <c r="A254" s="3">
        <f>IFERROR(__xludf.DUMMYFUNCTION("""COMPUTED_VALUE"""),45295.66666666667)</f>
        <v>45295.66667</v>
      </c>
      <c r="B254" s="2">
        <f>IFERROR(__xludf.DUMMYFUNCTION("""COMPUTED_VALUE"""),145.59)</f>
        <v>145.59</v>
      </c>
      <c r="C254" s="2">
        <f>IFERROR(__xludf.DUMMYFUNCTION("""COMPUTED_VALUE"""),147.38)</f>
        <v>147.38</v>
      </c>
      <c r="D254" s="2">
        <f>IFERROR(__xludf.DUMMYFUNCTION("""COMPUTED_VALUE"""),144.05)</f>
        <v>144.05</v>
      </c>
      <c r="E254" s="2">
        <f>IFERROR(__xludf.DUMMYFUNCTION("""COMPUTED_VALUE"""),144.57)</f>
        <v>144.57</v>
      </c>
      <c r="F254" s="2">
        <f>IFERROR(__xludf.DUMMYFUNCTION("""COMPUTED_VALUE"""),5.6039807E7)</f>
        <v>56039807</v>
      </c>
    </row>
    <row r="255">
      <c r="A255" s="3">
        <f>IFERROR(__xludf.DUMMYFUNCTION("""COMPUTED_VALUE"""),45296.66666666667)</f>
        <v>45296.66667</v>
      </c>
      <c r="B255" s="2">
        <f>IFERROR(__xludf.DUMMYFUNCTION("""COMPUTED_VALUE"""),144.69)</f>
        <v>144.69</v>
      </c>
      <c r="C255" s="2">
        <f>IFERROR(__xludf.DUMMYFUNCTION("""COMPUTED_VALUE"""),146.59)</f>
        <v>146.59</v>
      </c>
      <c r="D255" s="2">
        <f>IFERROR(__xludf.DUMMYFUNCTION("""COMPUTED_VALUE"""),144.53)</f>
        <v>144.53</v>
      </c>
      <c r="E255" s="2">
        <f>IFERROR(__xludf.DUMMYFUNCTION("""COMPUTED_VALUE"""),145.24)</f>
        <v>145.24</v>
      </c>
      <c r="F255" s="2">
        <f>IFERROR(__xludf.DUMMYFUNCTION("""COMPUTED_VALUE"""),4.5153147E7)</f>
        <v>45153147</v>
      </c>
    </row>
    <row r="256">
      <c r="A256" s="3">
        <f>IFERROR(__xludf.DUMMYFUNCTION("""COMPUTED_VALUE"""),45299.66666666667)</f>
        <v>45299.66667</v>
      </c>
      <c r="B256" s="2">
        <f>IFERROR(__xludf.DUMMYFUNCTION("""COMPUTED_VALUE"""),146.74)</f>
        <v>146.74</v>
      </c>
      <c r="C256" s="2">
        <f>IFERROR(__xludf.DUMMYFUNCTION("""COMPUTED_VALUE"""),149.4)</f>
        <v>149.4</v>
      </c>
      <c r="D256" s="2">
        <f>IFERROR(__xludf.DUMMYFUNCTION("""COMPUTED_VALUE"""),146.15)</f>
        <v>146.15</v>
      </c>
      <c r="E256" s="2">
        <f>IFERROR(__xludf.DUMMYFUNCTION("""COMPUTED_VALUE"""),149.1)</f>
        <v>149.1</v>
      </c>
      <c r="F256" s="2">
        <f>IFERROR(__xludf.DUMMYFUNCTION("""COMPUTED_VALUE"""),4.6757053E7)</f>
        <v>46757053</v>
      </c>
    </row>
    <row r="257">
      <c r="A257" s="3">
        <f>IFERROR(__xludf.DUMMYFUNCTION("""COMPUTED_VALUE"""),45300.66666666667)</f>
        <v>45300.66667</v>
      </c>
      <c r="B257" s="2">
        <f>IFERROR(__xludf.DUMMYFUNCTION("""COMPUTED_VALUE"""),148.33)</f>
        <v>148.33</v>
      </c>
      <c r="C257" s="2">
        <f>IFERROR(__xludf.DUMMYFUNCTION("""COMPUTED_VALUE"""),151.71)</f>
        <v>151.71</v>
      </c>
      <c r="D257" s="2">
        <f>IFERROR(__xludf.DUMMYFUNCTION("""COMPUTED_VALUE"""),148.21)</f>
        <v>148.21</v>
      </c>
      <c r="E257" s="2">
        <f>IFERROR(__xludf.DUMMYFUNCTION("""COMPUTED_VALUE"""),151.37)</f>
        <v>151.37</v>
      </c>
      <c r="F257" s="2">
        <f>IFERROR(__xludf.DUMMYFUNCTION("""COMPUTED_VALUE"""),4.3812567E7)</f>
        <v>43812567</v>
      </c>
    </row>
    <row r="258">
      <c r="A258" s="3">
        <f>IFERROR(__xludf.DUMMYFUNCTION("""COMPUTED_VALUE"""),45301.66666666667)</f>
        <v>45301.66667</v>
      </c>
      <c r="B258" s="2">
        <f>IFERROR(__xludf.DUMMYFUNCTION("""COMPUTED_VALUE"""),152.06)</f>
        <v>152.06</v>
      </c>
      <c r="C258" s="2">
        <f>IFERROR(__xludf.DUMMYFUNCTION("""COMPUTED_VALUE"""),154.42)</f>
        <v>154.42</v>
      </c>
      <c r="D258" s="2">
        <f>IFERROR(__xludf.DUMMYFUNCTION("""COMPUTED_VALUE"""),151.88)</f>
        <v>151.88</v>
      </c>
      <c r="E258" s="2">
        <f>IFERROR(__xludf.DUMMYFUNCTION("""COMPUTED_VALUE"""),153.73)</f>
        <v>153.73</v>
      </c>
      <c r="F258" s="2">
        <f>IFERROR(__xludf.DUMMYFUNCTION("""COMPUTED_VALUE"""),4.442183E7)</f>
        <v>44421830</v>
      </c>
    </row>
    <row r="259">
      <c r="A259" s="3">
        <f>IFERROR(__xludf.DUMMYFUNCTION("""COMPUTED_VALUE"""),45302.66666666667)</f>
        <v>45302.66667</v>
      </c>
      <c r="B259" s="2">
        <f>IFERROR(__xludf.DUMMYFUNCTION("""COMPUTED_VALUE"""),155.04)</f>
        <v>155.04</v>
      </c>
      <c r="C259" s="2">
        <f>IFERROR(__xludf.DUMMYFUNCTION("""COMPUTED_VALUE"""),157.17)</f>
        <v>157.17</v>
      </c>
      <c r="D259" s="2">
        <f>IFERROR(__xludf.DUMMYFUNCTION("""COMPUTED_VALUE"""),153.12)</f>
        <v>153.12</v>
      </c>
      <c r="E259" s="2">
        <f>IFERROR(__xludf.DUMMYFUNCTION("""COMPUTED_VALUE"""),155.18)</f>
        <v>155.18</v>
      </c>
      <c r="F259" s="2">
        <f>IFERROR(__xludf.DUMMYFUNCTION("""COMPUTED_VALUE"""),4.9072691E7)</f>
        <v>49072691</v>
      </c>
    </row>
    <row r="260">
      <c r="A260" s="3">
        <f>IFERROR(__xludf.DUMMYFUNCTION("""COMPUTED_VALUE"""),45303.66666666667)</f>
        <v>45303.66667</v>
      </c>
      <c r="B260" s="2">
        <f>IFERROR(__xludf.DUMMYFUNCTION("""COMPUTED_VALUE"""),155.39)</f>
        <v>155.39</v>
      </c>
      <c r="C260" s="2">
        <f>IFERROR(__xludf.DUMMYFUNCTION("""COMPUTED_VALUE"""),156.2)</f>
        <v>156.2</v>
      </c>
      <c r="D260" s="2">
        <f>IFERROR(__xludf.DUMMYFUNCTION("""COMPUTED_VALUE"""),154.01)</f>
        <v>154.01</v>
      </c>
      <c r="E260" s="2">
        <f>IFERROR(__xludf.DUMMYFUNCTION("""COMPUTED_VALUE"""),154.62)</f>
        <v>154.62</v>
      </c>
      <c r="F260" s="2">
        <f>IFERROR(__xludf.DUMMYFUNCTION("""COMPUTED_VALUE"""),4.0484155E7)</f>
        <v>40484155</v>
      </c>
    </row>
    <row r="261">
      <c r="A261" s="3">
        <f>IFERROR(__xludf.DUMMYFUNCTION("""COMPUTED_VALUE"""),45307.66666666667)</f>
        <v>45307.66667</v>
      </c>
      <c r="B261" s="2">
        <f>IFERROR(__xludf.DUMMYFUNCTION("""COMPUTED_VALUE"""),153.53)</f>
        <v>153.53</v>
      </c>
      <c r="C261" s="2">
        <f>IFERROR(__xludf.DUMMYFUNCTION("""COMPUTED_VALUE"""),154.99)</f>
        <v>154.99</v>
      </c>
      <c r="D261" s="2">
        <f>IFERROR(__xludf.DUMMYFUNCTION("""COMPUTED_VALUE"""),152.15)</f>
        <v>152.15</v>
      </c>
      <c r="E261" s="2">
        <f>IFERROR(__xludf.DUMMYFUNCTION("""COMPUTED_VALUE"""),153.16)</f>
        <v>153.16</v>
      </c>
      <c r="F261" s="2">
        <f>IFERROR(__xludf.DUMMYFUNCTION("""COMPUTED_VALUE"""),4.1384636E7)</f>
        <v>41384636</v>
      </c>
    </row>
    <row r="262">
      <c r="A262" s="3">
        <f>IFERROR(__xludf.DUMMYFUNCTION("""COMPUTED_VALUE"""),45308.66666666667)</f>
        <v>45308.66667</v>
      </c>
      <c r="B262" s="2">
        <f>IFERROR(__xludf.DUMMYFUNCTION("""COMPUTED_VALUE"""),151.49)</f>
        <v>151.49</v>
      </c>
      <c r="C262" s="2">
        <f>IFERROR(__xludf.DUMMYFUNCTION("""COMPUTED_VALUE"""),152.15)</f>
        <v>152.15</v>
      </c>
      <c r="D262" s="2">
        <f>IFERROR(__xludf.DUMMYFUNCTION("""COMPUTED_VALUE"""),149.91)</f>
        <v>149.91</v>
      </c>
      <c r="E262" s="2">
        <f>IFERROR(__xludf.DUMMYFUNCTION("""COMPUTED_VALUE"""),151.71)</f>
        <v>151.71</v>
      </c>
      <c r="F262" s="2">
        <f>IFERROR(__xludf.DUMMYFUNCTION("""COMPUTED_VALUE"""),3.4953363E7)</f>
        <v>34953363</v>
      </c>
    </row>
    <row r="263">
      <c r="A263" s="3">
        <f>IFERROR(__xludf.DUMMYFUNCTION("""COMPUTED_VALUE"""),45309.66666666667)</f>
        <v>45309.66667</v>
      </c>
      <c r="B263" s="2">
        <f>IFERROR(__xludf.DUMMYFUNCTION("""COMPUTED_VALUE"""),152.77)</f>
        <v>152.77</v>
      </c>
      <c r="C263" s="2">
        <f>IFERROR(__xludf.DUMMYFUNCTION("""COMPUTED_VALUE"""),153.78)</f>
        <v>153.78</v>
      </c>
      <c r="D263" s="2">
        <f>IFERROR(__xludf.DUMMYFUNCTION("""COMPUTED_VALUE"""),151.82)</f>
        <v>151.82</v>
      </c>
      <c r="E263" s="2">
        <f>IFERROR(__xludf.DUMMYFUNCTION("""COMPUTED_VALUE"""),153.5)</f>
        <v>153.5</v>
      </c>
      <c r="F263" s="2">
        <f>IFERROR(__xludf.DUMMYFUNCTION("""COMPUTED_VALUE"""),3.7850245E7)</f>
        <v>37850245</v>
      </c>
    </row>
    <row r="264">
      <c r="A264" s="3">
        <f>IFERROR(__xludf.DUMMYFUNCTION("""COMPUTED_VALUE"""),45310.66666666667)</f>
        <v>45310.66667</v>
      </c>
      <c r="B264" s="2">
        <f>IFERROR(__xludf.DUMMYFUNCTION("""COMPUTED_VALUE"""),153.83)</f>
        <v>153.83</v>
      </c>
      <c r="C264" s="2">
        <f>IFERROR(__xludf.DUMMYFUNCTION("""COMPUTED_VALUE"""),155.76)</f>
        <v>155.76</v>
      </c>
      <c r="D264" s="2">
        <f>IFERROR(__xludf.DUMMYFUNCTION("""COMPUTED_VALUE"""),152.74)</f>
        <v>152.74</v>
      </c>
      <c r="E264" s="2">
        <f>IFERROR(__xludf.DUMMYFUNCTION("""COMPUTED_VALUE"""),155.34)</f>
        <v>155.34</v>
      </c>
      <c r="F264" s="2">
        <f>IFERROR(__xludf.DUMMYFUNCTION("""COMPUTED_VALUE"""),5.1651628E7)</f>
        <v>51651628</v>
      </c>
    </row>
    <row r="265">
      <c r="A265" s="3">
        <f>IFERROR(__xludf.DUMMYFUNCTION("""COMPUTED_VALUE"""),45313.66666666667)</f>
        <v>45313.66667</v>
      </c>
      <c r="B265" s="2">
        <f>IFERROR(__xludf.DUMMYFUNCTION("""COMPUTED_VALUE"""),156.89)</f>
        <v>156.89</v>
      </c>
      <c r="C265" s="2">
        <f>IFERROR(__xludf.DUMMYFUNCTION("""COMPUTED_VALUE"""),157.05)</f>
        <v>157.05</v>
      </c>
      <c r="D265" s="2">
        <f>IFERROR(__xludf.DUMMYFUNCTION("""COMPUTED_VALUE"""),153.9)</f>
        <v>153.9</v>
      </c>
      <c r="E265" s="2">
        <f>IFERROR(__xludf.DUMMYFUNCTION("""COMPUTED_VALUE"""),154.78)</f>
        <v>154.78</v>
      </c>
      <c r="F265" s="2">
        <f>IFERROR(__xludf.DUMMYFUNCTION("""COMPUTED_VALUE"""),4.3687468E7)</f>
        <v>43687468</v>
      </c>
    </row>
    <row r="266">
      <c r="A266" s="3">
        <f>IFERROR(__xludf.DUMMYFUNCTION("""COMPUTED_VALUE"""),45314.66666666667)</f>
        <v>45314.66667</v>
      </c>
      <c r="B266" s="2">
        <f>IFERROR(__xludf.DUMMYFUNCTION("""COMPUTED_VALUE"""),154.85)</f>
        <v>154.85</v>
      </c>
      <c r="C266" s="2">
        <f>IFERROR(__xludf.DUMMYFUNCTION("""COMPUTED_VALUE"""),156.21)</f>
        <v>156.21</v>
      </c>
      <c r="D266" s="2">
        <f>IFERROR(__xludf.DUMMYFUNCTION("""COMPUTED_VALUE"""),153.93)</f>
        <v>153.93</v>
      </c>
      <c r="E266" s="2">
        <f>IFERROR(__xludf.DUMMYFUNCTION("""COMPUTED_VALUE"""),156.02)</f>
        <v>156.02</v>
      </c>
      <c r="F266" s="2">
        <f>IFERROR(__xludf.DUMMYFUNCTION("""COMPUTED_VALUE"""),3.7986039E7)</f>
        <v>37986039</v>
      </c>
    </row>
    <row r="267">
      <c r="A267" s="3">
        <f>IFERROR(__xludf.DUMMYFUNCTION("""COMPUTED_VALUE"""),45315.66666666667)</f>
        <v>45315.66667</v>
      </c>
      <c r="B267" s="2">
        <f>IFERROR(__xludf.DUMMYFUNCTION("""COMPUTED_VALUE"""),157.8)</f>
        <v>157.8</v>
      </c>
      <c r="C267" s="2">
        <f>IFERROR(__xludf.DUMMYFUNCTION("""COMPUTED_VALUE"""),158.51)</f>
        <v>158.51</v>
      </c>
      <c r="D267" s="2">
        <f>IFERROR(__xludf.DUMMYFUNCTION("""COMPUTED_VALUE"""),156.48)</f>
        <v>156.48</v>
      </c>
      <c r="E267" s="2">
        <f>IFERROR(__xludf.DUMMYFUNCTION("""COMPUTED_VALUE"""),156.87)</f>
        <v>156.87</v>
      </c>
      <c r="F267" s="2">
        <f>IFERROR(__xludf.DUMMYFUNCTION("""COMPUTED_VALUE"""),4.8547315E7)</f>
        <v>48547315</v>
      </c>
    </row>
    <row r="268">
      <c r="A268" s="3">
        <f>IFERROR(__xludf.DUMMYFUNCTION("""COMPUTED_VALUE"""),45316.66666666667)</f>
        <v>45316.66667</v>
      </c>
      <c r="B268" s="2">
        <f>IFERROR(__xludf.DUMMYFUNCTION("""COMPUTED_VALUE"""),156.95)</f>
        <v>156.95</v>
      </c>
      <c r="C268" s="2">
        <f>IFERROR(__xludf.DUMMYFUNCTION("""COMPUTED_VALUE"""),158.51)</f>
        <v>158.51</v>
      </c>
      <c r="D268" s="2">
        <f>IFERROR(__xludf.DUMMYFUNCTION("""COMPUTED_VALUE"""),154.55)</f>
        <v>154.55</v>
      </c>
      <c r="E268" s="2">
        <f>IFERROR(__xludf.DUMMYFUNCTION("""COMPUTED_VALUE"""),157.75)</f>
        <v>157.75</v>
      </c>
      <c r="F268" s="2">
        <f>IFERROR(__xludf.DUMMYFUNCTION("""COMPUTED_VALUE"""),4.3638592E7)</f>
        <v>43638592</v>
      </c>
    </row>
    <row r="269">
      <c r="A269" s="3">
        <f>IFERROR(__xludf.DUMMYFUNCTION("""COMPUTED_VALUE"""),45317.66666666667)</f>
        <v>45317.66667</v>
      </c>
      <c r="B269" s="2">
        <f>IFERROR(__xludf.DUMMYFUNCTION("""COMPUTED_VALUE"""),158.42)</f>
        <v>158.42</v>
      </c>
      <c r="C269" s="2">
        <f>IFERROR(__xludf.DUMMYFUNCTION("""COMPUTED_VALUE"""),160.72)</f>
        <v>160.72</v>
      </c>
      <c r="D269" s="2">
        <f>IFERROR(__xludf.DUMMYFUNCTION("""COMPUTED_VALUE"""),157.91)</f>
        <v>157.91</v>
      </c>
      <c r="E269" s="2">
        <f>IFERROR(__xludf.DUMMYFUNCTION("""COMPUTED_VALUE"""),159.12)</f>
        <v>159.12</v>
      </c>
      <c r="F269" s="2">
        <f>IFERROR(__xludf.DUMMYFUNCTION("""COMPUTED_VALUE"""),5.1047353E7)</f>
        <v>51047353</v>
      </c>
    </row>
    <row r="270">
      <c r="A270" s="3">
        <f>IFERROR(__xludf.DUMMYFUNCTION("""COMPUTED_VALUE"""),45320.66666666667)</f>
        <v>45320.66667</v>
      </c>
      <c r="B270" s="2">
        <f>IFERROR(__xludf.DUMMYFUNCTION("""COMPUTED_VALUE"""),159.34)</f>
        <v>159.34</v>
      </c>
      <c r="C270" s="2">
        <f>IFERROR(__xludf.DUMMYFUNCTION("""COMPUTED_VALUE"""),161.29)</f>
        <v>161.29</v>
      </c>
      <c r="D270" s="2">
        <f>IFERROR(__xludf.DUMMYFUNCTION("""COMPUTED_VALUE"""),158.9)</f>
        <v>158.9</v>
      </c>
      <c r="E270" s="2">
        <f>IFERROR(__xludf.DUMMYFUNCTION("""COMPUTED_VALUE"""),161.26)</f>
        <v>161.26</v>
      </c>
      <c r="F270" s="2">
        <f>IFERROR(__xludf.DUMMYFUNCTION("""COMPUTED_VALUE"""),4.5270385E7)</f>
        <v>45270385</v>
      </c>
    </row>
    <row r="271">
      <c r="A271" s="3">
        <f>IFERROR(__xludf.DUMMYFUNCTION("""COMPUTED_VALUE"""),45321.66666666667)</f>
        <v>45321.66667</v>
      </c>
      <c r="B271" s="2">
        <f>IFERROR(__xludf.DUMMYFUNCTION("""COMPUTED_VALUE"""),160.7)</f>
        <v>160.7</v>
      </c>
      <c r="C271" s="2">
        <f>IFERROR(__xludf.DUMMYFUNCTION("""COMPUTED_VALUE"""),161.73)</f>
        <v>161.73</v>
      </c>
      <c r="D271" s="2">
        <f>IFERROR(__xludf.DUMMYFUNCTION("""COMPUTED_VALUE"""),158.49)</f>
        <v>158.49</v>
      </c>
      <c r="E271" s="2">
        <f>IFERROR(__xludf.DUMMYFUNCTION("""COMPUTED_VALUE"""),159.0)</f>
        <v>159</v>
      </c>
      <c r="F271" s="2">
        <f>IFERROR(__xludf.DUMMYFUNCTION("""COMPUTED_VALUE"""),4.520743E7)</f>
        <v>45207430</v>
      </c>
    </row>
    <row r="272">
      <c r="A272" s="3">
        <f>IFERROR(__xludf.DUMMYFUNCTION("""COMPUTED_VALUE"""),45322.66666666667)</f>
        <v>45322.66667</v>
      </c>
      <c r="B272" s="2">
        <f>IFERROR(__xludf.DUMMYFUNCTION("""COMPUTED_VALUE"""),157.0)</f>
        <v>157</v>
      </c>
      <c r="C272" s="2">
        <f>IFERROR(__xludf.DUMMYFUNCTION("""COMPUTED_VALUE"""),159.01)</f>
        <v>159.01</v>
      </c>
      <c r="D272" s="2">
        <f>IFERROR(__xludf.DUMMYFUNCTION("""COMPUTED_VALUE"""),154.81)</f>
        <v>154.81</v>
      </c>
      <c r="E272" s="2">
        <f>IFERROR(__xludf.DUMMYFUNCTION("""COMPUTED_VALUE"""),155.2)</f>
        <v>155.2</v>
      </c>
      <c r="F272" s="2">
        <f>IFERROR(__xludf.DUMMYFUNCTION("""COMPUTED_VALUE"""),5.0284371E7)</f>
        <v>50284371</v>
      </c>
    </row>
    <row r="273">
      <c r="A273" s="3">
        <f>IFERROR(__xludf.DUMMYFUNCTION("""COMPUTED_VALUE"""),45323.66666666667)</f>
        <v>45323.66667</v>
      </c>
      <c r="B273" s="2">
        <f>IFERROR(__xludf.DUMMYFUNCTION("""COMPUTED_VALUE"""),155.87)</f>
        <v>155.87</v>
      </c>
      <c r="C273" s="2">
        <f>IFERROR(__xludf.DUMMYFUNCTION("""COMPUTED_VALUE"""),159.76)</f>
        <v>159.76</v>
      </c>
      <c r="D273" s="2">
        <f>IFERROR(__xludf.DUMMYFUNCTION("""COMPUTED_VALUE"""),155.62)</f>
        <v>155.62</v>
      </c>
      <c r="E273" s="2">
        <f>IFERROR(__xludf.DUMMYFUNCTION("""COMPUTED_VALUE"""),159.28)</f>
        <v>159.28</v>
      </c>
      <c r="F273" s="2">
        <f>IFERROR(__xludf.DUMMYFUNCTION("""COMPUTED_VALUE"""),7.6542419E7)</f>
        <v>76542419</v>
      </c>
    </row>
    <row r="274">
      <c r="A274" s="3">
        <f>IFERROR(__xludf.DUMMYFUNCTION("""COMPUTED_VALUE"""),45324.66666666667)</f>
        <v>45324.66667</v>
      </c>
      <c r="B274" s="2">
        <f>IFERROR(__xludf.DUMMYFUNCTION("""COMPUTED_VALUE"""),169.19)</f>
        <v>169.19</v>
      </c>
      <c r="C274" s="2">
        <f>IFERROR(__xludf.DUMMYFUNCTION("""COMPUTED_VALUE"""),172.5)</f>
        <v>172.5</v>
      </c>
      <c r="D274" s="2">
        <f>IFERROR(__xludf.DUMMYFUNCTION("""COMPUTED_VALUE"""),167.33)</f>
        <v>167.33</v>
      </c>
      <c r="E274" s="2">
        <f>IFERROR(__xludf.DUMMYFUNCTION("""COMPUTED_VALUE"""),171.81)</f>
        <v>171.81</v>
      </c>
      <c r="F274" s="2">
        <f>IFERROR(__xludf.DUMMYFUNCTION("""COMPUTED_VALUE"""),1.17218313E8)</f>
        <v>117218313</v>
      </c>
    </row>
    <row r="275">
      <c r="A275" s="3">
        <f>IFERROR(__xludf.DUMMYFUNCTION("""COMPUTED_VALUE"""),45327.66666666667)</f>
        <v>45327.66667</v>
      </c>
      <c r="B275" s="2">
        <f>IFERROR(__xludf.DUMMYFUNCTION("""COMPUTED_VALUE"""),170.2)</f>
        <v>170.2</v>
      </c>
      <c r="C275" s="2">
        <f>IFERROR(__xludf.DUMMYFUNCTION("""COMPUTED_VALUE"""),170.55)</f>
        <v>170.55</v>
      </c>
      <c r="D275" s="2">
        <f>IFERROR(__xludf.DUMMYFUNCTION("""COMPUTED_VALUE"""),167.7)</f>
        <v>167.7</v>
      </c>
      <c r="E275" s="2">
        <f>IFERROR(__xludf.DUMMYFUNCTION("""COMPUTED_VALUE"""),170.31)</f>
        <v>170.31</v>
      </c>
      <c r="F275" s="2">
        <f>IFERROR(__xludf.DUMMYFUNCTION("""COMPUTED_VALUE"""),5.5081297E7)</f>
        <v>55081297</v>
      </c>
    </row>
    <row r="276">
      <c r="A276" s="3">
        <f>IFERROR(__xludf.DUMMYFUNCTION("""COMPUTED_VALUE"""),45328.66666666667)</f>
        <v>45328.66667</v>
      </c>
      <c r="B276" s="2">
        <f>IFERROR(__xludf.DUMMYFUNCTION("""COMPUTED_VALUE"""),169.39)</f>
        <v>169.39</v>
      </c>
      <c r="C276" s="2">
        <f>IFERROR(__xludf.DUMMYFUNCTION("""COMPUTED_VALUE"""),170.71)</f>
        <v>170.71</v>
      </c>
      <c r="D276" s="2">
        <f>IFERROR(__xludf.DUMMYFUNCTION("""COMPUTED_VALUE"""),167.65)</f>
        <v>167.65</v>
      </c>
      <c r="E276" s="2">
        <f>IFERROR(__xludf.DUMMYFUNCTION("""COMPUTED_VALUE"""),169.15)</f>
        <v>169.15</v>
      </c>
      <c r="F276" s="2">
        <f>IFERROR(__xludf.DUMMYFUNCTION("""COMPUTED_VALUE"""),4.2505518E7)</f>
        <v>42505518</v>
      </c>
    </row>
    <row r="277">
      <c r="A277" s="3">
        <f>IFERROR(__xludf.DUMMYFUNCTION("""COMPUTED_VALUE"""),45329.66666666667)</f>
        <v>45329.66667</v>
      </c>
      <c r="B277" s="2">
        <f>IFERROR(__xludf.DUMMYFUNCTION("""COMPUTED_VALUE"""),169.48)</f>
        <v>169.48</v>
      </c>
      <c r="C277" s="2">
        <f>IFERROR(__xludf.DUMMYFUNCTION("""COMPUTED_VALUE"""),170.88)</f>
        <v>170.88</v>
      </c>
      <c r="D277" s="2">
        <f>IFERROR(__xludf.DUMMYFUNCTION("""COMPUTED_VALUE"""),168.94)</f>
        <v>168.94</v>
      </c>
      <c r="E277" s="2">
        <f>IFERROR(__xludf.DUMMYFUNCTION("""COMPUTED_VALUE"""),170.53)</f>
        <v>170.53</v>
      </c>
      <c r="F277" s="2">
        <f>IFERROR(__xludf.DUMMYFUNCTION("""COMPUTED_VALUE"""),4.717406E7)</f>
        <v>47174060</v>
      </c>
    </row>
    <row r="278">
      <c r="A278" s="3">
        <f>IFERROR(__xludf.DUMMYFUNCTION("""COMPUTED_VALUE"""),45330.66666666667)</f>
        <v>45330.66667</v>
      </c>
      <c r="B278" s="2">
        <f>IFERROR(__xludf.DUMMYFUNCTION("""COMPUTED_VALUE"""),169.65)</f>
        <v>169.65</v>
      </c>
      <c r="C278" s="2">
        <f>IFERROR(__xludf.DUMMYFUNCTION("""COMPUTED_VALUE"""),171.43)</f>
        <v>171.43</v>
      </c>
      <c r="D278" s="2">
        <f>IFERROR(__xludf.DUMMYFUNCTION("""COMPUTED_VALUE"""),168.88)</f>
        <v>168.88</v>
      </c>
      <c r="E278" s="2">
        <f>IFERROR(__xludf.DUMMYFUNCTION("""COMPUTED_VALUE"""),169.84)</f>
        <v>169.84</v>
      </c>
      <c r="F278" s="2">
        <f>IFERROR(__xludf.DUMMYFUNCTION("""COMPUTED_VALUE"""),4.2316454E7)</f>
        <v>42316454</v>
      </c>
    </row>
    <row r="279">
      <c r="A279" s="3">
        <f>IFERROR(__xludf.DUMMYFUNCTION("""COMPUTED_VALUE"""),45331.66666666667)</f>
        <v>45331.66667</v>
      </c>
      <c r="B279" s="2">
        <f>IFERROR(__xludf.DUMMYFUNCTION("""COMPUTED_VALUE"""),170.9)</f>
        <v>170.9</v>
      </c>
      <c r="C279" s="2">
        <f>IFERROR(__xludf.DUMMYFUNCTION("""COMPUTED_VALUE"""),175.0)</f>
        <v>175</v>
      </c>
      <c r="D279" s="2">
        <f>IFERROR(__xludf.DUMMYFUNCTION("""COMPUTED_VALUE"""),170.58)</f>
        <v>170.58</v>
      </c>
      <c r="E279" s="2">
        <f>IFERROR(__xludf.DUMMYFUNCTION("""COMPUTED_VALUE"""),174.45)</f>
        <v>174.45</v>
      </c>
      <c r="F279" s="2">
        <f>IFERROR(__xludf.DUMMYFUNCTION("""COMPUTED_VALUE"""),5.6985986E7)</f>
        <v>56985986</v>
      </c>
    </row>
    <row r="280">
      <c r="A280" s="3">
        <f>IFERROR(__xludf.DUMMYFUNCTION("""COMPUTED_VALUE"""),45334.66666666667)</f>
        <v>45334.66667</v>
      </c>
      <c r="B280" s="2">
        <f>IFERROR(__xludf.DUMMYFUNCTION("""COMPUTED_VALUE"""),174.8)</f>
        <v>174.8</v>
      </c>
      <c r="C280" s="2">
        <f>IFERROR(__xludf.DUMMYFUNCTION("""COMPUTED_VALUE"""),175.39)</f>
        <v>175.39</v>
      </c>
      <c r="D280" s="2">
        <f>IFERROR(__xludf.DUMMYFUNCTION("""COMPUTED_VALUE"""),171.54)</f>
        <v>171.54</v>
      </c>
      <c r="E280" s="2">
        <f>IFERROR(__xludf.DUMMYFUNCTION("""COMPUTED_VALUE"""),172.34)</f>
        <v>172.34</v>
      </c>
      <c r="F280" s="2">
        <f>IFERROR(__xludf.DUMMYFUNCTION("""COMPUTED_VALUE"""),5.105044E7)</f>
        <v>51050440</v>
      </c>
    </row>
    <row r="281">
      <c r="A281" s="3">
        <f>IFERROR(__xludf.DUMMYFUNCTION("""COMPUTED_VALUE"""),45335.66666666667)</f>
        <v>45335.66667</v>
      </c>
      <c r="B281" s="2">
        <f>IFERROR(__xludf.DUMMYFUNCTION("""COMPUTED_VALUE"""),167.73)</f>
        <v>167.73</v>
      </c>
      <c r="C281" s="2">
        <f>IFERROR(__xludf.DUMMYFUNCTION("""COMPUTED_VALUE"""),170.95)</f>
        <v>170.95</v>
      </c>
      <c r="D281" s="2">
        <f>IFERROR(__xludf.DUMMYFUNCTION("""COMPUTED_VALUE"""),165.75)</f>
        <v>165.75</v>
      </c>
      <c r="E281" s="2">
        <f>IFERROR(__xludf.DUMMYFUNCTION("""COMPUTED_VALUE"""),168.64)</f>
        <v>168.64</v>
      </c>
      <c r="F281" s="2">
        <f>IFERROR(__xludf.DUMMYFUNCTION("""COMPUTED_VALUE"""),5.6345122E7)</f>
        <v>56345122</v>
      </c>
    </row>
    <row r="282">
      <c r="A282" s="3">
        <f>IFERROR(__xludf.DUMMYFUNCTION("""COMPUTED_VALUE"""),45336.66666666667)</f>
        <v>45336.66667</v>
      </c>
      <c r="B282" s="2">
        <f>IFERROR(__xludf.DUMMYFUNCTION("""COMPUTED_VALUE"""),169.21)</f>
        <v>169.21</v>
      </c>
      <c r="C282" s="2">
        <f>IFERROR(__xludf.DUMMYFUNCTION("""COMPUTED_VALUE"""),171.21)</f>
        <v>171.21</v>
      </c>
      <c r="D282" s="2">
        <f>IFERROR(__xludf.DUMMYFUNCTION("""COMPUTED_VALUE"""),168.28)</f>
        <v>168.28</v>
      </c>
      <c r="E282" s="2">
        <f>IFERROR(__xludf.DUMMYFUNCTION("""COMPUTED_VALUE"""),170.98)</f>
        <v>170.98</v>
      </c>
      <c r="F282" s="2">
        <f>IFERROR(__xludf.DUMMYFUNCTION("""COMPUTED_VALUE"""),4.2815544E7)</f>
        <v>42815544</v>
      </c>
    </row>
    <row r="283">
      <c r="A283" s="3">
        <f>IFERROR(__xludf.DUMMYFUNCTION("""COMPUTED_VALUE"""),45337.66666666667)</f>
        <v>45337.66667</v>
      </c>
      <c r="B283" s="2">
        <f>IFERROR(__xludf.DUMMYFUNCTION("""COMPUTED_VALUE"""),170.58)</f>
        <v>170.58</v>
      </c>
      <c r="C283" s="2">
        <f>IFERROR(__xludf.DUMMYFUNCTION("""COMPUTED_VALUE"""),171.17)</f>
        <v>171.17</v>
      </c>
      <c r="D283" s="2">
        <f>IFERROR(__xludf.DUMMYFUNCTION("""COMPUTED_VALUE"""),167.59)</f>
        <v>167.59</v>
      </c>
      <c r="E283" s="2">
        <f>IFERROR(__xludf.DUMMYFUNCTION("""COMPUTED_VALUE"""),169.8)</f>
        <v>169.8</v>
      </c>
      <c r="F283" s="2">
        <f>IFERROR(__xludf.DUMMYFUNCTION("""COMPUTED_VALUE"""),4.9855196E7)</f>
        <v>49855196</v>
      </c>
    </row>
    <row r="284">
      <c r="A284" s="3">
        <f>IFERROR(__xludf.DUMMYFUNCTION("""COMPUTED_VALUE"""),45338.66666666667)</f>
        <v>45338.66667</v>
      </c>
      <c r="B284" s="2">
        <f>IFERROR(__xludf.DUMMYFUNCTION("""COMPUTED_VALUE"""),168.74)</f>
        <v>168.74</v>
      </c>
      <c r="C284" s="2">
        <f>IFERROR(__xludf.DUMMYFUNCTION("""COMPUTED_VALUE"""),170.42)</f>
        <v>170.42</v>
      </c>
      <c r="D284" s="2">
        <f>IFERROR(__xludf.DUMMYFUNCTION("""COMPUTED_VALUE"""),167.17)</f>
        <v>167.17</v>
      </c>
      <c r="E284" s="2">
        <f>IFERROR(__xludf.DUMMYFUNCTION("""COMPUTED_VALUE"""),169.51)</f>
        <v>169.51</v>
      </c>
      <c r="F284" s="2">
        <f>IFERROR(__xludf.DUMMYFUNCTION("""COMPUTED_VALUE"""),4.8107744E7)</f>
        <v>48107744</v>
      </c>
    </row>
    <row r="285">
      <c r="A285" s="3">
        <f>IFERROR(__xludf.DUMMYFUNCTION("""COMPUTED_VALUE"""),45342.66666666667)</f>
        <v>45342.66667</v>
      </c>
      <c r="B285" s="2">
        <f>IFERROR(__xludf.DUMMYFUNCTION("""COMPUTED_VALUE"""),167.83)</f>
        <v>167.83</v>
      </c>
      <c r="C285" s="2">
        <f>IFERROR(__xludf.DUMMYFUNCTION("""COMPUTED_VALUE"""),168.71)</f>
        <v>168.71</v>
      </c>
      <c r="D285" s="2">
        <f>IFERROR(__xludf.DUMMYFUNCTION("""COMPUTED_VALUE"""),165.74)</f>
        <v>165.74</v>
      </c>
      <c r="E285" s="2">
        <f>IFERROR(__xludf.DUMMYFUNCTION("""COMPUTED_VALUE"""),167.08)</f>
        <v>167.08</v>
      </c>
      <c r="F285" s="2">
        <f>IFERROR(__xludf.DUMMYFUNCTION("""COMPUTED_VALUE"""),4.1980326E7)</f>
        <v>41980326</v>
      </c>
    </row>
    <row r="286">
      <c r="A286" s="3">
        <f>IFERROR(__xludf.DUMMYFUNCTION("""COMPUTED_VALUE"""),45343.66666666667)</f>
        <v>45343.66667</v>
      </c>
      <c r="B286" s="2">
        <f>IFERROR(__xludf.DUMMYFUNCTION("""COMPUTED_VALUE"""),168.94)</f>
        <v>168.94</v>
      </c>
      <c r="C286" s="2">
        <f>IFERROR(__xludf.DUMMYFUNCTION("""COMPUTED_VALUE"""),170.23)</f>
        <v>170.23</v>
      </c>
      <c r="D286" s="2">
        <f>IFERROR(__xludf.DUMMYFUNCTION("""COMPUTED_VALUE"""),167.14)</f>
        <v>167.14</v>
      </c>
      <c r="E286" s="2">
        <f>IFERROR(__xludf.DUMMYFUNCTION("""COMPUTED_VALUE"""),168.59)</f>
        <v>168.59</v>
      </c>
      <c r="F286" s="2">
        <f>IFERROR(__xludf.DUMMYFUNCTION("""COMPUTED_VALUE"""),4.4575623E7)</f>
        <v>44575623</v>
      </c>
    </row>
    <row r="287">
      <c r="A287" s="3">
        <f>IFERROR(__xludf.DUMMYFUNCTION("""COMPUTED_VALUE"""),45344.66666666667)</f>
        <v>45344.66667</v>
      </c>
      <c r="B287" s="2">
        <f>IFERROR(__xludf.DUMMYFUNCTION("""COMPUTED_VALUE"""),173.1)</f>
        <v>173.1</v>
      </c>
      <c r="C287" s="2">
        <f>IFERROR(__xludf.DUMMYFUNCTION("""COMPUTED_VALUE"""),174.8)</f>
        <v>174.8</v>
      </c>
      <c r="D287" s="2">
        <f>IFERROR(__xludf.DUMMYFUNCTION("""COMPUTED_VALUE"""),171.77)</f>
        <v>171.77</v>
      </c>
      <c r="E287" s="2">
        <f>IFERROR(__xludf.DUMMYFUNCTION("""COMPUTED_VALUE"""),174.58)</f>
        <v>174.58</v>
      </c>
      <c r="F287" s="2">
        <f>IFERROR(__xludf.DUMMYFUNCTION("""COMPUTED_VALUE"""),5.5392354E7)</f>
        <v>55392354</v>
      </c>
    </row>
    <row r="288">
      <c r="A288" s="3">
        <f>IFERROR(__xludf.DUMMYFUNCTION("""COMPUTED_VALUE"""),45345.66666666667)</f>
        <v>45345.66667</v>
      </c>
      <c r="B288" s="2">
        <f>IFERROR(__xludf.DUMMYFUNCTION("""COMPUTED_VALUE"""),174.28)</f>
        <v>174.28</v>
      </c>
      <c r="C288" s="2">
        <f>IFERROR(__xludf.DUMMYFUNCTION("""COMPUTED_VALUE"""),175.75)</f>
        <v>175.75</v>
      </c>
      <c r="D288" s="2">
        <f>IFERROR(__xludf.DUMMYFUNCTION("""COMPUTED_VALUE"""),173.7)</f>
        <v>173.7</v>
      </c>
      <c r="E288" s="2">
        <f>IFERROR(__xludf.DUMMYFUNCTION("""COMPUTED_VALUE"""),174.99)</f>
        <v>174.99</v>
      </c>
      <c r="F288" s="2">
        <f>IFERROR(__xludf.DUMMYFUNCTION("""COMPUTED_VALUE"""),5.9715243E7)</f>
        <v>59715243</v>
      </c>
    </row>
    <row r="289">
      <c r="A289" s="3">
        <f>IFERROR(__xludf.DUMMYFUNCTION("""COMPUTED_VALUE"""),45348.66666666667)</f>
        <v>45348.66667</v>
      </c>
      <c r="B289" s="2">
        <f>IFERROR(__xludf.DUMMYFUNCTION("""COMPUTED_VALUE"""),175.7)</f>
        <v>175.7</v>
      </c>
      <c r="C289" s="2">
        <f>IFERROR(__xludf.DUMMYFUNCTION("""COMPUTED_VALUE"""),176.37)</f>
        <v>176.37</v>
      </c>
      <c r="D289" s="2">
        <f>IFERROR(__xludf.DUMMYFUNCTION("""COMPUTED_VALUE"""),174.26)</f>
        <v>174.26</v>
      </c>
      <c r="E289" s="2">
        <f>IFERROR(__xludf.DUMMYFUNCTION("""COMPUTED_VALUE"""),174.73)</f>
        <v>174.73</v>
      </c>
      <c r="F289" s="2">
        <f>IFERROR(__xludf.DUMMYFUNCTION("""COMPUTED_VALUE"""),4.4368614E7)</f>
        <v>44368614</v>
      </c>
    </row>
    <row r="290">
      <c r="A290" s="3">
        <f>IFERROR(__xludf.DUMMYFUNCTION("""COMPUTED_VALUE"""),45349.66666666667)</f>
        <v>45349.66667</v>
      </c>
      <c r="B290" s="2">
        <f>IFERROR(__xludf.DUMMYFUNCTION("""COMPUTED_VALUE"""),174.08)</f>
        <v>174.08</v>
      </c>
      <c r="C290" s="2">
        <f>IFERROR(__xludf.DUMMYFUNCTION("""COMPUTED_VALUE"""),174.62)</f>
        <v>174.62</v>
      </c>
      <c r="D290" s="2">
        <f>IFERROR(__xludf.DUMMYFUNCTION("""COMPUTED_VALUE"""),172.86)</f>
        <v>172.86</v>
      </c>
      <c r="E290" s="2">
        <f>IFERROR(__xludf.DUMMYFUNCTION("""COMPUTED_VALUE"""),173.54)</f>
        <v>173.54</v>
      </c>
      <c r="F290" s="2">
        <f>IFERROR(__xludf.DUMMYFUNCTION("""COMPUTED_VALUE"""),3.1141732E7)</f>
        <v>31141732</v>
      </c>
    </row>
    <row r="291">
      <c r="A291" s="3">
        <f>IFERROR(__xludf.DUMMYFUNCTION("""COMPUTED_VALUE"""),45350.66666666667)</f>
        <v>45350.66667</v>
      </c>
      <c r="B291" s="2">
        <f>IFERROR(__xludf.DUMMYFUNCTION("""COMPUTED_VALUE"""),172.44)</f>
        <v>172.44</v>
      </c>
      <c r="C291" s="2">
        <f>IFERROR(__xludf.DUMMYFUNCTION("""COMPUTED_VALUE"""),174.05)</f>
        <v>174.05</v>
      </c>
      <c r="D291" s="2">
        <f>IFERROR(__xludf.DUMMYFUNCTION("""COMPUTED_VALUE"""),172.27)</f>
        <v>172.27</v>
      </c>
      <c r="E291" s="2">
        <f>IFERROR(__xludf.DUMMYFUNCTION("""COMPUTED_VALUE"""),173.16)</f>
        <v>173.16</v>
      </c>
      <c r="F291" s="2">
        <f>IFERROR(__xludf.DUMMYFUNCTION("""COMPUTED_VALUE"""),2.8180482E7)</f>
        <v>28180482</v>
      </c>
    </row>
    <row r="292">
      <c r="A292" s="3">
        <f>IFERROR(__xludf.DUMMYFUNCTION("""COMPUTED_VALUE"""),45351.66666666667)</f>
        <v>45351.66667</v>
      </c>
      <c r="B292" s="2">
        <f>IFERROR(__xludf.DUMMYFUNCTION("""COMPUTED_VALUE"""),173.01)</f>
        <v>173.01</v>
      </c>
      <c r="C292" s="2">
        <f>IFERROR(__xludf.DUMMYFUNCTION("""COMPUTED_VALUE"""),177.22)</f>
        <v>177.22</v>
      </c>
      <c r="D292" s="2">
        <f>IFERROR(__xludf.DUMMYFUNCTION("""COMPUTED_VALUE"""),172.85)</f>
        <v>172.85</v>
      </c>
      <c r="E292" s="2">
        <f>IFERROR(__xludf.DUMMYFUNCTION("""COMPUTED_VALUE"""),176.76)</f>
        <v>176.76</v>
      </c>
      <c r="F292" s="2">
        <f>IFERROR(__xludf.DUMMYFUNCTION("""COMPUTED_VALUE"""),5.3805359E7)</f>
        <v>53805359</v>
      </c>
    </row>
    <row r="293">
      <c r="A293" s="3">
        <f>IFERROR(__xludf.DUMMYFUNCTION("""COMPUTED_VALUE"""),45352.66666666667)</f>
        <v>45352.66667</v>
      </c>
      <c r="B293" s="2">
        <f>IFERROR(__xludf.DUMMYFUNCTION("""COMPUTED_VALUE"""),176.75)</f>
        <v>176.75</v>
      </c>
      <c r="C293" s="2">
        <f>IFERROR(__xludf.DUMMYFUNCTION("""COMPUTED_VALUE"""),178.73)</f>
        <v>178.73</v>
      </c>
      <c r="D293" s="2">
        <f>IFERROR(__xludf.DUMMYFUNCTION("""COMPUTED_VALUE"""),176.07)</f>
        <v>176.07</v>
      </c>
      <c r="E293" s="2">
        <f>IFERROR(__xludf.DUMMYFUNCTION("""COMPUTED_VALUE"""),178.22)</f>
        <v>178.22</v>
      </c>
      <c r="F293" s="2">
        <f>IFERROR(__xludf.DUMMYFUNCTION("""COMPUTED_VALUE"""),3.1981152E7)</f>
        <v>31981152</v>
      </c>
    </row>
    <row r="294">
      <c r="A294" s="3">
        <f>IFERROR(__xludf.DUMMYFUNCTION("""COMPUTED_VALUE"""),45355.66666666667)</f>
        <v>45355.66667</v>
      </c>
      <c r="B294" s="2">
        <f>IFERROR(__xludf.DUMMYFUNCTION("""COMPUTED_VALUE"""),177.53)</f>
        <v>177.53</v>
      </c>
      <c r="C294" s="2">
        <f>IFERROR(__xludf.DUMMYFUNCTION("""COMPUTED_VALUE"""),180.14)</f>
        <v>180.14</v>
      </c>
      <c r="D294" s="2">
        <f>IFERROR(__xludf.DUMMYFUNCTION("""COMPUTED_VALUE"""),177.49)</f>
        <v>177.49</v>
      </c>
      <c r="E294" s="2">
        <f>IFERROR(__xludf.DUMMYFUNCTION("""COMPUTED_VALUE"""),177.58)</f>
        <v>177.58</v>
      </c>
      <c r="F294" s="2">
        <f>IFERROR(__xludf.DUMMYFUNCTION("""COMPUTED_VALUE"""),3.738152E7)</f>
        <v>37381520</v>
      </c>
    </row>
    <row r="295">
      <c r="A295" s="3">
        <f>IFERROR(__xludf.DUMMYFUNCTION("""COMPUTED_VALUE"""),45356.66666666667)</f>
        <v>45356.66667</v>
      </c>
      <c r="B295" s="2">
        <f>IFERROR(__xludf.DUMMYFUNCTION("""COMPUTED_VALUE"""),176.93)</f>
        <v>176.93</v>
      </c>
      <c r="C295" s="2">
        <f>IFERROR(__xludf.DUMMYFUNCTION("""COMPUTED_VALUE"""),176.93)</f>
        <v>176.93</v>
      </c>
      <c r="D295" s="2">
        <f>IFERROR(__xludf.DUMMYFUNCTION("""COMPUTED_VALUE"""),173.3)</f>
        <v>173.3</v>
      </c>
      <c r="E295" s="2">
        <f>IFERROR(__xludf.DUMMYFUNCTION("""COMPUTED_VALUE"""),174.12)</f>
        <v>174.12</v>
      </c>
      <c r="F295" s="2">
        <f>IFERROR(__xludf.DUMMYFUNCTION("""COMPUTED_VALUE"""),3.7228343E7)</f>
        <v>37228343</v>
      </c>
    </row>
    <row r="296">
      <c r="A296" s="3">
        <f>IFERROR(__xludf.DUMMYFUNCTION("""COMPUTED_VALUE"""),45357.66666666667)</f>
        <v>45357.66667</v>
      </c>
      <c r="B296" s="2">
        <f>IFERROR(__xludf.DUMMYFUNCTION("""COMPUTED_VALUE"""),175.54)</f>
        <v>175.54</v>
      </c>
      <c r="C296" s="2">
        <f>IFERROR(__xludf.DUMMYFUNCTION("""COMPUTED_VALUE"""),176.46)</f>
        <v>176.46</v>
      </c>
      <c r="D296" s="2">
        <f>IFERROR(__xludf.DUMMYFUNCTION("""COMPUTED_VALUE"""),173.26)</f>
        <v>173.26</v>
      </c>
      <c r="E296" s="2">
        <f>IFERROR(__xludf.DUMMYFUNCTION("""COMPUTED_VALUE"""),173.51)</f>
        <v>173.51</v>
      </c>
      <c r="F296" s="2">
        <f>IFERROR(__xludf.DUMMYFUNCTION("""COMPUTED_VALUE"""),3.2090926E7)</f>
        <v>32090926</v>
      </c>
    </row>
    <row r="297">
      <c r="A297" s="3">
        <f>IFERROR(__xludf.DUMMYFUNCTION("""COMPUTED_VALUE"""),45358.66666666667)</f>
        <v>45358.66667</v>
      </c>
      <c r="B297" s="2">
        <f>IFERROR(__xludf.DUMMYFUNCTION("""COMPUTED_VALUE"""),174.83)</f>
        <v>174.83</v>
      </c>
      <c r="C297" s="2">
        <f>IFERROR(__xludf.DUMMYFUNCTION("""COMPUTED_VALUE"""),177.99)</f>
        <v>177.99</v>
      </c>
      <c r="D297" s="2">
        <f>IFERROR(__xludf.DUMMYFUNCTION("""COMPUTED_VALUE"""),173.72)</f>
        <v>173.72</v>
      </c>
      <c r="E297" s="2">
        <f>IFERROR(__xludf.DUMMYFUNCTION("""COMPUTED_VALUE"""),176.82)</f>
        <v>176.82</v>
      </c>
      <c r="F297" s="2">
        <f>IFERROR(__xludf.DUMMYFUNCTION("""COMPUTED_VALUE"""),3.4063283E7)</f>
        <v>34063283</v>
      </c>
    </row>
    <row r="298">
      <c r="A298" s="3">
        <f>IFERROR(__xludf.DUMMYFUNCTION("""COMPUTED_VALUE"""),45359.66666666667)</f>
        <v>45359.66667</v>
      </c>
      <c r="B298" s="2">
        <f>IFERROR(__xludf.DUMMYFUNCTION("""COMPUTED_VALUE"""),176.44)</f>
        <v>176.44</v>
      </c>
      <c r="C298" s="2">
        <f>IFERROR(__xludf.DUMMYFUNCTION("""COMPUTED_VALUE"""),178.79)</f>
        <v>178.79</v>
      </c>
      <c r="D298" s="2">
        <f>IFERROR(__xludf.DUMMYFUNCTION("""COMPUTED_VALUE"""),174.33)</f>
        <v>174.33</v>
      </c>
      <c r="E298" s="2">
        <f>IFERROR(__xludf.DUMMYFUNCTION("""COMPUTED_VALUE"""),175.35)</f>
        <v>175.35</v>
      </c>
      <c r="F298" s="2">
        <f>IFERROR(__xludf.DUMMYFUNCTION("""COMPUTED_VALUE"""),3.7893242E7)</f>
        <v>37893242</v>
      </c>
    </row>
    <row r="299">
      <c r="A299" s="3">
        <f>IFERROR(__xludf.DUMMYFUNCTION("""COMPUTED_VALUE"""),45362.66666666667)</f>
        <v>45362.66667</v>
      </c>
      <c r="B299" s="2">
        <f>IFERROR(__xludf.DUMMYFUNCTION("""COMPUTED_VALUE"""),174.31)</f>
        <v>174.31</v>
      </c>
      <c r="C299" s="2">
        <f>IFERROR(__xludf.DUMMYFUNCTION("""COMPUTED_VALUE"""),174.47)</f>
        <v>174.47</v>
      </c>
      <c r="D299" s="2">
        <f>IFERROR(__xludf.DUMMYFUNCTION("""COMPUTED_VALUE"""),171.47)</f>
        <v>171.47</v>
      </c>
      <c r="E299" s="2">
        <f>IFERROR(__xludf.DUMMYFUNCTION("""COMPUTED_VALUE"""),171.96)</f>
        <v>171.96</v>
      </c>
      <c r="F299" s="2">
        <f>IFERROR(__xludf.DUMMYFUNCTION("""COMPUTED_VALUE"""),2.8484777E7)</f>
        <v>28484777</v>
      </c>
    </row>
    <row r="300">
      <c r="A300" s="3">
        <f>IFERROR(__xludf.DUMMYFUNCTION("""COMPUTED_VALUE"""),45363.66666666667)</f>
        <v>45363.66667</v>
      </c>
      <c r="B300" s="2">
        <f>IFERROR(__xludf.DUMMYFUNCTION("""COMPUTED_VALUE"""),173.5)</f>
        <v>173.5</v>
      </c>
      <c r="C300" s="2">
        <f>IFERROR(__xludf.DUMMYFUNCTION("""COMPUTED_VALUE"""),176.76)</f>
        <v>176.76</v>
      </c>
      <c r="D300" s="2">
        <f>IFERROR(__xludf.DUMMYFUNCTION("""COMPUTED_VALUE"""),171.98)</f>
        <v>171.98</v>
      </c>
      <c r="E300" s="2">
        <f>IFERROR(__xludf.DUMMYFUNCTION("""COMPUTED_VALUE"""),175.39)</f>
        <v>175.39</v>
      </c>
      <c r="F300" s="2">
        <f>IFERROR(__xludf.DUMMYFUNCTION("""COMPUTED_VALUE"""),3.6610604E7)</f>
        <v>36610604</v>
      </c>
    </row>
    <row r="301">
      <c r="A301" s="3">
        <f>IFERROR(__xludf.DUMMYFUNCTION("""COMPUTED_VALUE"""),45364.66666666667)</f>
        <v>45364.66667</v>
      </c>
      <c r="B301" s="2">
        <f>IFERROR(__xludf.DUMMYFUNCTION("""COMPUTED_VALUE"""),175.9)</f>
        <v>175.9</v>
      </c>
      <c r="C301" s="2">
        <f>IFERROR(__xludf.DUMMYFUNCTION("""COMPUTED_VALUE"""),177.62)</f>
        <v>177.62</v>
      </c>
      <c r="D301" s="2">
        <f>IFERROR(__xludf.DUMMYFUNCTION("""COMPUTED_VALUE"""),175.55)</f>
        <v>175.55</v>
      </c>
      <c r="E301" s="2">
        <f>IFERROR(__xludf.DUMMYFUNCTION("""COMPUTED_VALUE"""),176.56)</f>
        <v>176.56</v>
      </c>
      <c r="F301" s="2">
        <f>IFERROR(__xludf.DUMMYFUNCTION("""COMPUTED_VALUE"""),3.07726E7)</f>
        <v>30772600</v>
      </c>
    </row>
    <row r="302">
      <c r="A302" s="3">
        <f>IFERROR(__xludf.DUMMYFUNCTION("""COMPUTED_VALUE"""),45365.66666666667)</f>
        <v>45365.66667</v>
      </c>
      <c r="B302" s="2">
        <f>IFERROR(__xludf.DUMMYFUNCTION("""COMPUTED_VALUE"""),177.69)</f>
        <v>177.69</v>
      </c>
      <c r="C302" s="2">
        <f>IFERROR(__xludf.DUMMYFUNCTION("""COMPUTED_VALUE"""),179.53)</f>
        <v>179.53</v>
      </c>
      <c r="D302" s="2">
        <f>IFERROR(__xludf.DUMMYFUNCTION("""COMPUTED_VALUE"""),176.47)</f>
        <v>176.47</v>
      </c>
      <c r="E302" s="2">
        <f>IFERROR(__xludf.DUMMYFUNCTION("""COMPUTED_VALUE"""),178.75)</f>
        <v>178.75</v>
      </c>
      <c r="F302" s="2">
        <f>IFERROR(__xludf.DUMMYFUNCTION("""COMPUTED_VALUE"""),4.370584E7)</f>
        <v>43705840</v>
      </c>
    </row>
    <row r="303">
      <c r="A303" s="3">
        <f>IFERROR(__xludf.DUMMYFUNCTION("""COMPUTED_VALUE"""),45366.66666666667)</f>
        <v>45366.66667</v>
      </c>
      <c r="B303" s="2">
        <f>IFERROR(__xludf.DUMMYFUNCTION("""COMPUTED_VALUE"""),176.64)</f>
        <v>176.64</v>
      </c>
      <c r="C303" s="2">
        <f>IFERROR(__xludf.DUMMYFUNCTION("""COMPUTED_VALUE"""),177.93)</f>
        <v>177.93</v>
      </c>
      <c r="D303" s="2">
        <f>IFERROR(__xludf.DUMMYFUNCTION("""COMPUTED_VALUE"""),173.9)</f>
        <v>173.9</v>
      </c>
      <c r="E303" s="2">
        <f>IFERROR(__xludf.DUMMYFUNCTION("""COMPUTED_VALUE"""),174.42)</f>
        <v>174.42</v>
      </c>
      <c r="F303" s="2">
        <f>IFERROR(__xludf.DUMMYFUNCTION("""COMPUTED_VALUE"""),7.214739E7)</f>
        <v>72147390</v>
      </c>
    </row>
    <row r="304">
      <c r="A304" s="3">
        <f>IFERROR(__xludf.DUMMYFUNCTION("""COMPUTED_VALUE"""),45369.66666666667)</f>
        <v>45369.66667</v>
      </c>
      <c r="B304" s="2">
        <f>IFERROR(__xludf.DUMMYFUNCTION("""COMPUTED_VALUE"""),175.8)</f>
        <v>175.8</v>
      </c>
      <c r="C304" s="2">
        <f>IFERROR(__xludf.DUMMYFUNCTION("""COMPUTED_VALUE"""),176.69)</f>
        <v>176.69</v>
      </c>
      <c r="D304" s="2">
        <f>IFERROR(__xludf.DUMMYFUNCTION("""COMPUTED_VALUE"""),174.28)</f>
        <v>174.28</v>
      </c>
      <c r="E304" s="2">
        <f>IFERROR(__xludf.DUMMYFUNCTION("""COMPUTED_VALUE"""),174.48)</f>
        <v>174.48</v>
      </c>
      <c r="F304" s="2">
        <f>IFERROR(__xludf.DUMMYFUNCTION("""COMPUTED_VALUE"""),3.1250688E7)</f>
        <v>31250688</v>
      </c>
    </row>
    <row r="305">
      <c r="A305" s="3">
        <f>IFERROR(__xludf.DUMMYFUNCTION("""COMPUTED_VALUE"""),45370.66666666667)</f>
        <v>45370.66667</v>
      </c>
      <c r="B305" s="2">
        <f>IFERROR(__xludf.DUMMYFUNCTION("""COMPUTED_VALUE"""),174.22)</f>
        <v>174.22</v>
      </c>
      <c r="C305" s="2">
        <f>IFERROR(__xludf.DUMMYFUNCTION("""COMPUTED_VALUE"""),176.09)</f>
        <v>176.09</v>
      </c>
      <c r="D305" s="2">
        <f>IFERROR(__xludf.DUMMYFUNCTION("""COMPUTED_VALUE"""),173.52)</f>
        <v>173.52</v>
      </c>
      <c r="E305" s="2">
        <f>IFERROR(__xludf.DUMMYFUNCTION("""COMPUTED_VALUE"""),175.9)</f>
        <v>175.9</v>
      </c>
      <c r="F305" s="2">
        <f>IFERROR(__xludf.DUMMYFUNCTION("""COMPUTED_VALUE"""),2.6880893E7)</f>
        <v>26880893</v>
      </c>
    </row>
    <row r="306">
      <c r="A306" s="3">
        <f>IFERROR(__xludf.DUMMYFUNCTION("""COMPUTED_VALUE"""),45371.66666666667)</f>
        <v>45371.66667</v>
      </c>
      <c r="B306" s="2">
        <f>IFERROR(__xludf.DUMMYFUNCTION("""COMPUTED_VALUE"""),176.14)</f>
        <v>176.14</v>
      </c>
      <c r="C306" s="2">
        <f>IFERROR(__xludf.DUMMYFUNCTION("""COMPUTED_VALUE"""),178.53)</f>
        <v>178.53</v>
      </c>
      <c r="D306" s="2">
        <f>IFERROR(__xludf.DUMMYFUNCTION("""COMPUTED_VALUE"""),174.64)</f>
        <v>174.64</v>
      </c>
      <c r="E306" s="2">
        <f>IFERROR(__xludf.DUMMYFUNCTION("""COMPUTED_VALUE"""),178.15)</f>
        <v>178.15</v>
      </c>
      <c r="F306" s="2">
        <f>IFERROR(__xludf.DUMMYFUNCTION("""COMPUTED_VALUE"""),2.994715E7)</f>
        <v>29947150</v>
      </c>
    </row>
    <row r="307">
      <c r="A307" s="3">
        <f>IFERROR(__xludf.DUMMYFUNCTION("""COMPUTED_VALUE"""),45372.66666666667)</f>
        <v>45372.66667</v>
      </c>
      <c r="B307" s="2">
        <f>IFERROR(__xludf.DUMMYFUNCTION("""COMPUTED_VALUE"""),179.99)</f>
        <v>179.99</v>
      </c>
      <c r="C307" s="2">
        <f>IFERROR(__xludf.DUMMYFUNCTION("""COMPUTED_VALUE"""),181.42)</f>
        <v>181.42</v>
      </c>
      <c r="D307" s="2">
        <f>IFERROR(__xludf.DUMMYFUNCTION("""COMPUTED_VALUE"""),178.15)</f>
        <v>178.15</v>
      </c>
      <c r="E307" s="2">
        <f>IFERROR(__xludf.DUMMYFUNCTION("""COMPUTED_VALUE"""),178.15)</f>
        <v>178.15</v>
      </c>
      <c r="F307" s="2">
        <f>IFERROR(__xludf.DUMMYFUNCTION("""COMPUTED_VALUE"""),3.282432E7)</f>
        <v>32824320</v>
      </c>
    </row>
    <row r="308">
      <c r="A308" s="3">
        <f>IFERROR(__xludf.DUMMYFUNCTION("""COMPUTED_VALUE"""),45373.66666666667)</f>
        <v>45373.66667</v>
      </c>
      <c r="B308" s="2">
        <f>IFERROR(__xludf.DUMMYFUNCTION("""COMPUTED_VALUE"""),177.75)</f>
        <v>177.75</v>
      </c>
      <c r="C308" s="2">
        <f>IFERROR(__xludf.DUMMYFUNCTION("""COMPUTED_VALUE"""),179.26)</f>
        <v>179.26</v>
      </c>
      <c r="D308" s="2">
        <f>IFERROR(__xludf.DUMMYFUNCTION("""COMPUTED_VALUE"""),176.75)</f>
        <v>176.75</v>
      </c>
      <c r="E308" s="2">
        <f>IFERROR(__xludf.DUMMYFUNCTION("""COMPUTED_VALUE"""),178.87)</f>
        <v>178.87</v>
      </c>
      <c r="F308" s="2">
        <f>IFERROR(__xludf.DUMMYFUNCTION("""COMPUTED_VALUE"""),2.7995378E7)</f>
        <v>27995378</v>
      </c>
    </row>
    <row r="309">
      <c r="A309" s="3">
        <f>IFERROR(__xludf.DUMMYFUNCTION("""COMPUTED_VALUE"""),45376.66666666667)</f>
        <v>45376.66667</v>
      </c>
      <c r="B309" s="2">
        <f>IFERROR(__xludf.DUMMYFUNCTION("""COMPUTED_VALUE"""),178.01)</f>
        <v>178.01</v>
      </c>
      <c r="C309" s="2">
        <f>IFERROR(__xludf.DUMMYFUNCTION("""COMPUTED_VALUE"""),180.99)</f>
        <v>180.99</v>
      </c>
      <c r="D309" s="2">
        <f>IFERROR(__xludf.DUMMYFUNCTION("""COMPUTED_VALUE"""),177.24)</f>
        <v>177.24</v>
      </c>
      <c r="E309" s="2">
        <f>IFERROR(__xludf.DUMMYFUNCTION("""COMPUTED_VALUE"""),179.71)</f>
        <v>179.71</v>
      </c>
      <c r="F309" s="2">
        <f>IFERROR(__xludf.DUMMYFUNCTION("""COMPUTED_VALUE"""),2.9815464E7)</f>
        <v>29815464</v>
      </c>
    </row>
    <row r="310">
      <c r="A310" s="3">
        <f>IFERROR(__xludf.DUMMYFUNCTION("""COMPUTED_VALUE"""),45377.66666666667)</f>
        <v>45377.66667</v>
      </c>
      <c r="B310" s="2">
        <f>IFERROR(__xludf.DUMMYFUNCTION("""COMPUTED_VALUE"""),180.15)</f>
        <v>180.15</v>
      </c>
      <c r="C310" s="2">
        <f>IFERROR(__xludf.DUMMYFUNCTION("""COMPUTED_VALUE"""),180.45)</f>
        <v>180.45</v>
      </c>
      <c r="D310" s="2">
        <f>IFERROR(__xludf.DUMMYFUNCTION("""COMPUTED_VALUE"""),177.95)</f>
        <v>177.95</v>
      </c>
      <c r="E310" s="2">
        <f>IFERROR(__xludf.DUMMYFUNCTION("""COMPUTED_VALUE"""),178.3)</f>
        <v>178.3</v>
      </c>
      <c r="F310" s="2">
        <f>IFERROR(__xludf.DUMMYFUNCTION("""COMPUTED_VALUE"""),2.9658982E7)</f>
        <v>29658982</v>
      </c>
    </row>
    <row r="311">
      <c r="A311" s="3">
        <f>IFERROR(__xludf.DUMMYFUNCTION("""COMPUTED_VALUE"""),45378.66666666667)</f>
        <v>45378.66667</v>
      </c>
      <c r="B311" s="2">
        <f>IFERROR(__xludf.DUMMYFUNCTION("""COMPUTED_VALUE"""),179.88)</f>
        <v>179.88</v>
      </c>
      <c r="C311" s="2">
        <f>IFERROR(__xludf.DUMMYFUNCTION("""COMPUTED_VALUE"""),180.0)</f>
        <v>180</v>
      </c>
      <c r="D311" s="2">
        <f>IFERROR(__xludf.DUMMYFUNCTION("""COMPUTED_VALUE"""),177.31)</f>
        <v>177.31</v>
      </c>
      <c r="E311" s="2">
        <f>IFERROR(__xludf.DUMMYFUNCTION("""COMPUTED_VALUE"""),179.83)</f>
        <v>179.83</v>
      </c>
      <c r="F311" s="2">
        <f>IFERROR(__xludf.DUMMYFUNCTION("""COMPUTED_VALUE"""),3.3272551E7)</f>
        <v>33272551</v>
      </c>
    </row>
    <row r="312">
      <c r="A312" s="3">
        <f>IFERROR(__xludf.DUMMYFUNCTION("""COMPUTED_VALUE"""),45379.66666666667)</f>
        <v>45379.66667</v>
      </c>
      <c r="B312" s="2">
        <f>IFERROR(__xludf.DUMMYFUNCTION("""COMPUTED_VALUE"""),180.17)</f>
        <v>180.17</v>
      </c>
      <c r="C312" s="2">
        <f>IFERROR(__xludf.DUMMYFUNCTION("""COMPUTED_VALUE"""),181.7)</f>
        <v>181.7</v>
      </c>
      <c r="D312" s="2">
        <f>IFERROR(__xludf.DUMMYFUNCTION("""COMPUTED_VALUE"""),179.26)</f>
        <v>179.26</v>
      </c>
      <c r="E312" s="2">
        <f>IFERROR(__xludf.DUMMYFUNCTION("""COMPUTED_VALUE"""),180.38)</f>
        <v>180.38</v>
      </c>
      <c r="F312" s="2">
        <f>IFERROR(__xludf.DUMMYFUNCTION("""COMPUTED_VALUE"""),3.8051588E7)</f>
        <v>38051588</v>
      </c>
    </row>
    <row r="313">
      <c r="A313" s="3">
        <f>IFERROR(__xludf.DUMMYFUNCTION("""COMPUTED_VALUE"""),45383.66666666667)</f>
        <v>45383.66667</v>
      </c>
      <c r="B313" s="2">
        <f>IFERROR(__xludf.DUMMYFUNCTION("""COMPUTED_VALUE"""),180.79)</f>
        <v>180.79</v>
      </c>
      <c r="C313" s="2">
        <f>IFERROR(__xludf.DUMMYFUNCTION("""COMPUTED_VALUE"""),183.0)</f>
        <v>183</v>
      </c>
      <c r="D313" s="2">
        <f>IFERROR(__xludf.DUMMYFUNCTION("""COMPUTED_VALUE"""),179.95)</f>
        <v>179.95</v>
      </c>
      <c r="E313" s="2">
        <f>IFERROR(__xludf.DUMMYFUNCTION("""COMPUTED_VALUE"""),180.97)</f>
        <v>180.97</v>
      </c>
      <c r="F313" s="2">
        <f>IFERROR(__xludf.DUMMYFUNCTION("""COMPUTED_VALUE"""),2.9174521E7)</f>
        <v>29174521</v>
      </c>
    </row>
    <row r="314">
      <c r="A314" s="3">
        <f>IFERROR(__xludf.DUMMYFUNCTION("""COMPUTED_VALUE"""),45384.66666666667)</f>
        <v>45384.66667</v>
      </c>
      <c r="B314" s="2">
        <f>IFERROR(__xludf.DUMMYFUNCTION("""COMPUTED_VALUE"""),179.07)</f>
        <v>179.07</v>
      </c>
      <c r="C314" s="2">
        <f>IFERROR(__xludf.DUMMYFUNCTION("""COMPUTED_VALUE"""),180.79)</f>
        <v>180.79</v>
      </c>
      <c r="D314" s="2">
        <f>IFERROR(__xludf.DUMMYFUNCTION("""COMPUTED_VALUE"""),178.38)</f>
        <v>178.38</v>
      </c>
      <c r="E314" s="2">
        <f>IFERROR(__xludf.DUMMYFUNCTION("""COMPUTED_VALUE"""),180.69)</f>
        <v>180.69</v>
      </c>
      <c r="F314" s="2">
        <f>IFERROR(__xludf.DUMMYFUNCTION("""COMPUTED_VALUE"""),3.2611546E7)</f>
        <v>32611546</v>
      </c>
    </row>
    <row r="315">
      <c r="A315" s="3">
        <f>IFERROR(__xludf.DUMMYFUNCTION("""COMPUTED_VALUE"""),45385.66666666667)</f>
        <v>45385.66667</v>
      </c>
      <c r="B315" s="2">
        <f>IFERROR(__xludf.DUMMYFUNCTION("""COMPUTED_VALUE"""),179.9)</f>
        <v>179.9</v>
      </c>
      <c r="C315" s="2">
        <f>IFERROR(__xludf.DUMMYFUNCTION("""COMPUTED_VALUE"""),182.87)</f>
        <v>182.87</v>
      </c>
      <c r="D315" s="2">
        <f>IFERROR(__xludf.DUMMYFUNCTION("""COMPUTED_VALUE"""),179.8)</f>
        <v>179.8</v>
      </c>
      <c r="E315" s="2">
        <f>IFERROR(__xludf.DUMMYFUNCTION("""COMPUTED_VALUE"""),182.41)</f>
        <v>182.41</v>
      </c>
      <c r="F315" s="2">
        <f>IFERROR(__xludf.DUMMYFUNCTION("""COMPUTED_VALUE"""),3.1046638E7)</f>
        <v>31046638</v>
      </c>
    </row>
    <row r="316">
      <c r="A316" s="3">
        <f>IFERROR(__xludf.DUMMYFUNCTION("""COMPUTED_VALUE"""),45386.66666666667)</f>
        <v>45386.66667</v>
      </c>
      <c r="B316" s="2">
        <f>IFERROR(__xludf.DUMMYFUNCTION("""COMPUTED_VALUE"""),184.0)</f>
        <v>184</v>
      </c>
      <c r="C316" s="2">
        <f>IFERROR(__xludf.DUMMYFUNCTION("""COMPUTED_VALUE"""),185.1)</f>
        <v>185.1</v>
      </c>
      <c r="D316" s="2">
        <f>IFERROR(__xludf.DUMMYFUNCTION("""COMPUTED_VALUE"""),180.0)</f>
        <v>180</v>
      </c>
      <c r="E316" s="2">
        <f>IFERROR(__xludf.DUMMYFUNCTION("""COMPUTED_VALUE"""),180.0)</f>
        <v>180</v>
      </c>
      <c r="F316" s="2">
        <f>IFERROR(__xludf.DUMMYFUNCTION("""COMPUTED_VALUE"""),4.1624261E7)</f>
        <v>41624261</v>
      </c>
    </row>
    <row r="317">
      <c r="A317" s="3">
        <f>IFERROR(__xludf.DUMMYFUNCTION("""COMPUTED_VALUE"""),45387.66666666667)</f>
        <v>45387.66667</v>
      </c>
      <c r="B317" s="2">
        <f>IFERROR(__xludf.DUMMYFUNCTION("""COMPUTED_VALUE"""),182.38)</f>
        <v>182.38</v>
      </c>
      <c r="C317" s="2">
        <f>IFERROR(__xludf.DUMMYFUNCTION("""COMPUTED_VALUE"""),186.27)</f>
        <v>186.27</v>
      </c>
      <c r="D317" s="2">
        <f>IFERROR(__xludf.DUMMYFUNCTION("""COMPUTED_VALUE"""),181.97)</f>
        <v>181.97</v>
      </c>
      <c r="E317" s="2">
        <f>IFERROR(__xludf.DUMMYFUNCTION("""COMPUTED_VALUE"""),185.07)</f>
        <v>185.07</v>
      </c>
      <c r="F317" s="2">
        <f>IFERROR(__xludf.DUMMYFUNCTION("""COMPUTED_VALUE"""),4.2373992E7)</f>
        <v>42373992</v>
      </c>
    </row>
    <row r="318">
      <c r="A318" s="3">
        <f>IFERROR(__xludf.DUMMYFUNCTION("""COMPUTED_VALUE"""),45390.66666666667)</f>
        <v>45390.66667</v>
      </c>
      <c r="B318" s="2">
        <f>IFERROR(__xludf.DUMMYFUNCTION("""COMPUTED_VALUE"""),186.9)</f>
        <v>186.9</v>
      </c>
      <c r="C318" s="2">
        <f>IFERROR(__xludf.DUMMYFUNCTION("""COMPUTED_VALUE"""),187.29)</f>
        <v>187.29</v>
      </c>
      <c r="D318" s="2">
        <f>IFERROR(__xludf.DUMMYFUNCTION("""COMPUTED_VALUE"""),184.81)</f>
        <v>184.81</v>
      </c>
      <c r="E318" s="2">
        <f>IFERROR(__xludf.DUMMYFUNCTION("""COMPUTED_VALUE"""),185.19)</f>
        <v>185.19</v>
      </c>
      <c r="F318" s="2">
        <f>IFERROR(__xludf.DUMMYFUNCTION("""COMPUTED_VALUE"""),3.9221282E7)</f>
        <v>39221282</v>
      </c>
    </row>
    <row r="319">
      <c r="A319" s="3">
        <f>IFERROR(__xludf.DUMMYFUNCTION("""COMPUTED_VALUE"""),45391.66666666667)</f>
        <v>45391.66667</v>
      </c>
      <c r="B319" s="2">
        <f>IFERROR(__xludf.DUMMYFUNCTION("""COMPUTED_VALUE"""),187.24)</f>
        <v>187.24</v>
      </c>
      <c r="C319" s="2">
        <f>IFERROR(__xludf.DUMMYFUNCTION("""COMPUTED_VALUE"""),187.34)</f>
        <v>187.34</v>
      </c>
      <c r="D319" s="2">
        <f>IFERROR(__xludf.DUMMYFUNCTION("""COMPUTED_VALUE"""),184.2)</f>
        <v>184.2</v>
      </c>
      <c r="E319" s="2">
        <f>IFERROR(__xludf.DUMMYFUNCTION("""COMPUTED_VALUE"""),185.67)</f>
        <v>185.67</v>
      </c>
      <c r="F319" s="2">
        <f>IFERROR(__xludf.DUMMYFUNCTION("""COMPUTED_VALUE"""),3.6546946E7)</f>
        <v>36546946</v>
      </c>
    </row>
    <row r="320">
      <c r="A320" s="3">
        <f>IFERROR(__xludf.DUMMYFUNCTION("""COMPUTED_VALUE"""),45392.66666666667)</f>
        <v>45392.66667</v>
      </c>
      <c r="B320" s="2">
        <f>IFERROR(__xludf.DUMMYFUNCTION("""COMPUTED_VALUE"""),182.77)</f>
        <v>182.77</v>
      </c>
      <c r="C320" s="2">
        <f>IFERROR(__xludf.DUMMYFUNCTION("""COMPUTED_VALUE"""),186.27)</f>
        <v>186.27</v>
      </c>
      <c r="D320" s="2">
        <f>IFERROR(__xludf.DUMMYFUNCTION("""COMPUTED_VALUE"""),182.67)</f>
        <v>182.67</v>
      </c>
      <c r="E320" s="2">
        <f>IFERROR(__xludf.DUMMYFUNCTION("""COMPUTED_VALUE"""),185.95)</f>
        <v>185.95</v>
      </c>
      <c r="F320" s="2">
        <f>IFERROR(__xludf.DUMMYFUNCTION("""COMPUTED_VALUE"""),3.5879151E7)</f>
        <v>35879151</v>
      </c>
    </row>
    <row r="321">
      <c r="A321" s="3">
        <f>IFERROR(__xludf.DUMMYFUNCTION("""COMPUTED_VALUE"""),45393.66666666667)</f>
        <v>45393.66667</v>
      </c>
      <c r="B321" s="2">
        <f>IFERROR(__xludf.DUMMYFUNCTION("""COMPUTED_VALUE"""),186.74)</f>
        <v>186.74</v>
      </c>
      <c r="C321" s="2">
        <f>IFERROR(__xludf.DUMMYFUNCTION("""COMPUTED_VALUE"""),189.77)</f>
        <v>189.77</v>
      </c>
      <c r="D321" s="2">
        <f>IFERROR(__xludf.DUMMYFUNCTION("""COMPUTED_VALUE"""),185.51)</f>
        <v>185.51</v>
      </c>
      <c r="E321" s="2">
        <f>IFERROR(__xludf.DUMMYFUNCTION("""COMPUTED_VALUE"""),189.05)</f>
        <v>189.05</v>
      </c>
      <c r="F321" s="2">
        <f>IFERROR(__xludf.DUMMYFUNCTION("""COMPUTED_VALUE"""),4.0020742E7)</f>
        <v>40020742</v>
      </c>
    </row>
    <row r="322">
      <c r="A322" s="3">
        <f>IFERROR(__xludf.DUMMYFUNCTION("""COMPUTED_VALUE"""),45394.66666666667)</f>
        <v>45394.66667</v>
      </c>
      <c r="B322" s="2">
        <f>IFERROR(__xludf.DUMMYFUNCTION("""COMPUTED_VALUE"""),187.72)</f>
        <v>187.72</v>
      </c>
      <c r="C322" s="2">
        <f>IFERROR(__xludf.DUMMYFUNCTION("""COMPUTED_VALUE"""),188.38)</f>
        <v>188.38</v>
      </c>
      <c r="D322" s="2">
        <f>IFERROR(__xludf.DUMMYFUNCTION("""COMPUTED_VALUE"""),185.08)</f>
        <v>185.08</v>
      </c>
      <c r="E322" s="2">
        <f>IFERROR(__xludf.DUMMYFUNCTION("""COMPUTED_VALUE"""),186.13)</f>
        <v>186.13</v>
      </c>
      <c r="F322" s="2">
        <f>IFERROR(__xludf.DUMMYFUNCTION("""COMPUTED_VALUE"""),3.8608849E7)</f>
        <v>38608849</v>
      </c>
    </row>
    <row r="323">
      <c r="A323" s="3">
        <f>IFERROR(__xludf.DUMMYFUNCTION("""COMPUTED_VALUE"""),45397.66666666667)</f>
        <v>45397.66667</v>
      </c>
      <c r="B323" s="2">
        <f>IFERROR(__xludf.DUMMYFUNCTION("""COMPUTED_VALUE"""),187.43)</f>
        <v>187.43</v>
      </c>
      <c r="C323" s="2">
        <f>IFERROR(__xludf.DUMMYFUNCTION("""COMPUTED_VALUE"""),188.69)</f>
        <v>188.69</v>
      </c>
      <c r="D323" s="2">
        <f>IFERROR(__xludf.DUMMYFUNCTION("""COMPUTED_VALUE"""),183.0)</f>
        <v>183</v>
      </c>
      <c r="E323" s="2">
        <f>IFERROR(__xludf.DUMMYFUNCTION("""COMPUTED_VALUE"""),183.62)</f>
        <v>183.62</v>
      </c>
      <c r="F323" s="2">
        <f>IFERROR(__xludf.DUMMYFUNCTION("""COMPUTED_VALUE"""),4.8052395E7)</f>
        <v>48052395</v>
      </c>
    </row>
    <row r="324">
      <c r="A324" s="3">
        <f>IFERROR(__xludf.DUMMYFUNCTION("""COMPUTED_VALUE"""),45398.66666666667)</f>
        <v>45398.66667</v>
      </c>
      <c r="B324" s="2">
        <f>IFERROR(__xludf.DUMMYFUNCTION("""COMPUTED_VALUE"""),183.27)</f>
        <v>183.27</v>
      </c>
      <c r="C324" s="2">
        <f>IFERROR(__xludf.DUMMYFUNCTION("""COMPUTED_VALUE"""),184.83)</f>
        <v>184.83</v>
      </c>
      <c r="D324" s="2">
        <f>IFERROR(__xludf.DUMMYFUNCTION("""COMPUTED_VALUE"""),182.26)</f>
        <v>182.26</v>
      </c>
      <c r="E324" s="2">
        <f>IFERROR(__xludf.DUMMYFUNCTION("""COMPUTED_VALUE"""),183.32)</f>
        <v>183.32</v>
      </c>
      <c r="F324" s="2">
        <f>IFERROR(__xludf.DUMMYFUNCTION("""COMPUTED_VALUE"""),3.2891265E7)</f>
        <v>32891265</v>
      </c>
    </row>
    <row r="325">
      <c r="A325" s="3">
        <f>IFERROR(__xludf.DUMMYFUNCTION("""COMPUTED_VALUE"""),45399.66666666667)</f>
        <v>45399.66667</v>
      </c>
      <c r="B325" s="2">
        <f>IFERROR(__xludf.DUMMYFUNCTION("""COMPUTED_VALUE"""),184.31)</f>
        <v>184.31</v>
      </c>
      <c r="C325" s="2">
        <f>IFERROR(__xludf.DUMMYFUNCTION("""COMPUTED_VALUE"""),184.57)</f>
        <v>184.57</v>
      </c>
      <c r="D325" s="2">
        <f>IFERROR(__xludf.DUMMYFUNCTION("""COMPUTED_VALUE"""),179.82)</f>
        <v>179.82</v>
      </c>
      <c r="E325" s="2">
        <f>IFERROR(__xludf.DUMMYFUNCTION("""COMPUTED_VALUE"""),181.28)</f>
        <v>181.28</v>
      </c>
      <c r="F325" s="2">
        <f>IFERROR(__xludf.DUMMYFUNCTION("""COMPUTED_VALUE"""),3.1359673E7)</f>
        <v>31359673</v>
      </c>
    </row>
    <row r="326">
      <c r="A326" s="3">
        <f>IFERROR(__xludf.DUMMYFUNCTION("""COMPUTED_VALUE"""),45400.66666666667)</f>
        <v>45400.66667</v>
      </c>
      <c r="B326" s="2">
        <f>IFERROR(__xludf.DUMMYFUNCTION("""COMPUTED_VALUE"""),181.47)</f>
        <v>181.47</v>
      </c>
      <c r="C326" s="2">
        <f>IFERROR(__xludf.DUMMYFUNCTION("""COMPUTED_VALUE"""),182.39)</f>
        <v>182.39</v>
      </c>
      <c r="D326" s="2">
        <f>IFERROR(__xludf.DUMMYFUNCTION("""COMPUTED_VALUE"""),178.65)</f>
        <v>178.65</v>
      </c>
      <c r="E326" s="2">
        <f>IFERROR(__xludf.DUMMYFUNCTION("""COMPUTED_VALUE"""),179.22)</f>
        <v>179.22</v>
      </c>
      <c r="F326" s="2">
        <f>IFERROR(__xludf.DUMMYFUNCTION("""COMPUTED_VALUE"""),3.0723793E7)</f>
        <v>30723793</v>
      </c>
    </row>
    <row r="327">
      <c r="A327" s="3">
        <f>IFERROR(__xludf.DUMMYFUNCTION("""COMPUTED_VALUE"""),45401.66666666667)</f>
        <v>45401.66667</v>
      </c>
      <c r="B327" s="2">
        <f>IFERROR(__xludf.DUMMYFUNCTION("""COMPUTED_VALUE"""),178.74)</f>
        <v>178.74</v>
      </c>
      <c r="C327" s="2">
        <f>IFERROR(__xludf.DUMMYFUNCTION("""COMPUTED_VALUE"""),179.0)</f>
        <v>179</v>
      </c>
      <c r="D327" s="2">
        <f>IFERROR(__xludf.DUMMYFUNCTION("""COMPUTED_VALUE"""),173.44)</f>
        <v>173.44</v>
      </c>
      <c r="E327" s="2">
        <f>IFERROR(__xludf.DUMMYFUNCTION("""COMPUTED_VALUE"""),174.63)</f>
        <v>174.63</v>
      </c>
      <c r="F327" s="2">
        <f>IFERROR(__xludf.DUMMYFUNCTION("""COMPUTED_VALUE"""),5.6000729E7)</f>
        <v>56000729</v>
      </c>
    </row>
    <row r="328">
      <c r="A328" s="3">
        <f>IFERROR(__xludf.DUMMYFUNCTION("""COMPUTED_VALUE"""),45404.66666666667)</f>
        <v>45404.66667</v>
      </c>
      <c r="B328" s="2">
        <f>IFERROR(__xludf.DUMMYFUNCTION("""COMPUTED_VALUE"""),176.94)</f>
        <v>176.94</v>
      </c>
      <c r="C328" s="2">
        <f>IFERROR(__xludf.DUMMYFUNCTION("""COMPUTED_VALUE"""),178.87)</f>
        <v>178.87</v>
      </c>
      <c r="D328" s="2">
        <f>IFERROR(__xludf.DUMMYFUNCTION("""COMPUTED_VALUE"""),174.56)</f>
        <v>174.56</v>
      </c>
      <c r="E328" s="2">
        <f>IFERROR(__xludf.DUMMYFUNCTION("""COMPUTED_VALUE"""),177.23)</f>
        <v>177.23</v>
      </c>
      <c r="F328" s="2">
        <f>IFERROR(__xludf.DUMMYFUNCTION("""COMPUTED_VALUE"""),3.792489E7)</f>
        <v>37924890</v>
      </c>
    </row>
    <row r="329">
      <c r="A329" s="3">
        <f>IFERROR(__xludf.DUMMYFUNCTION("""COMPUTED_VALUE"""),45405.66666666667)</f>
        <v>45405.66667</v>
      </c>
      <c r="B329" s="2">
        <f>IFERROR(__xludf.DUMMYFUNCTION("""COMPUTED_VALUE"""),178.08)</f>
        <v>178.08</v>
      </c>
      <c r="C329" s="2">
        <f>IFERROR(__xludf.DUMMYFUNCTION("""COMPUTED_VALUE"""),179.93)</f>
        <v>179.93</v>
      </c>
      <c r="D329" s="2">
        <f>IFERROR(__xludf.DUMMYFUNCTION("""COMPUTED_VALUE"""),175.98)</f>
        <v>175.98</v>
      </c>
      <c r="E329" s="2">
        <f>IFERROR(__xludf.DUMMYFUNCTION("""COMPUTED_VALUE"""),179.54)</f>
        <v>179.54</v>
      </c>
      <c r="F329" s="2">
        <f>IFERROR(__xludf.DUMMYFUNCTION("""COMPUTED_VALUE"""),3.7046519E7)</f>
        <v>37046519</v>
      </c>
    </row>
    <row r="330">
      <c r="A330" s="3">
        <f>IFERROR(__xludf.DUMMYFUNCTION("""COMPUTED_VALUE"""),45406.66666666667)</f>
        <v>45406.66667</v>
      </c>
      <c r="B330" s="2">
        <f>IFERROR(__xludf.DUMMYFUNCTION("""COMPUTED_VALUE"""),179.94)</f>
        <v>179.94</v>
      </c>
      <c r="C330" s="2">
        <f>IFERROR(__xludf.DUMMYFUNCTION("""COMPUTED_VALUE"""),180.32)</f>
        <v>180.32</v>
      </c>
      <c r="D330" s="2">
        <f>IFERROR(__xludf.DUMMYFUNCTION("""COMPUTED_VALUE"""),176.18)</f>
        <v>176.18</v>
      </c>
      <c r="E330" s="2">
        <f>IFERROR(__xludf.DUMMYFUNCTION("""COMPUTED_VALUE"""),176.59)</f>
        <v>176.59</v>
      </c>
      <c r="F330" s="2">
        <f>IFERROR(__xludf.DUMMYFUNCTION("""COMPUTED_VALUE"""),3.4185109E7)</f>
        <v>34185109</v>
      </c>
    </row>
    <row r="331">
      <c r="A331" s="3">
        <f>IFERROR(__xludf.DUMMYFUNCTION("""COMPUTED_VALUE"""),45407.66666666667)</f>
        <v>45407.66667</v>
      </c>
      <c r="B331" s="2">
        <f>IFERROR(__xludf.DUMMYFUNCTION("""COMPUTED_VALUE"""),169.68)</f>
        <v>169.68</v>
      </c>
      <c r="C331" s="2">
        <f>IFERROR(__xludf.DUMMYFUNCTION("""COMPUTED_VALUE"""),173.92)</f>
        <v>173.92</v>
      </c>
      <c r="D331" s="2">
        <f>IFERROR(__xludf.DUMMYFUNCTION("""COMPUTED_VALUE"""),166.32)</f>
        <v>166.32</v>
      </c>
      <c r="E331" s="2">
        <f>IFERROR(__xludf.DUMMYFUNCTION("""COMPUTED_VALUE"""),173.67)</f>
        <v>173.67</v>
      </c>
      <c r="F331" s="2">
        <f>IFERROR(__xludf.DUMMYFUNCTION("""COMPUTED_VALUE"""),4.924939E7)</f>
        <v>49249390</v>
      </c>
    </row>
    <row r="332">
      <c r="A332" s="3">
        <f>IFERROR(__xludf.DUMMYFUNCTION("""COMPUTED_VALUE"""),45408.66666666667)</f>
        <v>45408.66667</v>
      </c>
      <c r="B332" s="2">
        <f>IFERROR(__xludf.DUMMYFUNCTION("""COMPUTED_VALUE"""),177.8)</f>
        <v>177.8</v>
      </c>
      <c r="C332" s="2">
        <f>IFERROR(__xludf.DUMMYFUNCTION("""COMPUTED_VALUE"""),180.82)</f>
        <v>180.82</v>
      </c>
      <c r="D332" s="2">
        <f>IFERROR(__xludf.DUMMYFUNCTION("""COMPUTED_VALUE"""),176.13)</f>
        <v>176.13</v>
      </c>
      <c r="E332" s="2">
        <f>IFERROR(__xludf.DUMMYFUNCTION("""COMPUTED_VALUE"""),179.62)</f>
        <v>179.62</v>
      </c>
      <c r="F332" s="2">
        <f>IFERROR(__xludf.DUMMYFUNCTION("""COMPUTED_VALUE"""),4.3919765E7)</f>
        <v>43919765</v>
      </c>
    </row>
    <row r="333">
      <c r="A333" s="3">
        <f>IFERROR(__xludf.DUMMYFUNCTION("""COMPUTED_VALUE"""),45411.66666666667)</f>
        <v>45411.66667</v>
      </c>
      <c r="B333" s="2">
        <f>IFERROR(__xludf.DUMMYFUNCTION("""COMPUTED_VALUE"""),182.75)</f>
        <v>182.75</v>
      </c>
      <c r="C333" s="2">
        <f>IFERROR(__xludf.DUMMYFUNCTION("""COMPUTED_VALUE"""),183.53)</f>
        <v>183.53</v>
      </c>
      <c r="D333" s="2">
        <f>IFERROR(__xludf.DUMMYFUNCTION("""COMPUTED_VALUE"""),179.39)</f>
        <v>179.39</v>
      </c>
      <c r="E333" s="2">
        <f>IFERROR(__xludf.DUMMYFUNCTION("""COMPUTED_VALUE"""),180.96)</f>
        <v>180.96</v>
      </c>
      <c r="F333" s="2">
        <f>IFERROR(__xludf.DUMMYFUNCTION("""COMPUTED_VALUE"""),5.4063937E7)</f>
        <v>54063937</v>
      </c>
    </row>
    <row r="334">
      <c r="A334" s="3">
        <f>IFERROR(__xludf.DUMMYFUNCTION("""COMPUTED_VALUE"""),45412.66666666667)</f>
        <v>45412.66667</v>
      </c>
      <c r="B334" s="2">
        <f>IFERROR(__xludf.DUMMYFUNCTION("""COMPUTED_VALUE"""),181.09)</f>
        <v>181.09</v>
      </c>
      <c r="C334" s="2">
        <f>IFERROR(__xludf.DUMMYFUNCTION("""COMPUTED_VALUE"""),182.99)</f>
        <v>182.99</v>
      </c>
      <c r="D334" s="2">
        <f>IFERROR(__xludf.DUMMYFUNCTION("""COMPUTED_VALUE"""),174.8)</f>
        <v>174.8</v>
      </c>
      <c r="E334" s="2">
        <f>IFERROR(__xludf.DUMMYFUNCTION("""COMPUTED_VALUE"""),175.0)</f>
        <v>175</v>
      </c>
      <c r="F334" s="2">
        <f>IFERROR(__xludf.DUMMYFUNCTION("""COMPUTED_VALUE"""),9.4639786E7)</f>
        <v>94639786</v>
      </c>
    </row>
    <row r="335">
      <c r="A335" s="3">
        <f>IFERROR(__xludf.DUMMYFUNCTION("""COMPUTED_VALUE"""),45413.66666666667)</f>
        <v>45413.66667</v>
      </c>
      <c r="B335" s="2">
        <f>IFERROR(__xludf.DUMMYFUNCTION("""COMPUTED_VALUE"""),181.64)</f>
        <v>181.64</v>
      </c>
      <c r="C335" s="2">
        <f>IFERROR(__xludf.DUMMYFUNCTION("""COMPUTED_VALUE"""),185.15)</f>
        <v>185.15</v>
      </c>
      <c r="D335" s="2">
        <f>IFERROR(__xludf.DUMMYFUNCTION("""COMPUTED_VALUE"""),176.56)</f>
        <v>176.56</v>
      </c>
      <c r="E335" s="2">
        <f>IFERROR(__xludf.DUMMYFUNCTION("""COMPUTED_VALUE"""),179.0)</f>
        <v>179</v>
      </c>
      <c r="F335" s="2">
        <f>IFERROR(__xludf.DUMMYFUNCTION("""COMPUTED_VALUE"""),9.4645148E7)</f>
        <v>94645148</v>
      </c>
    </row>
    <row r="336">
      <c r="A336" s="3">
        <f>IFERROR(__xludf.DUMMYFUNCTION("""COMPUTED_VALUE"""),45414.66666666667)</f>
        <v>45414.66667</v>
      </c>
      <c r="B336" s="2">
        <f>IFERROR(__xludf.DUMMYFUNCTION("""COMPUTED_VALUE"""),180.85)</f>
        <v>180.85</v>
      </c>
      <c r="C336" s="2">
        <f>IFERROR(__xludf.DUMMYFUNCTION("""COMPUTED_VALUE"""),185.1)</f>
        <v>185.1</v>
      </c>
      <c r="D336" s="2">
        <f>IFERROR(__xludf.DUMMYFUNCTION("""COMPUTED_VALUE"""),179.91)</f>
        <v>179.91</v>
      </c>
      <c r="E336" s="2">
        <f>IFERROR(__xludf.DUMMYFUNCTION("""COMPUTED_VALUE"""),184.72)</f>
        <v>184.72</v>
      </c>
      <c r="F336" s="2">
        <f>IFERROR(__xludf.DUMMYFUNCTION("""COMPUTED_VALUE"""),5.430351E7)</f>
        <v>54303510</v>
      </c>
    </row>
    <row r="337">
      <c r="A337" s="3">
        <f>IFERROR(__xludf.DUMMYFUNCTION("""COMPUTED_VALUE"""),45415.66666666667)</f>
        <v>45415.66667</v>
      </c>
      <c r="B337" s="2">
        <f>IFERROR(__xludf.DUMMYFUNCTION("""COMPUTED_VALUE"""),186.99)</f>
        <v>186.99</v>
      </c>
      <c r="C337" s="2">
        <f>IFERROR(__xludf.DUMMYFUNCTION("""COMPUTED_VALUE"""),187.87)</f>
        <v>187.87</v>
      </c>
      <c r="D337" s="2">
        <f>IFERROR(__xludf.DUMMYFUNCTION("""COMPUTED_VALUE"""),185.42)</f>
        <v>185.42</v>
      </c>
      <c r="E337" s="2">
        <f>IFERROR(__xludf.DUMMYFUNCTION("""COMPUTED_VALUE"""),186.21)</f>
        <v>186.21</v>
      </c>
      <c r="F337" s="2">
        <f>IFERROR(__xludf.DUMMYFUNCTION("""COMPUTED_VALUE"""),3.9172004E7)</f>
        <v>39172004</v>
      </c>
    </row>
    <row r="338">
      <c r="A338" s="3">
        <f>IFERROR(__xludf.DUMMYFUNCTION("""COMPUTED_VALUE"""),45418.66666666667)</f>
        <v>45418.66667</v>
      </c>
      <c r="B338" s="2">
        <f>IFERROR(__xludf.DUMMYFUNCTION("""COMPUTED_VALUE"""),186.28)</f>
        <v>186.28</v>
      </c>
      <c r="C338" s="2">
        <f>IFERROR(__xludf.DUMMYFUNCTION("""COMPUTED_VALUE"""),188.75)</f>
        <v>188.75</v>
      </c>
      <c r="D338" s="2">
        <f>IFERROR(__xludf.DUMMYFUNCTION("""COMPUTED_VALUE"""),184.8)</f>
        <v>184.8</v>
      </c>
      <c r="E338" s="2">
        <f>IFERROR(__xludf.DUMMYFUNCTION("""COMPUTED_VALUE"""),188.7)</f>
        <v>188.7</v>
      </c>
      <c r="F338" s="2">
        <f>IFERROR(__xludf.DUMMYFUNCTION("""COMPUTED_VALUE"""),3.4725295E7)</f>
        <v>34725295</v>
      </c>
    </row>
    <row r="339">
      <c r="A339" s="3">
        <f>IFERROR(__xludf.DUMMYFUNCTION("""COMPUTED_VALUE"""),45419.66666666667)</f>
        <v>45419.66667</v>
      </c>
      <c r="B339" s="2">
        <f>IFERROR(__xludf.DUMMYFUNCTION("""COMPUTED_VALUE"""),188.92)</f>
        <v>188.92</v>
      </c>
      <c r="C339" s="2">
        <f>IFERROR(__xludf.DUMMYFUNCTION("""COMPUTED_VALUE"""),189.94)</f>
        <v>189.94</v>
      </c>
      <c r="D339" s="2">
        <f>IFERROR(__xludf.DUMMYFUNCTION("""COMPUTED_VALUE"""),187.31)</f>
        <v>187.31</v>
      </c>
      <c r="E339" s="2">
        <f>IFERROR(__xludf.DUMMYFUNCTION("""COMPUTED_VALUE"""),188.76)</f>
        <v>188.76</v>
      </c>
      <c r="F339" s="2">
        <f>IFERROR(__xludf.DUMMYFUNCTION("""COMPUTED_VALUE"""),3.4048902E7)</f>
        <v>34048902</v>
      </c>
    </row>
    <row r="340">
      <c r="A340" s="3">
        <f>IFERROR(__xludf.DUMMYFUNCTION("""COMPUTED_VALUE"""),45420.66666666667)</f>
        <v>45420.66667</v>
      </c>
      <c r="B340" s="2">
        <f>IFERROR(__xludf.DUMMYFUNCTION("""COMPUTED_VALUE"""),187.44)</f>
        <v>187.44</v>
      </c>
      <c r="C340" s="2">
        <f>IFERROR(__xludf.DUMMYFUNCTION("""COMPUTED_VALUE"""),188.43)</f>
        <v>188.43</v>
      </c>
      <c r="D340" s="2">
        <f>IFERROR(__xludf.DUMMYFUNCTION("""COMPUTED_VALUE"""),186.39)</f>
        <v>186.39</v>
      </c>
      <c r="E340" s="2">
        <f>IFERROR(__xludf.DUMMYFUNCTION("""COMPUTED_VALUE"""),188.0)</f>
        <v>188</v>
      </c>
      <c r="F340" s="2">
        <f>IFERROR(__xludf.DUMMYFUNCTION("""COMPUTED_VALUE"""),2.613635E7)</f>
        <v>26136350</v>
      </c>
    </row>
    <row r="341">
      <c r="A341" s="3">
        <f>IFERROR(__xludf.DUMMYFUNCTION("""COMPUTED_VALUE"""),45421.66666666667)</f>
        <v>45421.66667</v>
      </c>
      <c r="B341" s="2">
        <f>IFERROR(__xludf.DUMMYFUNCTION("""COMPUTED_VALUE"""),188.88)</f>
        <v>188.88</v>
      </c>
      <c r="C341" s="2">
        <f>IFERROR(__xludf.DUMMYFUNCTION("""COMPUTED_VALUE"""),191.7)</f>
        <v>191.7</v>
      </c>
      <c r="D341" s="2">
        <f>IFERROR(__xludf.DUMMYFUNCTION("""COMPUTED_VALUE"""),187.44)</f>
        <v>187.44</v>
      </c>
      <c r="E341" s="2">
        <f>IFERROR(__xludf.DUMMYFUNCTION("""COMPUTED_VALUE"""),189.5)</f>
        <v>189.5</v>
      </c>
      <c r="F341" s="2">
        <f>IFERROR(__xludf.DUMMYFUNCTION("""COMPUTED_VALUE"""),4.3368377E7)</f>
        <v>43368377</v>
      </c>
    </row>
    <row r="342">
      <c r="A342" s="3">
        <f>IFERROR(__xludf.DUMMYFUNCTION("""COMPUTED_VALUE"""),45422.66666666667)</f>
        <v>45422.66667</v>
      </c>
      <c r="B342" s="2">
        <f>IFERROR(__xludf.DUMMYFUNCTION("""COMPUTED_VALUE"""),189.16)</f>
        <v>189.16</v>
      </c>
      <c r="C342" s="2">
        <f>IFERROR(__xludf.DUMMYFUNCTION("""COMPUTED_VALUE"""),189.89)</f>
        <v>189.89</v>
      </c>
      <c r="D342" s="2">
        <f>IFERROR(__xludf.DUMMYFUNCTION("""COMPUTED_VALUE"""),186.93)</f>
        <v>186.93</v>
      </c>
      <c r="E342" s="2">
        <f>IFERROR(__xludf.DUMMYFUNCTION("""COMPUTED_VALUE"""),187.48)</f>
        <v>187.48</v>
      </c>
      <c r="F342" s="2">
        <f>IFERROR(__xludf.DUMMYFUNCTION("""COMPUTED_VALUE"""),3.4141771E7)</f>
        <v>34141771</v>
      </c>
    </row>
    <row r="343">
      <c r="A343" s="3">
        <f>IFERROR(__xludf.DUMMYFUNCTION("""COMPUTED_VALUE"""),45425.66666666667)</f>
        <v>45425.66667</v>
      </c>
      <c r="B343" s="2">
        <f>IFERROR(__xludf.DUMMYFUNCTION("""COMPUTED_VALUE"""),188.0)</f>
        <v>188</v>
      </c>
      <c r="C343" s="2">
        <f>IFERROR(__xludf.DUMMYFUNCTION("""COMPUTED_VALUE"""),188.31)</f>
        <v>188.31</v>
      </c>
      <c r="D343" s="2">
        <f>IFERROR(__xludf.DUMMYFUNCTION("""COMPUTED_VALUE"""),185.36)</f>
        <v>185.36</v>
      </c>
      <c r="E343" s="2">
        <f>IFERROR(__xludf.DUMMYFUNCTION("""COMPUTED_VALUE"""),186.57)</f>
        <v>186.57</v>
      </c>
      <c r="F343" s="2">
        <f>IFERROR(__xludf.DUMMYFUNCTION("""COMPUTED_VALUE"""),2.4898613E7)</f>
        <v>24898613</v>
      </c>
    </row>
    <row r="344">
      <c r="A344" s="3">
        <f>IFERROR(__xludf.DUMMYFUNCTION("""COMPUTED_VALUE"""),45426.66666666667)</f>
        <v>45426.66667</v>
      </c>
      <c r="B344" s="2">
        <f>IFERROR(__xludf.DUMMYFUNCTION("""COMPUTED_VALUE"""),183.82)</f>
        <v>183.82</v>
      </c>
      <c r="C344" s="2">
        <f>IFERROR(__xludf.DUMMYFUNCTION("""COMPUTED_VALUE"""),187.72)</f>
        <v>187.72</v>
      </c>
      <c r="D344" s="2">
        <f>IFERROR(__xludf.DUMMYFUNCTION("""COMPUTED_VALUE"""),183.45)</f>
        <v>183.45</v>
      </c>
      <c r="E344" s="2">
        <f>IFERROR(__xludf.DUMMYFUNCTION("""COMPUTED_VALUE"""),187.07)</f>
        <v>187.07</v>
      </c>
      <c r="F344" s="2">
        <f>IFERROR(__xludf.DUMMYFUNCTION("""COMPUTED_VALUE"""),3.8698155E7)</f>
        <v>38698155</v>
      </c>
    </row>
    <row r="345">
      <c r="A345" s="3">
        <f>IFERROR(__xludf.DUMMYFUNCTION("""COMPUTED_VALUE"""),45427.66666666667)</f>
        <v>45427.66667</v>
      </c>
      <c r="B345" s="2">
        <f>IFERROR(__xludf.DUMMYFUNCTION("""COMPUTED_VALUE"""),185.97)</f>
        <v>185.97</v>
      </c>
      <c r="C345" s="2">
        <f>IFERROR(__xludf.DUMMYFUNCTION("""COMPUTED_VALUE"""),186.72)</f>
        <v>186.72</v>
      </c>
      <c r="D345" s="2">
        <f>IFERROR(__xludf.DUMMYFUNCTION("""COMPUTED_VALUE"""),182.73)</f>
        <v>182.73</v>
      </c>
      <c r="E345" s="2">
        <f>IFERROR(__xludf.DUMMYFUNCTION("""COMPUTED_VALUE"""),185.99)</f>
        <v>185.99</v>
      </c>
      <c r="F345" s="2">
        <f>IFERROR(__xludf.DUMMYFUNCTION("""COMPUTED_VALUE"""),7.5459927E7)</f>
        <v>75459927</v>
      </c>
    </row>
    <row r="346">
      <c r="A346" s="3">
        <f>IFERROR(__xludf.DUMMYFUNCTION("""COMPUTED_VALUE"""),45428.66666666667)</f>
        <v>45428.66667</v>
      </c>
      <c r="B346" s="2">
        <f>IFERROR(__xludf.DUMMYFUNCTION("""COMPUTED_VALUE"""),185.6)</f>
        <v>185.6</v>
      </c>
      <c r="C346" s="2">
        <f>IFERROR(__xludf.DUMMYFUNCTION("""COMPUTED_VALUE"""),187.31)</f>
        <v>187.31</v>
      </c>
      <c r="D346" s="2">
        <f>IFERROR(__xludf.DUMMYFUNCTION("""COMPUTED_VALUE"""),183.46)</f>
        <v>183.46</v>
      </c>
      <c r="E346" s="2">
        <f>IFERROR(__xludf.DUMMYFUNCTION("""COMPUTED_VALUE"""),183.63)</f>
        <v>183.63</v>
      </c>
      <c r="F346" s="2">
        <f>IFERROR(__xludf.DUMMYFUNCTION("""COMPUTED_VALUE"""),3.883445E7)</f>
        <v>38834450</v>
      </c>
    </row>
    <row r="347">
      <c r="A347" s="3">
        <f>IFERROR(__xludf.DUMMYFUNCTION("""COMPUTED_VALUE"""),45429.66666666667)</f>
        <v>45429.66667</v>
      </c>
      <c r="B347" s="2">
        <f>IFERROR(__xludf.DUMMYFUNCTION("""COMPUTED_VALUE"""),183.76)</f>
        <v>183.76</v>
      </c>
      <c r="C347" s="2">
        <f>IFERROR(__xludf.DUMMYFUNCTION("""COMPUTED_VALUE"""),185.3)</f>
        <v>185.3</v>
      </c>
      <c r="D347" s="2">
        <f>IFERROR(__xludf.DUMMYFUNCTION("""COMPUTED_VALUE"""),183.35)</f>
        <v>183.35</v>
      </c>
      <c r="E347" s="2">
        <f>IFERROR(__xludf.DUMMYFUNCTION("""COMPUTED_VALUE"""),184.7)</f>
        <v>184.7</v>
      </c>
      <c r="F347" s="2">
        <f>IFERROR(__xludf.DUMMYFUNCTION("""COMPUTED_VALUE"""),3.3175655E7)</f>
        <v>33175655</v>
      </c>
    </row>
    <row r="348">
      <c r="A348" s="3">
        <f>IFERROR(__xludf.DUMMYFUNCTION("""COMPUTED_VALUE"""),45432.66666666667)</f>
        <v>45432.66667</v>
      </c>
      <c r="B348" s="2">
        <f>IFERROR(__xludf.DUMMYFUNCTION("""COMPUTED_VALUE"""),184.34)</f>
        <v>184.34</v>
      </c>
      <c r="C348" s="2">
        <f>IFERROR(__xludf.DUMMYFUNCTION("""COMPUTED_VALUE"""),186.67)</f>
        <v>186.67</v>
      </c>
      <c r="D348" s="2">
        <f>IFERROR(__xludf.DUMMYFUNCTION("""COMPUTED_VALUE"""),183.28)</f>
        <v>183.28</v>
      </c>
      <c r="E348" s="2">
        <f>IFERROR(__xludf.DUMMYFUNCTION("""COMPUTED_VALUE"""),183.54)</f>
        <v>183.54</v>
      </c>
      <c r="F348" s="2">
        <f>IFERROR(__xludf.DUMMYFUNCTION("""COMPUTED_VALUE"""),3.0511768E7)</f>
        <v>30511768</v>
      </c>
    </row>
    <row r="349">
      <c r="A349" s="3">
        <f>IFERROR(__xludf.DUMMYFUNCTION("""COMPUTED_VALUE"""),45433.66666666667)</f>
        <v>45433.66667</v>
      </c>
      <c r="B349" s="2">
        <f>IFERROR(__xludf.DUMMYFUNCTION("""COMPUTED_VALUE"""),182.3)</f>
        <v>182.3</v>
      </c>
      <c r="C349" s="2">
        <f>IFERROR(__xludf.DUMMYFUNCTION("""COMPUTED_VALUE"""),183.26)</f>
        <v>183.26</v>
      </c>
      <c r="D349" s="2">
        <f>IFERROR(__xludf.DUMMYFUNCTION("""COMPUTED_VALUE"""),180.75)</f>
        <v>180.75</v>
      </c>
      <c r="E349" s="2">
        <f>IFERROR(__xludf.DUMMYFUNCTION("""COMPUTED_VALUE"""),183.15)</f>
        <v>183.15</v>
      </c>
      <c r="F349" s="2">
        <f>IFERROR(__xludf.DUMMYFUNCTION("""COMPUTED_VALUE"""),5.0839129E7)</f>
        <v>50839129</v>
      </c>
    </row>
    <row r="350">
      <c r="A350" s="3">
        <f>IFERROR(__xludf.DUMMYFUNCTION("""COMPUTED_VALUE"""),45434.66666666667)</f>
        <v>45434.66667</v>
      </c>
      <c r="B350" s="2">
        <f>IFERROR(__xludf.DUMMYFUNCTION("""COMPUTED_VALUE"""),183.88)</f>
        <v>183.88</v>
      </c>
      <c r="C350" s="2">
        <f>IFERROR(__xludf.DUMMYFUNCTION("""COMPUTED_VALUE"""),185.22)</f>
        <v>185.22</v>
      </c>
      <c r="D350" s="2">
        <f>IFERROR(__xludf.DUMMYFUNCTION("""COMPUTED_VALUE"""),181.97)</f>
        <v>181.97</v>
      </c>
      <c r="E350" s="2">
        <f>IFERROR(__xludf.DUMMYFUNCTION("""COMPUTED_VALUE"""),183.13)</f>
        <v>183.13</v>
      </c>
      <c r="F350" s="2">
        <f>IFERROR(__xludf.DUMMYFUNCTION("""COMPUTED_VALUE"""),2.8148784E7)</f>
        <v>28148784</v>
      </c>
    </row>
    <row r="351">
      <c r="A351" s="3">
        <f>IFERROR(__xludf.DUMMYFUNCTION("""COMPUTED_VALUE"""),45435.66666666667)</f>
        <v>45435.66667</v>
      </c>
      <c r="B351" s="2">
        <f>IFERROR(__xludf.DUMMYFUNCTION("""COMPUTED_VALUE"""),183.66)</f>
        <v>183.66</v>
      </c>
      <c r="C351" s="2">
        <f>IFERROR(__xludf.DUMMYFUNCTION("""COMPUTED_VALUE"""),184.76)</f>
        <v>184.76</v>
      </c>
      <c r="D351" s="2">
        <f>IFERROR(__xludf.DUMMYFUNCTION("""COMPUTED_VALUE"""),180.08)</f>
        <v>180.08</v>
      </c>
      <c r="E351" s="2">
        <f>IFERROR(__xludf.DUMMYFUNCTION("""COMPUTED_VALUE"""),181.05)</f>
        <v>181.05</v>
      </c>
      <c r="F351" s="2">
        <f>IFERROR(__xludf.DUMMYFUNCTION("""COMPUTED_VALUE"""),3.3670173E7)</f>
        <v>33670173</v>
      </c>
    </row>
    <row r="352">
      <c r="A352" s="3">
        <f>IFERROR(__xludf.DUMMYFUNCTION("""COMPUTED_VALUE"""),45436.66666666667)</f>
        <v>45436.66667</v>
      </c>
      <c r="B352" s="2">
        <f>IFERROR(__xludf.DUMMYFUNCTION("""COMPUTED_VALUE"""),181.65)</f>
        <v>181.65</v>
      </c>
      <c r="C352" s="2">
        <f>IFERROR(__xludf.DUMMYFUNCTION("""COMPUTED_VALUE"""),182.44)</f>
        <v>182.44</v>
      </c>
      <c r="D352" s="2">
        <f>IFERROR(__xludf.DUMMYFUNCTION("""COMPUTED_VALUE"""),180.3)</f>
        <v>180.3</v>
      </c>
      <c r="E352" s="2">
        <f>IFERROR(__xludf.DUMMYFUNCTION("""COMPUTED_VALUE"""),180.75)</f>
        <v>180.75</v>
      </c>
      <c r="F352" s="2">
        <f>IFERROR(__xludf.DUMMYFUNCTION("""COMPUTED_VALUE"""),2.747164E7)</f>
        <v>27471640</v>
      </c>
    </row>
    <row r="353">
      <c r="A353" s="3">
        <f>IFERROR(__xludf.DUMMYFUNCTION("""COMPUTED_VALUE"""),45440.66666666667)</f>
        <v>45440.66667</v>
      </c>
      <c r="B353" s="2">
        <f>IFERROR(__xludf.DUMMYFUNCTION("""COMPUTED_VALUE"""),179.93)</f>
        <v>179.93</v>
      </c>
      <c r="C353" s="2">
        <f>IFERROR(__xludf.DUMMYFUNCTION("""COMPUTED_VALUE"""),182.24)</f>
        <v>182.24</v>
      </c>
      <c r="D353" s="2">
        <f>IFERROR(__xludf.DUMMYFUNCTION("""COMPUTED_VALUE"""),179.49)</f>
        <v>179.49</v>
      </c>
      <c r="E353" s="2">
        <f>IFERROR(__xludf.DUMMYFUNCTION("""COMPUTED_VALUE"""),182.15)</f>
        <v>182.15</v>
      </c>
      <c r="F353" s="2">
        <f>IFERROR(__xludf.DUMMYFUNCTION("""COMPUTED_VALUE"""),2.9926963E7)</f>
        <v>29926963</v>
      </c>
    </row>
    <row r="354">
      <c r="A354" s="3">
        <f>IFERROR(__xludf.DUMMYFUNCTION("""COMPUTED_VALUE"""),45441.66666666667)</f>
        <v>45441.66667</v>
      </c>
      <c r="B354" s="2">
        <f>IFERROR(__xludf.DUMMYFUNCTION("""COMPUTED_VALUE"""),181.7)</f>
        <v>181.7</v>
      </c>
      <c r="C354" s="2">
        <f>IFERROR(__xludf.DUMMYFUNCTION("""COMPUTED_VALUE"""),184.08)</f>
        <v>184.08</v>
      </c>
      <c r="D354" s="2">
        <f>IFERROR(__xludf.DUMMYFUNCTION("""COMPUTED_VALUE"""),181.55)</f>
        <v>181.55</v>
      </c>
      <c r="E354" s="2">
        <f>IFERROR(__xludf.DUMMYFUNCTION("""COMPUTED_VALUE"""),182.02)</f>
        <v>182.02</v>
      </c>
      <c r="F354" s="2">
        <f>IFERROR(__xludf.DUMMYFUNCTION("""COMPUTED_VALUE"""),3.2009294E7)</f>
        <v>32009294</v>
      </c>
    </row>
    <row r="355">
      <c r="A355" s="3">
        <f>IFERROR(__xludf.DUMMYFUNCTION("""COMPUTED_VALUE"""),45442.66666666667)</f>
        <v>45442.66667</v>
      </c>
      <c r="B355" s="2">
        <f>IFERROR(__xludf.DUMMYFUNCTION("""COMPUTED_VALUE"""),181.31)</f>
        <v>181.31</v>
      </c>
      <c r="C355" s="2">
        <f>IFERROR(__xludf.DUMMYFUNCTION("""COMPUTED_VALUE"""),181.34)</f>
        <v>181.34</v>
      </c>
      <c r="D355" s="2">
        <f>IFERROR(__xludf.DUMMYFUNCTION("""COMPUTED_VALUE"""),178.36)</f>
        <v>178.36</v>
      </c>
      <c r="E355" s="2">
        <f>IFERROR(__xludf.DUMMYFUNCTION("""COMPUTED_VALUE"""),179.32)</f>
        <v>179.32</v>
      </c>
      <c r="F355" s="2">
        <f>IFERROR(__xludf.DUMMYFUNCTION("""COMPUTED_VALUE"""),2.9249229E7)</f>
        <v>29249229</v>
      </c>
    </row>
    <row r="356">
      <c r="A356" s="3">
        <f>IFERROR(__xludf.DUMMYFUNCTION("""COMPUTED_VALUE"""),45443.66666666667)</f>
        <v>45443.66667</v>
      </c>
      <c r="B356" s="2">
        <f>IFERROR(__xludf.DUMMYFUNCTION("""COMPUTED_VALUE"""),178.3)</f>
        <v>178.3</v>
      </c>
      <c r="C356" s="2">
        <f>IFERROR(__xludf.DUMMYFUNCTION("""COMPUTED_VALUE"""),179.21)</f>
        <v>179.21</v>
      </c>
      <c r="D356" s="2">
        <f>IFERROR(__xludf.DUMMYFUNCTION("""COMPUTED_VALUE"""),173.87)</f>
        <v>173.87</v>
      </c>
      <c r="E356" s="2">
        <f>IFERROR(__xludf.DUMMYFUNCTION("""COMPUTED_VALUE"""),176.44)</f>
        <v>176.44</v>
      </c>
      <c r="F356" s="2">
        <f>IFERROR(__xludf.DUMMYFUNCTION("""COMPUTED_VALUE"""),5.8903939E7)</f>
        <v>58903939</v>
      </c>
    </row>
    <row r="357">
      <c r="A357" s="3">
        <f>IFERROR(__xludf.DUMMYFUNCTION("""COMPUTED_VALUE"""),45446.66666666667)</f>
        <v>45446.66667</v>
      </c>
      <c r="B357" s="2">
        <f>IFERROR(__xludf.DUMMYFUNCTION("""COMPUTED_VALUE"""),177.7)</f>
        <v>177.7</v>
      </c>
      <c r="C357" s="2">
        <f>IFERROR(__xludf.DUMMYFUNCTION("""COMPUTED_VALUE"""),178.7)</f>
        <v>178.7</v>
      </c>
      <c r="D357" s="2">
        <f>IFERROR(__xludf.DUMMYFUNCTION("""COMPUTED_VALUE"""),175.92)</f>
        <v>175.92</v>
      </c>
      <c r="E357" s="2">
        <f>IFERROR(__xludf.DUMMYFUNCTION("""COMPUTED_VALUE"""),178.34)</f>
        <v>178.34</v>
      </c>
      <c r="F357" s="2">
        <f>IFERROR(__xludf.DUMMYFUNCTION("""COMPUTED_VALUE"""),3.078664E7)</f>
        <v>30786640</v>
      </c>
    </row>
    <row r="358">
      <c r="A358" s="3">
        <f>IFERROR(__xludf.DUMMYFUNCTION("""COMPUTED_VALUE"""),45447.66666666667)</f>
        <v>45447.66667</v>
      </c>
      <c r="B358" s="2">
        <f>IFERROR(__xludf.DUMMYFUNCTION("""COMPUTED_VALUE"""),177.64)</f>
        <v>177.64</v>
      </c>
      <c r="C358" s="2">
        <f>IFERROR(__xludf.DUMMYFUNCTION("""COMPUTED_VALUE"""),179.82)</f>
        <v>179.82</v>
      </c>
      <c r="D358" s="2">
        <f>IFERROR(__xludf.DUMMYFUNCTION("""COMPUTED_VALUE"""),176.44)</f>
        <v>176.44</v>
      </c>
      <c r="E358" s="2">
        <f>IFERROR(__xludf.DUMMYFUNCTION("""COMPUTED_VALUE"""),179.34)</f>
        <v>179.34</v>
      </c>
      <c r="F358" s="2">
        <f>IFERROR(__xludf.DUMMYFUNCTION("""COMPUTED_VALUE"""),2.7198388E7)</f>
        <v>27198388</v>
      </c>
    </row>
    <row r="359">
      <c r="A359" s="3">
        <f>IFERROR(__xludf.DUMMYFUNCTION("""COMPUTED_VALUE"""),45448.66666666667)</f>
        <v>45448.66667</v>
      </c>
      <c r="B359" s="2">
        <f>IFERROR(__xludf.DUMMYFUNCTION("""COMPUTED_VALUE"""),180.1)</f>
        <v>180.1</v>
      </c>
      <c r="C359" s="2">
        <f>IFERROR(__xludf.DUMMYFUNCTION("""COMPUTED_VALUE"""),181.5)</f>
        <v>181.5</v>
      </c>
      <c r="D359" s="2">
        <f>IFERROR(__xludf.DUMMYFUNCTION("""COMPUTED_VALUE"""),178.75)</f>
        <v>178.75</v>
      </c>
      <c r="E359" s="2">
        <f>IFERROR(__xludf.DUMMYFUNCTION("""COMPUTED_VALUE"""),181.28)</f>
        <v>181.28</v>
      </c>
      <c r="F359" s="2">
        <f>IFERROR(__xludf.DUMMYFUNCTION("""COMPUTED_VALUE"""),3.2116394E7)</f>
        <v>32116394</v>
      </c>
    </row>
    <row r="360">
      <c r="A360" s="3">
        <f>IFERROR(__xludf.DUMMYFUNCTION("""COMPUTED_VALUE"""),45449.66666666667)</f>
        <v>45449.66667</v>
      </c>
      <c r="B360" s="2">
        <f>IFERROR(__xludf.DUMMYFUNCTION("""COMPUTED_VALUE"""),181.75)</f>
        <v>181.75</v>
      </c>
      <c r="C360" s="2">
        <f>IFERROR(__xludf.DUMMYFUNCTION("""COMPUTED_VALUE"""),185.0)</f>
        <v>185</v>
      </c>
      <c r="D360" s="2">
        <f>IFERROR(__xludf.DUMMYFUNCTION("""COMPUTED_VALUE"""),181.49)</f>
        <v>181.49</v>
      </c>
      <c r="E360" s="2">
        <f>IFERROR(__xludf.DUMMYFUNCTION("""COMPUTED_VALUE"""),185.0)</f>
        <v>185</v>
      </c>
      <c r="F360" s="2">
        <f>IFERROR(__xludf.DUMMYFUNCTION("""COMPUTED_VALUE"""),3.1371151E7)</f>
        <v>31371151</v>
      </c>
    </row>
    <row r="361">
      <c r="A361" s="3">
        <f>IFERROR(__xludf.DUMMYFUNCTION("""COMPUTED_VALUE"""),45450.66666666667)</f>
        <v>45450.66667</v>
      </c>
      <c r="B361" s="2">
        <f>IFERROR(__xludf.DUMMYFUNCTION("""COMPUTED_VALUE"""),184.9)</f>
        <v>184.9</v>
      </c>
      <c r="C361" s="2">
        <f>IFERROR(__xludf.DUMMYFUNCTION("""COMPUTED_VALUE"""),186.29)</f>
        <v>186.29</v>
      </c>
      <c r="D361" s="2">
        <f>IFERROR(__xludf.DUMMYFUNCTION("""COMPUTED_VALUE"""),183.36)</f>
        <v>183.36</v>
      </c>
      <c r="E361" s="2">
        <f>IFERROR(__xludf.DUMMYFUNCTION("""COMPUTED_VALUE"""),184.3)</f>
        <v>184.3</v>
      </c>
      <c r="F361" s="2">
        <f>IFERROR(__xludf.DUMMYFUNCTION("""COMPUTED_VALUE"""),2.8021473E7)</f>
        <v>28021473</v>
      </c>
    </row>
    <row r="362">
      <c r="A362" s="3">
        <f>IFERROR(__xludf.DUMMYFUNCTION("""COMPUTED_VALUE"""),45453.66666666667)</f>
        <v>45453.66667</v>
      </c>
      <c r="B362" s="2">
        <f>IFERROR(__xludf.DUMMYFUNCTION("""COMPUTED_VALUE"""),184.07)</f>
        <v>184.07</v>
      </c>
      <c r="C362" s="2">
        <f>IFERROR(__xludf.DUMMYFUNCTION("""COMPUTED_VALUE"""),187.23)</f>
        <v>187.23</v>
      </c>
      <c r="D362" s="2">
        <f>IFERROR(__xludf.DUMMYFUNCTION("""COMPUTED_VALUE"""),183.79)</f>
        <v>183.79</v>
      </c>
      <c r="E362" s="2">
        <f>IFERROR(__xludf.DUMMYFUNCTION("""COMPUTED_VALUE"""),187.06)</f>
        <v>187.06</v>
      </c>
      <c r="F362" s="2">
        <f>IFERROR(__xludf.DUMMYFUNCTION("""COMPUTED_VALUE"""),3.4494498E7)</f>
        <v>34494498</v>
      </c>
    </row>
    <row r="363">
      <c r="A363" s="3">
        <f>IFERROR(__xludf.DUMMYFUNCTION("""COMPUTED_VALUE"""),45454.66666666667)</f>
        <v>45454.66667</v>
      </c>
      <c r="B363" s="2">
        <f>IFERROR(__xludf.DUMMYFUNCTION("""COMPUTED_VALUE"""),187.06)</f>
        <v>187.06</v>
      </c>
      <c r="C363" s="2">
        <f>IFERROR(__xludf.DUMMYFUNCTION("""COMPUTED_VALUE"""),187.77)</f>
        <v>187.77</v>
      </c>
      <c r="D363" s="2">
        <f>IFERROR(__xludf.DUMMYFUNCTION("""COMPUTED_VALUE"""),184.54)</f>
        <v>184.54</v>
      </c>
      <c r="E363" s="2">
        <f>IFERROR(__xludf.DUMMYFUNCTION("""COMPUTED_VALUE"""),187.23)</f>
        <v>187.23</v>
      </c>
      <c r="F363" s="2">
        <f>IFERROR(__xludf.DUMMYFUNCTION("""COMPUTED_VALUE"""),2.7265108E7)</f>
        <v>27265108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tr">
        <f>IFERROR(__xludf.DUMMYFUNCTION("(GOOGLEFINANCE(""BABA"", ""all"", DATE(2023, 1, 1), today()))"),"Date")</f>
        <v>Date</v>
      </c>
      <c r="B1" s="2" t="str">
        <f>IFERROR(__xludf.DUMMYFUNCTION("""COMPUTED_VALUE"""),"Open")</f>
        <v>Open</v>
      </c>
      <c r="C1" s="2" t="str">
        <f>IFERROR(__xludf.DUMMYFUNCTION("""COMPUTED_VALUE"""),"High")</f>
        <v>High</v>
      </c>
      <c r="D1" s="2" t="str">
        <f>IFERROR(__xludf.DUMMYFUNCTION("""COMPUTED_VALUE"""),"Low")</f>
        <v>Low</v>
      </c>
      <c r="E1" s="2" t="str">
        <f>IFERROR(__xludf.DUMMYFUNCTION("""COMPUTED_VALUE"""),"Close")</f>
        <v>Close</v>
      </c>
      <c r="F1" s="2" t="str">
        <f>IFERROR(__xludf.DUMMYFUNCTION("""COMPUTED_VALUE"""),"Volume")</f>
        <v>Volume</v>
      </c>
    </row>
    <row r="2">
      <c r="A2" s="3">
        <f>IFERROR(__xludf.DUMMYFUNCTION("""COMPUTED_VALUE"""),44929.66666666667)</f>
        <v>44929.66667</v>
      </c>
      <c r="B2" s="2">
        <f>IFERROR(__xludf.DUMMYFUNCTION("""COMPUTED_VALUE"""),91.11)</f>
        <v>91.11</v>
      </c>
      <c r="C2" s="2">
        <f>IFERROR(__xludf.DUMMYFUNCTION("""COMPUTED_VALUE"""),94.45)</f>
        <v>94.45</v>
      </c>
      <c r="D2" s="2">
        <f>IFERROR(__xludf.DUMMYFUNCTION("""COMPUTED_VALUE"""),90.75)</f>
        <v>90.75</v>
      </c>
      <c r="E2" s="2">
        <f>IFERROR(__xludf.DUMMYFUNCTION("""COMPUTED_VALUE"""),91.98)</f>
        <v>91.98</v>
      </c>
      <c r="F2" s="2">
        <f>IFERROR(__xludf.DUMMYFUNCTION("""COMPUTED_VALUE"""),2.7891043E7)</f>
        <v>27891043</v>
      </c>
    </row>
    <row r="3">
      <c r="A3" s="3">
        <f>IFERROR(__xludf.DUMMYFUNCTION("""COMPUTED_VALUE"""),44930.66666666667)</f>
        <v>44930.66667</v>
      </c>
      <c r="B3" s="2">
        <f>IFERROR(__xludf.DUMMYFUNCTION("""COMPUTED_VALUE"""),98.85)</f>
        <v>98.85</v>
      </c>
      <c r="C3" s="2">
        <f>IFERROR(__xludf.DUMMYFUNCTION("""COMPUTED_VALUE"""),104.52)</f>
        <v>104.52</v>
      </c>
      <c r="D3" s="2">
        <f>IFERROR(__xludf.DUMMYFUNCTION("""COMPUTED_VALUE"""),96.97)</f>
        <v>96.97</v>
      </c>
      <c r="E3" s="2">
        <f>IFERROR(__xludf.DUMMYFUNCTION("""COMPUTED_VALUE"""),103.92)</f>
        <v>103.92</v>
      </c>
      <c r="F3" s="2">
        <f>IFERROR(__xludf.DUMMYFUNCTION("""COMPUTED_VALUE"""),5.3291751E7)</f>
        <v>53291751</v>
      </c>
    </row>
    <row r="4">
      <c r="A4" s="3">
        <f>IFERROR(__xludf.DUMMYFUNCTION("""COMPUTED_VALUE"""),44931.66666666667)</f>
        <v>44931.66667</v>
      </c>
      <c r="B4" s="2">
        <f>IFERROR(__xludf.DUMMYFUNCTION("""COMPUTED_VALUE"""),101.4)</f>
        <v>101.4</v>
      </c>
      <c r="C4" s="2">
        <f>IFERROR(__xludf.DUMMYFUNCTION("""COMPUTED_VALUE"""),105.7)</f>
        <v>105.7</v>
      </c>
      <c r="D4" s="2">
        <f>IFERROR(__xludf.DUMMYFUNCTION("""COMPUTED_VALUE"""),100.64)</f>
        <v>100.64</v>
      </c>
      <c r="E4" s="2">
        <f>IFERROR(__xludf.DUMMYFUNCTION("""COMPUTED_VALUE"""),104.58)</f>
        <v>104.58</v>
      </c>
      <c r="F4" s="2">
        <f>IFERROR(__xludf.DUMMYFUNCTION("""COMPUTED_VALUE"""),3.0400384E7)</f>
        <v>30400384</v>
      </c>
    </row>
    <row r="5">
      <c r="A5" s="3">
        <f>IFERROR(__xludf.DUMMYFUNCTION("""COMPUTED_VALUE"""),44932.66666666667)</f>
        <v>44932.66667</v>
      </c>
      <c r="B5" s="2">
        <f>IFERROR(__xludf.DUMMYFUNCTION("""COMPUTED_VALUE"""),104.11)</f>
        <v>104.11</v>
      </c>
      <c r="C5" s="2">
        <f>IFERROR(__xludf.DUMMYFUNCTION("""COMPUTED_VALUE"""),108.0)</f>
        <v>108</v>
      </c>
      <c r="D5" s="2">
        <f>IFERROR(__xludf.DUMMYFUNCTION("""COMPUTED_VALUE"""),102.46)</f>
        <v>102.46</v>
      </c>
      <c r="E5" s="2">
        <f>IFERROR(__xludf.DUMMYFUNCTION("""COMPUTED_VALUE"""),107.4)</f>
        <v>107.4</v>
      </c>
      <c r="F5" s="2">
        <f>IFERROR(__xludf.DUMMYFUNCTION("""COMPUTED_VALUE"""),2.1072355E7)</f>
        <v>21072355</v>
      </c>
    </row>
    <row r="6">
      <c r="A6" s="3">
        <f>IFERROR(__xludf.DUMMYFUNCTION("""COMPUTED_VALUE"""),44935.66666666667)</f>
        <v>44935.66667</v>
      </c>
      <c r="B6" s="2">
        <f>IFERROR(__xludf.DUMMYFUNCTION("""COMPUTED_VALUE"""),111.99)</f>
        <v>111.99</v>
      </c>
      <c r="C6" s="2">
        <f>IFERROR(__xludf.DUMMYFUNCTION("""COMPUTED_VALUE"""),113.11)</f>
        <v>113.11</v>
      </c>
      <c r="D6" s="2">
        <f>IFERROR(__xludf.DUMMYFUNCTION("""COMPUTED_VALUE"""),108.12)</f>
        <v>108.12</v>
      </c>
      <c r="E6" s="2">
        <f>IFERROR(__xludf.DUMMYFUNCTION("""COMPUTED_VALUE"""),110.83)</f>
        <v>110.83</v>
      </c>
      <c r="F6" s="2">
        <f>IFERROR(__xludf.DUMMYFUNCTION("""COMPUTED_VALUE"""),4.2085274E7)</f>
        <v>42085274</v>
      </c>
    </row>
    <row r="7">
      <c r="A7" s="3">
        <f>IFERROR(__xludf.DUMMYFUNCTION("""COMPUTED_VALUE"""),44936.66666666667)</f>
        <v>44936.66667</v>
      </c>
      <c r="B7" s="2">
        <f>IFERROR(__xludf.DUMMYFUNCTION("""COMPUTED_VALUE"""),112.97)</f>
        <v>112.97</v>
      </c>
      <c r="C7" s="2">
        <f>IFERROR(__xludf.DUMMYFUNCTION("""COMPUTED_VALUE"""),115.48)</f>
        <v>115.48</v>
      </c>
      <c r="D7" s="2">
        <f>IFERROR(__xludf.DUMMYFUNCTION("""COMPUTED_VALUE"""),111.21)</f>
        <v>111.21</v>
      </c>
      <c r="E7" s="2">
        <f>IFERROR(__xludf.DUMMYFUNCTION("""COMPUTED_VALUE"""),114.88)</f>
        <v>114.88</v>
      </c>
      <c r="F7" s="2">
        <f>IFERROR(__xludf.DUMMYFUNCTION("""COMPUTED_VALUE"""),3.3478575E7)</f>
        <v>33478575</v>
      </c>
    </row>
    <row r="8">
      <c r="A8" s="3">
        <f>IFERROR(__xludf.DUMMYFUNCTION("""COMPUTED_VALUE"""),44937.66666666667)</f>
        <v>44937.66667</v>
      </c>
      <c r="B8" s="2">
        <f>IFERROR(__xludf.DUMMYFUNCTION("""COMPUTED_VALUE"""),114.6)</f>
        <v>114.6</v>
      </c>
      <c r="C8" s="2">
        <f>IFERROR(__xludf.DUMMYFUNCTION("""COMPUTED_VALUE"""),115.21)</f>
        <v>115.21</v>
      </c>
      <c r="D8" s="2">
        <f>IFERROR(__xludf.DUMMYFUNCTION("""COMPUTED_VALUE"""),112.31)</f>
        <v>112.31</v>
      </c>
      <c r="E8" s="2">
        <f>IFERROR(__xludf.DUMMYFUNCTION("""COMPUTED_VALUE"""),115.02)</f>
        <v>115.02</v>
      </c>
      <c r="F8" s="2">
        <f>IFERROR(__xludf.DUMMYFUNCTION("""COMPUTED_VALUE"""),2.2804411E7)</f>
        <v>22804411</v>
      </c>
    </row>
    <row r="9">
      <c r="A9" s="3">
        <f>IFERROR(__xludf.DUMMYFUNCTION("""COMPUTED_VALUE"""),44938.66666666667)</f>
        <v>44938.66667</v>
      </c>
      <c r="B9" s="2">
        <f>IFERROR(__xludf.DUMMYFUNCTION("""COMPUTED_VALUE"""),113.66)</f>
        <v>113.66</v>
      </c>
      <c r="C9" s="2">
        <f>IFERROR(__xludf.DUMMYFUNCTION("""COMPUTED_VALUE"""),113.79)</f>
        <v>113.79</v>
      </c>
      <c r="D9" s="2">
        <f>IFERROR(__xludf.DUMMYFUNCTION("""COMPUTED_VALUE"""),111.45)</f>
        <v>111.45</v>
      </c>
      <c r="E9" s="2">
        <f>IFERROR(__xludf.DUMMYFUNCTION("""COMPUTED_VALUE"""),113.15)</f>
        <v>113.15</v>
      </c>
      <c r="F9" s="2">
        <f>IFERROR(__xludf.DUMMYFUNCTION("""COMPUTED_VALUE"""),1.6590604E7)</f>
        <v>16590604</v>
      </c>
    </row>
    <row r="10">
      <c r="A10" s="3">
        <f>IFERROR(__xludf.DUMMYFUNCTION("""COMPUTED_VALUE"""),44939.66666666667)</f>
        <v>44939.66667</v>
      </c>
      <c r="B10" s="2">
        <f>IFERROR(__xludf.DUMMYFUNCTION("""COMPUTED_VALUE"""),114.52)</f>
        <v>114.52</v>
      </c>
      <c r="C10" s="2">
        <f>IFERROR(__xludf.DUMMYFUNCTION("""COMPUTED_VALUE"""),117.98)</f>
        <v>117.98</v>
      </c>
      <c r="D10" s="2">
        <f>IFERROR(__xludf.DUMMYFUNCTION("""COMPUTED_VALUE"""),114.09)</f>
        <v>114.09</v>
      </c>
      <c r="E10" s="2">
        <f>IFERROR(__xludf.DUMMYFUNCTION("""COMPUTED_VALUE"""),117.01)</f>
        <v>117.01</v>
      </c>
      <c r="F10" s="2">
        <f>IFERROR(__xludf.DUMMYFUNCTION("""COMPUTED_VALUE"""),2.5615105E7)</f>
        <v>25615105</v>
      </c>
    </row>
    <row r="11">
      <c r="A11" s="3">
        <f>IFERROR(__xludf.DUMMYFUNCTION("""COMPUTED_VALUE"""),44943.66666666667)</f>
        <v>44943.66667</v>
      </c>
      <c r="B11" s="2">
        <f>IFERROR(__xludf.DUMMYFUNCTION("""COMPUTED_VALUE"""),115.52)</f>
        <v>115.52</v>
      </c>
      <c r="C11" s="2">
        <f>IFERROR(__xludf.DUMMYFUNCTION("""COMPUTED_VALUE"""),117.01)</f>
        <v>117.01</v>
      </c>
      <c r="D11" s="2">
        <f>IFERROR(__xludf.DUMMYFUNCTION("""COMPUTED_VALUE"""),114.34)</f>
        <v>114.34</v>
      </c>
      <c r="E11" s="2">
        <f>IFERROR(__xludf.DUMMYFUNCTION("""COMPUTED_VALUE"""),115.19)</f>
        <v>115.19</v>
      </c>
      <c r="F11" s="2">
        <f>IFERROR(__xludf.DUMMYFUNCTION("""COMPUTED_VALUE"""),1.6945555E7)</f>
        <v>16945555</v>
      </c>
    </row>
    <row r="12">
      <c r="A12" s="3">
        <f>IFERROR(__xludf.DUMMYFUNCTION("""COMPUTED_VALUE"""),44944.66666666667)</f>
        <v>44944.66667</v>
      </c>
      <c r="B12" s="2">
        <f>IFERROR(__xludf.DUMMYFUNCTION("""COMPUTED_VALUE"""),116.75)</f>
        <v>116.75</v>
      </c>
      <c r="C12" s="2">
        <f>IFERROR(__xludf.DUMMYFUNCTION("""COMPUTED_VALUE"""),116.75)</f>
        <v>116.75</v>
      </c>
      <c r="D12" s="2">
        <f>IFERROR(__xludf.DUMMYFUNCTION("""COMPUTED_VALUE"""),113.04)</f>
        <v>113.04</v>
      </c>
      <c r="E12" s="2">
        <f>IFERROR(__xludf.DUMMYFUNCTION("""COMPUTED_VALUE"""),113.22)</f>
        <v>113.22</v>
      </c>
      <c r="F12" s="2">
        <f>IFERROR(__xludf.DUMMYFUNCTION("""COMPUTED_VALUE"""),1.5347918E7)</f>
        <v>15347918</v>
      </c>
    </row>
    <row r="13">
      <c r="A13" s="3">
        <f>IFERROR(__xludf.DUMMYFUNCTION("""COMPUTED_VALUE"""),44945.66666666667)</f>
        <v>44945.66667</v>
      </c>
      <c r="B13" s="2">
        <f>IFERROR(__xludf.DUMMYFUNCTION("""COMPUTED_VALUE"""),114.02)</f>
        <v>114.02</v>
      </c>
      <c r="C13" s="2">
        <f>IFERROR(__xludf.DUMMYFUNCTION("""COMPUTED_VALUE"""),117.0)</f>
        <v>117</v>
      </c>
      <c r="D13" s="2">
        <f>IFERROR(__xludf.DUMMYFUNCTION("""COMPUTED_VALUE"""),113.97)</f>
        <v>113.97</v>
      </c>
      <c r="E13" s="2">
        <f>IFERROR(__xludf.DUMMYFUNCTION("""COMPUTED_VALUE"""),116.58)</f>
        <v>116.58</v>
      </c>
      <c r="F13" s="2">
        <f>IFERROR(__xludf.DUMMYFUNCTION("""COMPUTED_VALUE"""),1.8489927E7)</f>
        <v>18489927</v>
      </c>
    </row>
    <row r="14">
      <c r="A14" s="3">
        <f>IFERROR(__xludf.DUMMYFUNCTION("""COMPUTED_VALUE"""),44946.66666666667)</f>
        <v>44946.66667</v>
      </c>
      <c r="B14" s="2">
        <f>IFERROR(__xludf.DUMMYFUNCTION("""COMPUTED_VALUE"""),118.3)</f>
        <v>118.3</v>
      </c>
      <c r="C14" s="2">
        <f>IFERROR(__xludf.DUMMYFUNCTION("""COMPUTED_VALUE"""),120.06)</f>
        <v>120.06</v>
      </c>
      <c r="D14" s="2">
        <f>IFERROR(__xludf.DUMMYFUNCTION("""COMPUTED_VALUE"""),117.8)</f>
        <v>117.8</v>
      </c>
      <c r="E14" s="2">
        <f>IFERROR(__xludf.DUMMYFUNCTION("""COMPUTED_VALUE"""),119.86)</f>
        <v>119.86</v>
      </c>
      <c r="F14" s="2">
        <f>IFERROR(__xludf.DUMMYFUNCTION("""COMPUTED_VALUE"""),1.8342688E7)</f>
        <v>18342688</v>
      </c>
    </row>
    <row r="15">
      <c r="A15" s="3">
        <f>IFERROR(__xludf.DUMMYFUNCTION("""COMPUTED_VALUE"""),44949.66666666667)</f>
        <v>44949.66667</v>
      </c>
      <c r="B15" s="2">
        <f>IFERROR(__xludf.DUMMYFUNCTION("""COMPUTED_VALUE"""),120.0)</f>
        <v>120</v>
      </c>
      <c r="C15" s="2">
        <f>IFERROR(__xludf.DUMMYFUNCTION("""COMPUTED_VALUE"""),120.3)</f>
        <v>120.3</v>
      </c>
      <c r="D15" s="2">
        <f>IFERROR(__xludf.DUMMYFUNCTION("""COMPUTED_VALUE"""),118.14)</f>
        <v>118.14</v>
      </c>
      <c r="E15" s="2">
        <f>IFERROR(__xludf.DUMMYFUNCTION("""COMPUTED_VALUE"""),119.53)</f>
        <v>119.53</v>
      </c>
      <c r="F15" s="2">
        <f>IFERROR(__xludf.DUMMYFUNCTION("""COMPUTED_VALUE"""),1.3590219E7)</f>
        <v>13590219</v>
      </c>
    </row>
    <row r="16">
      <c r="A16" s="3">
        <f>IFERROR(__xludf.DUMMYFUNCTION("""COMPUTED_VALUE"""),44950.66666666667)</f>
        <v>44950.66667</v>
      </c>
      <c r="B16" s="2">
        <f>IFERROR(__xludf.DUMMYFUNCTION("""COMPUTED_VALUE"""),115.0)</f>
        <v>115</v>
      </c>
      <c r="C16" s="2">
        <f>IFERROR(__xludf.DUMMYFUNCTION("""COMPUTED_VALUE"""),120.0)</f>
        <v>120</v>
      </c>
      <c r="D16" s="2">
        <f>IFERROR(__xludf.DUMMYFUNCTION("""COMPUTED_VALUE"""),115.0)</f>
        <v>115</v>
      </c>
      <c r="E16" s="2">
        <f>IFERROR(__xludf.DUMMYFUNCTION("""COMPUTED_VALUE"""),119.44)</f>
        <v>119.44</v>
      </c>
      <c r="F16" s="2">
        <f>IFERROR(__xludf.DUMMYFUNCTION("""COMPUTED_VALUE"""),7807114.0)</f>
        <v>7807114</v>
      </c>
    </row>
    <row r="17">
      <c r="A17" s="3">
        <f>IFERROR(__xludf.DUMMYFUNCTION("""COMPUTED_VALUE"""),44951.66666666667)</f>
        <v>44951.66667</v>
      </c>
      <c r="B17" s="2">
        <f>IFERROR(__xludf.DUMMYFUNCTION("""COMPUTED_VALUE"""),118.51)</f>
        <v>118.51</v>
      </c>
      <c r="C17" s="2">
        <f>IFERROR(__xludf.DUMMYFUNCTION("""COMPUTED_VALUE"""),120.32)</f>
        <v>120.32</v>
      </c>
      <c r="D17" s="2">
        <f>IFERROR(__xludf.DUMMYFUNCTION("""COMPUTED_VALUE"""),117.5)</f>
        <v>117.5</v>
      </c>
      <c r="E17" s="2">
        <f>IFERROR(__xludf.DUMMYFUNCTION("""COMPUTED_VALUE"""),120.25)</f>
        <v>120.25</v>
      </c>
      <c r="F17" s="2">
        <f>IFERROR(__xludf.DUMMYFUNCTION("""COMPUTED_VALUE"""),9704954.0)</f>
        <v>9704954</v>
      </c>
    </row>
    <row r="18">
      <c r="A18" s="3">
        <f>IFERROR(__xludf.DUMMYFUNCTION("""COMPUTED_VALUE"""),44952.66666666667)</f>
        <v>44952.66667</v>
      </c>
      <c r="B18" s="2">
        <f>IFERROR(__xludf.DUMMYFUNCTION("""COMPUTED_VALUE"""),121.0)</f>
        <v>121</v>
      </c>
      <c r="C18" s="2">
        <f>IFERROR(__xludf.DUMMYFUNCTION("""COMPUTED_VALUE"""),121.3)</f>
        <v>121.3</v>
      </c>
      <c r="D18" s="2">
        <f>IFERROR(__xludf.DUMMYFUNCTION("""COMPUTED_VALUE"""),118.76)</f>
        <v>118.76</v>
      </c>
      <c r="E18" s="2">
        <f>IFERROR(__xludf.DUMMYFUNCTION("""COMPUTED_VALUE"""),120.57)</f>
        <v>120.57</v>
      </c>
      <c r="F18" s="2">
        <f>IFERROR(__xludf.DUMMYFUNCTION("""COMPUTED_VALUE"""),1.1170977E7)</f>
        <v>11170977</v>
      </c>
    </row>
    <row r="19">
      <c r="A19" s="3">
        <f>IFERROR(__xludf.DUMMYFUNCTION("""COMPUTED_VALUE"""),44953.66666666667)</f>
        <v>44953.66667</v>
      </c>
      <c r="B19" s="2">
        <f>IFERROR(__xludf.DUMMYFUNCTION("""COMPUTED_VALUE"""),119.69)</f>
        <v>119.69</v>
      </c>
      <c r="C19" s="2">
        <f>IFERROR(__xludf.DUMMYFUNCTION("""COMPUTED_VALUE"""),119.71)</f>
        <v>119.71</v>
      </c>
      <c r="D19" s="2">
        <f>IFERROR(__xludf.DUMMYFUNCTION("""COMPUTED_VALUE"""),116.81)</f>
        <v>116.81</v>
      </c>
      <c r="E19" s="2">
        <f>IFERROR(__xludf.DUMMYFUNCTION("""COMPUTED_VALUE"""),118.38)</f>
        <v>118.38</v>
      </c>
      <c r="F19" s="2">
        <f>IFERROR(__xludf.DUMMYFUNCTION("""COMPUTED_VALUE"""),1.8027374E7)</f>
        <v>18027374</v>
      </c>
    </row>
    <row r="20">
      <c r="A20" s="3">
        <f>IFERROR(__xludf.DUMMYFUNCTION("""COMPUTED_VALUE"""),44956.66666666667)</f>
        <v>44956.66667</v>
      </c>
      <c r="B20" s="2">
        <f>IFERROR(__xludf.DUMMYFUNCTION("""COMPUTED_VALUE"""),111.69)</f>
        <v>111.69</v>
      </c>
      <c r="C20" s="2">
        <f>IFERROR(__xludf.DUMMYFUNCTION("""COMPUTED_VALUE"""),113.15)</f>
        <v>113.15</v>
      </c>
      <c r="D20" s="2">
        <f>IFERROR(__xludf.DUMMYFUNCTION("""COMPUTED_VALUE"""),109.78)</f>
        <v>109.78</v>
      </c>
      <c r="E20" s="2">
        <f>IFERROR(__xludf.DUMMYFUNCTION("""COMPUTED_VALUE"""),111.2)</f>
        <v>111.2</v>
      </c>
      <c r="F20" s="2">
        <f>IFERROR(__xludf.DUMMYFUNCTION("""COMPUTED_VALUE"""),2.1918217E7)</f>
        <v>21918217</v>
      </c>
    </row>
    <row r="21">
      <c r="A21" s="3">
        <f>IFERROR(__xludf.DUMMYFUNCTION("""COMPUTED_VALUE"""),44957.66666666667)</f>
        <v>44957.66667</v>
      </c>
      <c r="B21" s="2">
        <f>IFERROR(__xludf.DUMMYFUNCTION("""COMPUTED_VALUE"""),109.42)</f>
        <v>109.42</v>
      </c>
      <c r="C21" s="2">
        <f>IFERROR(__xludf.DUMMYFUNCTION("""COMPUTED_VALUE"""),112.08)</f>
        <v>112.08</v>
      </c>
      <c r="D21" s="2">
        <f>IFERROR(__xludf.DUMMYFUNCTION("""COMPUTED_VALUE"""),108.81)</f>
        <v>108.81</v>
      </c>
      <c r="E21" s="2">
        <f>IFERROR(__xludf.DUMMYFUNCTION("""COMPUTED_VALUE"""),110.2)</f>
        <v>110.2</v>
      </c>
      <c r="F21" s="2">
        <f>IFERROR(__xludf.DUMMYFUNCTION("""COMPUTED_VALUE"""),1.5329975E7)</f>
        <v>15329975</v>
      </c>
    </row>
    <row r="22">
      <c r="A22" s="3">
        <f>IFERROR(__xludf.DUMMYFUNCTION("""COMPUTED_VALUE"""),44958.66666666667)</f>
        <v>44958.66667</v>
      </c>
      <c r="B22" s="2">
        <f>IFERROR(__xludf.DUMMYFUNCTION("""COMPUTED_VALUE"""),111.86)</f>
        <v>111.86</v>
      </c>
      <c r="C22" s="2">
        <f>IFERROR(__xludf.DUMMYFUNCTION("""COMPUTED_VALUE"""),113.95)</f>
        <v>113.95</v>
      </c>
      <c r="D22" s="2">
        <f>IFERROR(__xludf.DUMMYFUNCTION("""COMPUTED_VALUE"""),110.15)</f>
        <v>110.15</v>
      </c>
      <c r="E22" s="2">
        <f>IFERROR(__xludf.DUMMYFUNCTION("""COMPUTED_VALUE"""),112.82)</f>
        <v>112.82</v>
      </c>
      <c r="F22" s="2">
        <f>IFERROR(__xludf.DUMMYFUNCTION("""COMPUTED_VALUE"""),1.6622999E7)</f>
        <v>16622999</v>
      </c>
    </row>
    <row r="23">
      <c r="A23" s="3">
        <f>IFERROR(__xludf.DUMMYFUNCTION("""COMPUTED_VALUE"""),44959.66666666667)</f>
        <v>44959.66667</v>
      </c>
      <c r="B23" s="2">
        <f>IFERROR(__xludf.DUMMYFUNCTION("""COMPUTED_VALUE"""),112.5)</f>
        <v>112.5</v>
      </c>
      <c r="C23" s="2">
        <f>IFERROR(__xludf.DUMMYFUNCTION("""COMPUTED_VALUE"""),112.53)</f>
        <v>112.53</v>
      </c>
      <c r="D23" s="2">
        <f>IFERROR(__xludf.DUMMYFUNCTION("""COMPUTED_VALUE"""),107.81)</f>
        <v>107.81</v>
      </c>
      <c r="E23" s="2">
        <f>IFERROR(__xludf.DUMMYFUNCTION("""COMPUTED_VALUE"""),109.74)</f>
        <v>109.74</v>
      </c>
      <c r="F23" s="2">
        <f>IFERROR(__xludf.DUMMYFUNCTION("""COMPUTED_VALUE"""),2.3396932E7)</f>
        <v>23396932</v>
      </c>
    </row>
    <row r="24">
      <c r="A24" s="3">
        <f>IFERROR(__xludf.DUMMYFUNCTION("""COMPUTED_VALUE"""),44960.66666666667)</f>
        <v>44960.66667</v>
      </c>
      <c r="B24" s="2">
        <f>IFERROR(__xludf.DUMMYFUNCTION("""COMPUTED_VALUE"""),108.05)</f>
        <v>108.05</v>
      </c>
      <c r="C24" s="2">
        <f>IFERROR(__xludf.DUMMYFUNCTION("""COMPUTED_VALUE"""),109.53)</f>
        <v>109.53</v>
      </c>
      <c r="D24" s="2">
        <f>IFERROR(__xludf.DUMMYFUNCTION("""COMPUTED_VALUE"""),105.81)</f>
        <v>105.81</v>
      </c>
      <c r="E24" s="2">
        <f>IFERROR(__xludf.DUMMYFUNCTION("""COMPUTED_VALUE"""),106.33)</f>
        <v>106.33</v>
      </c>
      <c r="F24" s="2">
        <f>IFERROR(__xludf.DUMMYFUNCTION("""COMPUTED_VALUE"""),1.5982156E7)</f>
        <v>15982156</v>
      </c>
    </row>
    <row r="25">
      <c r="A25" s="3">
        <f>IFERROR(__xludf.DUMMYFUNCTION("""COMPUTED_VALUE"""),44963.66666666667)</f>
        <v>44963.66667</v>
      </c>
      <c r="B25" s="2">
        <f>IFERROR(__xludf.DUMMYFUNCTION("""COMPUTED_VALUE"""),103.82)</f>
        <v>103.82</v>
      </c>
      <c r="C25" s="2">
        <f>IFERROR(__xludf.DUMMYFUNCTION("""COMPUTED_VALUE"""),106.28)</f>
        <v>106.28</v>
      </c>
      <c r="D25" s="2">
        <f>IFERROR(__xludf.DUMMYFUNCTION("""COMPUTED_VALUE"""),103.22)</f>
        <v>103.22</v>
      </c>
      <c r="E25" s="2">
        <f>IFERROR(__xludf.DUMMYFUNCTION("""COMPUTED_VALUE"""),105.45)</f>
        <v>105.45</v>
      </c>
      <c r="F25" s="2">
        <f>IFERROR(__xludf.DUMMYFUNCTION("""COMPUTED_VALUE"""),1.5337475E7)</f>
        <v>15337475</v>
      </c>
    </row>
    <row r="26">
      <c r="A26" s="3">
        <f>IFERROR(__xludf.DUMMYFUNCTION("""COMPUTED_VALUE"""),44964.66666666667)</f>
        <v>44964.66667</v>
      </c>
      <c r="B26" s="2">
        <f>IFERROR(__xludf.DUMMYFUNCTION("""COMPUTED_VALUE"""),106.84)</f>
        <v>106.84</v>
      </c>
      <c r="C26" s="2">
        <f>IFERROR(__xludf.DUMMYFUNCTION("""COMPUTED_VALUE"""),107.35)</f>
        <v>107.35</v>
      </c>
      <c r="D26" s="2">
        <f>IFERROR(__xludf.DUMMYFUNCTION("""COMPUTED_VALUE"""),103.72)</f>
        <v>103.72</v>
      </c>
      <c r="E26" s="2">
        <f>IFERROR(__xludf.DUMMYFUNCTION("""COMPUTED_VALUE"""),105.5)</f>
        <v>105.5</v>
      </c>
      <c r="F26" s="2">
        <f>IFERROR(__xludf.DUMMYFUNCTION("""COMPUTED_VALUE"""),1.6861658E7)</f>
        <v>16861658</v>
      </c>
    </row>
    <row r="27">
      <c r="A27" s="3">
        <f>IFERROR(__xludf.DUMMYFUNCTION("""COMPUTED_VALUE"""),44965.66666666667)</f>
        <v>44965.66667</v>
      </c>
      <c r="B27" s="2">
        <f>IFERROR(__xludf.DUMMYFUNCTION("""COMPUTED_VALUE"""),107.1)</f>
        <v>107.1</v>
      </c>
      <c r="C27" s="2">
        <f>IFERROR(__xludf.DUMMYFUNCTION("""COMPUTED_VALUE"""),107.14)</f>
        <v>107.14</v>
      </c>
      <c r="D27" s="2">
        <f>IFERROR(__xludf.DUMMYFUNCTION("""COMPUTED_VALUE"""),103.55)</f>
        <v>103.55</v>
      </c>
      <c r="E27" s="2">
        <f>IFERROR(__xludf.DUMMYFUNCTION("""COMPUTED_VALUE"""),105.11)</f>
        <v>105.11</v>
      </c>
      <c r="F27" s="2">
        <f>IFERROR(__xludf.DUMMYFUNCTION("""COMPUTED_VALUE"""),1.4329488E7)</f>
        <v>14329488</v>
      </c>
    </row>
    <row r="28">
      <c r="A28" s="3">
        <f>IFERROR(__xludf.DUMMYFUNCTION("""COMPUTED_VALUE"""),44966.66666666667)</f>
        <v>44966.66667</v>
      </c>
      <c r="B28" s="2">
        <f>IFERROR(__xludf.DUMMYFUNCTION("""COMPUTED_VALUE"""),108.5)</f>
        <v>108.5</v>
      </c>
      <c r="C28" s="2">
        <f>IFERROR(__xludf.DUMMYFUNCTION("""COMPUTED_VALUE"""),109.81)</f>
        <v>109.81</v>
      </c>
      <c r="D28" s="2">
        <f>IFERROR(__xludf.DUMMYFUNCTION("""COMPUTED_VALUE"""),107.75)</f>
        <v>107.75</v>
      </c>
      <c r="E28" s="2">
        <f>IFERROR(__xludf.DUMMYFUNCTION("""COMPUTED_VALUE"""),108.46)</f>
        <v>108.46</v>
      </c>
      <c r="F28" s="2">
        <f>IFERROR(__xludf.DUMMYFUNCTION("""COMPUTED_VALUE"""),1.6281295E7)</f>
        <v>16281295</v>
      </c>
    </row>
    <row r="29">
      <c r="A29" s="3">
        <f>IFERROR(__xludf.DUMMYFUNCTION("""COMPUTED_VALUE"""),44967.66666666667)</f>
        <v>44967.66667</v>
      </c>
      <c r="B29" s="2">
        <f>IFERROR(__xludf.DUMMYFUNCTION("""COMPUTED_VALUE"""),105.8)</f>
        <v>105.8</v>
      </c>
      <c r="C29" s="2">
        <f>IFERROR(__xludf.DUMMYFUNCTION("""COMPUTED_VALUE"""),106.64)</f>
        <v>106.64</v>
      </c>
      <c r="D29" s="2">
        <f>IFERROR(__xludf.DUMMYFUNCTION("""COMPUTED_VALUE"""),102.79)</f>
        <v>102.79</v>
      </c>
      <c r="E29" s="2">
        <f>IFERROR(__xludf.DUMMYFUNCTION("""COMPUTED_VALUE"""),103.65)</f>
        <v>103.65</v>
      </c>
      <c r="F29" s="2">
        <f>IFERROR(__xludf.DUMMYFUNCTION("""COMPUTED_VALUE"""),1.8776035E7)</f>
        <v>18776035</v>
      </c>
    </row>
    <row r="30">
      <c r="A30" s="3">
        <f>IFERROR(__xludf.DUMMYFUNCTION("""COMPUTED_VALUE"""),44970.66666666667)</f>
        <v>44970.66667</v>
      </c>
      <c r="B30" s="2">
        <f>IFERROR(__xludf.DUMMYFUNCTION("""COMPUTED_VALUE"""),105.99)</f>
        <v>105.99</v>
      </c>
      <c r="C30" s="2">
        <f>IFERROR(__xludf.DUMMYFUNCTION("""COMPUTED_VALUE"""),106.35)</f>
        <v>106.35</v>
      </c>
      <c r="D30" s="2">
        <f>IFERROR(__xludf.DUMMYFUNCTION("""COMPUTED_VALUE"""),104.15)</f>
        <v>104.15</v>
      </c>
      <c r="E30" s="2">
        <f>IFERROR(__xludf.DUMMYFUNCTION("""COMPUTED_VALUE"""),104.79)</f>
        <v>104.79</v>
      </c>
      <c r="F30" s="2">
        <f>IFERROR(__xludf.DUMMYFUNCTION("""COMPUTED_VALUE"""),1.7577825E7)</f>
        <v>17577825</v>
      </c>
    </row>
    <row r="31">
      <c r="A31" s="3">
        <f>IFERROR(__xludf.DUMMYFUNCTION("""COMPUTED_VALUE"""),44971.66666666667)</f>
        <v>44971.66667</v>
      </c>
      <c r="B31" s="2">
        <f>IFERROR(__xludf.DUMMYFUNCTION("""COMPUTED_VALUE"""),103.55)</f>
        <v>103.55</v>
      </c>
      <c r="C31" s="2">
        <f>IFERROR(__xludf.DUMMYFUNCTION("""COMPUTED_VALUE"""),104.48)</f>
        <v>104.48</v>
      </c>
      <c r="D31" s="2">
        <f>IFERROR(__xludf.DUMMYFUNCTION("""COMPUTED_VALUE"""),101.85)</f>
        <v>101.85</v>
      </c>
      <c r="E31" s="2">
        <f>IFERROR(__xludf.DUMMYFUNCTION("""COMPUTED_VALUE"""),104.22)</f>
        <v>104.22</v>
      </c>
      <c r="F31" s="2">
        <f>IFERROR(__xludf.DUMMYFUNCTION("""COMPUTED_VALUE"""),1.2978395E7)</f>
        <v>12978395</v>
      </c>
    </row>
    <row r="32">
      <c r="A32" s="3">
        <f>IFERROR(__xludf.DUMMYFUNCTION("""COMPUTED_VALUE"""),44972.66666666667)</f>
        <v>44972.66667</v>
      </c>
      <c r="B32" s="2">
        <f>IFERROR(__xludf.DUMMYFUNCTION("""COMPUTED_VALUE"""),102.39)</f>
        <v>102.39</v>
      </c>
      <c r="C32" s="2">
        <f>IFERROR(__xludf.DUMMYFUNCTION("""COMPUTED_VALUE"""),103.44)</f>
        <v>103.44</v>
      </c>
      <c r="D32" s="2">
        <f>IFERROR(__xludf.DUMMYFUNCTION("""COMPUTED_VALUE"""),102.0)</f>
        <v>102</v>
      </c>
      <c r="E32" s="2">
        <f>IFERROR(__xludf.DUMMYFUNCTION("""COMPUTED_VALUE"""),103.08)</f>
        <v>103.08</v>
      </c>
      <c r="F32" s="2">
        <f>IFERROR(__xludf.DUMMYFUNCTION("""COMPUTED_VALUE"""),1.8910236E7)</f>
        <v>18910236</v>
      </c>
    </row>
    <row r="33">
      <c r="A33" s="3">
        <f>IFERROR(__xludf.DUMMYFUNCTION("""COMPUTED_VALUE"""),44973.66666666667)</f>
        <v>44973.66667</v>
      </c>
      <c r="B33" s="2">
        <f>IFERROR(__xludf.DUMMYFUNCTION("""COMPUTED_VALUE"""),102.71)</f>
        <v>102.71</v>
      </c>
      <c r="C33" s="2">
        <f>IFERROR(__xludf.DUMMYFUNCTION("""COMPUTED_VALUE"""),104.52)</f>
        <v>104.52</v>
      </c>
      <c r="D33" s="2">
        <f>IFERROR(__xludf.DUMMYFUNCTION("""COMPUTED_VALUE"""),102.03)</f>
        <v>102.03</v>
      </c>
      <c r="E33" s="2">
        <f>IFERROR(__xludf.DUMMYFUNCTION("""COMPUTED_VALUE"""),103.11)</f>
        <v>103.11</v>
      </c>
      <c r="F33" s="2">
        <f>IFERROR(__xludf.DUMMYFUNCTION("""COMPUTED_VALUE"""),2.1747094E7)</f>
        <v>21747094</v>
      </c>
    </row>
    <row r="34">
      <c r="A34" s="3">
        <f>IFERROR(__xludf.DUMMYFUNCTION("""COMPUTED_VALUE"""),44974.66666666667)</f>
        <v>44974.66667</v>
      </c>
      <c r="B34" s="2">
        <f>IFERROR(__xludf.DUMMYFUNCTION("""COMPUTED_VALUE"""),101.0)</f>
        <v>101</v>
      </c>
      <c r="C34" s="2">
        <f>IFERROR(__xludf.DUMMYFUNCTION("""COMPUTED_VALUE"""),101.09)</f>
        <v>101.09</v>
      </c>
      <c r="D34" s="2">
        <f>IFERROR(__xludf.DUMMYFUNCTION("""COMPUTED_VALUE"""),99.25)</f>
        <v>99.25</v>
      </c>
      <c r="E34" s="2">
        <f>IFERROR(__xludf.DUMMYFUNCTION("""COMPUTED_VALUE"""),100.01)</f>
        <v>100.01</v>
      </c>
      <c r="F34" s="2">
        <f>IFERROR(__xludf.DUMMYFUNCTION("""COMPUTED_VALUE"""),1.8121644E7)</f>
        <v>18121644</v>
      </c>
    </row>
    <row r="35">
      <c r="A35" s="3">
        <f>IFERROR(__xludf.DUMMYFUNCTION("""COMPUTED_VALUE"""),44978.66666666667)</f>
        <v>44978.66667</v>
      </c>
      <c r="B35" s="2">
        <f>IFERROR(__xludf.DUMMYFUNCTION("""COMPUTED_VALUE"""),96.5)</f>
        <v>96.5</v>
      </c>
      <c r="C35" s="2">
        <f>IFERROR(__xludf.DUMMYFUNCTION("""COMPUTED_VALUE"""),97.63)</f>
        <v>97.63</v>
      </c>
      <c r="D35" s="2">
        <f>IFERROR(__xludf.DUMMYFUNCTION("""COMPUTED_VALUE"""),94.7)</f>
        <v>94.7</v>
      </c>
      <c r="E35" s="2">
        <f>IFERROR(__xludf.DUMMYFUNCTION("""COMPUTED_VALUE"""),95.1)</f>
        <v>95.1</v>
      </c>
      <c r="F35" s="2">
        <f>IFERROR(__xludf.DUMMYFUNCTION("""COMPUTED_VALUE"""),2.7172733E7)</f>
        <v>27172733</v>
      </c>
    </row>
    <row r="36">
      <c r="A36" s="3">
        <f>IFERROR(__xludf.DUMMYFUNCTION("""COMPUTED_VALUE"""),44979.66666666667)</f>
        <v>44979.66667</v>
      </c>
      <c r="B36" s="2">
        <f>IFERROR(__xludf.DUMMYFUNCTION("""COMPUTED_VALUE"""),95.58)</f>
        <v>95.58</v>
      </c>
      <c r="C36" s="2">
        <f>IFERROR(__xludf.DUMMYFUNCTION("""COMPUTED_VALUE"""),95.89)</f>
        <v>95.89</v>
      </c>
      <c r="D36" s="2">
        <f>IFERROR(__xludf.DUMMYFUNCTION("""COMPUTED_VALUE"""),93.55)</f>
        <v>93.55</v>
      </c>
      <c r="E36" s="2">
        <f>IFERROR(__xludf.DUMMYFUNCTION("""COMPUTED_VALUE"""),94.78)</f>
        <v>94.78</v>
      </c>
      <c r="F36" s="2">
        <f>IFERROR(__xludf.DUMMYFUNCTION("""COMPUTED_VALUE"""),2.4484024E7)</f>
        <v>24484024</v>
      </c>
    </row>
    <row r="37">
      <c r="A37" s="3">
        <f>IFERROR(__xludf.DUMMYFUNCTION("""COMPUTED_VALUE"""),44980.66666666667)</f>
        <v>44980.66667</v>
      </c>
      <c r="B37" s="2">
        <f>IFERROR(__xludf.DUMMYFUNCTION("""COMPUTED_VALUE"""),100.1)</f>
        <v>100.1</v>
      </c>
      <c r="C37" s="2">
        <f>IFERROR(__xludf.DUMMYFUNCTION("""COMPUTED_VALUE"""),100.47)</f>
        <v>100.47</v>
      </c>
      <c r="D37" s="2">
        <f>IFERROR(__xludf.DUMMYFUNCTION("""COMPUTED_VALUE"""),92.13)</f>
        <v>92.13</v>
      </c>
      <c r="E37" s="2">
        <f>IFERROR(__xludf.DUMMYFUNCTION("""COMPUTED_VALUE"""),94.16)</f>
        <v>94.16</v>
      </c>
      <c r="F37" s="2">
        <f>IFERROR(__xludf.DUMMYFUNCTION("""COMPUTED_VALUE"""),4.0482949E7)</f>
        <v>40482949</v>
      </c>
    </row>
    <row r="38">
      <c r="A38" s="3">
        <f>IFERROR(__xludf.DUMMYFUNCTION("""COMPUTED_VALUE"""),44981.66666666667)</f>
        <v>44981.66667</v>
      </c>
      <c r="B38" s="2">
        <f>IFERROR(__xludf.DUMMYFUNCTION("""COMPUTED_VALUE"""),90.07)</f>
        <v>90.07</v>
      </c>
      <c r="C38" s="2">
        <f>IFERROR(__xludf.DUMMYFUNCTION("""COMPUTED_VALUE"""),91.68)</f>
        <v>91.68</v>
      </c>
      <c r="D38" s="2">
        <f>IFERROR(__xludf.DUMMYFUNCTION("""COMPUTED_VALUE"""),88.03)</f>
        <v>88.03</v>
      </c>
      <c r="E38" s="2">
        <f>IFERROR(__xludf.DUMMYFUNCTION("""COMPUTED_VALUE"""),89.0)</f>
        <v>89</v>
      </c>
      <c r="F38" s="2">
        <f>IFERROR(__xludf.DUMMYFUNCTION("""COMPUTED_VALUE"""),3.6174519E7)</f>
        <v>36174519</v>
      </c>
    </row>
    <row r="39">
      <c r="A39" s="3">
        <f>IFERROR(__xludf.DUMMYFUNCTION("""COMPUTED_VALUE"""),44984.66666666667)</f>
        <v>44984.66667</v>
      </c>
      <c r="B39" s="2">
        <f>IFERROR(__xludf.DUMMYFUNCTION("""COMPUTED_VALUE"""),90.85)</f>
        <v>90.85</v>
      </c>
      <c r="C39" s="2">
        <f>IFERROR(__xludf.DUMMYFUNCTION("""COMPUTED_VALUE"""),91.24)</f>
        <v>91.24</v>
      </c>
      <c r="D39" s="2">
        <f>IFERROR(__xludf.DUMMYFUNCTION("""COMPUTED_VALUE"""),88.9)</f>
        <v>88.9</v>
      </c>
      <c r="E39" s="2">
        <f>IFERROR(__xludf.DUMMYFUNCTION("""COMPUTED_VALUE"""),89.25)</f>
        <v>89.25</v>
      </c>
      <c r="F39" s="2">
        <f>IFERROR(__xludf.DUMMYFUNCTION("""COMPUTED_VALUE"""),2.5839998E7)</f>
        <v>25839998</v>
      </c>
    </row>
    <row r="40">
      <c r="A40" s="3">
        <f>IFERROR(__xludf.DUMMYFUNCTION("""COMPUTED_VALUE"""),44985.66666666667)</f>
        <v>44985.66667</v>
      </c>
      <c r="B40" s="2">
        <f>IFERROR(__xludf.DUMMYFUNCTION("""COMPUTED_VALUE"""),88.46)</f>
        <v>88.46</v>
      </c>
      <c r="C40" s="2">
        <f>IFERROR(__xludf.DUMMYFUNCTION("""COMPUTED_VALUE"""),89.34)</f>
        <v>89.34</v>
      </c>
      <c r="D40" s="2">
        <f>IFERROR(__xludf.DUMMYFUNCTION("""COMPUTED_VALUE"""),87.27)</f>
        <v>87.27</v>
      </c>
      <c r="E40" s="2">
        <f>IFERROR(__xludf.DUMMYFUNCTION("""COMPUTED_VALUE"""),87.79)</f>
        <v>87.79</v>
      </c>
      <c r="F40" s="2">
        <f>IFERROR(__xludf.DUMMYFUNCTION("""COMPUTED_VALUE"""),2.4597162E7)</f>
        <v>24597162</v>
      </c>
    </row>
    <row r="41">
      <c r="A41" s="3">
        <f>IFERROR(__xludf.DUMMYFUNCTION("""COMPUTED_VALUE"""),44986.66666666667)</f>
        <v>44986.66667</v>
      </c>
      <c r="B41" s="2">
        <f>IFERROR(__xludf.DUMMYFUNCTION("""COMPUTED_VALUE"""),92.92)</f>
        <v>92.92</v>
      </c>
      <c r="C41" s="2">
        <f>IFERROR(__xludf.DUMMYFUNCTION("""COMPUTED_VALUE"""),92.92)</f>
        <v>92.92</v>
      </c>
      <c r="D41" s="2">
        <f>IFERROR(__xludf.DUMMYFUNCTION("""COMPUTED_VALUE"""),89.73)</f>
        <v>89.73</v>
      </c>
      <c r="E41" s="2">
        <f>IFERROR(__xludf.DUMMYFUNCTION("""COMPUTED_VALUE"""),89.95)</f>
        <v>89.95</v>
      </c>
      <c r="F41" s="2">
        <f>IFERROR(__xludf.DUMMYFUNCTION("""COMPUTED_VALUE"""),3.5434898E7)</f>
        <v>35434898</v>
      </c>
    </row>
    <row r="42">
      <c r="A42" s="3">
        <f>IFERROR(__xludf.DUMMYFUNCTION("""COMPUTED_VALUE"""),44987.66666666667)</f>
        <v>44987.66667</v>
      </c>
      <c r="B42" s="2">
        <f>IFERROR(__xludf.DUMMYFUNCTION("""COMPUTED_VALUE"""),88.96)</f>
        <v>88.96</v>
      </c>
      <c r="C42" s="2">
        <f>IFERROR(__xludf.DUMMYFUNCTION("""COMPUTED_VALUE"""),90.92)</f>
        <v>90.92</v>
      </c>
      <c r="D42" s="2">
        <f>IFERROR(__xludf.DUMMYFUNCTION("""COMPUTED_VALUE"""),87.97)</f>
        <v>87.97</v>
      </c>
      <c r="E42" s="2">
        <f>IFERROR(__xludf.DUMMYFUNCTION("""COMPUTED_VALUE"""),89.75)</f>
        <v>89.75</v>
      </c>
      <c r="F42" s="2">
        <f>IFERROR(__xludf.DUMMYFUNCTION("""COMPUTED_VALUE"""),2.5691768E7)</f>
        <v>25691768</v>
      </c>
    </row>
    <row r="43">
      <c r="A43" s="3">
        <f>IFERROR(__xludf.DUMMYFUNCTION("""COMPUTED_VALUE"""),44988.66666666667)</f>
        <v>44988.66667</v>
      </c>
      <c r="B43" s="2">
        <f>IFERROR(__xludf.DUMMYFUNCTION("""COMPUTED_VALUE"""),90.11)</f>
        <v>90.11</v>
      </c>
      <c r="C43" s="2">
        <f>IFERROR(__xludf.DUMMYFUNCTION("""COMPUTED_VALUE"""),90.46)</f>
        <v>90.46</v>
      </c>
      <c r="D43" s="2">
        <f>IFERROR(__xludf.DUMMYFUNCTION("""COMPUTED_VALUE"""),88.4)</f>
        <v>88.4</v>
      </c>
      <c r="E43" s="2">
        <f>IFERROR(__xludf.DUMMYFUNCTION("""COMPUTED_VALUE"""),89.7)</f>
        <v>89.7</v>
      </c>
      <c r="F43" s="2">
        <f>IFERROR(__xludf.DUMMYFUNCTION("""COMPUTED_VALUE"""),2.5834349E7)</f>
        <v>25834349</v>
      </c>
    </row>
    <row r="44">
      <c r="A44" s="3">
        <f>IFERROR(__xludf.DUMMYFUNCTION("""COMPUTED_VALUE"""),44991.66666666667)</f>
        <v>44991.66667</v>
      </c>
      <c r="B44" s="2">
        <f>IFERROR(__xludf.DUMMYFUNCTION("""COMPUTED_VALUE"""),89.59)</f>
        <v>89.59</v>
      </c>
      <c r="C44" s="2">
        <f>IFERROR(__xludf.DUMMYFUNCTION("""COMPUTED_VALUE"""),91.3)</f>
        <v>91.3</v>
      </c>
      <c r="D44" s="2">
        <f>IFERROR(__xludf.DUMMYFUNCTION("""COMPUTED_VALUE"""),88.03)</f>
        <v>88.03</v>
      </c>
      <c r="E44" s="2">
        <f>IFERROR(__xludf.DUMMYFUNCTION("""COMPUTED_VALUE"""),89.62)</f>
        <v>89.62</v>
      </c>
      <c r="F44" s="2">
        <f>IFERROR(__xludf.DUMMYFUNCTION("""COMPUTED_VALUE"""),1.6983867E7)</f>
        <v>16983867</v>
      </c>
    </row>
    <row r="45">
      <c r="A45" s="3">
        <f>IFERROR(__xludf.DUMMYFUNCTION("""COMPUTED_VALUE"""),44992.66666666667)</f>
        <v>44992.66667</v>
      </c>
      <c r="B45" s="2">
        <f>IFERROR(__xludf.DUMMYFUNCTION("""COMPUTED_VALUE"""),89.52)</f>
        <v>89.52</v>
      </c>
      <c r="C45" s="2">
        <f>IFERROR(__xludf.DUMMYFUNCTION("""COMPUTED_VALUE"""),90.05)</f>
        <v>90.05</v>
      </c>
      <c r="D45" s="2">
        <f>IFERROR(__xludf.DUMMYFUNCTION("""COMPUTED_VALUE"""),88.2)</f>
        <v>88.2</v>
      </c>
      <c r="E45" s="2">
        <f>IFERROR(__xludf.DUMMYFUNCTION("""COMPUTED_VALUE"""),88.73)</f>
        <v>88.73</v>
      </c>
      <c r="F45" s="2">
        <f>IFERROR(__xludf.DUMMYFUNCTION("""COMPUTED_VALUE"""),1.4514657E7)</f>
        <v>14514657</v>
      </c>
    </row>
    <row r="46">
      <c r="A46" s="3">
        <f>IFERROR(__xludf.DUMMYFUNCTION("""COMPUTED_VALUE"""),44993.66666666667)</f>
        <v>44993.66667</v>
      </c>
      <c r="B46" s="2">
        <f>IFERROR(__xludf.DUMMYFUNCTION("""COMPUTED_VALUE"""),87.39)</f>
        <v>87.39</v>
      </c>
      <c r="C46" s="2">
        <f>IFERROR(__xludf.DUMMYFUNCTION("""COMPUTED_VALUE"""),87.77)</f>
        <v>87.77</v>
      </c>
      <c r="D46" s="2">
        <f>IFERROR(__xludf.DUMMYFUNCTION("""COMPUTED_VALUE"""),86.45)</f>
        <v>86.45</v>
      </c>
      <c r="E46" s="2">
        <f>IFERROR(__xludf.DUMMYFUNCTION("""COMPUTED_VALUE"""),86.95)</f>
        <v>86.95</v>
      </c>
      <c r="F46" s="2">
        <f>IFERROR(__xludf.DUMMYFUNCTION("""COMPUTED_VALUE"""),1.4721537E7)</f>
        <v>14721537</v>
      </c>
    </row>
    <row r="47">
      <c r="A47" s="3">
        <f>IFERROR(__xludf.DUMMYFUNCTION("""COMPUTED_VALUE"""),44994.66666666667)</f>
        <v>44994.66667</v>
      </c>
      <c r="B47" s="2">
        <f>IFERROR(__xludf.DUMMYFUNCTION("""COMPUTED_VALUE"""),85.12)</f>
        <v>85.12</v>
      </c>
      <c r="C47" s="2">
        <f>IFERROR(__xludf.DUMMYFUNCTION("""COMPUTED_VALUE"""),85.69)</f>
        <v>85.69</v>
      </c>
      <c r="D47" s="2">
        <f>IFERROR(__xludf.DUMMYFUNCTION("""COMPUTED_VALUE"""),82.88)</f>
        <v>82.88</v>
      </c>
      <c r="E47" s="2">
        <f>IFERROR(__xludf.DUMMYFUNCTION("""COMPUTED_VALUE"""),83.37)</f>
        <v>83.37</v>
      </c>
      <c r="F47" s="2">
        <f>IFERROR(__xludf.DUMMYFUNCTION("""COMPUTED_VALUE"""),2.4327736E7)</f>
        <v>24327736</v>
      </c>
    </row>
    <row r="48">
      <c r="A48" s="3">
        <f>IFERROR(__xludf.DUMMYFUNCTION("""COMPUTED_VALUE"""),44995.66666666667)</f>
        <v>44995.66667</v>
      </c>
      <c r="B48" s="2">
        <f>IFERROR(__xludf.DUMMYFUNCTION("""COMPUTED_VALUE"""),82.64)</f>
        <v>82.64</v>
      </c>
      <c r="C48" s="2">
        <f>IFERROR(__xludf.DUMMYFUNCTION("""COMPUTED_VALUE"""),84.52)</f>
        <v>84.52</v>
      </c>
      <c r="D48" s="2">
        <f>IFERROR(__xludf.DUMMYFUNCTION("""COMPUTED_VALUE"""),82.33)</f>
        <v>82.33</v>
      </c>
      <c r="E48" s="2">
        <f>IFERROR(__xludf.DUMMYFUNCTION("""COMPUTED_VALUE"""),82.96)</f>
        <v>82.96</v>
      </c>
      <c r="F48" s="2">
        <f>IFERROR(__xludf.DUMMYFUNCTION("""COMPUTED_VALUE"""),1.8123069E7)</f>
        <v>18123069</v>
      </c>
    </row>
    <row r="49">
      <c r="A49" s="3">
        <f>IFERROR(__xludf.DUMMYFUNCTION("""COMPUTED_VALUE"""),44998.66666666667)</f>
        <v>44998.66667</v>
      </c>
      <c r="B49" s="2">
        <f>IFERROR(__xludf.DUMMYFUNCTION("""COMPUTED_VALUE"""),83.01)</f>
        <v>83.01</v>
      </c>
      <c r="C49" s="2">
        <f>IFERROR(__xludf.DUMMYFUNCTION("""COMPUTED_VALUE"""),83.76)</f>
        <v>83.76</v>
      </c>
      <c r="D49" s="2">
        <f>IFERROR(__xludf.DUMMYFUNCTION("""COMPUTED_VALUE"""),81.97)</f>
        <v>81.97</v>
      </c>
      <c r="E49" s="2">
        <f>IFERROR(__xludf.DUMMYFUNCTION("""COMPUTED_VALUE"""),82.9)</f>
        <v>82.9</v>
      </c>
      <c r="F49" s="2">
        <f>IFERROR(__xludf.DUMMYFUNCTION("""COMPUTED_VALUE"""),1.7848336E7)</f>
        <v>17848336</v>
      </c>
    </row>
    <row r="50">
      <c r="A50" s="3">
        <f>IFERROR(__xludf.DUMMYFUNCTION("""COMPUTED_VALUE"""),44999.66666666667)</f>
        <v>44999.66667</v>
      </c>
      <c r="B50" s="2">
        <f>IFERROR(__xludf.DUMMYFUNCTION("""COMPUTED_VALUE"""),82.86)</f>
        <v>82.86</v>
      </c>
      <c r="C50" s="2">
        <f>IFERROR(__xludf.DUMMYFUNCTION("""COMPUTED_VALUE"""),83.91)</f>
        <v>83.91</v>
      </c>
      <c r="D50" s="2">
        <f>IFERROR(__xludf.DUMMYFUNCTION("""COMPUTED_VALUE"""),82.16)</f>
        <v>82.16</v>
      </c>
      <c r="E50" s="2">
        <f>IFERROR(__xludf.DUMMYFUNCTION("""COMPUTED_VALUE"""),83.85)</f>
        <v>83.85</v>
      </c>
      <c r="F50" s="2">
        <f>IFERROR(__xludf.DUMMYFUNCTION("""COMPUTED_VALUE"""),2.0126118E7)</f>
        <v>20126118</v>
      </c>
    </row>
    <row r="51">
      <c r="A51" s="3">
        <f>IFERROR(__xludf.DUMMYFUNCTION("""COMPUTED_VALUE"""),45000.66666666667)</f>
        <v>45000.66667</v>
      </c>
      <c r="B51" s="2">
        <f>IFERROR(__xludf.DUMMYFUNCTION("""COMPUTED_VALUE"""),81.55)</f>
        <v>81.55</v>
      </c>
      <c r="C51" s="2">
        <f>IFERROR(__xludf.DUMMYFUNCTION("""COMPUTED_VALUE"""),82.54)</f>
        <v>82.54</v>
      </c>
      <c r="D51" s="2">
        <f>IFERROR(__xludf.DUMMYFUNCTION("""COMPUTED_VALUE"""),80.15)</f>
        <v>80.15</v>
      </c>
      <c r="E51" s="2">
        <f>IFERROR(__xludf.DUMMYFUNCTION("""COMPUTED_VALUE"""),81.51)</f>
        <v>81.51</v>
      </c>
      <c r="F51" s="2">
        <f>IFERROR(__xludf.DUMMYFUNCTION("""COMPUTED_VALUE"""),2.1025307E7)</f>
        <v>21025307</v>
      </c>
    </row>
    <row r="52">
      <c r="A52" s="3">
        <f>IFERROR(__xludf.DUMMYFUNCTION("""COMPUTED_VALUE"""),45001.66666666667)</f>
        <v>45001.66667</v>
      </c>
      <c r="B52" s="2">
        <f>IFERROR(__xludf.DUMMYFUNCTION("""COMPUTED_VALUE"""),81.46)</f>
        <v>81.46</v>
      </c>
      <c r="C52" s="2">
        <f>IFERROR(__xludf.DUMMYFUNCTION("""COMPUTED_VALUE"""),82.48)</f>
        <v>82.48</v>
      </c>
      <c r="D52" s="2">
        <f>IFERROR(__xludf.DUMMYFUNCTION("""COMPUTED_VALUE"""),80.66)</f>
        <v>80.66</v>
      </c>
      <c r="E52" s="2">
        <f>IFERROR(__xludf.DUMMYFUNCTION("""COMPUTED_VALUE"""),82.22)</f>
        <v>82.22</v>
      </c>
      <c r="F52" s="2">
        <f>IFERROR(__xludf.DUMMYFUNCTION("""COMPUTED_VALUE"""),2.2922965E7)</f>
        <v>22922965</v>
      </c>
    </row>
    <row r="53">
      <c r="A53" s="3">
        <f>IFERROR(__xludf.DUMMYFUNCTION("""COMPUTED_VALUE"""),45002.66666666667)</f>
        <v>45002.66667</v>
      </c>
      <c r="B53" s="2">
        <f>IFERROR(__xludf.DUMMYFUNCTION("""COMPUTED_VALUE"""),84.0)</f>
        <v>84</v>
      </c>
      <c r="C53" s="2">
        <f>IFERROR(__xludf.DUMMYFUNCTION("""COMPUTED_VALUE"""),84.16)</f>
        <v>84.16</v>
      </c>
      <c r="D53" s="2">
        <f>IFERROR(__xludf.DUMMYFUNCTION("""COMPUTED_VALUE"""),80.62)</f>
        <v>80.62</v>
      </c>
      <c r="E53" s="2">
        <f>IFERROR(__xludf.DUMMYFUNCTION("""COMPUTED_VALUE"""),81.67)</f>
        <v>81.67</v>
      </c>
      <c r="F53" s="2">
        <f>IFERROR(__xludf.DUMMYFUNCTION("""COMPUTED_VALUE"""),2.3711136E7)</f>
        <v>23711136</v>
      </c>
    </row>
    <row r="54">
      <c r="A54" s="3">
        <f>IFERROR(__xludf.DUMMYFUNCTION("""COMPUTED_VALUE"""),45005.66666666667)</f>
        <v>45005.66667</v>
      </c>
      <c r="B54" s="2">
        <f>IFERROR(__xludf.DUMMYFUNCTION("""COMPUTED_VALUE"""),80.15)</f>
        <v>80.15</v>
      </c>
      <c r="C54" s="2">
        <f>IFERROR(__xludf.DUMMYFUNCTION("""COMPUTED_VALUE"""),81.9)</f>
        <v>81.9</v>
      </c>
      <c r="D54" s="2">
        <f>IFERROR(__xludf.DUMMYFUNCTION("""COMPUTED_VALUE"""),79.48)</f>
        <v>79.48</v>
      </c>
      <c r="E54" s="2">
        <f>IFERROR(__xludf.DUMMYFUNCTION("""COMPUTED_VALUE"""),81.0)</f>
        <v>81</v>
      </c>
      <c r="F54" s="2">
        <f>IFERROR(__xludf.DUMMYFUNCTION("""COMPUTED_VALUE"""),1.9536496E7)</f>
        <v>19536496</v>
      </c>
    </row>
    <row r="55">
      <c r="A55" s="3">
        <f>IFERROR(__xludf.DUMMYFUNCTION("""COMPUTED_VALUE"""),45006.66666666667)</f>
        <v>45006.66667</v>
      </c>
      <c r="B55" s="2">
        <f>IFERROR(__xludf.DUMMYFUNCTION("""COMPUTED_VALUE"""),82.46)</f>
        <v>82.46</v>
      </c>
      <c r="C55" s="2">
        <f>IFERROR(__xludf.DUMMYFUNCTION("""COMPUTED_VALUE"""),84.09)</f>
        <v>84.09</v>
      </c>
      <c r="D55" s="2">
        <f>IFERROR(__xludf.DUMMYFUNCTION("""COMPUTED_VALUE"""),82.0)</f>
        <v>82</v>
      </c>
      <c r="E55" s="2">
        <f>IFERROR(__xludf.DUMMYFUNCTION("""COMPUTED_VALUE"""),83.7)</f>
        <v>83.7</v>
      </c>
      <c r="F55" s="2">
        <f>IFERROR(__xludf.DUMMYFUNCTION("""COMPUTED_VALUE"""),1.6529397E7)</f>
        <v>16529397</v>
      </c>
    </row>
    <row r="56">
      <c r="A56" s="3">
        <f>IFERROR(__xludf.DUMMYFUNCTION("""COMPUTED_VALUE"""),45007.66666666667)</f>
        <v>45007.66667</v>
      </c>
      <c r="B56" s="2">
        <f>IFERROR(__xludf.DUMMYFUNCTION("""COMPUTED_VALUE"""),84.84)</f>
        <v>84.84</v>
      </c>
      <c r="C56" s="2">
        <f>IFERROR(__xludf.DUMMYFUNCTION("""COMPUTED_VALUE"""),85.39)</f>
        <v>85.39</v>
      </c>
      <c r="D56" s="2">
        <f>IFERROR(__xludf.DUMMYFUNCTION("""COMPUTED_VALUE"""),83.51)</f>
        <v>83.51</v>
      </c>
      <c r="E56" s="2">
        <f>IFERROR(__xludf.DUMMYFUNCTION("""COMPUTED_VALUE"""),83.65)</f>
        <v>83.65</v>
      </c>
      <c r="F56" s="2">
        <f>IFERROR(__xludf.DUMMYFUNCTION("""COMPUTED_VALUE"""),2.1204671E7)</f>
        <v>21204671</v>
      </c>
    </row>
    <row r="57">
      <c r="A57" s="3">
        <f>IFERROR(__xludf.DUMMYFUNCTION("""COMPUTED_VALUE"""),45008.66666666667)</f>
        <v>45008.66667</v>
      </c>
      <c r="B57" s="2">
        <f>IFERROR(__xludf.DUMMYFUNCTION("""COMPUTED_VALUE"""),87.68)</f>
        <v>87.68</v>
      </c>
      <c r="C57" s="2">
        <f>IFERROR(__xludf.DUMMYFUNCTION("""COMPUTED_VALUE"""),88.38)</f>
        <v>88.38</v>
      </c>
      <c r="D57" s="2">
        <f>IFERROR(__xludf.DUMMYFUNCTION("""COMPUTED_VALUE"""),85.26)</f>
        <v>85.26</v>
      </c>
      <c r="E57" s="2">
        <f>IFERROR(__xludf.DUMMYFUNCTION("""COMPUTED_VALUE"""),86.52)</f>
        <v>86.52</v>
      </c>
      <c r="F57" s="2">
        <f>IFERROR(__xludf.DUMMYFUNCTION("""COMPUTED_VALUE"""),2.6861427E7)</f>
        <v>26861427</v>
      </c>
    </row>
    <row r="58">
      <c r="A58" s="3">
        <f>IFERROR(__xludf.DUMMYFUNCTION("""COMPUTED_VALUE"""),45009.66666666667)</f>
        <v>45009.66667</v>
      </c>
      <c r="B58" s="2">
        <f>IFERROR(__xludf.DUMMYFUNCTION("""COMPUTED_VALUE"""),85.87)</f>
        <v>85.87</v>
      </c>
      <c r="C58" s="2">
        <f>IFERROR(__xludf.DUMMYFUNCTION("""COMPUTED_VALUE"""),88.11)</f>
        <v>88.11</v>
      </c>
      <c r="D58" s="2">
        <f>IFERROR(__xludf.DUMMYFUNCTION("""COMPUTED_VALUE"""),85.63)</f>
        <v>85.63</v>
      </c>
      <c r="E58" s="2">
        <f>IFERROR(__xludf.DUMMYFUNCTION("""COMPUTED_VALUE"""),86.9)</f>
        <v>86.9</v>
      </c>
      <c r="F58" s="2">
        <f>IFERROR(__xludf.DUMMYFUNCTION("""COMPUTED_VALUE"""),2.0349646E7)</f>
        <v>20349646</v>
      </c>
    </row>
    <row r="59">
      <c r="A59" s="3">
        <f>IFERROR(__xludf.DUMMYFUNCTION("""COMPUTED_VALUE"""),45012.66666666667)</f>
        <v>45012.66667</v>
      </c>
      <c r="B59" s="2">
        <f>IFERROR(__xludf.DUMMYFUNCTION("""COMPUTED_VALUE"""),87.13)</f>
        <v>87.13</v>
      </c>
      <c r="C59" s="2">
        <f>IFERROR(__xludf.DUMMYFUNCTION("""COMPUTED_VALUE"""),88.22)</f>
        <v>88.22</v>
      </c>
      <c r="D59" s="2">
        <f>IFERROR(__xludf.DUMMYFUNCTION("""COMPUTED_VALUE"""),85.5)</f>
        <v>85.5</v>
      </c>
      <c r="E59" s="2">
        <f>IFERROR(__xludf.DUMMYFUNCTION("""COMPUTED_VALUE"""),86.12)</f>
        <v>86.12</v>
      </c>
      <c r="F59" s="2">
        <f>IFERROR(__xludf.DUMMYFUNCTION("""COMPUTED_VALUE"""),1.8258302E7)</f>
        <v>18258302</v>
      </c>
    </row>
    <row r="60">
      <c r="A60" s="3">
        <f>IFERROR(__xludf.DUMMYFUNCTION("""COMPUTED_VALUE"""),45013.66666666667)</f>
        <v>45013.66667</v>
      </c>
      <c r="B60" s="2">
        <f>IFERROR(__xludf.DUMMYFUNCTION("""COMPUTED_VALUE"""),95.35)</f>
        <v>95.35</v>
      </c>
      <c r="C60" s="2">
        <f>IFERROR(__xludf.DUMMYFUNCTION("""COMPUTED_VALUE"""),99.51)</f>
        <v>99.51</v>
      </c>
      <c r="D60" s="2">
        <f>IFERROR(__xludf.DUMMYFUNCTION("""COMPUTED_VALUE"""),92.06)</f>
        <v>92.06</v>
      </c>
      <c r="E60" s="2">
        <f>IFERROR(__xludf.DUMMYFUNCTION("""COMPUTED_VALUE"""),98.4)</f>
        <v>98.4</v>
      </c>
      <c r="F60" s="2">
        <f>IFERROR(__xludf.DUMMYFUNCTION("""COMPUTED_VALUE"""),1.18875179E8)</f>
        <v>118875179</v>
      </c>
    </row>
    <row r="61">
      <c r="A61" s="3">
        <f>IFERROR(__xludf.DUMMYFUNCTION("""COMPUTED_VALUE"""),45014.66666666667)</f>
        <v>45014.66667</v>
      </c>
      <c r="B61" s="2">
        <f>IFERROR(__xludf.DUMMYFUNCTION("""COMPUTED_VALUE"""),97.59)</f>
        <v>97.59</v>
      </c>
      <c r="C61" s="2">
        <f>IFERROR(__xludf.DUMMYFUNCTION("""COMPUTED_VALUE"""),101.33)</f>
        <v>101.33</v>
      </c>
      <c r="D61" s="2">
        <f>IFERROR(__xludf.DUMMYFUNCTION("""COMPUTED_VALUE"""),96.28)</f>
        <v>96.28</v>
      </c>
      <c r="E61" s="2">
        <f>IFERROR(__xludf.DUMMYFUNCTION("""COMPUTED_VALUE"""),99.92)</f>
        <v>99.92</v>
      </c>
      <c r="F61" s="2">
        <f>IFERROR(__xludf.DUMMYFUNCTION("""COMPUTED_VALUE"""),5.3695033E7)</f>
        <v>53695033</v>
      </c>
    </row>
    <row r="62">
      <c r="A62" s="3">
        <f>IFERROR(__xludf.DUMMYFUNCTION("""COMPUTED_VALUE"""),45015.66666666667)</f>
        <v>45015.66667</v>
      </c>
      <c r="B62" s="2">
        <f>IFERROR(__xludf.DUMMYFUNCTION("""COMPUTED_VALUE"""),101.34)</f>
        <v>101.34</v>
      </c>
      <c r="C62" s="2">
        <f>IFERROR(__xludf.DUMMYFUNCTION("""COMPUTED_VALUE"""),105.05)</f>
        <v>105.05</v>
      </c>
      <c r="D62" s="2">
        <f>IFERROR(__xludf.DUMMYFUNCTION("""COMPUTED_VALUE"""),100.5)</f>
        <v>100.5</v>
      </c>
      <c r="E62" s="2">
        <f>IFERROR(__xludf.DUMMYFUNCTION("""COMPUTED_VALUE"""),103.38)</f>
        <v>103.38</v>
      </c>
      <c r="F62" s="2">
        <f>IFERROR(__xludf.DUMMYFUNCTION("""COMPUTED_VALUE"""),5.7780699E7)</f>
        <v>57780699</v>
      </c>
    </row>
    <row r="63">
      <c r="A63" s="3">
        <f>IFERROR(__xludf.DUMMYFUNCTION("""COMPUTED_VALUE"""),45016.66666666667)</f>
        <v>45016.66667</v>
      </c>
      <c r="B63" s="2">
        <f>IFERROR(__xludf.DUMMYFUNCTION("""COMPUTED_VALUE"""),102.86)</f>
        <v>102.86</v>
      </c>
      <c r="C63" s="2">
        <f>IFERROR(__xludf.DUMMYFUNCTION("""COMPUTED_VALUE"""),103.6)</f>
        <v>103.6</v>
      </c>
      <c r="D63" s="2">
        <f>IFERROR(__xludf.DUMMYFUNCTION("""COMPUTED_VALUE"""),101.13)</f>
        <v>101.13</v>
      </c>
      <c r="E63" s="2">
        <f>IFERROR(__xludf.DUMMYFUNCTION("""COMPUTED_VALUE"""),102.18)</f>
        <v>102.18</v>
      </c>
      <c r="F63" s="2">
        <f>IFERROR(__xludf.DUMMYFUNCTION("""COMPUTED_VALUE"""),2.8382576E7)</f>
        <v>28382576</v>
      </c>
    </row>
    <row r="64">
      <c r="A64" s="3">
        <f>IFERROR(__xludf.DUMMYFUNCTION("""COMPUTED_VALUE"""),45019.66666666667)</f>
        <v>45019.66667</v>
      </c>
      <c r="B64" s="2">
        <f>IFERROR(__xludf.DUMMYFUNCTION("""COMPUTED_VALUE"""),100.89)</f>
        <v>100.89</v>
      </c>
      <c r="C64" s="2">
        <f>IFERROR(__xludf.DUMMYFUNCTION("""COMPUTED_VALUE"""),101.75)</f>
        <v>101.75</v>
      </c>
      <c r="D64" s="2">
        <f>IFERROR(__xludf.DUMMYFUNCTION("""COMPUTED_VALUE"""),97.61)</f>
        <v>97.61</v>
      </c>
      <c r="E64" s="2">
        <f>IFERROR(__xludf.DUMMYFUNCTION("""COMPUTED_VALUE"""),98.39)</f>
        <v>98.39</v>
      </c>
      <c r="F64" s="2">
        <f>IFERROR(__xludf.DUMMYFUNCTION("""COMPUTED_VALUE"""),2.6888141E7)</f>
        <v>26888141</v>
      </c>
    </row>
    <row r="65">
      <c r="A65" s="3">
        <f>IFERROR(__xludf.DUMMYFUNCTION("""COMPUTED_VALUE"""),45020.66666666667)</f>
        <v>45020.66667</v>
      </c>
      <c r="B65" s="2">
        <f>IFERROR(__xludf.DUMMYFUNCTION("""COMPUTED_VALUE"""),98.94)</f>
        <v>98.94</v>
      </c>
      <c r="C65" s="2">
        <f>IFERROR(__xludf.DUMMYFUNCTION("""COMPUTED_VALUE"""),101.47)</f>
        <v>101.47</v>
      </c>
      <c r="D65" s="2">
        <f>IFERROR(__xludf.DUMMYFUNCTION("""COMPUTED_VALUE"""),97.26)</f>
        <v>97.26</v>
      </c>
      <c r="E65" s="2">
        <f>IFERROR(__xludf.DUMMYFUNCTION("""COMPUTED_VALUE"""),100.72)</f>
        <v>100.72</v>
      </c>
      <c r="F65" s="2">
        <f>IFERROR(__xludf.DUMMYFUNCTION("""COMPUTED_VALUE"""),2.6868408E7)</f>
        <v>26868408</v>
      </c>
    </row>
    <row r="66">
      <c r="A66" s="3">
        <f>IFERROR(__xludf.DUMMYFUNCTION("""COMPUTED_VALUE"""),45021.66666666667)</f>
        <v>45021.66667</v>
      </c>
      <c r="B66" s="2">
        <f>IFERROR(__xludf.DUMMYFUNCTION("""COMPUTED_VALUE"""),99.24)</f>
        <v>99.24</v>
      </c>
      <c r="C66" s="2">
        <f>IFERROR(__xludf.DUMMYFUNCTION("""COMPUTED_VALUE"""),100.45)</f>
        <v>100.45</v>
      </c>
      <c r="D66" s="2">
        <f>IFERROR(__xludf.DUMMYFUNCTION("""COMPUTED_VALUE"""),97.66)</f>
        <v>97.66</v>
      </c>
      <c r="E66" s="2">
        <f>IFERROR(__xludf.DUMMYFUNCTION("""COMPUTED_VALUE"""),98.55)</f>
        <v>98.55</v>
      </c>
      <c r="F66" s="2">
        <f>IFERROR(__xludf.DUMMYFUNCTION("""COMPUTED_VALUE"""),2.0117745E7)</f>
        <v>20117745</v>
      </c>
    </row>
    <row r="67">
      <c r="A67" s="3">
        <f>IFERROR(__xludf.DUMMYFUNCTION("""COMPUTED_VALUE"""),45022.66666666667)</f>
        <v>45022.66667</v>
      </c>
      <c r="B67" s="2">
        <f>IFERROR(__xludf.DUMMYFUNCTION("""COMPUTED_VALUE"""),98.53)</f>
        <v>98.53</v>
      </c>
      <c r="C67" s="2">
        <f>IFERROR(__xludf.DUMMYFUNCTION("""COMPUTED_VALUE"""),103.24)</f>
        <v>103.24</v>
      </c>
      <c r="D67" s="2">
        <f>IFERROR(__xludf.DUMMYFUNCTION("""COMPUTED_VALUE"""),98.27)</f>
        <v>98.27</v>
      </c>
      <c r="E67" s="2">
        <f>IFERROR(__xludf.DUMMYFUNCTION("""COMPUTED_VALUE"""),102.74)</f>
        <v>102.74</v>
      </c>
      <c r="F67" s="2">
        <f>IFERROR(__xludf.DUMMYFUNCTION("""COMPUTED_VALUE"""),2.6849216E7)</f>
        <v>26849216</v>
      </c>
    </row>
    <row r="68">
      <c r="A68" s="3">
        <f>IFERROR(__xludf.DUMMYFUNCTION("""COMPUTED_VALUE"""),45026.66666666667)</f>
        <v>45026.66667</v>
      </c>
      <c r="B68" s="2">
        <f>IFERROR(__xludf.DUMMYFUNCTION("""COMPUTED_VALUE"""),100.62)</f>
        <v>100.62</v>
      </c>
      <c r="C68" s="2">
        <f>IFERROR(__xludf.DUMMYFUNCTION("""COMPUTED_VALUE"""),102.83)</f>
        <v>102.83</v>
      </c>
      <c r="D68" s="2">
        <f>IFERROR(__xludf.DUMMYFUNCTION("""COMPUTED_VALUE"""),100.59)</f>
        <v>100.59</v>
      </c>
      <c r="E68" s="2">
        <f>IFERROR(__xludf.DUMMYFUNCTION("""COMPUTED_VALUE"""),101.54)</f>
        <v>101.54</v>
      </c>
      <c r="F68" s="2">
        <f>IFERROR(__xludf.DUMMYFUNCTION("""COMPUTED_VALUE"""),1.6308327E7)</f>
        <v>16308327</v>
      </c>
    </row>
    <row r="69">
      <c r="A69" s="3">
        <f>IFERROR(__xludf.DUMMYFUNCTION("""COMPUTED_VALUE"""),45027.66666666667)</f>
        <v>45027.66667</v>
      </c>
      <c r="B69" s="2">
        <f>IFERROR(__xludf.DUMMYFUNCTION("""COMPUTED_VALUE"""),102.46)</f>
        <v>102.46</v>
      </c>
      <c r="C69" s="2">
        <f>IFERROR(__xludf.DUMMYFUNCTION("""COMPUTED_VALUE"""),102.54)</f>
        <v>102.54</v>
      </c>
      <c r="D69" s="2">
        <f>IFERROR(__xludf.DUMMYFUNCTION("""COMPUTED_VALUE"""),99.2)</f>
        <v>99.2</v>
      </c>
      <c r="E69" s="2">
        <f>IFERROR(__xludf.DUMMYFUNCTION("""COMPUTED_VALUE"""),99.76)</f>
        <v>99.76</v>
      </c>
      <c r="F69" s="2">
        <f>IFERROR(__xludf.DUMMYFUNCTION("""COMPUTED_VALUE"""),1.9017682E7)</f>
        <v>19017682</v>
      </c>
    </row>
    <row r="70">
      <c r="A70" s="3">
        <f>IFERROR(__xludf.DUMMYFUNCTION("""COMPUTED_VALUE"""),45028.66666666667)</f>
        <v>45028.66667</v>
      </c>
      <c r="B70" s="2">
        <f>IFERROR(__xludf.DUMMYFUNCTION("""COMPUTED_VALUE"""),97.82)</f>
        <v>97.82</v>
      </c>
      <c r="C70" s="2">
        <f>IFERROR(__xludf.DUMMYFUNCTION("""COMPUTED_VALUE"""),98.89)</f>
        <v>98.89</v>
      </c>
      <c r="D70" s="2">
        <f>IFERROR(__xludf.DUMMYFUNCTION("""COMPUTED_VALUE"""),93.58)</f>
        <v>93.58</v>
      </c>
      <c r="E70" s="2">
        <f>IFERROR(__xludf.DUMMYFUNCTION("""COMPUTED_VALUE"""),93.84)</f>
        <v>93.84</v>
      </c>
      <c r="F70" s="2">
        <f>IFERROR(__xludf.DUMMYFUNCTION("""COMPUTED_VALUE"""),3.5515995E7)</f>
        <v>35515995</v>
      </c>
    </row>
    <row r="71">
      <c r="A71" s="3">
        <f>IFERROR(__xludf.DUMMYFUNCTION("""COMPUTED_VALUE"""),45029.66666666667)</f>
        <v>45029.66667</v>
      </c>
      <c r="B71" s="2">
        <f>IFERROR(__xludf.DUMMYFUNCTION("""COMPUTED_VALUE"""),95.88)</f>
        <v>95.88</v>
      </c>
      <c r="C71" s="2">
        <f>IFERROR(__xludf.DUMMYFUNCTION("""COMPUTED_VALUE"""),97.19)</f>
        <v>97.19</v>
      </c>
      <c r="D71" s="2">
        <f>IFERROR(__xludf.DUMMYFUNCTION("""COMPUTED_VALUE"""),95.1)</f>
        <v>95.1</v>
      </c>
      <c r="E71" s="2">
        <f>IFERROR(__xludf.DUMMYFUNCTION("""COMPUTED_VALUE"""),96.17)</f>
        <v>96.17</v>
      </c>
      <c r="F71" s="2">
        <f>IFERROR(__xludf.DUMMYFUNCTION("""COMPUTED_VALUE"""),2.4231741E7)</f>
        <v>24231741</v>
      </c>
    </row>
    <row r="72">
      <c r="A72" s="3">
        <f>IFERROR(__xludf.DUMMYFUNCTION("""COMPUTED_VALUE"""),45030.66666666667)</f>
        <v>45030.66667</v>
      </c>
      <c r="B72" s="2">
        <f>IFERROR(__xludf.DUMMYFUNCTION("""COMPUTED_VALUE"""),95.63)</f>
        <v>95.63</v>
      </c>
      <c r="C72" s="2">
        <f>IFERROR(__xludf.DUMMYFUNCTION("""COMPUTED_VALUE"""),96.12)</f>
        <v>96.12</v>
      </c>
      <c r="D72" s="2">
        <f>IFERROR(__xludf.DUMMYFUNCTION("""COMPUTED_VALUE"""),93.84)</f>
        <v>93.84</v>
      </c>
      <c r="E72" s="2">
        <f>IFERROR(__xludf.DUMMYFUNCTION("""COMPUTED_VALUE"""),94.55)</f>
        <v>94.55</v>
      </c>
      <c r="F72" s="2">
        <f>IFERROR(__xludf.DUMMYFUNCTION("""COMPUTED_VALUE"""),1.4098698E7)</f>
        <v>14098698</v>
      </c>
    </row>
    <row r="73">
      <c r="A73" s="3">
        <f>IFERROR(__xludf.DUMMYFUNCTION("""COMPUTED_VALUE"""),45033.66666666667)</f>
        <v>45033.66667</v>
      </c>
      <c r="B73" s="2">
        <f>IFERROR(__xludf.DUMMYFUNCTION("""COMPUTED_VALUE"""),96.74)</f>
        <v>96.74</v>
      </c>
      <c r="C73" s="2">
        <f>IFERROR(__xludf.DUMMYFUNCTION("""COMPUTED_VALUE"""),97.23)</f>
        <v>97.23</v>
      </c>
      <c r="D73" s="2">
        <f>IFERROR(__xludf.DUMMYFUNCTION("""COMPUTED_VALUE"""),95.49)</f>
        <v>95.49</v>
      </c>
      <c r="E73" s="2">
        <f>IFERROR(__xludf.DUMMYFUNCTION("""COMPUTED_VALUE"""),96.42)</f>
        <v>96.42</v>
      </c>
      <c r="F73" s="2">
        <f>IFERROR(__xludf.DUMMYFUNCTION("""COMPUTED_VALUE"""),1.5714118E7)</f>
        <v>15714118</v>
      </c>
    </row>
    <row r="74">
      <c r="A74" s="3">
        <f>IFERROR(__xludf.DUMMYFUNCTION("""COMPUTED_VALUE"""),45034.66666666667)</f>
        <v>45034.66667</v>
      </c>
      <c r="B74" s="2">
        <f>IFERROR(__xludf.DUMMYFUNCTION("""COMPUTED_VALUE"""),99.02)</f>
        <v>99.02</v>
      </c>
      <c r="C74" s="2">
        <f>IFERROR(__xludf.DUMMYFUNCTION("""COMPUTED_VALUE"""),99.17)</f>
        <v>99.17</v>
      </c>
      <c r="D74" s="2">
        <f>IFERROR(__xludf.DUMMYFUNCTION("""COMPUTED_VALUE"""),95.18)</f>
        <v>95.18</v>
      </c>
      <c r="E74" s="2">
        <f>IFERROR(__xludf.DUMMYFUNCTION("""COMPUTED_VALUE"""),95.49)</f>
        <v>95.49</v>
      </c>
      <c r="F74" s="2">
        <f>IFERROR(__xludf.DUMMYFUNCTION("""COMPUTED_VALUE"""),2.067232E7)</f>
        <v>20672320</v>
      </c>
    </row>
    <row r="75">
      <c r="A75" s="3">
        <f>IFERROR(__xludf.DUMMYFUNCTION("""COMPUTED_VALUE"""),45035.66666666667)</f>
        <v>45035.66667</v>
      </c>
      <c r="B75" s="2">
        <f>IFERROR(__xludf.DUMMYFUNCTION("""COMPUTED_VALUE"""),94.6)</f>
        <v>94.6</v>
      </c>
      <c r="C75" s="2">
        <f>IFERROR(__xludf.DUMMYFUNCTION("""COMPUTED_VALUE"""),94.82)</f>
        <v>94.82</v>
      </c>
      <c r="D75" s="2">
        <f>IFERROR(__xludf.DUMMYFUNCTION("""COMPUTED_VALUE"""),92.95)</f>
        <v>92.95</v>
      </c>
      <c r="E75" s="2">
        <f>IFERROR(__xludf.DUMMYFUNCTION("""COMPUTED_VALUE"""),93.49)</f>
        <v>93.49</v>
      </c>
      <c r="F75" s="2">
        <f>IFERROR(__xludf.DUMMYFUNCTION("""COMPUTED_VALUE"""),1.8985229E7)</f>
        <v>18985229</v>
      </c>
    </row>
    <row r="76">
      <c r="A76" s="3">
        <f>IFERROR(__xludf.DUMMYFUNCTION("""COMPUTED_VALUE"""),45036.66666666667)</f>
        <v>45036.66667</v>
      </c>
      <c r="B76" s="2">
        <f>IFERROR(__xludf.DUMMYFUNCTION("""COMPUTED_VALUE"""),93.35)</f>
        <v>93.35</v>
      </c>
      <c r="C76" s="2">
        <f>IFERROR(__xludf.DUMMYFUNCTION("""COMPUTED_VALUE"""),93.79)</f>
        <v>93.79</v>
      </c>
      <c r="D76" s="2">
        <f>IFERROR(__xludf.DUMMYFUNCTION("""COMPUTED_VALUE"""),90.05)</f>
        <v>90.05</v>
      </c>
      <c r="E76" s="2">
        <f>IFERROR(__xludf.DUMMYFUNCTION("""COMPUTED_VALUE"""),90.74)</f>
        <v>90.74</v>
      </c>
      <c r="F76" s="2">
        <f>IFERROR(__xludf.DUMMYFUNCTION("""COMPUTED_VALUE"""),2.5533867E7)</f>
        <v>25533867</v>
      </c>
    </row>
    <row r="77">
      <c r="A77" s="3">
        <f>IFERROR(__xludf.DUMMYFUNCTION("""COMPUTED_VALUE"""),45037.66666666667)</f>
        <v>45037.66667</v>
      </c>
      <c r="B77" s="2">
        <f>IFERROR(__xludf.DUMMYFUNCTION("""COMPUTED_VALUE"""),89.96)</f>
        <v>89.96</v>
      </c>
      <c r="C77" s="2">
        <f>IFERROR(__xludf.DUMMYFUNCTION("""COMPUTED_VALUE"""),90.19)</f>
        <v>90.19</v>
      </c>
      <c r="D77" s="2">
        <f>IFERROR(__xludf.DUMMYFUNCTION("""COMPUTED_VALUE"""),88.3)</f>
        <v>88.3</v>
      </c>
      <c r="E77" s="2">
        <f>IFERROR(__xludf.DUMMYFUNCTION("""COMPUTED_VALUE"""),89.13)</f>
        <v>89.13</v>
      </c>
      <c r="F77" s="2">
        <f>IFERROR(__xludf.DUMMYFUNCTION("""COMPUTED_VALUE"""),2.3097341E7)</f>
        <v>23097341</v>
      </c>
    </row>
    <row r="78">
      <c r="A78" s="3">
        <f>IFERROR(__xludf.DUMMYFUNCTION("""COMPUTED_VALUE"""),45040.66666666667)</f>
        <v>45040.66667</v>
      </c>
      <c r="B78" s="2">
        <f>IFERROR(__xludf.DUMMYFUNCTION("""COMPUTED_VALUE"""),88.4)</f>
        <v>88.4</v>
      </c>
      <c r="C78" s="2">
        <f>IFERROR(__xludf.DUMMYFUNCTION("""COMPUTED_VALUE"""),88.48)</f>
        <v>88.48</v>
      </c>
      <c r="D78" s="2">
        <f>IFERROR(__xludf.DUMMYFUNCTION("""COMPUTED_VALUE"""),86.04)</f>
        <v>86.04</v>
      </c>
      <c r="E78" s="2">
        <f>IFERROR(__xludf.DUMMYFUNCTION("""COMPUTED_VALUE"""),86.89)</f>
        <v>86.89</v>
      </c>
      <c r="F78" s="2">
        <f>IFERROR(__xludf.DUMMYFUNCTION("""COMPUTED_VALUE"""),2.2757093E7)</f>
        <v>22757093</v>
      </c>
    </row>
    <row r="79">
      <c r="A79" s="3">
        <f>IFERROR(__xludf.DUMMYFUNCTION("""COMPUTED_VALUE"""),45041.66666666667)</f>
        <v>45041.66667</v>
      </c>
      <c r="B79" s="2">
        <f>IFERROR(__xludf.DUMMYFUNCTION("""COMPUTED_VALUE"""),85.32)</f>
        <v>85.32</v>
      </c>
      <c r="C79" s="2">
        <f>IFERROR(__xludf.DUMMYFUNCTION("""COMPUTED_VALUE"""),85.7)</f>
        <v>85.7</v>
      </c>
      <c r="D79" s="2">
        <f>IFERROR(__xludf.DUMMYFUNCTION("""COMPUTED_VALUE"""),82.21)</f>
        <v>82.21</v>
      </c>
      <c r="E79" s="2">
        <f>IFERROR(__xludf.DUMMYFUNCTION("""COMPUTED_VALUE"""),82.92)</f>
        <v>82.92</v>
      </c>
      <c r="F79" s="2">
        <f>IFERROR(__xludf.DUMMYFUNCTION("""COMPUTED_VALUE"""),3.6441347E7)</f>
        <v>36441347</v>
      </c>
    </row>
    <row r="80">
      <c r="A80" s="3">
        <f>IFERROR(__xludf.DUMMYFUNCTION("""COMPUTED_VALUE"""),45042.66666666667)</f>
        <v>45042.66667</v>
      </c>
      <c r="B80" s="2">
        <f>IFERROR(__xludf.DUMMYFUNCTION("""COMPUTED_VALUE"""),85.04)</f>
        <v>85.04</v>
      </c>
      <c r="C80" s="2">
        <f>IFERROR(__xludf.DUMMYFUNCTION("""COMPUTED_VALUE"""),85.22)</f>
        <v>85.22</v>
      </c>
      <c r="D80" s="2">
        <f>IFERROR(__xludf.DUMMYFUNCTION("""COMPUTED_VALUE"""),82.76)</f>
        <v>82.76</v>
      </c>
      <c r="E80" s="2">
        <f>IFERROR(__xludf.DUMMYFUNCTION("""COMPUTED_VALUE"""),82.82)</f>
        <v>82.82</v>
      </c>
      <c r="F80" s="2">
        <f>IFERROR(__xludf.DUMMYFUNCTION("""COMPUTED_VALUE"""),2.4983E7)</f>
        <v>24983000</v>
      </c>
    </row>
    <row r="81">
      <c r="A81" s="3">
        <f>IFERROR(__xludf.DUMMYFUNCTION("""COMPUTED_VALUE"""),45043.66666666667)</f>
        <v>45043.66667</v>
      </c>
      <c r="B81" s="2">
        <f>IFERROR(__xludf.DUMMYFUNCTION("""COMPUTED_VALUE"""),83.07)</f>
        <v>83.07</v>
      </c>
      <c r="C81" s="2">
        <f>IFERROR(__xludf.DUMMYFUNCTION("""COMPUTED_VALUE"""),84.64)</f>
        <v>84.64</v>
      </c>
      <c r="D81" s="2">
        <f>IFERROR(__xludf.DUMMYFUNCTION("""COMPUTED_VALUE"""),82.64)</f>
        <v>82.64</v>
      </c>
      <c r="E81" s="2">
        <f>IFERROR(__xludf.DUMMYFUNCTION("""COMPUTED_VALUE"""),84.47)</f>
        <v>84.47</v>
      </c>
      <c r="F81" s="2">
        <f>IFERROR(__xludf.DUMMYFUNCTION("""COMPUTED_VALUE"""),2.4506825E7)</f>
        <v>24506825</v>
      </c>
    </row>
    <row r="82">
      <c r="A82" s="3">
        <f>IFERROR(__xludf.DUMMYFUNCTION("""COMPUTED_VALUE"""),45044.66666666667)</f>
        <v>45044.66667</v>
      </c>
      <c r="B82" s="2">
        <f>IFERROR(__xludf.DUMMYFUNCTION("""COMPUTED_VALUE"""),84.18)</f>
        <v>84.18</v>
      </c>
      <c r="C82" s="2">
        <f>IFERROR(__xludf.DUMMYFUNCTION("""COMPUTED_VALUE"""),85.08)</f>
        <v>85.08</v>
      </c>
      <c r="D82" s="2">
        <f>IFERROR(__xludf.DUMMYFUNCTION("""COMPUTED_VALUE"""),83.87)</f>
        <v>83.87</v>
      </c>
      <c r="E82" s="2">
        <f>IFERROR(__xludf.DUMMYFUNCTION("""COMPUTED_VALUE"""),84.69)</f>
        <v>84.69</v>
      </c>
      <c r="F82" s="2">
        <f>IFERROR(__xludf.DUMMYFUNCTION("""COMPUTED_VALUE"""),1.810926E7)</f>
        <v>18109260</v>
      </c>
    </row>
    <row r="83">
      <c r="A83" s="3">
        <f>IFERROR(__xludf.DUMMYFUNCTION("""COMPUTED_VALUE"""),45047.66666666667)</f>
        <v>45047.66667</v>
      </c>
      <c r="B83" s="2">
        <f>IFERROR(__xludf.DUMMYFUNCTION("""COMPUTED_VALUE"""),84.15)</f>
        <v>84.15</v>
      </c>
      <c r="C83" s="2">
        <f>IFERROR(__xludf.DUMMYFUNCTION("""COMPUTED_VALUE"""),85.28)</f>
        <v>85.28</v>
      </c>
      <c r="D83" s="2">
        <f>IFERROR(__xludf.DUMMYFUNCTION("""COMPUTED_VALUE"""),83.77)</f>
        <v>83.77</v>
      </c>
      <c r="E83" s="2">
        <f>IFERROR(__xludf.DUMMYFUNCTION("""COMPUTED_VALUE"""),84.16)</f>
        <v>84.16</v>
      </c>
      <c r="F83" s="2">
        <f>IFERROR(__xludf.DUMMYFUNCTION("""COMPUTED_VALUE"""),1.2909246E7)</f>
        <v>12909246</v>
      </c>
    </row>
    <row r="84">
      <c r="A84" s="3">
        <f>IFERROR(__xludf.DUMMYFUNCTION("""COMPUTED_VALUE"""),45048.66666666667)</f>
        <v>45048.66667</v>
      </c>
      <c r="B84" s="2">
        <f>IFERROR(__xludf.DUMMYFUNCTION("""COMPUTED_VALUE"""),83.15)</f>
        <v>83.15</v>
      </c>
      <c r="C84" s="2">
        <f>IFERROR(__xludf.DUMMYFUNCTION("""COMPUTED_VALUE"""),83.28)</f>
        <v>83.28</v>
      </c>
      <c r="D84" s="2">
        <f>IFERROR(__xludf.DUMMYFUNCTION("""COMPUTED_VALUE"""),80.65)</f>
        <v>80.65</v>
      </c>
      <c r="E84" s="2">
        <f>IFERROR(__xludf.DUMMYFUNCTION("""COMPUTED_VALUE"""),81.53)</f>
        <v>81.53</v>
      </c>
      <c r="F84" s="2">
        <f>IFERROR(__xludf.DUMMYFUNCTION("""COMPUTED_VALUE"""),2.0689482E7)</f>
        <v>20689482</v>
      </c>
    </row>
    <row r="85">
      <c r="A85" s="3">
        <f>IFERROR(__xludf.DUMMYFUNCTION("""COMPUTED_VALUE"""),45049.66666666667)</f>
        <v>45049.66667</v>
      </c>
      <c r="B85" s="2">
        <f>IFERROR(__xludf.DUMMYFUNCTION("""COMPUTED_VALUE"""),81.31)</f>
        <v>81.31</v>
      </c>
      <c r="C85" s="2">
        <f>IFERROR(__xludf.DUMMYFUNCTION("""COMPUTED_VALUE"""),82.0)</f>
        <v>82</v>
      </c>
      <c r="D85" s="2">
        <f>IFERROR(__xludf.DUMMYFUNCTION("""COMPUTED_VALUE"""),80.49)</f>
        <v>80.49</v>
      </c>
      <c r="E85" s="2">
        <f>IFERROR(__xludf.DUMMYFUNCTION("""COMPUTED_VALUE"""),81.48)</f>
        <v>81.48</v>
      </c>
      <c r="F85" s="2">
        <f>IFERROR(__xludf.DUMMYFUNCTION("""COMPUTED_VALUE"""),1.7759399E7)</f>
        <v>17759399</v>
      </c>
    </row>
    <row r="86">
      <c r="A86" s="3">
        <f>IFERROR(__xludf.DUMMYFUNCTION("""COMPUTED_VALUE"""),45050.66666666667)</f>
        <v>45050.66667</v>
      </c>
      <c r="B86" s="2">
        <f>IFERROR(__xludf.DUMMYFUNCTION("""COMPUTED_VALUE"""),82.39)</f>
        <v>82.39</v>
      </c>
      <c r="C86" s="2">
        <f>IFERROR(__xludf.DUMMYFUNCTION("""COMPUTED_VALUE"""),83.13)</f>
        <v>83.13</v>
      </c>
      <c r="D86" s="2">
        <f>IFERROR(__xludf.DUMMYFUNCTION("""COMPUTED_VALUE"""),81.8)</f>
        <v>81.8</v>
      </c>
      <c r="E86" s="2">
        <f>IFERROR(__xludf.DUMMYFUNCTION("""COMPUTED_VALUE"""),82.49)</f>
        <v>82.49</v>
      </c>
      <c r="F86" s="2">
        <f>IFERROR(__xludf.DUMMYFUNCTION("""COMPUTED_VALUE"""),2.377383E7)</f>
        <v>23773830</v>
      </c>
    </row>
    <row r="87">
      <c r="A87" s="3">
        <f>IFERROR(__xludf.DUMMYFUNCTION("""COMPUTED_VALUE"""),45051.66666666667)</f>
        <v>45051.66667</v>
      </c>
      <c r="B87" s="2">
        <f>IFERROR(__xludf.DUMMYFUNCTION("""COMPUTED_VALUE"""),82.75)</f>
        <v>82.75</v>
      </c>
      <c r="C87" s="2">
        <f>IFERROR(__xludf.DUMMYFUNCTION("""COMPUTED_VALUE"""),83.38)</f>
        <v>83.38</v>
      </c>
      <c r="D87" s="2">
        <f>IFERROR(__xludf.DUMMYFUNCTION("""COMPUTED_VALUE"""),82.03)</f>
        <v>82.03</v>
      </c>
      <c r="E87" s="2">
        <f>IFERROR(__xludf.DUMMYFUNCTION("""COMPUTED_VALUE"""),83.22)</f>
        <v>83.22</v>
      </c>
      <c r="F87" s="2">
        <f>IFERROR(__xludf.DUMMYFUNCTION("""COMPUTED_VALUE"""),1.752762E7)</f>
        <v>17527620</v>
      </c>
    </row>
    <row r="88">
      <c r="A88" s="3">
        <f>IFERROR(__xludf.DUMMYFUNCTION("""COMPUTED_VALUE"""),45054.66666666667)</f>
        <v>45054.66667</v>
      </c>
      <c r="B88" s="2">
        <f>IFERROR(__xludf.DUMMYFUNCTION("""COMPUTED_VALUE"""),83.63)</f>
        <v>83.63</v>
      </c>
      <c r="C88" s="2">
        <f>IFERROR(__xludf.DUMMYFUNCTION("""COMPUTED_VALUE"""),83.7)</f>
        <v>83.7</v>
      </c>
      <c r="D88" s="2">
        <f>IFERROR(__xludf.DUMMYFUNCTION("""COMPUTED_VALUE"""),82.34)</f>
        <v>82.34</v>
      </c>
      <c r="E88" s="2">
        <f>IFERROR(__xludf.DUMMYFUNCTION("""COMPUTED_VALUE"""),83.31)</f>
        <v>83.31</v>
      </c>
      <c r="F88" s="2">
        <f>IFERROR(__xludf.DUMMYFUNCTION("""COMPUTED_VALUE"""),1.7392861E7)</f>
        <v>17392861</v>
      </c>
    </row>
    <row r="89">
      <c r="A89" s="3">
        <f>IFERROR(__xludf.DUMMYFUNCTION("""COMPUTED_VALUE"""),45055.66666666667)</f>
        <v>45055.66667</v>
      </c>
      <c r="B89" s="2">
        <f>IFERROR(__xludf.DUMMYFUNCTION("""COMPUTED_VALUE"""),80.55)</f>
        <v>80.55</v>
      </c>
      <c r="C89" s="2">
        <f>IFERROR(__xludf.DUMMYFUNCTION("""COMPUTED_VALUE"""),82.66)</f>
        <v>82.66</v>
      </c>
      <c r="D89" s="2">
        <f>IFERROR(__xludf.DUMMYFUNCTION("""COMPUTED_VALUE"""),80.15)</f>
        <v>80.15</v>
      </c>
      <c r="E89" s="2">
        <f>IFERROR(__xludf.DUMMYFUNCTION("""COMPUTED_VALUE"""),82.22)</f>
        <v>82.22</v>
      </c>
      <c r="F89" s="2">
        <f>IFERROR(__xludf.DUMMYFUNCTION("""COMPUTED_VALUE"""),1.3457351E7)</f>
        <v>13457351</v>
      </c>
    </row>
    <row r="90">
      <c r="A90" s="3">
        <f>IFERROR(__xludf.DUMMYFUNCTION("""COMPUTED_VALUE"""),45056.66666666667)</f>
        <v>45056.66667</v>
      </c>
      <c r="B90" s="2">
        <f>IFERROR(__xludf.DUMMYFUNCTION("""COMPUTED_VALUE"""),82.14)</f>
        <v>82.14</v>
      </c>
      <c r="C90" s="2">
        <f>IFERROR(__xludf.DUMMYFUNCTION("""COMPUTED_VALUE"""),84.5)</f>
        <v>84.5</v>
      </c>
      <c r="D90" s="2">
        <f>IFERROR(__xludf.DUMMYFUNCTION("""COMPUTED_VALUE"""),81.77)</f>
        <v>81.77</v>
      </c>
      <c r="E90" s="2">
        <f>IFERROR(__xludf.DUMMYFUNCTION("""COMPUTED_VALUE"""),82.95)</f>
        <v>82.95</v>
      </c>
      <c r="F90" s="2">
        <f>IFERROR(__xludf.DUMMYFUNCTION("""COMPUTED_VALUE"""),1.6868062E7)</f>
        <v>16868062</v>
      </c>
    </row>
    <row r="91">
      <c r="A91" s="3">
        <f>IFERROR(__xludf.DUMMYFUNCTION("""COMPUTED_VALUE"""),45057.66666666667)</f>
        <v>45057.66667</v>
      </c>
      <c r="B91" s="2">
        <f>IFERROR(__xludf.DUMMYFUNCTION("""COMPUTED_VALUE"""),85.43)</f>
        <v>85.43</v>
      </c>
      <c r="C91" s="2">
        <f>IFERROR(__xludf.DUMMYFUNCTION("""COMPUTED_VALUE"""),88.48)</f>
        <v>88.48</v>
      </c>
      <c r="D91" s="2">
        <f>IFERROR(__xludf.DUMMYFUNCTION("""COMPUTED_VALUE"""),84.82)</f>
        <v>84.82</v>
      </c>
      <c r="E91" s="2">
        <f>IFERROR(__xludf.DUMMYFUNCTION("""COMPUTED_VALUE"""),87.89)</f>
        <v>87.89</v>
      </c>
      <c r="F91" s="2">
        <f>IFERROR(__xludf.DUMMYFUNCTION("""COMPUTED_VALUE"""),2.8104158E7)</f>
        <v>28104158</v>
      </c>
    </row>
    <row r="92">
      <c r="A92" s="3">
        <f>IFERROR(__xludf.DUMMYFUNCTION("""COMPUTED_VALUE"""),45058.66666666667)</f>
        <v>45058.66667</v>
      </c>
      <c r="B92" s="2">
        <f>IFERROR(__xludf.DUMMYFUNCTION("""COMPUTED_VALUE"""),86.71)</f>
        <v>86.71</v>
      </c>
      <c r="C92" s="2">
        <f>IFERROR(__xludf.DUMMYFUNCTION("""COMPUTED_VALUE"""),86.71)</f>
        <v>86.71</v>
      </c>
      <c r="D92" s="2">
        <f>IFERROR(__xludf.DUMMYFUNCTION("""COMPUTED_VALUE"""),84.76)</f>
        <v>84.76</v>
      </c>
      <c r="E92" s="2">
        <f>IFERROR(__xludf.DUMMYFUNCTION("""COMPUTED_VALUE"""),85.34)</f>
        <v>85.34</v>
      </c>
      <c r="F92" s="2">
        <f>IFERROR(__xludf.DUMMYFUNCTION("""COMPUTED_VALUE"""),1.9042794E7)</f>
        <v>19042794</v>
      </c>
    </row>
    <row r="93">
      <c r="A93" s="3">
        <f>IFERROR(__xludf.DUMMYFUNCTION("""COMPUTED_VALUE"""),45061.66666666667)</f>
        <v>45061.66667</v>
      </c>
      <c r="B93" s="2">
        <f>IFERROR(__xludf.DUMMYFUNCTION("""COMPUTED_VALUE"""),87.13)</f>
        <v>87.13</v>
      </c>
      <c r="C93" s="2">
        <f>IFERROR(__xludf.DUMMYFUNCTION("""COMPUTED_VALUE"""),88.4)</f>
        <v>88.4</v>
      </c>
      <c r="D93" s="2">
        <f>IFERROR(__xludf.DUMMYFUNCTION("""COMPUTED_VALUE"""),85.83)</f>
        <v>85.83</v>
      </c>
      <c r="E93" s="2">
        <f>IFERROR(__xludf.DUMMYFUNCTION("""COMPUTED_VALUE"""),88.34)</f>
        <v>88.34</v>
      </c>
      <c r="F93" s="2">
        <f>IFERROR(__xludf.DUMMYFUNCTION("""COMPUTED_VALUE"""),2.3691178E7)</f>
        <v>23691178</v>
      </c>
    </row>
    <row r="94">
      <c r="A94" s="3">
        <f>IFERROR(__xludf.DUMMYFUNCTION("""COMPUTED_VALUE"""),45062.66666666667)</f>
        <v>45062.66667</v>
      </c>
      <c r="B94" s="2">
        <f>IFERROR(__xludf.DUMMYFUNCTION("""COMPUTED_VALUE"""),87.11)</f>
        <v>87.11</v>
      </c>
      <c r="C94" s="2">
        <f>IFERROR(__xludf.DUMMYFUNCTION("""COMPUTED_VALUE"""),89.37)</f>
        <v>89.37</v>
      </c>
      <c r="D94" s="2">
        <f>IFERROR(__xludf.DUMMYFUNCTION("""COMPUTED_VALUE"""),87.06)</f>
        <v>87.06</v>
      </c>
      <c r="E94" s="2">
        <f>IFERROR(__xludf.DUMMYFUNCTION("""COMPUTED_VALUE"""),88.76)</f>
        <v>88.76</v>
      </c>
      <c r="F94" s="2">
        <f>IFERROR(__xludf.DUMMYFUNCTION("""COMPUTED_VALUE"""),1.8177862E7)</f>
        <v>18177862</v>
      </c>
    </row>
    <row r="95">
      <c r="A95" s="3">
        <f>IFERROR(__xludf.DUMMYFUNCTION("""COMPUTED_VALUE"""),45063.66666666667)</f>
        <v>45063.66667</v>
      </c>
      <c r="B95" s="2">
        <f>IFERROR(__xludf.DUMMYFUNCTION("""COMPUTED_VALUE"""),88.46)</f>
        <v>88.46</v>
      </c>
      <c r="C95" s="2">
        <f>IFERROR(__xludf.DUMMYFUNCTION("""COMPUTED_VALUE"""),91.43)</f>
        <v>91.43</v>
      </c>
      <c r="D95" s="2">
        <f>IFERROR(__xludf.DUMMYFUNCTION("""COMPUTED_VALUE"""),88.01)</f>
        <v>88.01</v>
      </c>
      <c r="E95" s="2">
        <f>IFERROR(__xludf.DUMMYFUNCTION("""COMPUTED_VALUE"""),90.68)</f>
        <v>90.68</v>
      </c>
      <c r="F95" s="2">
        <f>IFERROR(__xludf.DUMMYFUNCTION("""COMPUTED_VALUE"""),2.7670688E7)</f>
        <v>27670688</v>
      </c>
    </row>
    <row r="96">
      <c r="A96" s="3">
        <f>IFERROR(__xludf.DUMMYFUNCTION("""COMPUTED_VALUE"""),45064.66666666667)</f>
        <v>45064.66667</v>
      </c>
      <c r="B96" s="2">
        <f>IFERROR(__xludf.DUMMYFUNCTION("""COMPUTED_VALUE"""),90.81)</f>
        <v>90.81</v>
      </c>
      <c r="C96" s="2">
        <f>IFERROR(__xludf.DUMMYFUNCTION("""COMPUTED_VALUE"""),91.0)</f>
        <v>91</v>
      </c>
      <c r="D96" s="2">
        <f>IFERROR(__xludf.DUMMYFUNCTION("""COMPUTED_VALUE"""),85.0)</f>
        <v>85</v>
      </c>
      <c r="E96" s="2">
        <f>IFERROR(__xludf.DUMMYFUNCTION("""COMPUTED_VALUE"""),85.77)</f>
        <v>85.77</v>
      </c>
      <c r="F96" s="2">
        <f>IFERROR(__xludf.DUMMYFUNCTION("""COMPUTED_VALUE"""),6.0258607E7)</f>
        <v>60258607</v>
      </c>
    </row>
    <row r="97">
      <c r="A97" s="3">
        <f>IFERROR(__xludf.DUMMYFUNCTION("""COMPUTED_VALUE"""),45065.66666666667)</f>
        <v>45065.66667</v>
      </c>
      <c r="B97" s="2">
        <f>IFERROR(__xludf.DUMMYFUNCTION("""COMPUTED_VALUE"""),83.85)</f>
        <v>83.85</v>
      </c>
      <c r="C97" s="2">
        <f>IFERROR(__xludf.DUMMYFUNCTION("""COMPUTED_VALUE"""),85.2)</f>
        <v>85.2</v>
      </c>
      <c r="D97" s="2">
        <f>IFERROR(__xludf.DUMMYFUNCTION("""COMPUTED_VALUE"""),83.48)</f>
        <v>83.48</v>
      </c>
      <c r="E97" s="2">
        <f>IFERROR(__xludf.DUMMYFUNCTION("""COMPUTED_VALUE"""),83.98)</f>
        <v>83.98</v>
      </c>
      <c r="F97" s="2">
        <f>IFERROR(__xludf.DUMMYFUNCTION("""COMPUTED_VALUE"""),2.1571832E7)</f>
        <v>21571832</v>
      </c>
    </row>
    <row r="98">
      <c r="A98" s="3">
        <f>IFERROR(__xludf.DUMMYFUNCTION("""COMPUTED_VALUE"""),45068.66666666667)</f>
        <v>45068.66667</v>
      </c>
      <c r="B98" s="2">
        <f>IFERROR(__xludf.DUMMYFUNCTION("""COMPUTED_VALUE"""),85.67)</f>
        <v>85.67</v>
      </c>
      <c r="C98" s="2">
        <f>IFERROR(__xludf.DUMMYFUNCTION("""COMPUTED_VALUE"""),87.48)</f>
        <v>87.48</v>
      </c>
      <c r="D98" s="2">
        <f>IFERROR(__xludf.DUMMYFUNCTION("""COMPUTED_VALUE"""),85.65)</f>
        <v>85.65</v>
      </c>
      <c r="E98" s="2">
        <f>IFERROR(__xludf.DUMMYFUNCTION("""COMPUTED_VALUE"""),86.1)</f>
        <v>86.1</v>
      </c>
      <c r="F98" s="2">
        <f>IFERROR(__xludf.DUMMYFUNCTION("""COMPUTED_VALUE"""),1.6951329E7)</f>
        <v>16951329</v>
      </c>
    </row>
    <row r="99">
      <c r="A99" s="3">
        <f>IFERROR(__xludf.DUMMYFUNCTION("""COMPUTED_VALUE"""),45069.66666666667)</f>
        <v>45069.66667</v>
      </c>
      <c r="B99" s="2">
        <f>IFERROR(__xludf.DUMMYFUNCTION("""COMPUTED_VALUE"""),84.16)</f>
        <v>84.16</v>
      </c>
      <c r="C99" s="2">
        <f>IFERROR(__xludf.DUMMYFUNCTION("""COMPUTED_VALUE"""),84.98)</f>
        <v>84.98</v>
      </c>
      <c r="D99" s="2">
        <f>IFERROR(__xludf.DUMMYFUNCTION("""COMPUTED_VALUE"""),82.7)</f>
        <v>82.7</v>
      </c>
      <c r="E99" s="2">
        <f>IFERROR(__xludf.DUMMYFUNCTION("""COMPUTED_VALUE"""),82.88)</f>
        <v>82.88</v>
      </c>
      <c r="F99" s="2">
        <f>IFERROR(__xludf.DUMMYFUNCTION("""COMPUTED_VALUE"""),1.9917788E7)</f>
        <v>19917788</v>
      </c>
    </row>
    <row r="100">
      <c r="A100" s="3">
        <f>IFERROR(__xludf.DUMMYFUNCTION("""COMPUTED_VALUE"""),45070.66666666667)</f>
        <v>45070.66667</v>
      </c>
      <c r="B100" s="2">
        <f>IFERROR(__xludf.DUMMYFUNCTION("""COMPUTED_VALUE"""),82.17)</f>
        <v>82.17</v>
      </c>
      <c r="C100" s="2">
        <f>IFERROR(__xludf.DUMMYFUNCTION("""COMPUTED_VALUE"""),82.6)</f>
        <v>82.6</v>
      </c>
      <c r="D100" s="2">
        <f>IFERROR(__xludf.DUMMYFUNCTION("""COMPUTED_VALUE"""),80.88)</f>
        <v>80.88</v>
      </c>
      <c r="E100" s="2">
        <f>IFERROR(__xludf.DUMMYFUNCTION("""COMPUTED_VALUE"""),81.21)</f>
        <v>81.21</v>
      </c>
      <c r="F100" s="2">
        <f>IFERROR(__xludf.DUMMYFUNCTION("""COMPUTED_VALUE"""),1.7045795E7)</f>
        <v>17045795</v>
      </c>
    </row>
    <row r="101">
      <c r="A101" s="3">
        <f>IFERROR(__xludf.DUMMYFUNCTION("""COMPUTED_VALUE"""),45071.66666666667)</f>
        <v>45071.66667</v>
      </c>
      <c r="B101" s="2">
        <f>IFERROR(__xludf.DUMMYFUNCTION("""COMPUTED_VALUE"""),80.59)</f>
        <v>80.59</v>
      </c>
      <c r="C101" s="2">
        <f>IFERROR(__xludf.DUMMYFUNCTION("""COMPUTED_VALUE"""),80.71)</f>
        <v>80.71</v>
      </c>
      <c r="D101" s="2">
        <f>IFERROR(__xludf.DUMMYFUNCTION("""COMPUTED_VALUE"""),78.12)</f>
        <v>78.12</v>
      </c>
      <c r="E101" s="2">
        <f>IFERROR(__xludf.DUMMYFUNCTION("""COMPUTED_VALUE"""),78.78)</f>
        <v>78.78</v>
      </c>
      <c r="F101" s="2">
        <f>IFERROR(__xludf.DUMMYFUNCTION("""COMPUTED_VALUE"""),2.1811561E7)</f>
        <v>21811561</v>
      </c>
    </row>
    <row r="102">
      <c r="A102" s="3">
        <f>IFERROR(__xludf.DUMMYFUNCTION("""COMPUTED_VALUE"""),45072.66666666667)</f>
        <v>45072.66667</v>
      </c>
      <c r="B102" s="2">
        <f>IFERROR(__xludf.DUMMYFUNCTION("""COMPUTED_VALUE"""),79.9)</f>
        <v>79.9</v>
      </c>
      <c r="C102" s="2">
        <f>IFERROR(__xludf.DUMMYFUNCTION("""COMPUTED_VALUE"""),81.57)</f>
        <v>81.57</v>
      </c>
      <c r="D102" s="2">
        <f>IFERROR(__xludf.DUMMYFUNCTION("""COMPUTED_VALUE"""),78.4)</f>
        <v>78.4</v>
      </c>
      <c r="E102" s="2">
        <f>IFERROR(__xludf.DUMMYFUNCTION("""COMPUTED_VALUE"""),80.97)</f>
        <v>80.97</v>
      </c>
      <c r="F102" s="2">
        <f>IFERROR(__xludf.DUMMYFUNCTION("""COMPUTED_VALUE"""),1.6419963E7)</f>
        <v>16419963</v>
      </c>
    </row>
    <row r="103">
      <c r="A103" s="3">
        <f>IFERROR(__xludf.DUMMYFUNCTION("""COMPUTED_VALUE"""),45076.66666666667)</f>
        <v>45076.66667</v>
      </c>
      <c r="B103" s="2">
        <f>IFERROR(__xludf.DUMMYFUNCTION("""COMPUTED_VALUE"""),80.12)</f>
        <v>80.12</v>
      </c>
      <c r="C103" s="2">
        <f>IFERROR(__xludf.DUMMYFUNCTION("""COMPUTED_VALUE"""),80.7)</f>
        <v>80.7</v>
      </c>
      <c r="D103" s="2">
        <f>IFERROR(__xludf.DUMMYFUNCTION("""COMPUTED_VALUE"""),78.17)</f>
        <v>78.17</v>
      </c>
      <c r="E103" s="2">
        <f>IFERROR(__xludf.DUMMYFUNCTION("""COMPUTED_VALUE"""),78.67)</f>
        <v>78.67</v>
      </c>
      <c r="F103" s="2">
        <f>IFERROR(__xludf.DUMMYFUNCTION("""COMPUTED_VALUE"""),2.1209566E7)</f>
        <v>21209566</v>
      </c>
    </row>
    <row r="104">
      <c r="A104" s="3">
        <f>IFERROR(__xludf.DUMMYFUNCTION("""COMPUTED_VALUE"""),45077.66666666667)</f>
        <v>45077.66667</v>
      </c>
      <c r="B104" s="2">
        <f>IFERROR(__xludf.DUMMYFUNCTION("""COMPUTED_VALUE"""),79.58)</f>
        <v>79.58</v>
      </c>
      <c r="C104" s="2">
        <f>IFERROR(__xludf.DUMMYFUNCTION("""COMPUTED_VALUE"""),79.67)</f>
        <v>79.67</v>
      </c>
      <c r="D104" s="2">
        <f>IFERROR(__xludf.DUMMYFUNCTION("""COMPUTED_VALUE"""),77.77)</f>
        <v>77.77</v>
      </c>
      <c r="E104" s="2">
        <f>IFERROR(__xludf.DUMMYFUNCTION("""COMPUTED_VALUE"""),79.55)</f>
        <v>79.55</v>
      </c>
      <c r="F104" s="2">
        <f>IFERROR(__xludf.DUMMYFUNCTION("""COMPUTED_VALUE"""),1.6206283E7)</f>
        <v>16206283</v>
      </c>
    </row>
    <row r="105">
      <c r="A105" s="3">
        <f>IFERROR(__xludf.DUMMYFUNCTION("""COMPUTED_VALUE"""),45078.66666666667)</f>
        <v>45078.66667</v>
      </c>
      <c r="B105" s="2">
        <f>IFERROR(__xludf.DUMMYFUNCTION("""COMPUTED_VALUE"""),79.35)</f>
        <v>79.35</v>
      </c>
      <c r="C105" s="2">
        <f>IFERROR(__xludf.DUMMYFUNCTION("""COMPUTED_VALUE"""),84.0)</f>
        <v>84</v>
      </c>
      <c r="D105" s="2">
        <f>IFERROR(__xludf.DUMMYFUNCTION("""COMPUTED_VALUE"""),79.35)</f>
        <v>79.35</v>
      </c>
      <c r="E105" s="2">
        <f>IFERROR(__xludf.DUMMYFUNCTION("""COMPUTED_VALUE"""),83.0)</f>
        <v>83</v>
      </c>
      <c r="F105" s="2">
        <f>IFERROR(__xludf.DUMMYFUNCTION("""COMPUTED_VALUE"""),2.3217608E7)</f>
        <v>23217608</v>
      </c>
    </row>
    <row r="106">
      <c r="A106" s="3">
        <f>IFERROR(__xludf.DUMMYFUNCTION("""COMPUTED_VALUE"""),45079.66666666667)</f>
        <v>45079.66667</v>
      </c>
      <c r="B106" s="2">
        <f>IFERROR(__xludf.DUMMYFUNCTION("""COMPUTED_VALUE"""),85.08)</f>
        <v>85.08</v>
      </c>
      <c r="C106" s="2">
        <f>IFERROR(__xludf.DUMMYFUNCTION("""COMPUTED_VALUE"""),86.03)</f>
        <v>86.03</v>
      </c>
      <c r="D106" s="2">
        <f>IFERROR(__xludf.DUMMYFUNCTION("""COMPUTED_VALUE"""),84.14)</f>
        <v>84.14</v>
      </c>
      <c r="E106" s="2">
        <f>IFERROR(__xludf.DUMMYFUNCTION("""COMPUTED_VALUE"""),84.27)</f>
        <v>84.27</v>
      </c>
      <c r="F106" s="2">
        <f>IFERROR(__xludf.DUMMYFUNCTION("""COMPUTED_VALUE"""),1.761609E7)</f>
        <v>17616090</v>
      </c>
    </row>
    <row r="107">
      <c r="A107" s="3">
        <f>IFERROR(__xludf.DUMMYFUNCTION("""COMPUTED_VALUE"""),45082.66666666667)</f>
        <v>45082.66667</v>
      </c>
      <c r="B107" s="2">
        <f>IFERROR(__xludf.DUMMYFUNCTION("""COMPUTED_VALUE"""),83.99)</f>
        <v>83.99</v>
      </c>
      <c r="C107" s="2">
        <f>IFERROR(__xludf.DUMMYFUNCTION("""COMPUTED_VALUE"""),84.57)</f>
        <v>84.57</v>
      </c>
      <c r="D107" s="2">
        <f>IFERROR(__xludf.DUMMYFUNCTION("""COMPUTED_VALUE"""),83.24)</f>
        <v>83.24</v>
      </c>
      <c r="E107" s="2">
        <f>IFERROR(__xludf.DUMMYFUNCTION("""COMPUTED_VALUE"""),84.4)</f>
        <v>84.4</v>
      </c>
      <c r="F107" s="2">
        <f>IFERROR(__xludf.DUMMYFUNCTION("""COMPUTED_VALUE"""),8204016.0)</f>
        <v>8204016</v>
      </c>
    </row>
    <row r="108">
      <c r="A108" s="3">
        <f>IFERROR(__xludf.DUMMYFUNCTION("""COMPUTED_VALUE"""),45083.66666666667)</f>
        <v>45083.66667</v>
      </c>
      <c r="B108" s="2">
        <f>IFERROR(__xludf.DUMMYFUNCTION("""COMPUTED_VALUE"""),83.5)</f>
        <v>83.5</v>
      </c>
      <c r="C108" s="2">
        <f>IFERROR(__xludf.DUMMYFUNCTION("""COMPUTED_VALUE"""),87.06)</f>
        <v>87.06</v>
      </c>
      <c r="D108" s="2">
        <f>IFERROR(__xludf.DUMMYFUNCTION("""COMPUTED_VALUE"""),83.37)</f>
        <v>83.37</v>
      </c>
      <c r="E108" s="2">
        <f>IFERROR(__xludf.DUMMYFUNCTION("""COMPUTED_VALUE"""),86.7)</f>
        <v>86.7</v>
      </c>
      <c r="F108" s="2">
        <f>IFERROR(__xludf.DUMMYFUNCTION("""COMPUTED_VALUE"""),1.8451961E7)</f>
        <v>18451961</v>
      </c>
    </row>
    <row r="109">
      <c r="A109" s="3">
        <f>IFERROR(__xludf.DUMMYFUNCTION("""COMPUTED_VALUE"""),45084.66666666667)</f>
        <v>45084.66667</v>
      </c>
      <c r="B109" s="2">
        <f>IFERROR(__xludf.DUMMYFUNCTION("""COMPUTED_VALUE"""),85.72)</f>
        <v>85.72</v>
      </c>
      <c r="C109" s="2">
        <f>IFERROR(__xludf.DUMMYFUNCTION("""COMPUTED_VALUE"""),86.95)</f>
        <v>86.95</v>
      </c>
      <c r="D109" s="2">
        <f>IFERROR(__xludf.DUMMYFUNCTION("""COMPUTED_VALUE"""),85.09)</f>
        <v>85.09</v>
      </c>
      <c r="E109" s="2">
        <f>IFERROR(__xludf.DUMMYFUNCTION("""COMPUTED_VALUE"""),85.28)</f>
        <v>85.28</v>
      </c>
      <c r="F109" s="2">
        <f>IFERROR(__xludf.DUMMYFUNCTION("""COMPUTED_VALUE"""),1.2886683E7)</f>
        <v>12886683</v>
      </c>
    </row>
    <row r="110">
      <c r="A110" s="3">
        <f>IFERROR(__xludf.DUMMYFUNCTION("""COMPUTED_VALUE"""),45085.66666666667)</f>
        <v>45085.66667</v>
      </c>
      <c r="B110" s="2">
        <f>IFERROR(__xludf.DUMMYFUNCTION("""COMPUTED_VALUE"""),85.17)</f>
        <v>85.17</v>
      </c>
      <c r="C110" s="2">
        <f>IFERROR(__xludf.DUMMYFUNCTION("""COMPUTED_VALUE"""),86.95)</f>
        <v>86.95</v>
      </c>
      <c r="D110" s="2">
        <f>IFERROR(__xludf.DUMMYFUNCTION("""COMPUTED_VALUE"""),85.17)</f>
        <v>85.17</v>
      </c>
      <c r="E110" s="2">
        <f>IFERROR(__xludf.DUMMYFUNCTION("""COMPUTED_VALUE"""),86.14)</f>
        <v>86.14</v>
      </c>
      <c r="F110" s="2">
        <f>IFERROR(__xludf.DUMMYFUNCTION("""COMPUTED_VALUE"""),1.1280953E7)</f>
        <v>11280953</v>
      </c>
    </row>
    <row r="111">
      <c r="A111" s="3">
        <f>IFERROR(__xludf.DUMMYFUNCTION("""COMPUTED_VALUE"""),45086.66666666667)</f>
        <v>45086.66667</v>
      </c>
      <c r="B111" s="2">
        <f>IFERROR(__xludf.DUMMYFUNCTION("""COMPUTED_VALUE"""),86.06)</f>
        <v>86.06</v>
      </c>
      <c r="C111" s="2">
        <f>IFERROR(__xludf.DUMMYFUNCTION("""COMPUTED_VALUE"""),86.84)</f>
        <v>86.84</v>
      </c>
      <c r="D111" s="2">
        <f>IFERROR(__xludf.DUMMYFUNCTION("""COMPUTED_VALUE"""),85.07)</f>
        <v>85.07</v>
      </c>
      <c r="E111" s="2">
        <f>IFERROR(__xludf.DUMMYFUNCTION("""COMPUTED_VALUE"""),85.5)</f>
        <v>85.5</v>
      </c>
      <c r="F111" s="2">
        <f>IFERROR(__xludf.DUMMYFUNCTION("""COMPUTED_VALUE"""),1.2903414E7)</f>
        <v>12903414</v>
      </c>
    </row>
    <row r="112">
      <c r="A112" s="3">
        <f>IFERROR(__xludf.DUMMYFUNCTION("""COMPUTED_VALUE"""),45089.66666666667)</f>
        <v>45089.66667</v>
      </c>
      <c r="B112" s="2">
        <f>IFERROR(__xludf.DUMMYFUNCTION("""COMPUTED_VALUE"""),86.01)</f>
        <v>86.01</v>
      </c>
      <c r="C112" s="2">
        <f>IFERROR(__xludf.DUMMYFUNCTION("""COMPUTED_VALUE"""),87.29)</f>
        <v>87.29</v>
      </c>
      <c r="D112" s="2">
        <f>IFERROR(__xludf.DUMMYFUNCTION("""COMPUTED_VALUE"""),85.63)</f>
        <v>85.63</v>
      </c>
      <c r="E112" s="2">
        <f>IFERROR(__xludf.DUMMYFUNCTION("""COMPUTED_VALUE"""),85.86)</f>
        <v>85.86</v>
      </c>
      <c r="F112" s="2">
        <f>IFERROR(__xludf.DUMMYFUNCTION("""COMPUTED_VALUE"""),1.1575889E7)</f>
        <v>11575889</v>
      </c>
    </row>
    <row r="113">
      <c r="A113" s="3">
        <f>IFERROR(__xludf.DUMMYFUNCTION("""COMPUTED_VALUE"""),45090.66666666667)</f>
        <v>45090.66667</v>
      </c>
      <c r="B113" s="2">
        <f>IFERROR(__xludf.DUMMYFUNCTION("""COMPUTED_VALUE"""),87.96)</f>
        <v>87.96</v>
      </c>
      <c r="C113" s="2">
        <f>IFERROR(__xludf.DUMMYFUNCTION("""COMPUTED_VALUE"""),89.22)</f>
        <v>89.22</v>
      </c>
      <c r="D113" s="2">
        <f>IFERROR(__xludf.DUMMYFUNCTION("""COMPUTED_VALUE"""),87.25)</f>
        <v>87.25</v>
      </c>
      <c r="E113" s="2">
        <f>IFERROR(__xludf.DUMMYFUNCTION("""COMPUTED_VALUE"""),87.51)</f>
        <v>87.51</v>
      </c>
      <c r="F113" s="2">
        <f>IFERROR(__xludf.DUMMYFUNCTION("""COMPUTED_VALUE"""),1.6814142E7)</f>
        <v>16814142</v>
      </c>
    </row>
    <row r="114">
      <c r="A114" s="3">
        <f>IFERROR(__xludf.DUMMYFUNCTION("""COMPUTED_VALUE"""),45091.66666666667)</f>
        <v>45091.66667</v>
      </c>
      <c r="B114" s="2">
        <f>IFERROR(__xludf.DUMMYFUNCTION("""COMPUTED_VALUE"""),87.97)</f>
        <v>87.97</v>
      </c>
      <c r="C114" s="2">
        <f>IFERROR(__xludf.DUMMYFUNCTION("""COMPUTED_VALUE"""),90.12)</f>
        <v>90.12</v>
      </c>
      <c r="D114" s="2">
        <f>IFERROR(__xludf.DUMMYFUNCTION("""COMPUTED_VALUE"""),87.71)</f>
        <v>87.71</v>
      </c>
      <c r="E114" s="2">
        <f>IFERROR(__xludf.DUMMYFUNCTION("""COMPUTED_VALUE"""),89.36)</f>
        <v>89.36</v>
      </c>
      <c r="F114" s="2">
        <f>IFERROR(__xludf.DUMMYFUNCTION("""COMPUTED_VALUE"""),2.1519342E7)</f>
        <v>21519342</v>
      </c>
    </row>
    <row r="115">
      <c r="A115" s="3">
        <f>IFERROR(__xludf.DUMMYFUNCTION("""COMPUTED_VALUE"""),45092.66666666667)</f>
        <v>45092.66667</v>
      </c>
      <c r="B115" s="2">
        <f>IFERROR(__xludf.DUMMYFUNCTION("""COMPUTED_VALUE"""),91.46)</f>
        <v>91.46</v>
      </c>
      <c r="C115" s="2">
        <f>IFERROR(__xludf.DUMMYFUNCTION("""COMPUTED_VALUE"""),92.77)</f>
        <v>92.77</v>
      </c>
      <c r="D115" s="2">
        <f>IFERROR(__xludf.DUMMYFUNCTION("""COMPUTED_VALUE"""),90.6)</f>
        <v>90.6</v>
      </c>
      <c r="E115" s="2">
        <f>IFERROR(__xludf.DUMMYFUNCTION("""COMPUTED_VALUE"""),92.2)</f>
        <v>92.2</v>
      </c>
      <c r="F115" s="2">
        <f>IFERROR(__xludf.DUMMYFUNCTION("""COMPUTED_VALUE"""),2.6570478E7)</f>
        <v>26570478</v>
      </c>
    </row>
    <row r="116">
      <c r="A116" s="3">
        <f>IFERROR(__xludf.DUMMYFUNCTION("""COMPUTED_VALUE"""),45093.66666666667)</f>
        <v>45093.66667</v>
      </c>
      <c r="B116" s="2">
        <f>IFERROR(__xludf.DUMMYFUNCTION("""COMPUTED_VALUE"""),94.0)</f>
        <v>94</v>
      </c>
      <c r="C116" s="2">
        <f>IFERROR(__xludf.DUMMYFUNCTION("""COMPUTED_VALUE"""),94.29)</f>
        <v>94.29</v>
      </c>
      <c r="D116" s="2">
        <f>IFERROR(__xludf.DUMMYFUNCTION("""COMPUTED_VALUE"""),91.52)</f>
        <v>91.52</v>
      </c>
      <c r="E116" s="2">
        <f>IFERROR(__xludf.DUMMYFUNCTION("""COMPUTED_VALUE"""),92.1)</f>
        <v>92.1</v>
      </c>
      <c r="F116" s="2">
        <f>IFERROR(__xludf.DUMMYFUNCTION("""COMPUTED_VALUE"""),2.5087713E7)</f>
        <v>25087713</v>
      </c>
    </row>
    <row r="117">
      <c r="A117" s="3">
        <f>IFERROR(__xludf.DUMMYFUNCTION("""COMPUTED_VALUE"""),45097.66666666667)</f>
        <v>45097.66667</v>
      </c>
      <c r="B117" s="2">
        <f>IFERROR(__xludf.DUMMYFUNCTION("""COMPUTED_VALUE"""),89.83)</f>
        <v>89.83</v>
      </c>
      <c r="C117" s="2">
        <f>IFERROR(__xludf.DUMMYFUNCTION("""COMPUTED_VALUE"""),90.2)</f>
        <v>90.2</v>
      </c>
      <c r="D117" s="2">
        <f>IFERROR(__xludf.DUMMYFUNCTION("""COMPUTED_VALUE"""),87.32)</f>
        <v>87.32</v>
      </c>
      <c r="E117" s="2">
        <f>IFERROR(__xludf.DUMMYFUNCTION("""COMPUTED_VALUE"""),87.93)</f>
        <v>87.93</v>
      </c>
      <c r="F117" s="2">
        <f>IFERROR(__xludf.DUMMYFUNCTION("""COMPUTED_VALUE"""),2.3382865E7)</f>
        <v>23382865</v>
      </c>
    </row>
    <row r="118">
      <c r="A118" s="3">
        <f>IFERROR(__xludf.DUMMYFUNCTION("""COMPUTED_VALUE"""),45098.66666666667)</f>
        <v>45098.66667</v>
      </c>
      <c r="B118" s="2">
        <f>IFERROR(__xludf.DUMMYFUNCTION("""COMPUTED_VALUE"""),87.38)</f>
        <v>87.38</v>
      </c>
      <c r="C118" s="2">
        <f>IFERROR(__xludf.DUMMYFUNCTION("""COMPUTED_VALUE"""),89.16)</f>
        <v>89.16</v>
      </c>
      <c r="D118" s="2">
        <f>IFERROR(__xludf.DUMMYFUNCTION("""COMPUTED_VALUE"""),86.62)</f>
        <v>86.62</v>
      </c>
      <c r="E118" s="2">
        <f>IFERROR(__xludf.DUMMYFUNCTION("""COMPUTED_VALUE"""),86.77)</f>
        <v>86.77</v>
      </c>
      <c r="F118" s="2">
        <f>IFERROR(__xludf.DUMMYFUNCTION("""COMPUTED_VALUE"""),1.5159909E7)</f>
        <v>15159909</v>
      </c>
    </row>
    <row r="119">
      <c r="A119" s="3">
        <f>IFERROR(__xludf.DUMMYFUNCTION("""COMPUTED_VALUE"""),45099.66666666667)</f>
        <v>45099.66667</v>
      </c>
      <c r="B119" s="2">
        <f>IFERROR(__xludf.DUMMYFUNCTION("""COMPUTED_VALUE"""),86.78)</f>
        <v>86.78</v>
      </c>
      <c r="C119" s="2">
        <f>IFERROR(__xludf.DUMMYFUNCTION("""COMPUTED_VALUE"""),87.32)</f>
        <v>87.32</v>
      </c>
      <c r="D119" s="2">
        <f>IFERROR(__xludf.DUMMYFUNCTION("""COMPUTED_VALUE"""),85.32)</f>
        <v>85.32</v>
      </c>
      <c r="E119" s="2">
        <f>IFERROR(__xludf.DUMMYFUNCTION("""COMPUTED_VALUE"""),86.89)</f>
        <v>86.89</v>
      </c>
      <c r="F119" s="2">
        <f>IFERROR(__xludf.DUMMYFUNCTION("""COMPUTED_VALUE"""),1.0272698E7)</f>
        <v>10272698</v>
      </c>
    </row>
    <row r="120">
      <c r="A120" s="3">
        <f>IFERROR(__xludf.DUMMYFUNCTION("""COMPUTED_VALUE"""),45100.66666666667)</f>
        <v>45100.66667</v>
      </c>
      <c r="B120" s="2">
        <f>IFERROR(__xludf.DUMMYFUNCTION("""COMPUTED_VALUE"""),85.81)</f>
        <v>85.81</v>
      </c>
      <c r="C120" s="2">
        <f>IFERROR(__xludf.DUMMYFUNCTION("""COMPUTED_VALUE"""),85.94)</f>
        <v>85.94</v>
      </c>
      <c r="D120" s="2">
        <f>IFERROR(__xludf.DUMMYFUNCTION("""COMPUTED_VALUE"""),84.37)</f>
        <v>84.37</v>
      </c>
      <c r="E120" s="2">
        <f>IFERROR(__xludf.DUMMYFUNCTION("""COMPUTED_VALUE"""),84.92)</f>
        <v>84.92</v>
      </c>
      <c r="F120" s="2">
        <f>IFERROR(__xludf.DUMMYFUNCTION("""COMPUTED_VALUE"""),1.4907127E7)</f>
        <v>14907127</v>
      </c>
    </row>
    <row r="121">
      <c r="A121" s="3">
        <f>IFERROR(__xludf.DUMMYFUNCTION("""COMPUTED_VALUE"""),45103.66666666667)</f>
        <v>45103.66667</v>
      </c>
      <c r="B121" s="2">
        <f>IFERROR(__xludf.DUMMYFUNCTION("""COMPUTED_VALUE"""),85.32)</f>
        <v>85.32</v>
      </c>
      <c r="C121" s="2">
        <f>IFERROR(__xludf.DUMMYFUNCTION("""COMPUTED_VALUE"""),86.71)</f>
        <v>86.71</v>
      </c>
      <c r="D121" s="2">
        <f>IFERROR(__xludf.DUMMYFUNCTION("""COMPUTED_VALUE"""),85.21)</f>
        <v>85.21</v>
      </c>
      <c r="E121" s="2">
        <f>IFERROR(__xludf.DUMMYFUNCTION("""COMPUTED_VALUE"""),85.47)</f>
        <v>85.47</v>
      </c>
      <c r="F121" s="2">
        <f>IFERROR(__xludf.DUMMYFUNCTION("""COMPUTED_VALUE"""),1.0808685E7)</f>
        <v>10808685</v>
      </c>
    </row>
    <row r="122">
      <c r="A122" s="3">
        <f>IFERROR(__xludf.DUMMYFUNCTION("""COMPUTED_VALUE"""),45104.66666666667)</f>
        <v>45104.66667</v>
      </c>
      <c r="B122" s="2">
        <f>IFERROR(__xludf.DUMMYFUNCTION("""COMPUTED_VALUE"""),86.82)</f>
        <v>86.82</v>
      </c>
      <c r="C122" s="2">
        <f>IFERROR(__xludf.DUMMYFUNCTION("""COMPUTED_VALUE"""),87.62)</f>
        <v>87.62</v>
      </c>
      <c r="D122" s="2">
        <f>IFERROR(__xludf.DUMMYFUNCTION("""COMPUTED_VALUE"""),86.72)</f>
        <v>86.72</v>
      </c>
      <c r="E122" s="2">
        <f>IFERROR(__xludf.DUMMYFUNCTION("""COMPUTED_VALUE"""),87.13)</f>
        <v>87.13</v>
      </c>
      <c r="F122" s="2">
        <f>IFERROR(__xludf.DUMMYFUNCTION("""COMPUTED_VALUE"""),1.399452E7)</f>
        <v>13994520</v>
      </c>
    </row>
    <row r="123">
      <c r="A123" s="3">
        <f>IFERROR(__xludf.DUMMYFUNCTION("""COMPUTED_VALUE"""),45105.66666666667)</f>
        <v>45105.66667</v>
      </c>
      <c r="B123" s="2">
        <f>IFERROR(__xludf.DUMMYFUNCTION("""COMPUTED_VALUE"""),85.75)</f>
        <v>85.75</v>
      </c>
      <c r="C123" s="2">
        <f>IFERROR(__xludf.DUMMYFUNCTION("""COMPUTED_VALUE"""),85.75)</f>
        <v>85.75</v>
      </c>
      <c r="D123" s="2">
        <f>IFERROR(__xludf.DUMMYFUNCTION("""COMPUTED_VALUE"""),84.38)</f>
        <v>84.38</v>
      </c>
      <c r="E123" s="2">
        <f>IFERROR(__xludf.DUMMYFUNCTION("""COMPUTED_VALUE"""),84.59)</f>
        <v>84.59</v>
      </c>
      <c r="F123" s="2">
        <f>IFERROR(__xludf.DUMMYFUNCTION("""COMPUTED_VALUE"""),1.4113822E7)</f>
        <v>14113822</v>
      </c>
    </row>
    <row r="124">
      <c r="A124" s="3">
        <f>IFERROR(__xludf.DUMMYFUNCTION("""COMPUTED_VALUE"""),45106.66666666667)</f>
        <v>45106.66667</v>
      </c>
      <c r="B124" s="2">
        <f>IFERROR(__xludf.DUMMYFUNCTION("""COMPUTED_VALUE"""),83.39)</f>
        <v>83.39</v>
      </c>
      <c r="C124" s="2">
        <f>IFERROR(__xludf.DUMMYFUNCTION("""COMPUTED_VALUE"""),83.99)</f>
        <v>83.99</v>
      </c>
      <c r="D124" s="2">
        <f>IFERROR(__xludf.DUMMYFUNCTION("""COMPUTED_VALUE"""),83.0)</f>
        <v>83</v>
      </c>
      <c r="E124" s="2">
        <f>IFERROR(__xludf.DUMMYFUNCTION("""COMPUTED_VALUE"""),83.55)</f>
        <v>83.55</v>
      </c>
      <c r="F124" s="2">
        <f>IFERROR(__xludf.DUMMYFUNCTION("""COMPUTED_VALUE"""),1.3362547E7)</f>
        <v>13362547</v>
      </c>
    </row>
    <row r="125">
      <c r="A125" s="3">
        <f>IFERROR(__xludf.DUMMYFUNCTION("""COMPUTED_VALUE"""),45107.66666666667)</f>
        <v>45107.66667</v>
      </c>
      <c r="B125" s="2">
        <f>IFERROR(__xludf.DUMMYFUNCTION("""COMPUTED_VALUE"""),83.23)</f>
        <v>83.23</v>
      </c>
      <c r="C125" s="2">
        <f>IFERROR(__xludf.DUMMYFUNCTION("""COMPUTED_VALUE"""),84.23)</f>
        <v>84.23</v>
      </c>
      <c r="D125" s="2">
        <f>IFERROR(__xludf.DUMMYFUNCTION("""COMPUTED_VALUE"""),83.01)</f>
        <v>83.01</v>
      </c>
      <c r="E125" s="2">
        <f>IFERROR(__xludf.DUMMYFUNCTION("""COMPUTED_VALUE"""),83.35)</f>
        <v>83.35</v>
      </c>
      <c r="F125" s="2">
        <f>IFERROR(__xludf.DUMMYFUNCTION("""COMPUTED_VALUE"""),1.217429E7)</f>
        <v>12174290</v>
      </c>
    </row>
    <row r="126">
      <c r="A126" s="3">
        <f>IFERROR(__xludf.DUMMYFUNCTION("""COMPUTED_VALUE"""),45110.54166666667)</f>
        <v>45110.54167</v>
      </c>
      <c r="B126" s="2">
        <f>IFERROR(__xludf.DUMMYFUNCTION("""COMPUTED_VALUE"""),84.87)</f>
        <v>84.87</v>
      </c>
      <c r="C126" s="2">
        <f>IFERROR(__xludf.DUMMYFUNCTION("""COMPUTED_VALUE"""),85.64)</f>
        <v>85.64</v>
      </c>
      <c r="D126" s="2">
        <f>IFERROR(__xludf.DUMMYFUNCTION("""COMPUTED_VALUE"""),84.0)</f>
        <v>84</v>
      </c>
      <c r="E126" s="2">
        <f>IFERROR(__xludf.DUMMYFUNCTION("""COMPUTED_VALUE"""),84.07)</f>
        <v>84.07</v>
      </c>
      <c r="F126" s="2">
        <f>IFERROR(__xludf.DUMMYFUNCTION("""COMPUTED_VALUE"""),1.151439E7)</f>
        <v>11514390</v>
      </c>
    </row>
    <row r="127">
      <c r="A127" s="3">
        <f>IFERROR(__xludf.DUMMYFUNCTION("""COMPUTED_VALUE"""),45112.66666666667)</f>
        <v>45112.66667</v>
      </c>
      <c r="B127" s="2">
        <f>IFERROR(__xludf.DUMMYFUNCTION("""COMPUTED_VALUE"""),83.98)</f>
        <v>83.98</v>
      </c>
      <c r="C127" s="2">
        <f>IFERROR(__xludf.DUMMYFUNCTION("""COMPUTED_VALUE"""),84.69)</f>
        <v>84.69</v>
      </c>
      <c r="D127" s="2">
        <f>IFERROR(__xludf.DUMMYFUNCTION("""COMPUTED_VALUE"""),82.82)</f>
        <v>82.82</v>
      </c>
      <c r="E127" s="2">
        <f>IFERROR(__xludf.DUMMYFUNCTION("""COMPUTED_VALUE"""),84.3)</f>
        <v>84.3</v>
      </c>
      <c r="F127" s="2">
        <f>IFERROR(__xludf.DUMMYFUNCTION("""COMPUTED_VALUE"""),1.1203853E7)</f>
        <v>11203853</v>
      </c>
    </row>
    <row r="128">
      <c r="A128" s="3">
        <f>IFERROR(__xludf.DUMMYFUNCTION("""COMPUTED_VALUE"""),45113.66666666667)</f>
        <v>45113.66667</v>
      </c>
      <c r="B128" s="2">
        <f>IFERROR(__xludf.DUMMYFUNCTION("""COMPUTED_VALUE"""),83.12)</f>
        <v>83.12</v>
      </c>
      <c r="C128" s="2">
        <f>IFERROR(__xludf.DUMMYFUNCTION("""COMPUTED_VALUE"""),83.95)</f>
        <v>83.95</v>
      </c>
      <c r="D128" s="2">
        <f>IFERROR(__xludf.DUMMYFUNCTION("""COMPUTED_VALUE"""),82.64)</f>
        <v>82.64</v>
      </c>
      <c r="E128" s="2">
        <f>IFERROR(__xludf.DUMMYFUNCTION("""COMPUTED_VALUE"""),83.84)</f>
        <v>83.84</v>
      </c>
      <c r="F128" s="2">
        <f>IFERROR(__xludf.DUMMYFUNCTION("""COMPUTED_VALUE"""),1.2943666E7)</f>
        <v>12943666</v>
      </c>
    </row>
    <row r="129">
      <c r="A129" s="3">
        <f>IFERROR(__xludf.DUMMYFUNCTION("""COMPUTED_VALUE"""),45114.66666666667)</f>
        <v>45114.66667</v>
      </c>
      <c r="B129" s="2">
        <f>IFERROR(__xludf.DUMMYFUNCTION("""COMPUTED_VALUE"""),86.76)</f>
        <v>86.76</v>
      </c>
      <c r="C129" s="2">
        <f>IFERROR(__xludf.DUMMYFUNCTION("""COMPUTED_VALUE"""),91.57)</f>
        <v>91.57</v>
      </c>
      <c r="D129" s="2">
        <f>IFERROR(__xludf.DUMMYFUNCTION("""COMPUTED_VALUE"""),86.63)</f>
        <v>86.63</v>
      </c>
      <c r="E129" s="2">
        <f>IFERROR(__xludf.DUMMYFUNCTION("""COMPUTED_VALUE"""),90.55)</f>
        <v>90.55</v>
      </c>
      <c r="F129" s="2">
        <f>IFERROR(__xludf.DUMMYFUNCTION("""COMPUTED_VALUE"""),4.6992145E7)</f>
        <v>46992145</v>
      </c>
    </row>
    <row r="130">
      <c r="A130" s="3">
        <f>IFERROR(__xludf.DUMMYFUNCTION("""COMPUTED_VALUE"""),45117.66666666667)</f>
        <v>45117.66667</v>
      </c>
      <c r="B130" s="2">
        <f>IFERROR(__xludf.DUMMYFUNCTION("""COMPUTED_VALUE"""),90.05)</f>
        <v>90.05</v>
      </c>
      <c r="C130" s="2">
        <f>IFERROR(__xludf.DUMMYFUNCTION("""COMPUTED_VALUE"""),92.04)</f>
        <v>92.04</v>
      </c>
      <c r="D130" s="2">
        <f>IFERROR(__xludf.DUMMYFUNCTION("""COMPUTED_VALUE"""),89.6)</f>
        <v>89.6</v>
      </c>
      <c r="E130" s="2">
        <f>IFERROR(__xludf.DUMMYFUNCTION("""COMPUTED_VALUE"""),90.56)</f>
        <v>90.56</v>
      </c>
      <c r="F130" s="2">
        <f>IFERROR(__xludf.DUMMYFUNCTION("""COMPUTED_VALUE"""),2.5401783E7)</f>
        <v>25401783</v>
      </c>
    </row>
    <row r="131">
      <c r="A131" s="3">
        <f>IFERROR(__xludf.DUMMYFUNCTION("""COMPUTED_VALUE"""),45118.66666666667)</f>
        <v>45118.66667</v>
      </c>
      <c r="B131" s="2">
        <f>IFERROR(__xludf.DUMMYFUNCTION("""COMPUTED_VALUE"""),91.02)</f>
        <v>91.02</v>
      </c>
      <c r="C131" s="2">
        <f>IFERROR(__xludf.DUMMYFUNCTION("""COMPUTED_VALUE"""),92.32)</f>
        <v>92.32</v>
      </c>
      <c r="D131" s="2">
        <f>IFERROR(__xludf.DUMMYFUNCTION("""COMPUTED_VALUE"""),89.01)</f>
        <v>89.01</v>
      </c>
      <c r="E131" s="2">
        <f>IFERROR(__xludf.DUMMYFUNCTION("""COMPUTED_VALUE"""),91.79)</f>
        <v>91.79</v>
      </c>
      <c r="F131" s="2">
        <f>IFERROR(__xludf.DUMMYFUNCTION("""COMPUTED_VALUE"""),2.0768841E7)</f>
        <v>20768841</v>
      </c>
    </row>
    <row r="132">
      <c r="A132" s="3">
        <f>IFERROR(__xludf.DUMMYFUNCTION("""COMPUTED_VALUE"""),45119.66666666667)</f>
        <v>45119.66667</v>
      </c>
      <c r="B132" s="2">
        <f>IFERROR(__xludf.DUMMYFUNCTION("""COMPUTED_VALUE"""),94.11)</f>
        <v>94.11</v>
      </c>
      <c r="C132" s="2">
        <f>IFERROR(__xludf.DUMMYFUNCTION("""COMPUTED_VALUE"""),95.03)</f>
        <v>95.03</v>
      </c>
      <c r="D132" s="2">
        <f>IFERROR(__xludf.DUMMYFUNCTION("""COMPUTED_VALUE"""),92.55)</f>
        <v>92.55</v>
      </c>
      <c r="E132" s="2">
        <f>IFERROR(__xludf.DUMMYFUNCTION("""COMPUTED_VALUE"""),94.0)</f>
        <v>94</v>
      </c>
      <c r="F132" s="2">
        <f>IFERROR(__xludf.DUMMYFUNCTION("""COMPUTED_VALUE"""),2.4161384E7)</f>
        <v>24161384</v>
      </c>
    </row>
    <row r="133">
      <c r="A133" s="3">
        <f>IFERROR(__xludf.DUMMYFUNCTION("""COMPUTED_VALUE"""),45120.66666666667)</f>
        <v>45120.66667</v>
      </c>
      <c r="B133" s="2">
        <f>IFERROR(__xludf.DUMMYFUNCTION("""COMPUTED_VALUE"""),95.03)</f>
        <v>95.03</v>
      </c>
      <c r="C133" s="2">
        <f>IFERROR(__xludf.DUMMYFUNCTION("""COMPUTED_VALUE"""),97.01)</f>
        <v>97.01</v>
      </c>
      <c r="D133" s="2">
        <f>IFERROR(__xludf.DUMMYFUNCTION("""COMPUTED_VALUE"""),94.6)</f>
        <v>94.6</v>
      </c>
      <c r="E133" s="2">
        <f>IFERROR(__xludf.DUMMYFUNCTION("""COMPUTED_VALUE"""),96.61)</f>
        <v>96.61</v>
      </c>
      <c r="F133" s="2">
        <f>IFERROR(__xludf.DUMMYFUNCTION("""COMPUTED_VALUE"""),2.4021402E7)</f>
        <v>24021402</v>
      </c>
    </row>
    <row r="134">
      <c r="A134" s="3">
        <f>IFERROR(__xludf.DUMMYFUNCTION("""COMPUTED_VALUE"""),45121.66666666667)</f>
        <v>45121.66667</v>
      </c>
      <c r="B134" s="2">
        <f>IFERROR(__xludf.DUMMYFUNCTION("""COMPUTED_VALUE"""),95.22)</f>
        <v>95.22</v>
      </c>
      <c r="C134" s="2">
        <f>IFERROR(__xludf.DUMMYFUNCTION("""COMPUTED_VALUE"""),96.09)</f>
        <v>96.09</v>
      </c>
      <c r="D134" s="2">
        <f>IFERROR(__xludf.DUMMYFUNCTION("""COMPUTED_VALUE"""),94.24)</f>
        <v>94.24</v>
      </c>
      <c r="E134" s="2">
        <f>IFERROR(__xludf.DUMMYFUNCTION("""COMPUTED_VALUE"""),94.56)</f>
        <v>94.56</v>
      </c>
      <c r="F134" s="2">
        <f>IFERROR(__xludf.DUMMYFUNCTION("""COMPUTED_VALUE"""),1.8897112E7)</f>
        <v>18897112</v>
      </c>
    </row>
    <row r="135">
      <c r="A135" s="3">
        <f>IFERROR(__xludf.DUMMYFUNCTION("""COMPUTED_VALUE"""),45124.66666666667)</f>
        <v>45124.66667</v>
      </c>
      <c r="B135" s="2">
        <f>IFERROR(__xludf.DUMMYFUNCTION("""COMPUTED_VALUE"""),92.25)</f>
        <v>92.25</v>
      </c>
      <c r="C135" s="2">
        <f>IFERROR(__xludf.DUMMYFUNCTION("""COMPUTED_VALUE"""),93.55)</f>
        <v>93.55</v>
      </c>
      <c r="D135" s="2">
        <f>IFERROR(__xludf.DUMMYFUNCTION("""COMPUTED_VALUE"""),91.04)</f>
        <v>91.04</v>
      </c>
      <c r="E135" s="2">
        <f>IFERROR(__xludf.DUMMYFUNCTION("""COMPUTED_VALUE"""),93.41)</f>
        <v>93.41</v>
      </c>
      <c r="F135" s="2">
        <f>IFERROR(__xludf.DUMMYFUNCTION("""COMPUTED_VALUE"""),1.7317289E7)</f>
        <v>17317289</v>
      </c>
    </row>
    <row r="136">
      <c r="A136" s="3">
        <f>IFERROR(__xludf.DUMMYFUNCTION("""COMPUTED_VALUE"""),45125.66666666667)</f>
        <v>45125.66667</v>
      </c>
      <c r="B136" s="2">
        <f>IFERROR(__xludf.DUMMYFUNCTION("""COMPUTED_VALUE"""),91.54)</f>
        <v>91.54</v>
      </c>
      <c r="C136" s="2">
        <f>IFERROR(__xludf.DUMMYFUNCTION("""COMPUTED_VALUE"""),92.21)</f>
        <v>92.21</v>
      </c>
      <c r="D136" s="2">
        <f>IFERROR(__xludf.DUMMYFUNCTION("""COMPUTED_VALUE"""),90.15)</f>
        <v>90.15</v>
      </c>
      <c r="E136" s="2">
        <f>IFERROR(__xludf.DUMMYFUNCTION("""COMPUTED_VALUE"""),91.2)</f>
        <v>91.2</v>
      </c>
      <c r="F136" s="2">
        <f>IFERROR(__xludf.DUMMYFUNCTION("""COMPUTED_VALUE"""),2.024972E7)</f>
        <v>20249720</v>
      </c>
    </row>
    <row r="137">
      <c r="A137" s="3">
        <f>IFERROR(__xludf.DUMMYFUNCTION("""COMPUTED_VALUE"""),45126.66666666667)</f>
        <v>45126.66667</v>
      </c>
      <c r="B137" s="2">
        <f>IFERROR(__xludf.DUMMYFUNCTION("""COMPUTED_VALUE"""),93.57)</f>
        <v>93.57</v>
      </c>
      <c r="C137" s="2">
        <f>IFERROR(__xludf.DUMMYFUNCTION("""COMPUTED_VALUE"""),94.71)</f>
        <v>94.71</v>
      </c>
      <c r="D137" s="2">
        <f>IFERROR(__xludf.DUMMYFUNCTION("""COMPUTED_VALUE"""),92.09)</f>
        <v>92.09</v>
      </c>
      <c r="E137" s="2">
        <f>IFERROR(__xludf.DUMMYFUNCTION("""COMPUTED_VALUE"""),92.09)</f>
        <v>92.09</v>
      </c>
      <c r="F137" s="2">
        <f>IFERROR(__xludf.DUMMYFUNCTION("""COMPUTED_VALUE"""),1.7228055E7)</f>
        <v>17228055</v>
      </c>
    </row>
    <row r="138">
      <c r="A138" s="3">
        <f>IFERROR(__xludf.DUMMYFUNCTION("""COMPUTED_VALUE"""),45127.66666666667)</f>
        <v>45127.66667</v>
      </c>
      <c r="B138" s="2">
        <f>IFERROR(__xludf.DUMMYFUNCTION("""COMPUTED_VALUE"""),91.69)</f>
        <v>91.69</v>
      </c>
      <c r="C138" s="2">
        <f>IFERROR(__xludf.DUMMYFUNCTION("""COMPUTED_VALUE"""),93.12)</f>
        <v>93.12</v>
      </c>
      <c r="D138" s="2">
        <f>IFERROR(__xludf.DUMMYFUNCTION("""COMPUTED_VALUE"""),91.35)</f>
        <v>91.35</v>
      </c>
      <c r="E138" s="2">
        <f>IFERROR(__xludf.DUMMYFUNCTION("""COMPUTED_VALUE"""),91.9)</f>
        <v>91.9</v>
      </c>
      <c r="F138" s="2">
        <f>IFERROR(__xludf.DUMMYFUNCTION("""COMPUTED_VALUE"""),1.4752965E7)</f>
        <v>14752965</v>
      </c>
    </row>
    <row r="139">
      <c r="A139" s="3">
        <f>IFERROR(__xludf.DUMMYFUNCTION("""COMPUTED_VALUE"""),45128.66666666667)</f>
        <v>45128.66667</v>
      </c>
      <c r="B139" s="2">
        <f>IFERROR(__xludf.DUMMYFUNCTION("""COMPUTED_VALUE"""),92.89)</f>
        <v>92.89</v>
      </c>
      <c r="C139" s="2">
        <f>IFERROR(__xludf.DUMMYFUNCTION("""COMPUTED_VALUE"""),93.23)</f>
        <v>93.23</v>
      </c>
      <c r="D139" s="2">
        <f>IFERROR(__xludf.DUMMYFUNCTION("""COMPUTED_VALUE"""),91.54)</f>
        <v>91.54</v>
      </c>
      <c r="E139" s="2">
        <f>IFERROR(__xludf.DUMMYFUNCTION("""COMPUTED_VALUE"""),92.17)</f>
        <v>92.17</v>
      </c>
      <c r="F139" s="2">
        <f>IFERROR(__xludf.DUMMYFUNCTION("""COMPUTED_VALUE"""),1.3899064E7)</f>
        <v>13899064</v>
      </c>
    </row>
    <row r="140">
      <c r="A140" s="3">
        <f>IFERROR(__xludf.DUMMYFUNCTION("""COMPUTED_VALUE"""),45131.66666666667)</f>
        <v>45131.66667</v>
      </c>
      <c r="B140" s="2">
        <f>IFERROR(__xludf.DUMMYFUNCTION("""COMPUTED_VALUE"""),92.07)</f>
        <v>92.07</v>
      </c>
      <c r="C140" s="2">
        <f>IFERROR(__xludf.DUMMYFUNCTION("""COMPUTED_VALUE"""),97.47)</f>
        <v>97.47</v>
      </c>
      <c r="D140" s="2">
        <f>IFERROR(__xludf.DUMMYFUNCTION("""COMPUTED_VALUE"""),91.3)</f>
        <v>91.3</v>
      </c>
      <c r="E140" s="2">
        <f>IFERROR(__xludf.DUMMYFUNCTION("""COMPUTED_VALUE"""),96.35)</f>
        <v>96.35</v>
      </c>
      <c r="F140" s="2">
        <f>IFERROR(__xludf.DUMMYFUNCTION("""COMPUTED_VALUE"""),3.3376076E7)</f>
        <v>33376076</v>
      </c>
    </row>
    <row r="141">
      <c r="A141" s="3">
        <f>IFERROR(__xludf.DUMMYFUNCTION("""COMPUTED_VALUE"""),45132.66666666667)</f>
        <v>45132.66667</v>
      </c>
      <c r="B141" s="2">
        <f>IFERROR(__xludf.DUMMYFUNCTION("""COMPUTED_VALUE"""),98.17)</f>
        <v>98.17</v>
      </c>
      <c r="C141" s="2">
        <f>IFERROR(__xludf.DUMMYFUNCTION("""COMPUTED_VALUE"""),98.49)</f>
        <v>98.49</v>
      </c>
      <c r="D141" s="2">
        <f>IFERROR(__xludf.DUMMYFUNCTION("""COMPUTED_VALUE"""),94.61)</f>
        <v>94.61</v>
      </c>
      <c r="E141" s="2">
        <f>IFERROR(__xludf.DUMMYFUNCTION("""COMPUTED_VALUE"""),94.98)</f>
        <v>94.98</v>
      </c>
      <c r="F141" s="2">
        <f>IFERROR(__xludf.DUMMYFUNCTION("""COMPUTED_VALUE"""),2.5827317E7)</f>
        <v>25827317</v>
      </c>
    </row>
    <row r="142">
      <c r="A142" s="3">
        <f>IFERROR(__xludf.DUMMYFUNCTION("""COMPUTED_VALUE"""),45133.66666666667)</f>
        <v>45133.66667</v>
      </c>
      <c r="B142" s="2">
        <f>IFERROR(__xludf.DUMMYFUNCTION("""COMPUTED_VALUE"""),94.95)</f>
        <v>94.95</v>
      </c>
      <c r="C142" s="2">
        <f>IFERROR(__xludf.DUMMYFUNCTION("""COMPUTED_VALUE"""),97.55)</f>
        <v>97.55</v>
      </c>
      <c r="D142" s="2">
        <f>IFERROR(__xludf.DUMMYFUNCTION("""COMPUTED_VALUE"""),94.84)</f>
        <v>94.84</v>
      </c>
      <c r="E142" s="2">
        <f>IFERROR(__xludf.DUMMYFUNCTION("""COMPUTED_VALUE"""),97.14)</f>
        <v>97.14</v>
      </c>
      <c r="F142" s="2">
        <f>IFERROR(__xludf.DUMMYFUNCTION("""COMPUTED_VALUE"""),1.5833421E7)</f>
        <v>15833421</v>
      </c>
    </row>
    <row r="143">
      <c r="A143" s="3">
        <f>IFERROR(__xludf.DUMMYFUNCTION("""COMPUTED_VALUE"""),45134.66666666667)</f>
        <v>45134.66667</v>
      </c>
      <c r="B143" s="2">
        <f>IFERROR(__xludf.DUMMYFUNCTION("""COMPUTED_VALUE"""),97.75)</f>
        <v>97.75</v>
      </c>
      <c r="C143" s="2">
        <f>IFERROR(__xludf.DUMMYFUNCTION("""COMPUTED_VALUE"""),97.99)</f>
        <v>97.99</v>
      </c>
      <c r="D143" s="2">
        <f>IFERROR(__xludf.DUMMYFUNCTION("""COMPUTED_VALUE"""),95.16)</f>
        <v>95.16</v>
      </c>
      <c r="E143" s="2">
        <f>IFERROR(__xludf.DUMMYFUNCTION("""COMPUTED_VALUE"""),95.44)</f>
        <v>95.44</v>
      </c>
      <c r="F143" s="2">
        <f>IFERROR(__xludf.DUMMYFUNCTION("""COMPUTED_VALUE"""),1.8685523E7)</f>
        <v>18685523</v>
      </c>
    </row>
    <row r="144">
      <c r="A144" s="3">
        <f>IFERROR(__xludf.DUMMYFUNCTION("""COMPUTED_VALUE"""),45135.66666666667)</f>
        <v>45135.66667</v>
      </c>
      <c r="B144" s="2">
        <f>IFERROR(__xludf.DUMMYFUNCTION("""COMPUTED_VALUE"""),98.07)</f>
        <v>98.07</v>
      </c>
      <c r="C144" s="2">
        <f>IFERROR(__xludf.DUMMYFUNCTION("""COMPUTED_VALUE"""),101.22)</f>
        <v>101.22</v>
      </c>
      <c r="D144" s="2">
        <f>IFERROR(__xludf.DUMMYFUNCTION("""COMPUTED_VALUE"""),97.96)</f>
        <v>97.96</v>
      </c>
      <c r="E144" s="2">
        <f>IFERROR(__xludf.DUMMYFUNCTION("""COMPUTED_VALUE"""),100.55)</f>
        <v>100.55</v>
      </c>
      <c r="F144" s="2">
        <f>IFERROR(__xludf.DUMMYFUNCTION("""COMPUTED_VALUE"""),3.195652E7)</f>
        <v>31956520</v>
      </c>
    </row>
    <row r="145">
      <c r="A145" s="3">
        <f>IFERROR(__xludf.DUMMYFUNCTION("""COMPUTED_VALUE"""),45138.66666666667)</f>
        <v>45138.66667</v>
      </c>
      <c r="B145" s="2">
        <f>IFERROR(__xludf.DUMMYFUNCTION("""COMPUTED_VALUE"""),99.79)</f>
        <v>99.79</v>
      </c>
      <c r="C145" s="2">
        <f>IFERROR(__xludf.DUMMYFUNCTION("""COMPUTED_VALUE"""),102.5)</f>
        <v>102.5</v>
      </c>
      <c r="D145" s="2">
        <f>IFERROR(__xludf.DUMMYFUNCTION("""COMPUTED_VALUE"""),99.72)</f>
        <v>99.72</v>
      </c>
      <c r="E145" s="2">
        <f>IFERROR(__xludf.DUMMYFUNCTION("""COMPUTED_VALUE"""),102.16)</f>
        <v>102.16</v>
      </c>
      <c r="F145" s="2">
        <f>IFERROR(__xludf.DUMMYFUNCTION("""COMPUTED_VALUE"""),1.7726466E7)</f>
        <v>17726466</v>
      </c>
    </row>
    <row r="146">
      <c r="A146" s="3">
        <f>IFERROR(__xludf.DUMMYFUNCTION("""COMPUTED_VALUE"""),45139.66666666667)</f>
        <v>45139.66667</v>
      </c>
      <c r="B146" s="2">
        <f>IFERROR(__xludf.DUMMYFUNCTION("""COMPUTED_VALUE"""),99.87)</f>
        <v>99.87</v>
      </c>
      <c r="C146" s="2">
        <f>IFERROR(__xludf.DUMMYFUNCTION("""COMPUTED_VALUE"""),101.16)</f>
        <v>101.16</v>
      </c>
      <c r="D146" s="2">
        <f>IFERROR(__xludf.DUMMYFUNCTION("""COMPUTED_VALUE"""),99.3)</f>
        <v>99.3</v>
      </c>
      <c r="E146" s="2">
        <f>IFERROR(__xludf.DUMMYFUNCTION("""COMPUTED_VALUE"""),100.1)</f>
        <v>100.1</v>
      </c>
      <c r="F146" s="2">
        <f>IFERROR(__xludf.DUMMYFUNCTION("""COMPUTED_VALUE"""),1.4418435E7)</f>
        <v>14418435</v>
      </c>
    </row>
    <row r="147">
      <c r="A147" s="3">
        <f>IFERROR(__xludf.DUMMYFUNCTION("""COMPUTED_VALUE"""),45140.66666666667)</f>
        <v>45140.66667</v>
      </c>
      <c r="B147" s="2">
        <f>IFERROR(__xludf.DUMMYFUNCTION("""COMPUTED_VALUE"""),97.72)</f>
        <v>97.72</v>
      </c>
      <c r="C147" s="2">
        <f>IFERROR(__xludf.DUMMYFUNCTION("""COMPUTED_VALUE"""),97.74)</f>
        <v>97.74</v>
      </c>
      <c r="D147" s="2">
        <f>IFERROR(__xludf.DUMMYFUNCTION("""COMPUTED_VALUE"""),94.56)</f>
        <v>94.56</v>
      </c>
      <c r="E147" s="2">
        <f>IFERROR(__xludf.DUMMYFUNCTION("""COMPUTED_VALUE"""),95.07)</f>
        <v>95.07</v>
      </c>
      <c r="F147" s="2">
        <f>IFERROR(__xludf.DUMMYFUNCTION("""COMPUTED_VALUE"""),1.9452332E7)</f>
        <v>19452332</v>
      </c>
    </row>
    <row r="148">
      <c r="A148" s="3">
        <f>IFERROR(__xludf.DUMMYFUNCTION("""COMPUTED_VALUE"""),45141.66666666667)</f>
        <v>45141.66667</v>
      </c>
      <c r="B148" s="2">
        <f>IFERROR(__xludf.DUMMYFUNCTION("""COMPUTED_VALUE"""),96.71)</f>
        <v>96.71</v>
      </c>
      <c r="C148" s="2">
        <f>IFERROR(__xludf.DUMMYFUNCTION("""COMPUTED_VALUE"""),98.49)</f>
        <v>98.49</v>
      </c>
      <c r="D148" s="2">
        <f>IFERROR(__xludf.DUMMYFUNCTION("""COMPUTED_VALUE"""),96.58)</f>
        <v>96.58</v>
      </c>
      <c r="E148" s="2">
        <f>IFERROR(__xludf.DUMMYFUNCTION("""COMPUTED_VALUE"""),97.58)</f>
        <v>97.58</v>
      </c>
      <c r="F148" s="2">
        <f>IFERROR(__xludf.DUMMYFUNCTION("""COMPUTED_VALUE"""),1.5462655E7)</f>
        <v>15462655</v>
      </c>
    </row>
    <row r="149">
      <c r="A149" s="3">
        <f>IFERROR(__xludf.DUMMYFUNCTION("""COMPUTED_VALUE"""),45142.66666666667)</f>
        <v>45142.66667</v>
      </c>
      <c r="B149" s="2">
        <f>IFERROR(__xludf.DUMMYFUNCTION("""COMPUTED_VALUE"""),97.74)</f>
        <v>97.74</v>
      </c>
      <c r="C149" s="2">
        <f>IFERROR(__xludf.DUMMYFUNCTION("""COMPUTED_VALUE"""),98.49)</f>
        <v>98.49</v>
      </c>
      <c r="D149" s="2">
        <f>IFERROR(__xludf.DUMMYFUNCTION("""COMPUTED_VALUE"""),96.69)</f>
        <v>96.69</v>
      </c>
      <c r="E149" s="2">
        <f>IFERROR(__xludf.DUMMYFUNCTION("""COMPUTED_VALUE"""),96.9)</f>
        <v>96.9</v>
      </c>
      <c r="F149" s="2">
        <f>IFERROR(__xludf.DUMMYFUNCTION("""COMPUTED_VALUE"""),1.3477295E7)</f>
        <v>13477295</v>
      </c>
    </row>
    <row r="150">
      <c r="A150" s="3">
        <f>IFERROR(__xludf.DUMMYFUNCTION("""COMPUTED_VALUE"""),45145.66666666667)</f>
        <v>45145.66667</v>
      </c>
      <c r="B150" s="2">
        <f>IFERROR(__xludf.DUMMYFUNCTION("""COMPUTED_VALUE"""),97.78)</f>
        <v>97.78</v>
      </c>
      <c r="C150" s="2">
        <f>IFERROR(__xludf.DUMMYFUNCTION("""COMPUTED_VALUE"""),97.8)</f>
        <v>97.8</v>
      </c>
      <c r="D150" s="2">
        <f>IFERROR(__xludf.DUMMYFUNCTION("""COMPUTED_VALUE"""),95.03)</f>
        <v>95.03</v>
      </c>
      <c r="E150" s="2">
        <f>IFERROR(__xludf.DUMMYFUNCTION("""COMPUTED_VALUE"""),96.56)</f>
        <v>96.56</v>
      </c>
      <c r="F150" s="2">
        <f>IFERROR(__xludf.DUMMYFUNCTION("""COMPUTED_VALUE"""),1.3893855E7)</f>
        <v>13893855</v>
      </c>
    </row>
    <row r="151">
      <c r="A151" s="3">
        <f>IFERROR(__xludf.DUMMYFUNCTION("""COMPUTED_VALUE"""),45146.66666666667)</f>
        <v>45146.66667</v>
      </c>
      <c r="B151" s="2">
        <f>IFERROR(__xludf.DUMMYFUNCTION("""COMPUTED_VALUE"""),93.51)</f>
        <v>93.51</v>
      </c>
      <c r="C151" s="2">
        <f>IFERROR(__xludf.DUMMYFUNCTION("""COMPUTED_VALUE"""),94.48)</f>
        <v>94.48</v>
      </c>
      <c r="D151" s="2">
        <f>IFERROR(__xludf.DUMMYFUNCTION("""COMPUTED_VALUE"""),92.92)</f>
        <v>92.92</v>
      </c>
      <c r="E151" s="2">
        <f>IFERROR(__xludf.DUMMYFUNCTION("""COMPUTED_VALUE"""),94.22)</f>
        <v>94.22</v>
      </c>
      <c r="F151" s="2">
        <f>IFERROR(__xludf.DUMMYFUNCTION("""COMPUTED_VALUE"""),1.3504738E7)</f>
        <v>13504738</v>
      </c>
    </row>
    <row r="152">
      <c r="A152" s="3">
        <f>IFERROR(__xludf.DUMMYFUNCTION("""COMPUTED_VALUE"""),45147.66666666667)</f>
        <v>45147.66667</v>
      </c>
      <c r="B152" s="2">
        <f>IFERROR(__xludf.DUMMYFUNCTION("""COMPUTED_VALUE"""),96.03)</f>
        <v>96.03</v>
      </c>
      <c r="C152" s="2">
        <f>IFERROR(__xludf.DUMMYFUNCTION("""COMPUTED_VALUE"""),96.3)</f>
        <v>96.3</v>
      </c>
      <c r="D152" s="2">
        <f>IFERROR(__xludf.DUMMYFUNCTION("""COMPUTED_VALUE"""),94.08)</f>
        <v>94.08</v>
      </c>
      <c r="E152" s="2">
        <f>IFERROR(__xludf.DUMMYFUNCTION("""COMPUTED_VALUE"""),94.85)</f>
        <v>94.85</v>
      </c>
      <c r="F152" s="2">
        <f>IFERROR(__xludf.DUMMYFUNCTION("""COMPUTED_VALUE"""),1.864007E7)</f>
        <v>18640070</v>
      </c>
    </row>
    <row r="153">
      <c r="A153" s="3">
        <f>IFERROR(__xludf.DUMMYFUNCTION("""COMPUTED_VALUE"""),45148.66666666667)</f>
        <v>45148.66667</v>
      </c>
      <c r="B153" s="2">
        <f>IFERROR(__xludf.DUMMYFUNCTION("""COMPUTED_VALUE"""),98.31)</f>
        <v>98.31</v>
      </c>
      <c r="C153" s="2">
        <f>IFERROR(__xludf.DUMMYFUNCTION("""COMPUTED_VALUE"""),101.84)</f>
        <v>101.84</v>
      </c>
      <c r="D153" s="2">
        <f>IFERROR(__xludf.DUMMYFUNCTION("""COMPUTED_VALUE"""),97.12)</f>
        <v>97.12</v>
      </c>
      <c r="E153" s="2">
        <f>IFERROR(__xludf.DUMMYFUNCTION("""COMPUTED_VALUE"""),99.21)</f>
        <v>99.21</v>
      </c>
      <c r="F153" s="2">
        <f>IFERROR(__xludf.DUMMYFUNCTION("""COMPUTED_VALUE"""),5.3193104E7)</f>
        <v>53193104</v>
      </c>
    </row>
    <row r="154">
      <c r="A154" s="3">
        <f>IFERROR(__xludf.DUMMYFUNCTION("""COMPUTED_VALUE"""),45149.66666666667)</f>
        <v>45149.66667</v>
      </c>
      <c r="B154" s="2">
        <f>IFERROR(__xludf.DUMMYFUNCTION("""COMPUTED_VALUE"""),97.34)</f>
        <v>97.34</v>
      </c>
      <c r="C154" s="2">
        <f>IFERROR(__xludf.DUMMYFUNCTION("""COMPUTED_VALUE"""),97.65)</f>
        <v>97.65</v>
      </c>
      <c r="D154" s="2">
        <f>IFERROR(__xludf.DUMMYFUNCTION("""COMPUTED_VALUE"""),94.34)</f>
        <v>94.34</v>
      </c>
      <c r="E154" s="2">
        <f>IFERROR(__xludf.DUMMYFUNCTION("""COMPUTED_VALUE"""),95.72)</f>
        <v>95.72</v>
      </c>
      <c r="F154" s="2">
        <f>IFERROR(__xludf.DUMMYFUNCTION("""COMPUTED_VALUE"""),2.5222754E7)</f>
        <v>25222754</v>
      </c>
    </row>
    <row r="155">
      <c r="A155" s="3">
        <f>IFERROR(__xludf.DUMMYFUNCTION("""COMPUTED_VALUE"""),45152.66666666667)</f>
        <v>45152.66667</v>
      </c>
      <c r="B155" s="2">
        <f>IFERROR(__xludf.DUMMYFUNCTION("""COMPUTED_VALUE"""),94.24)</f>
        <v>94.24</v>
      </c>
      <c r="C155" s="2">
        <f>IFERROR(__xludf.DUMMYFUNCTION("""COMPUTED_VALUE"""),94.45)</f>
        <v>94.45</v>
      </c>
      <c r="D155" s="2">
        <f>IFERROR(__xludf.DUMMYFUNCTION("""COMPUTED_VALUE"""),92.53)</f>
        <v>92.53</v>
      </c>
      <c r="E155" s="2">
        <f>IFERROR(__xludf.DUMMYFUNCTION("""COMPUTED_VALUE"""),93.46)</f>
        <v>93.46</v>
      </c>
      <c r="F155" s="2">
        <f>IFERROR(__xludf.DUMMYFUNCTION("""COMPUTED_VALUE"""),1.7580971E7)</f>
        <v>17580971</v>
      </c>
    </row>
    <row r="156">
      <c r="A156" s="3">
        <f>IFERROR(__xludf.DUMMYFUNCTION("""COMPUTED_VALUE"""),45153.66666666667)</f>
        <v>45153.66667</v>
      </c>
      <c r="B156" s="2">
        <f>IFERROR(__xludf.DUMMYFUNCTION("""COMPUTED_VALUE"""),93.0)</f>
        <v>93</v>
      </c>
      <c r="C156" s="2">
        <f>IFERROR(__xludf.DUMMYFUNCTION("""COMPUTED_VALUE"""),93.01)</f>
        <v>93.01</v>
      </c>
      <c r="D156" s="2">
        <f>IFERROR(__xludf.DUMMYFUNCTION("""COMPUTED_VALUE"""),90.74)</f>
        <v>90.74</v>
      </c>
      <c r="E156" s="2">
        <f>IFERROR(__xludf.DUMMYFUNCTION("""COMPUTED_VALUE"""),91.59)</f>
        <v>91.59</v>
      </c>
      <c r="F156" s="2">
        <f>IFERROR(__xludf.DUMMYFUNCTION("""COMPUTED_VALUE"""),1.4756289E7)</f>
        <v>14756289</v>
      </c>
    </row>
    <row r="157">
      <c r="A157" s="3">
        <f>IFERROR(__xludf.DUMMYFUNCTION("""COMPUTED_VALUE"""),45154.66666666667)</f>
        <v>45154.66667</v>
      </c>
      <c r="B157" s="2">
        <f>IFERROR(__xludf.DUMMYFUNCTION("""COMPUTED_VALUE"""),89.63)</f>
        <v>89.63</v>
      </c>
      <c r="C157" s="2">
        <f>IFERROR(__xludf.DUMMYFUNCTION("""COMPUTED_VALUE"""),90.5)</f>
        <v>90.5</v>
      </c>
      <c r="D157" s="2">
        <f>IFERROR(__xludf.DUMMYFUNCTION("""COMPUTED_VALUE"""),88.29)</f>
        <v>88.29</v>
      </c>
      <c r="E157" s="2">
        <f>IFERROR(__xludf.DUMMYFUNCTION("""COMPUTED_VALUE"""),89.12)</f>
        <v>89.12</v>
      </c>
      <c r="F157" s="2">
        <f>IFERROR(__xludf.DUMMYFUNCTION("""COMPUTED_VALUE"""),2.3292415E7)</f>
        <v>23292415</v>
      </c>
    </row>
    <row r="158">
      <c r="A158" s="3">
        <f>IFERROR(__xludf.DUMMYFUNCTION("""COMPUTED_VALUE"""),45155.66666666667)</f>
        <v>45155.66667</v>
      </c>
      <c r="B158" s="2">
        <f>IFERROR(__xludf.DUMMYFUNCTION("""COMPUTED_VALUE"""),91.94)</f>
        <v>91.94</v>
      </c>
      <c r="C158" s="2">
        <f>IFERROR(__xludf.DUMMYFUNCTION("""COMPUTED_VALUE"""),91.95)</f>
        <v>91.95</v>
      </c>
      <c r="D158" s="2">
        <f>IFERROR(__xludf.DUMMYFUNCTION("""COMPUTED_VALUE"""),90.26)</f>
        <v>90.26</v>
      </c>
      <c r="E158" s="2">
        <f>IFERROR(__xludf.DUMMYFUNCTION("""COMPUTED_VALUE"""),90.65)</f>
        <v>90.65</v>
      </c>
      <c r="F158" s="2">
        <f>IFERROR(__xludf.DUMMYFUNCTION("""COMPUTED_VALUE"""),1.5732323E7)</f>
        <v>15732323</v>
      </c>
    </row>
    <row r="159">
      <c r="A159" s="3">
        <f>IFERROR(__xludf.DUMMYFUNCTION("""COMPUTED_VALUE"""),45156.66666666667)</f>
        <v>45156.66667</v>
      </c>
      <c r="B159" s="2">
        <f>IFERROR(__xludf.DUMMYFUNCTION("""COMPUTED_VALUE"""),87.78)</f>
        <v>87.78</v>
      </c>
      <c r="C159" s="2">
        <f>IFERROR(__xludf.DUMMYFUNCTION("""COMPUTED_VALUE"""),88.36)</f>
        <v>88.36</v>
      </c>
      <c r="D159" s="2">
        <f>IFERROR(__xludf.DUMMYFUNCTION("""COMPUTED_VALUE"""),86.86)</f>
        <v>86.86</v>
      </c>
      <c r="E159" s="2">
        <f>IFERROR(__xludf.DUMMYFUNCTION("""COMPUTED_VALUE"""),88.03)</f>
        <v>88.03</v>
      </c>
      <c r="F159" s="2">
        <f>IFERROR(__xludf.DUMMYFUNCTION("""COMPUTED_VALUE"""),2.0424821E7)</f>
        <v>20424821</v>
      </c>
    </row>
    <row r="160">
      <c r="A160" s="3">
        <f>IFERROR(__xludf.DUMMYFUNCTION("""COMPUTED_VALUE"""),45159.66666666667)</f>
        <v>45159.66667</v>
      </c>
      <c r="B160" s="2">
        <f>IFERROR(__xludf.DUMMYFUNCTION("""COMPUTED_VALUE"""),87.6)</f>
        <v>87.6</v>
      </c>
      <c r="C160" s="2">
        <f>IFERROR(__xludf.DUMMYFUNCTION("""COMPUTED_VALUE"""),88.82)</f>
        <v>88.82</v>
      </c>
      <c r="D160" s="2">
        <f>IFERROR(__xludf.DUMMYFUNCTION("""COMPUTED_VALUE"""),87.22)</f>
        <v>87.22</v>
      </c>
      <c r="E160" s="2">
        <f>IFERROR(__xludf.DUMMYFUNCTION("""COMPUTED_VALUE"""),88.57)</f>
        <v>88.57</v>
      </c>
      <c r="F160" s="2">
        <f>IFERROR(__xludf.DUMMYFUNCTION("""COMPUTED_VALUE"""),1.4167291E7)</f>
        <v>14167291</v>
      </c>
    </row>
    <row r="161">
      <c r="A161" s="3">
        <f>IFERROR(__xludf.DUMMYFUNCTION("""COMPUTED_VALUE"""),45160.66666666667)</f>
        <v>45160.66667</v>
      </c>
      <c r="B161" s="2">
        <f>IFERROR(__xludf.DUMMYFUNCTION("""COMPUTED_VALUE"""),89.28)</f>
        <v>89.28</v>
      </c>
      <c r="C161" s="2">
        <f>IFERROR(__xludf.DUMMYFUNCTION("""COMPUTED_VALUE"""),89.49)</f>
        <v>89.49</v>
      </c>
      <c r="D161" s="2">
        <f>IFERROR(__xludf.DUMMYFUNCTION("""COMPUTED_VALUE"""),87.86)</f>
        <v>87.86</v>
      </c>
      <c r="E161" s="2">
        <f>IFERROR(__xludf.DUMMYFUNCTION("""COMPUTED_VALUE"""),88.08)</f>
        <v>88.08</v>
      </c>
      <c r="F161" s="2">
        <f>IFERROR(__xludf.DUMMYFUNCTION("""COMPUTED_VALUE"""),1.1611582E7)</f>
        <v>11611582</v>
      </c>
    </row>
    <row r="162">
      <c r="A162" s="3">
        <f>IFERROR(__xludf.DUMMYFUNCTION("""COMPUTED_VALUE"""),45161.66666666667)</f>
        <v>45161.66667</v>
      </c>
      <c r="B162" s="2">
        <f>IFERROR(__xludf.DUMMYFUNCTION("""COMPUTED_VALUE"""),88.37)</f>
        <v>88.37</v>
      </c>
      <c r="C162" s="2">
        <f>IFERROR(__xludf.DUMMYFUNCTION("""COMPUTED_VALUE"""),90.59)</f>
        <v>90.59</v>
      </c>
      <c r="D162" s="2">
        <f>IFERROR(__xludf.DUMMYFUNCTION("""COMPUTED_VALUE"""),88.31)</f>
        <v>88.31</v>
      </c>
      <c r="E162" s="2">
        <f>IFERROR(__xludf.DUMMYFUNCTION("""COMPUTED_VALUE"""),89.84)</f>
        <v>89.84</v>
      </c>
      <c r="F162" s="2">
        <f>IFERROR(__xludf.DUMMYFUNCTION("""COMPUTED_VALUE"""),1.2185729E7)</f>
        <v>12185729</v>
      </c>
    </row>
    <row r="163">
      <c r="A163" s="3">
        <f>IFERROR(__xludf.DUMMYFUNCTION("""COMPUTED_VALUE"""),45162.66666666667)</f>
        <v>45162.66667</v>
      </c>
      <c r="B163" s="2">
        <f>IFERROR(__xludf.DUMMYFUNCTION("""COMPUTED_VALUE"""),90.49)</f>
        <v>90.49</v>
      </c>
      <c r="C163" s="2">
        <f>IFERROR(__xludf.DUMMYFUNCTION("""COMPUTED_VALUE"""),90.92)</f>
        <v>90.92</v>
      </c>
      <c r="D163" s="2">
        <f>IFERROR(__xludf.DUMMYFUNCTION("""COMPUTED_VALUE"""),89.04)</f>
        <v>89.04</v>
      </c>
      <c r="E163" s="2">
        <f>IFERROR(__xludf.DUMMYFUNCTION("""COMPUTED_VALUE"""),89.11)</f>
        <v>89.11</v>
      </c>
      <c r="F163" s="2">
        <f>IFERROR(__xludf.DUMMYFUNCTION("""COMPUTED_VALUE"""),1.0684541E7)</f>
        <v>10684541</v>
      </c>
    </row>
    <row r="164">
      <c r="A164" s="3">
        <f>IFERROR(__xludf.DUMMYFUNCTION("""COMPUTED_VALUE"""),45163.66666666667)</f>
        <v>45163.66667</v>
      </c>
      <c r="B164" s="2">
        <f>IFERROR(__xludf.DUMMYFUNCTION("""COMPUTED_VALUE"""),89.25)</f>
        <v>89.25</v>
      </c>
      <c r="C164" s="2">
        <f>IFERROR(__xludf.DUMMYFUNCTION("""COMPUTED_VALUE"""),90.04)</f>
        <v>90.04</v>
      </c>
      <c r="D164" s="2">
        <f>IFERROR(__xludf.DUMMYFUNCTION("""COMPUTED_VALUE"""),88.27)</f>
        <v>88.27</v>
      </c>
      <c r="E164" s="2">
        <f>IFERROR(__xludf.DUMMYFUNCTION("""COMPUTED_VALUE"""),89.82)</f>
        <v>89.82</v>
      </c>
      <c r="F164" s="2">
        <f>IFERROR(__xludf.DUMMYFUNCTION("""COMPUTED_VALUE"""),1.1382199E7)</f>
        <v>11382199</v>
      </c>
    </row>
    <row r="165">
      <c r="A165" s="3">
        <f>IFERROR(__xludf.DUMMYFUNCTION("""COMPUTED_VALUE"""),45166.66666666667)</f>
        <v>45166.66667</v>
      </c>
      <c r="B165" s="2">
        <f>IFERROR(__xludf.DUMMYFUNCTION("""COMPUTED_VALUE"""),91.5)</f>
        <v>91.5</v>
      </c>
      <c r="C165" s="2">
        <f>IFERROR(__xludf.DUMMYFUNCTION("""COMPUTED_VALUE"""),92.77)</f>
        <v>92.77</v>
      </c>
      <c r="D165" s="2">
        <f>IFERROR(__xludf.DUMMYFUNCTION("""COMPUTED_VALUE"""),91.29)</f>
        <v>91.29</v>
      </c>
      <c r="E165" s="2">
        <f>IFERROR(__xludf.DUMMYFUNCTION("""COMPUTED_VALUE"""),92.24)</f>
        <v>92.24</v>
      </c>
      <c r="F165" s="2">
        <f>IFERROR(__xludf.DUMMYFUNCTION("""COMPUTED_VALUE"""),1.4613754E7)</f>
        <v>14613754</v>
      </c>
    </row>
    <row r="166">
      <c r="A166" s="3">
        <f>IFERROR(__xludf.DUMMYFUNCTION("""COMPUTED_VALUE"""),45167.66666666667)</f>
        <v>45167.66667</v>
      </c>
      <c r="B166" s="2">
        <f>IFERROR(__xludf.DUMMYFUNCTION("""COMPUTED_VALUE"""),93.45)</f>
        <v>93.45</v>
      </c>
      <c r="C166" s="2">
        <f>IFERROR(__xludf.DUMMYFUNCTION("""COMPUTED_VALUE"""),94.1)</f>
        <v>94.1</v>
      </c>
      <c r="D166" s="2">
        <f>IFERROR(__xludf.DUMMYFUNCTION("""COMPUTED_VALUE"""),92.34)</f>
        <v>92.34</v>
      </c>
      <c r="E166" s="2">
        <f>IFERROR(__xludf.DUMMYFUNCTION("""COMPUTED_VALUE"""),94.03)</f>
        <v>94.03</v>
      </c>
      <c r="F166" s="2">
        <f>IFERROR(__xludf.DUMMYFUNCTION("""COMPUTED_VALUE"""),1.6927977E7)</f>
        <v>16927977</v>
      </c>
    </row>
    <row r="167">
      <c r="A167" s="3">
        <f>IFERROR(__xludf.DUMMYFUNCTION("""COMPUTED_VALUE"""),45168.66666666667)</f>
        <v>45168.66667</v>
      </c>
      <c r="B167" s="2">
        <f>IFERROR(__xludf.DUMMYFUNCTION("""COMPUTED_VALUE"""),92.55)</f>
        <v>92.55</v>
      </c>
      <c r="C167" s="2">
        <f>IFERROR(__xludf.DUMMYFUNCTION("""COMPUTED_VALUE"""),94.25)</f>
        <v>94.25</v>
      </c>
      <c r="D167" s="2">
        <f>IFERROR(__xludf.DUMMYFUNCTION("""COMPUTED_VALUE"""),92.47)</f>
        <v>92.47</v>
      </c>
      <c r="E167" s="2">
        <f>IFERROR(__xludf.DUMMYFUNCTION("""COMPUTED_VALUE"""),93.65)</f>
        <v>93.65</v>
      </c>
      <c r="F167" s="2">
        <f>IFERROR(__xludf.DUMMYFUNCTION("""COMPUTED_VALUE"""),1.3779899E7)</f>
        <v>13779899</v>
      </c>
    </row>
    <row r="168">
      <c r="A168" s="3">
        <f>IFERROR(__xludf.DUMMYFUNCTION("""COMPUTED_VALUE"""),45169.66666666667)</f>
        <v>45169.66667</v>
      </c>
      <c r="B168" s="2">
        <f>IFERROR(__xludf.DUMMYFUNCTION("""COMPUTED_VALUE"""),92.98)</f>
        <v>92.98</v>
      </c>
      <c r="C168" s="2">
        <f>IFERROR(__xludf.DUMMYFUNCTION("""COMPUTED_VALUE"""),93.36)</f>
        <v>93.36</v>
      </c>
      <c r="D168" s="2">
        <f>IFERROR(__xludf.DUMMYFUNCTION("""COMPUTED_VALUE"""),92.16)</f>
        <v>92.16</v>
      </c>
      <c r="E168" s="2">
        <f>IFERROR(__xludf.DUMMYFUNCTION("""COMPUTED_VALUE"""),92.9)</f>
        <v>92.9</v>
      </c>
      <c r="F168" s="2">
        <f>IFERROR(__xludf.DUMMYFUNCTION("""COMPUTED_VALUE"""),1.3332433E7)</f>
        <v>13332433</v>
      </c>
    </row>
    <row r="169">
      <c r="A169" s="3">
        <f>IFERROR(__xludf.DUMMYFUNCTION("""COMPUTED_VALUE"""),45170.66666666667)</f>
        <v>45170.66667</v>
      </c>
      <c r="B169" s="2">
        <f>IFERROR(__xludf.DUMMYFUNCTION("""COMPUTED_VALUE"""),94.55)</f>
        <v>94.55</v>
      </c>
      <c r="C169" s="2">
        <f>IFERROR(__xludf.DUMMYFUNCTION("""COMPUTED_VALUE"""),96.68)</f>
        <v>96.68</v>
      </c>
      <c r="D169" s="2">
        <f>IFERROR(__xludf.DUMMYFUNCTION("""COMPUTED_VALUE"""),94.52)</f>
        <v>94.52</v>
      </c>
      <c r="E169" s="2">
        <f>IFERROR(__xludf.DUMMYFUNCTION("""COMPUTED_VALUE"""),95.01)</f>
        <v>95.01</v>
      </c>
      <c r="F169" s="2">
        <f>IFERROR(__xludf.DUMMYFUNCTION("""COMPUTED_VALUE"""),1.7470363E7)</f>
        <v>17470363</v>
      </c>
    </row>
    <row r="170">
      <c r="A170" s="3">
        <f>IFERROR(__xludf.DUMMYFUNCTION("""COMPUTED_VALUE"""),45174.66666666667)</f>
        <v>45174.66667</v>
      </c>
      <c r="B170" s="2">
        <f>IFERROR(__xludf.DUMMYFUNCTION("""COMPUTED_VALUE"""),94.53)</f>
        <v>94.53</v>
      </c>
      <c r="C170" s="2">
        <f>IFERROR(__xludf.DUMMYFUNCTION("""COMPUTED_VALUE"""),95.39)</f>
        <v>95.39</v>
      </c>
      <c r="D170" s="2">
        <f>IFERROR(__xludf.DUMMYFUNCTION("""COMPUTED_VALUE"""),94.07)</f>
        <v>94.07</v>
      </c>
      <c r="E170" s="2">
        <f>IFERROR(__xludf.DUMMYFUNCTION("""COMPUTED_VALUE"""),94.65)</f>
        <v>94.65</v>
      </c>
      <c r="F170" s="2">
        <f>IFERROR(__xludf.DUMMYFUNCTION("""COMPUTED_VALUE"""),1.0097585E7)</f>
        <v>10097585</v>
      </c>
    </row>
    <row r="171">
      <c r="A171" s="3">
        <f>IFERROR(__xludf.DUMMYFUNCTION("""COMPUTED_VALUE"""),45175.66666666667)</f>
        <v>45175.66667</v>
      </c>
      <c r="B171" s="2">
        <f>IFERROR(__xludf.DUMMYFUNCTION("""COMPUTED_VALUE"""),94.15)</f>
        <v>94.15</v>
      </c>
      <c r="C171" s="2">
        <f>IFERROR(__xludf.DUMMYFUNCTION("""COMPUTED_VALUE"""),95.8)</f>
        <v>95.8</v>
      </c>
      <c r="D171" s="2">
        <f>IFERROR(__xludf.DUMMYFUNCTION("""COMPUTED_VALUE"""),94.13)</f>
        <v>94.13</v>
      </c>
      <c r="E171" s="2">
        <f>IFERROR(__xludf.DUMMYFUNCTION("""COMPUTED_VALUE"""),94.45)</f>
        <v>94.45</v>
      </c>
      <c r="F171" s="2">
        <f>IFERROR(__xludf.DUMMYFUNCTION("""COMPUTED_VALUE"""),1.0123603E7)</f>
        <v>10123603</v>
      </c>
    </row>
    <row r="172">
      <c r="A172" s="3">
        <f>IFERROR(__xludf.DUMMYFUNCTION("""COMPUTED_VALUE"""),45176.66666666667)</f>
        <v>45176.66667</v>
      </c>
      <c r="B172" s="2">
        <f>IFERROR(__xludf.DUMMYFUNCTION("""COMPUTED_VALUE"""),91.64)</f>
        <v>91.64</v>
      </c>
      <c r="C172" s="2">
        <f>IFERROR(__xludf.DUMMYFUNCTION("""COMPUTED_VALUE"""),91.76)</f>
        <v>91.76</v>
      </c>
      <c r="D172" s="2">
        <f>IFERROR(__xludf.DUMMYFUNCTION("""COMPUTED_VALUE"""),88.96)</f>
        <v>88.96</v>
      </c>
      <c r="E172" s="2">
        <f>IFERROR(__xludf.DUMMYFUNCTION("""COMPUTED_VALUE"""),89.97)</f>
        <v>89.97</v>
      </c>
      <c r="F172" s="2">
        <f>IFERROR(__xludf.DUMMYFUNCTION("""COMPUTED_VALUE"""),1.8667208E7)</f>
        <v>18667208</v>
      </c>
    </row>
    <row r="173">
      <c r="A173" s="3">
        <f>IFERROR(__xludf.DUMMYFUNCTION("""COMPUTED_VALUE"""),45177.66666666667)</f>
        <v>45177.66667</v>
      </c>
      <c r="B173" s="2">
        <f>IFERROR(__xludf.DUMMYFUNCTION("""COMPUTED_VALUE"""),89.6)</f>
        <v>89.6</v>
      </c>
      <c r="C173" s="2">
        <f>IFERROR(__xludf.DUMMYFUNCTION("""COMPUTED_VALUE"""),90.3)</f>
        <v>90.3</v>
      </c>
      <c r="D173" s="2">
        <f>IFERROR(__xludf.DUMMYFUNCTION("""COMPUTED_VALUE"""),88.73)</f>
        <v>88.73</v>
      </c>
      <c r="E173" s="2">
        <f>IFERROR(__xludf.DUMMYFUNCTION("""COMPUTED_VALUE"""),90.05)</f>
        <v>90.05</v>
      </c>
      <c r="F173" s="2">
        <f>IFERROR(__xludf.DUMMYFUNCTION("""COMPUTED_VALUE"""),1.0343582E7)</f>
        <v>10343582</v>
      </c>
    </row>
    <row r="174">
      <c r="A174" s="3">
        <f>IFERROR(__xludf.DUMMYFUNCTION("""COMPUTED_VALUE"""),45180.66666666667)</f>
        <v>45180.66667</v>
      </c>
      <c r="B174" s="2">
        <f>IFERROR(__xludf.DUMMYFUNCTION("""COMPUTED_VALUE"""),89.73)</f>
        <v>89.73</v>
      </c>
      <c r="C174" s="2">
        <f>IFERROR(__xludf.DUMMYFUNCTION("""COMPUTED_VALUE"""),90.35)</f>
        <v>90.35</v>
      </c>
      <c r="D174" s="2">
        <f>IFERROR(__xludf.DUMMYFUNCTION("""COMPUTED_VALUE"""),87.71)</f>
        <v>87.71</v>
      </c>
      <c r="E174" s="2">
        <f>IFERROR(__xludf.DUMMYFUNCTION("""COMPUTED_VALUE"""),88.71)</f>
        <v>88.71</v>
      </c>
      <c r="F174" s="2">
        <f>IFERROR(__xludf.DUMMYFUNCTION("""COMPUTED_VALUE"""),1.5773514E7)</f>
        <v>15773514</v>
      </c>
    </row>
    <row r="175">
      <c r="A175" s="3">
        <f>IFERROR(__xludf.DUMMYFUNCTION("""COMPUTED_VALUE"""),45181.66666666667)</f>
        <v>45181.66667</v>
      </c>
      <c r="B175" s="2">
        <f>IFERROR(__xludf.DUMMYFUNCTION("""COMPUTED_VALUE"""),88.19)</f>
        <v>88.19</v>
      </c>
      <c r="C175" s="2">
        <f>IFERROR(__xludf.DUMMYFUNCTION("""COMPUTED_VALUE"""),89.96)</f>
        <v>89.96</v>
      </c>
      <c r="D175" s="2">
        <f>IFERROR(__xludf.DUMMYFUNCTION("""COMPUTED_VALUE"""),88.18)</f>
        <v>88.18</v>
      </c>
      <c r="E175" s="2">
        <f>IFERROR(__xludf.DUMMYFUNCTION("""COMPUTED_VALUE"""),88.3)</f>
        <v>88.3</v>
      </c>
      <c r="F175" s="2">
        <f>IFERROR(__xludf.DUMMYFUNCTION("""COMPUTED_VALUE"""),1.0262471E7)</f>
        <v>10262471</v>
      </c>
    </row>
    <row r="176">
      <c r="A176" s="3">
        <f>IFERROR(__xludf.DUMMYFUNCTION("""COMPUTED_VALUE"""),45182.66666666667)</f>
        <v>45182.66667</v>
      </c>
      <c r="B176" s="2">
        <f>IFERROR(__xludf.DUMMYFUNCTION("""COMPUTED_VALUE"""),87.94)</f>
        <v>87.94</v>
      </c>
      <c r="C176" s="2">
        <f>IFERROR(__xludf.DUMMYFUNCTION("""COMPUTED_VALUE"""),88.29)</f>
        <v>88.29</v>
      </c>
      <c r="D176" s="2">
        <f>IFERROR(__xludf.DUMMYFUNCTION("""COMPUTED_VALUE"""),87.38)</f>
        <v>87.38</v>
      </c>
      <c r="E176" s="2">
        <f>IFERROR(__xludf.DUMMYFUNCTION("""COMPUTED_VALUE"""),87.64)</f>
        <v>87.64</v>
      </c>
      <c r="F176" s="2">
        <f>IFERROR(__xludf.DUMMYFUNCTION("""COMPUTED_VALUE"""),1.0634898E7)</f>
        <v>10634898</v>
      </c>
    </row>
    <row r="177">
      <c r="A177" s="3">
        <f>IFERROR(__xludf.DUMMYFUNCTION("""COMPUTED_VALUE"""),45183.66666666667)</f>
        <v>45183.66667</v>
      </c>
      <c r="B177" s="2">
        <f>IFERROR(__xludf.DUMMYFUNCTION("""COMPUTED_VALUE"""),88.55)</f>
        <v>88.55</v>
      </c>
      <c r="C177" s="2">
        <f>IFERROR(__xludf.DUMMYFUNCTION("""COMPUTED_VALUE"""),88.6)</f>
        <v>88.6</v>
      </c>
      <c r="D177" s="2">
        <f>IFERROR(__xludf.DUMMYFUNCTION("""COMPUTED_VALUE"""),87.44)</f>
        <v>87.44</v>
      </c>
      <c r="E177" s="2">
        <f>IFERROR(__xludf.DUMMYFUNCTION("""COMPUTED_VALUE"""),88.0)</f>
        <v>88</v>
      </c>
      <c r="F177" s="2">
        <f>IFERROR(__xludf.DUMMYFUNCTION("""COMPUTED_VALUE"""),8643075.0)</f>
        <v>8643075</v>
      </c>
    </row>
    <row r="178">
      <c r="A178" s="3">
        <f>IFERROR(__xludf.DUMMYFUNCTION("""COMPUTED_VALUE"""),45184.66666666667)</f>
        <v>45184.66667</v>
      </c>
      <c r="B178" s="2">
        <f>IFERROR(__xludf.DUMMYFUNCTION("""COMPUTED_VALUE"""),87.77)</f>
        <v>87.77</v>
      </c>
      <c r="C178" s="2">
        <f>IFERROR(__xludf.DUMMYFUNCTION("""COMPUTED_VALUE"""),88.22)</f>
        <v>88.22</v>
      </c>
      <c r="D178" s="2">
        <f>IFERROR(__xludf.DUMMYFUNCTION("""COMPUTED_VALUE"""),86.82)</f>
        <v>86.82</v>
      </c>
      <c r="E178" s="2">
        <f>IFERROR(__xludf.DUMMYFUNCTION("""COMPUTED_VALUE"""),87.07)</f>
        <v>87.07</v>
      </c>
      <c r="F178" s="2">
        <f>IFERROR(__xludf.DUMMYFUNCTION("""COMPUTED_VALUE"""),1.0147651E7)</f>
        <v>10147651</v>
      </c>
    </row>
    <row r="179">
      <c r="A179" s="3">
        <f>IFERROR(__xludf.DUMMYFUNCTION("""COMPUTED_VALUE"""),45187.66666666667)</f>
        <v>45187.66667</v>
      </c>
      <c r="B179" s="2">
        <f>IFERROR(__xludf.DUMMYFUNCTION("""COMPUTED_VALUE"""),86.15)</f>
        <v>86.15</v>
      </c>
      <c r="C179" s="2">
        <f>IFERROR(__xludf.DUMMYFUNCTION("""COMPUTED_VALUE"""),87.17)</f>
        <v>87.17</v>
      </c>
      <c r="D179" s="2">
        <f>IFERROR(__xludf.DUMMYFUNCTION("""COMPUTED_VALUE"""),85.4)</f>
        <v>85.4</v>
      </c>
      <c r="E179" s="2">
        <f>IFERROR(__xludf.DUMMYFUNCTION("""COMPUTED_VALUE"""),87.02)</f>
        <v>87.02</v>
      </c>
      <c r="F179" s="2">
        <f>IFERROR(__xludf.DUMMYFUNCTION("""COMPUTED_VALUE"""),9291628.0)</f>
        <v>9291628</v>
      </c>
    </row>
    <row r="180">
      <c r="A180" s="3">
        <f>IFERROR(__xludf.DUMMYFUNCTION("""COMPUTED_VALUE"""),45188.66666666667)</f>
        <v>45188.66667</v>
      </c>
      <c r="B180" s="2">
        <f>IFERROR(__xludf.DUMMYFUNCTION("""COMPUTED_VALUE"""),86.12)</f>
        <v>86.12</v>
      </c>
      <c r="C180" s="2">
        <f>IFERROR(__xludf.DUMMYFUNCTION("""COMPUTED_VALUE"""),87.88)</f>
        <v>87.88</v>
      </c>
      <c r="D180" s="2">
        <f>IFERROR(__xludf.DUMMYFUNCTION("""COMPUTED_VALUE"""),86.08)</f>
        <v>86.08</v>
      </c>
      <c r="E180" s="2">
        <f>IFERROR(__xludf.DUMMYFUNCTION("""COMPUTED_VALUE"""),87.11)</f>
        <v>87.11</v>
      </c>
      <c r="F180" s="2">
        <f>IFERROR(__xludf.DUMMYFUNCTION("""COMPUTED_VALUE"""),9247017.0)</f>
        <v>9247017</v>
      </c>
    </row>
    <row r="181">
      <c r="A181" s="3">
        <f>IFERROR(__xludf.DUMMYFUNCTION("""COMPUTED_VALUE"""),45189.66666666667)</f>
        <v>45189.66667</v>
      </c>
      <c r="B181" s="2">
        <f>IFERROR(__xludf.DUMMYFUNCTION("""COMPUTED_VALUE"""),86.97)</f>
        <v>86.97</v>
      </c>
      <c r="C181" s="2">
        <f>IFERROR(__xludf.DUMMYFUNCTION("""COMPUTED_VALUE"""),87.5)</f>
        <v>87.5</v>
      </c>
      <c r="D181" s="2">
        <f>IFERROR(__xludf.DUMMYFUNCTION("""COMPUTED_VALUE"""),85.65)</f>
        <v>85.65</v>
      </c>
      <c r="E181" s="2">
        <f>IFERROR(__xludf.DUMMYFUNCTION("""COMPUTED_VALUE"""),85.74)</f>
        <v>85.74</v>
      </c>
      <c r="F181" s="2">
        <f>IFERROR(__xludf.DUMMYFUNCTION("""COMPUTED_VALUE"""),9228231.0)</f>
        <v>9228231</v>
      </c>
    </row>
    <row r="182">
      <c r="A182" s="3">
        <f>IFERROR(__xludf.DUMMYFUNCTION("""COMPUTED_VALUE"""),45190.66666666667)</f>
        <v>45190.66667</v>
      </c>
      <c r="B182" s="2">
        <f>IFERROR(__xludf.DUMMYFUNCTION("""COMPUTED_VALUE"""),83.86)</f>
        <v>83.86</v>
      </c>
      <c r="C182" s="2">
        <f>IFERROR(__xludf.DUMMYFUNCTION("""COMPUTED_VALUE"""),84.78)</f>
        <v>84.78</v>
      </c>
      <c r="D182" s="2">
        <f>IFERROR(__xludf.DUMMYFUNCTION("""COMPUTED_VALUE"""),83.76)</f>
        <v>83.76</v>
      </c>
      <c r="E182" s="2">
        <f>IFERROR(__xludf.DUMMYFUNCTION("""COMPUTED_VALUE"""),84.11)</f>
        <v>84.11</v>
      </c>
      <c r="F182" s="2">
        <f>IFERROR(__xludf.DUMMYFUNCTION("""COMPUTED_VALUE"""),1.0638859E7)</f>
        <v>10638859</v>
      </c>
    </row>
    <row r="183">
      <c r="A183" s="3">
        <f>IFERROR(__xludf.DUMMYFUNCTION("""COMPUTED_VALUE"""),45191.66666666667)</f>
        <v>45191.66667</v>
      </c>
      <c r="B183" s="2">
        <f>IFERROR(__xludf.DUMMYFUNCTION("""COMPUTED_VALUE"""),87.37)</f>
        <v>87.37</v>
      </c>
      <c r="C183" s="2">
        <f>IFERROR(__xludf.DUMMYFUNCTION("""COMPUTED_VALUE"""),88.88)</f>
        <v>88.88</v>
      </c>
      <c r="D183" s="2">
        <f>IFERROR(__xludf.DUMMYFUNCTION("""COMPUTED_VALUE"""),87.11)</f>
        <v>87.11</v>
      </c>
      <c r="E183" s="2">
        <f>IFERROR(__xludf.DUMMYFUNCTION("""COMPUTED_VALUE"""),88.3)</f>
        <v>88.3</v>
      </c>
      <c r="F183" s="2">
        <f>IFERROR(__xludf.DUMMYFUNCTION("""COMPUTED_VALUE"""),2.24696E7)</f>
        <v>22469600</v>
      </c>
    </row>
    <row r="184">
      <c r="A184" s="3">
        <f>IFERROR(__xludf.DUMMYFUNCTION("""COMPUTED_VALUE"""),45194.66666666667)</f>
        <v>45194.66667</v>
      </c>
      <c r="B184" s="2">
        <f>IFERROR(__xludf.DUMMYFUNCTION("""COMPUTED_VALUE"""),85.88)</f>
        <v>85.88</v>
      </c>
      <c r="C184" s="2">
        <f>IFERROR(__xludf.DUMMYFUNCTION("""COMPUTED_VALUE"""),87.27)</f>
        <v>87.27</v>
      </c>
      <c r="D184" s="2">
        <f>IFERROR(__xludf.DUMMYFUNCTION("""COMPUTED_VALUE"""),85.77)</f>
        <v>85.77</v>
      </c>
      <c r="E184" s="2">
        <f>IFERROR(__xludf.DUMMYFUNCTION("""COMPUTED_VALUE"""),87.22)</f>
        <v>87.22</v>
      </c>
      <c r="F184" s="2">
        <f>IFERROR(__xludf.DUMMYFUNCTION("""COMPUTED_VALUE"""),9897193.0)</f>
        <v>9897193</v>
      </c>
    </row>
    <row r="185">
      <c r="A185" s="3">
        <f>IFERROR(__xludf.DUMMYFUNCTION("""COMPUTED_VALUE"""),45195.66666666667)</f>
        <v>45195.66667</v>
      </c>
      <c r="B185" s="2">
        <f>IFERROR(__xludf.DUMMYFUNCTION("""COMPUTED_VALUE"""),86.46)</f>
        <v>86.46</v>
      </c>
      <c r="C185" s="2">
        <f>IFERROR(__xludf.DUMMYFUNCTION("""COMPUTED_VALUE"""),87.07)</f>
        <v>87.07</v>
      </c>
      <c r="D185" s="2">
        <f>IFERROR(__xludf.DUMMYFUNCTION("""COMPUTED_VALUE"""),85.7)</f>
        <v>85.7</v>
      </c>
      <c r="E185" s="2">
        <f>IFERROR(__xludf.DUMMYFUNCTION("""COMPUTED_VALUE"""),85.91)</f>
        <v>85.91</v>
      </c>
      <c r="F185" s="2">
        <f>IFERROR(__xludf.DUMMYFUNCTION("""COMPUTED_VALUE"""),9666610.0)</f>
        <v>9666610</v>
      </c>
    </row>
    <row r="186">
      <c r="A186" s="3">
        <f>IFERROR(__xludf.DUMMYFUNCTION("""COMPUTED_VALUE"""),45196.66666666667)</f>
        <v>45196.66667</v>
      </c>
      <c r="B186" s="2">
        <f>IFERROR(__xludf.DUMMYFUNCTION("""COMPUTED_VALUE"""),86.38)</f>
        <v>86.38</v>
      </c>
      <c r="C186" s="2">
        <f>IFERROR(__xludf.DUMMYFUNCTION("""COMPUTED_VALUE"""),86.55)</f>
        <v>86.55</v>
      </c>
      <c r="D186" s="2">
        <f>IFERROR(__xludf.DUMMYFUNCTION("""COMPUTED_VALUE"""),85.3)</f>
        <v>85.3</v>
      </c>
      <c r="E186" s="2">
        <f>IFERROR(__xludf.DUMMYFUNCTION("""COMPUTED_VALUE"""),86.19)</f>
        <v>86.19</v>
      </c>
      <c r="F186" s="2">
        <f>IFERROR(__xludf.DUMMYFUNCTION("""COMPUTED_VALUE"""),7233891.0)</f>
        <v>7233891</v>
      </c>
    </row>
    <row r="187">
      <c r="A187" s="3">
        <f>IFERROR(__xludf.DUMMYFUNCTION("""COMPUTED_VALUE"""),45197.66666666667)</f>
        <v>45197.66667</v>
      </c>
      <c r="B187" s="2">
        <f>IFERROR(__xludf.DUMMYFUNCTION("""COMPUTED_VALUE"""),84.89)</f>
        <v>84.89</v>
      </c>
      <c r="C187" s="2">
        <f>IFERROR(__xludf.DUMMYFUNCTION("""COMPUTED_VALUE"""),85.89)</f>
        <v>85.89</v>
      </c>
      <c r="D187" s="2">
        <f>IFERROR(__xludf.DUMMYFUNCTION("""COMPUTED_VALUE"""),84.31)</f>
        <v>84.31</v>
      </c>
      <c r="E187" s="2">
        <f>IFERROR(__xludf.DUMMYFUNCTION("""COMPUTED_VALUE"""),85.54)</f>
        <v>85.54</v>
      </c>
      <c r="F187" s="2">
        <f>IFERROR(__xludf.DUMMYFUNCTION("""COMPUTED_VALUE"""),1.0093639E7)</f>
        <v>10093639</v>
      </c>
    </row>
    <row r="188">
      <c r="A188" s="3">
        <f>IFERROR(__xludf.DUMMYFUNCTION("""COMPUTED_VALUE"""),45198.66666666667)</f>
        <v>45198.66667</v>
      </c>
      <c r="B188" s="2">
        <f>IFERROR(__xludf.DUMMYFUNCTION("""COMPUTED_VALUE"""),87.29)</f>
        <v>87.29</v>
      </c>
      <c r="C188" s="2">
        <f>IFERROR(__xludf.DUMMYFUNCTION("""COMPUTED_VALUE"""),87.95)</f>
        <v>87.95</v>
      </c>
      <c r="D188" s="2">
        <f>IFERROR(__xludf.DUMMYFUNCTION("""COMPUTED_VALUE"""),86.61)</f>
        <v>86.61</v>
      </c>
      <c r="E188" s="2">
        <f>IFERROR(__xludf.DUMMYFUNCTION("""COMPUTED_VALUE"""),86.74)</f>
        <v>86.74</v>
      </c>
      <c r="F188" s="2">
        <f>IFERROR(__xludf.DUMMYFUNCTION("""COMPUTED_VALUE"""),9654824.0)</f>
        <v>9654824</v>
      </c>
    </row>
    <row r="189">
      <c r="A189" s="3">
        <f>IFERROR(__xludf.DUMMYFUNCTION("""COMPUTED_VALUE"""),45201.66666666667)</f>
        <v>45201.66667</v>
      </c>
      <c r="B189" s="2">
        <f>IFERROR(__xludf.DUMMYFUNCTION("""COMPUTED_VALUE"""),86.75)</f>
        <v>86.75</v>
      </c>
      <c r="C189" s="2">
        <f>IFERROR(__xludf.DUMMYFUNCTION("""COMPUTED_VALUE"""),87.11)</f>
        <v>87.11</v>
      </c>
      <c r="D189" s="2">
        <f>IFERROR(__xludf.DUMMYFUNCTION("""COMPUTED_VALUE"""),85.89)</f>
        <v>85.89</v>
      </c>
      <c r="E189" s="2">
        <f>IFERROR(__xludf.DUMMYFUNCTION("""COMPUTED_VALUE"""),86.53)</f>
        <v>86.53</v>
      </c>
      <c r="F189" s="2">
        <f>IFERROR(__xludf.DUMMYFUNCTION("""COMPUTED_VALUE"""),8209831.0)</f>
        <v>8209831</v>
      </c>
    </row>
    <row r="190">
      <c r="A190" s="3">
        <f>IFERROR(__xludf.DUMMYFUNCTION("""COMPUTED_VALUE"""),45202.66666666667)</f>
        <v>45202.66667</v>
      </c>
      <c r="B190" s="2">
        <f>IFERROR(__xludf.DUMMYFUNCTION("""COMPUTED_VALUE"""),84.5)</f>
        <v>84.5</v>
      </c>
      <c r="C190" s="2">
        <f>IFERROR(__xludf.DUMMYFUNCTION("""COMPUTED_VALUE"""),85.0)</f>
        <v>85</v>
      </c>
      <c r="D190" s="2">
        <f>IFERROR(__xludf.DUMMYFUNCTION("""COMPUTED_VALUE"""),83.95)</f>
        <v>83.95</v>
      </c>
      <c r="E190" s="2">
        <f>IFERROR(__xludf.DUMMYFUNCTION("""COMPUTED_VALUE"""),84.54)</f>
        <v>84.54</v>
      </c>
      <c r="F190" s="2">
        <f>IFERROR(__xludf.DUMMYFUNCTION("""COMPUTED_VALUE"""),1.1448823E7)</f>
        <v>11448823</v>
      </c>
    </row>
    <row r="191">
      <c r="A191" s="3">
        <f>IFERROR(__xludf.DUMMYFUNCTION("""COMPUTED_VALUE"""),45203.66666666667)</f>
        <v>45203.66667</v>
      </c>
      <c r="B191" s="2">
        <f>IFERROR(__xludf.DUMMYFUNCTION("""COMPUTED_VALUE"""),84.28)</f>
        <v>84.28</v>
      </c>
      <c r="C191" s="2">
        <f>IFERROR(__xludf.DUMMYFUNCTION("""COMPUTED_VALUE"""),84.54)</f>
        <v>84.54</v>
      </c>
      <c r="D191" s="2">
        <f>IFERROR(__xludf.DUMMYFUNCTION("""COMPUTED_VALUE"""),83.65)</f>
        <v>83.65</v>
      </c>
      <c r="E191" s="2">
        <f>IFERROR(__xludf.DUMMYFUNCTION("""COMPUTED_VALUE"""),84.08)</f>
        <v>84.08</v>
      </c>
      <c r="F191" s="2">
        <f>IFERROR(__xludf.DUMMYFUNCTION("""COMPUTED_VALUE"""),8904691.0)</f>
        <v>8904691</v>
      </c>
    </row>
    <row r="192">
      <c r="A192" s="3">
        <f>IFERROR(__xludf.DUMMYFUNCTION("""COMPUTED_VALUE"""),45204.66666666667)</f>
        <v>45204.66667</v>
      </c>
      <c r="B192" s="2">
        <f>IFERROR(__xludf.DUMMYFUNCTION("""COMPUTED_VALUE"""),83.52)</f>
        <v>83.52</v>
      </c>
      <c r="C192" s="2">
        <f>IFERROR(__xludf.DUMMYFUNCTION("""COMPUTED_VALUE"""),83.71)</f>
        <v>83.71</v>
      </c>
      <c r="D192" s="2">
        <f>IFERROR(__xludf.DUMMYFUNCTION("""COMPUTED_VALUE"""),82.45)</f>
        <v>82.45</v>
      </c>
      <c r="E192" s="2">
        <f>IFERROR(__xludf.DUMMYFUNCTION("""COMPUTED_VALUE"""),83.67)</f>
        <v>83.67</v>
      </c>
      <c r="F192" s="2">
        <f>IFERROR(__xludf.DUMMYFUNCTION("""COMPUTED_VALUE"""),1.0334535E7)</f>
        <v>10334535</v>
      </c>
    </row>
    <row r="193">
      <c r="A193" s="3">
        <f>IFERROR(__xludf.DUMMYFUNCTION("""COMPUTED_VALUE"""),45205.66666666667)</f>
        <v>45205.66667</v>
      </c>
      <c r="B193" s="2">
        <f>IFERROR(__xludf.DUMMYFUNCTION("""COMPUTED_VALUE"""),84.25)</f>
        <v>84.25</v>
      </c>
      <c r="C193" s="2">
        <f>IFERROR(__xludf.DUMMYFUNCTION("""COMPUTED_VALUE"""),86.52)</f>
        <v>86.52</v>
      </c>
      <c r="D193" s="2">
        <f>IFERROR(__xludf.DUMMYFUNCTION("""COMPUTED_VALUE"""),84.0)</f>
        <v>84</v>
      </c>
      <c r="E193" s="2">
        <f>IFERROR(__xludf.DUMMYFUNCTION("""COMPUTED_VALUE"""),86.06)</f>
        <v>86.06</v>
      </c>
      <c r="F193" s="2">
        <f>IFERROR(__xludf.DUMMYFUNCTION("""COMPUTED_VALUE"""),1.3423653E7)</f>
        <v>13423653</v>
      </c>
    </row>
    <row r="194">
      <c r="A194" s="3">
        <f>IFERROR(__xludf.DUMMYFUNCTION("""COMPUTED_VALUE"""),45208.66666666667)</f>
        <v>45208.66667</v>
      </c>
      <c r="B194" s="2">
        <f>IFERROR(__xludf.DUMMYFUNCTION("""COMPUTED_VALUE"""),83.91)</f>
        <v>83.91</v>
      </c>
      <c r="C194" s="2">
        <f>IFERROR(__xludf.DUMMYFUNCTION("""COMPUTED_VALUE"""),85.21)</f>
        <v>85.21</v>
      </c>
      <c r="D194" s="2">
        <f>IFERROR(__xludf.DUMMYFUNCTION("""COMPUTED_VALUE"""),83.57)</f>
        <v>83.57</v>
      </c>
      <c r="E194" s="2">
        <f>IFERROR(__xludf.DUMMYFUNCTION("""COMPUTED_VALUE"""),84.85)</f>
        <v>84.85</v>
      </c>
      <c r="F194" s="2">
        <f>IFERROR(__xludf.DUMMYFUNCTION("""COMPUTED_VALUE"""),1.0880041E7)</f>
        <v>10880041</v>
      </c>
    </row>
    <row r="195">
      <c r="A195" s="3">
        <f>IFERROR(__xludf.DUMMYFUNCTION("""COMPUTED_VALUE"""),45209.66666666667)</f>
        <v>45209.66667</v>
      </c>
      <c r="B195" s="2">
        <f>IFERROR(__xludf.DUMMYFUNCTION("""COMPUTED_VALUE"""),85.67)</f>
        <v>85.67</v>
      </c>
      <c r="C195" s="2">
        <f>IFERROR(__xludf.DUMMYFUNCTION("""COMPUTED_VALUE"""),87.74)</f>
        <v>87.74</v>
      </c>
      <c r="D195" s="2">
        <f>IFERROR(__xludf.DUMMYFUNCTION("""COMPUTED_VALUE"""),85.57)</f>
        <v>85.57</v>
      </c>
      <c r="E195" s="2">
        <f>IFERROR(__xludf.DUMMYFUNCTION("""COMPUTED_VALUE"""),87.17)</f>
        <v>87.17</v>
      </c>
      <c r="F195" s="2">
        <f>IFERROR(__xludf.DUMMYFUNCTION("""COMPUTED_VALUE"""),1.3557779E7)</f>
        <v>13557779</v>
      </c>
    </row>
    <row r="196">
      <c r="A196" s="3">
        <f>IFERROR(__xludf.DUMMYFUNCTION("""COMPUTED_VALUE"""),45210.66666666667)</f>
        <v>45210.66667</v>
      </c>
      <c r="B196" s="2">
        <f>IFERROR(__xludf.DUMMYFUNCTION("""COMPUTED_VALUE"""),88.01)</f>
        <v>88.01</v>
      </c>
      <c r="C196" s="2">
        <f>IFERROR(__xludf.DUMMYFUNCTION("""COMPUTED_VALUE"""),88.8)</f>
        <v>88.8</v>
      </c>
      <c r="D196" s="2">
        <f>IFERROR(__xludf.DUMMYFUNCTION("""COMPUTED_VALUE"""),87.15)</f>
        <v>87.15</v>
      </c>
      <c r="E196" s="2">
        <f>IFERROR(__xludf.DUMMYFUNCTION("""COMPUTED_VALUE"""),87.78)</f>
        <v>87.78</v>
      </c>
      <c r="F196" s="2">
        <f>IFERROR(__xludf.DUMMYFUNCTION("""COMPUTED_VALUE"""),1.1111515E7)</f>
        <v>11111515</v>
      </c>
    </row>
    <row r="197">
      <c r="A197" s="3">
        <f>IFERROR(__xludf.DUMMYFUNCTION("""COMPUTED_VALUE"""),45211.66666666667)</f>
        <v>45211.66667</v>
      </c>
      <c r="B197" s="2">
        <f>IFERROR(__xludf.DUMMYFUNCTION("""COMPUTED_VALUE"""),87.58)</f>
        <v>87.58</v>
      </c>
      <c r="C197" s="2">
        <f>IFERROR(__xludf.DUMMYFUNCTION("""COMPUTED_VALUE"""),87.67)</f>
        <v>87.67</v>
      </c>
      <c r="D197" s="2">
        <f>IFERROR(__xludf.DUMMYFUNCTION("""COMPUTED_VALUE"""),84.2)</f>
        <v>84.2</v>
      </c>
      <c r="E197" s="2">
        <f>IFERROR(__xludf.DUMMYFUNCTION("""COMPUTED_VALUE"""),84.51)</f>
        <v>84.51</v>
      </c>
      <c r="F197" s="2">
        <f>IFERROR(__xludf.DUMMYFUNCTION("""COMPUTED_VALUE"""),1.6158058E7)</f>
        <v>16158058</v>
      </c>
    </row>
    <row r="198">
      <c r="A198" s="3">
        <f>IFERROR(__xludf.DUMMYFUNCTION("""COMPUTED_VALUE"""),45212.66666666667)</f>
        <v>45212.66667</v>
      </c>
      <c r="B198" s="2">
        <f>IFERROR(__xludf.DUMMYFUNCTION("""COMPUTED_VALUE"""),84.06)</f>
        <v>84.06</v>
      </c>
      <c r="C198" s="2">
        <f>IFERROR(__xludf.DUMMYFUNCTION("""COMPUTED_VALUE"""),85.49)</f>
        <v>85.49</v>
      </c>
      <c r="D198" s="2">
        <f>IFERROR(__xludf.DUMMYFUNCTION("""COMPUTED_VALUE"""),83.75)</f>
        <v>83.75</v>
      </c>
      <c r="E198" s="2">
        <f>IFERROR(__xludf.DUMMYFUNCTION("""COMPUTED_VALUE"""),84.02)</f>
        <v>84.02</v>
      </c>
      <c r="F198" s="2">
        <f>IFERROR(__xludf.DUMMYFUNCTION("""COMPUTED_VALUE"""),1.0333073E7)</f>
        <v>10333073</v>
      </c>
    </row>
    <row r="199">
      <c r="A199" s="3">
        <f>IFERROR(__xludf.DUMMYFUNCTION("""COMPUTED_VALUE"""),45215.66666666667)</f>
        <v>45215.66667</v>
      </c>
      <c r="B199" s="2">
        <f>IFERROR(__xludf.DUMMYFUNCTION("""COMPUTED_VALUE"""),83.7)</f>
        <v>83.7</v>
      </c>
      <c r="C199" s="2">
        <f>IFERROR(__xludf.DUMMYFUNCTION("""COMPUTED_VALUE"""),84.97)</f>
        <v>84.97</v>
      </c>
      <c r="D199" s="2">
        <f>IFERROR(__xludf.DUMMYFUNCTION("""COMPUTED_VALUE"""),82.63)</f>
        <v>82.63</v>
      </c>
      <c r="E199" s="2">
        <f>IFERROR(__xludf.DUMMYFUNCTION("""COMPUTED_VALUE"""),84.31)</f>
        <v>84.31</v>
      </c>
      <c r="F199" s="2">
        <f>IFERROR(__xludf.DUMMYFUNCTION("""COMPUTED_VALUE"""),1.0075338E7)</f>
        <v>10075338</v>
      </c>
    </row>
    <row r="200">
      <c r="A200" s="3">
        <f>IFERROR(__xludf.DUMMYFUNCTION("""COMPUTED_VALUE"""),45216.66666666667)</f>
        <v>45216.66667</v>
      </c>
      <c r="B200" s="2">
        <f>IFERROR(__xludf.DUMMYFUNCTION("""COMPUTED_VALUE"""),82.75)</f>
        <v>82.75</v>
      </c>
      <c r="C200" s="2">
        <f>IFERROR(__xludf.DUMMYFUNCTION("""COMPUTED_VALUE"""),84.36)</f>
        <v>84.36</v>
      </c>
      <c r="D200" s="2">
        <f>IFERROR(__xludf.DUMMYFUNCTION("""COMPUTED_VALUE"""),82.56)</f>
        <v>82.56</v>
      </c>
      <c r="E200" s="2">
        <f>IFERROR(__xludf.DUMMYFUNCTION("""COMPUTED_VALUE"""),83.91)</f>
        <v>83.91</v>
      </c>
      <c r="F200" s="2">
        <f>IFERROR(__xludf.DUMMYFUNCTION("""COMPUTED_VALUE"""),8270035.0)</f>
        <v>8270035</v>
      </c>
    </row>
    <row r="201">
      <c r="A201" s="3">
        <f>IFERROR(__xludf.DUMMYFUNCTION("""COMPUTED_VALUE"""),45217.66666666667)</f>
        <v>45217.66667</v>
      </c>
      <c r="B201" s="2">
        <f>IFERROR(__xludf.DUMMYFUNCTION("""COMPUTED_VALUE"""),82.96)</f>
        <v>82.96</v>
      </c>
      <c r="C201" s="2">
        <f>IFERROR(__xludf.DUMMYFUNCTION("""COMPUTED_VALUE"""),83.73)</f>
        <v>83.73</v>
      </c>
      <c r="D201" s="2">
        <f>IFERROR(__xludf.DUMMYFUNCTION("""COMPUTED_VALUE"""),82.76)</f>
        <v>82.76</v>
      </c>
      <c r="E201" s="2">
        <f>IFERROR(__xludf.DUMMYFUNCTION("""COMPUTED_VALUE"""),83.01)</f>
        <v>83.01</v>
      </c>
      <c r="F201" s="2">
        <f>IFERROR(__xludf.DUMMYFUNCTION("""COMPUTED_VALUE"""),9321627.0)</f>
        <v>9321627</v>
      </c>
    </row>
    <row r="202">
      <c r="A202" s="3">
        <f>IFERROR(__xludf.DUMMYFUNCTION("""COMPUTED_VALUE"""),45218.66666666667)</f>
        <v>45218.66667</v>
      </c>
      <c r="B202" s="2">
        <f>IFERROR(__xludf.DUMMYFUNCTION("""COMPUTED_VALUE"""),81.48)</f>
        <v>81.48</v>
      </c>
      <c r="C202" s="2">
        <f>IFERROR(__xludf.DUMMYFUNCTION("""COMPUTED_VALUE"""),82.4)</f>
        <v>82.4</v>
      </c>
      <c r="D202" s="2">
        <f>IFERROR(__xludf.DUMMYFUNCTION("""COMPUTED_VALUE"""),81.11)</f>
        <v>81.11</v>
      </c>
      <c r="E202" s="2">
        <f>IFERROR(__xludf.DUMMYFUNCTION("""COMPUTED_VALUE"""),81.61)</f>
        <v>81.61</v>
      </c>
      <c r="F202" s="2">
        <f>IFERROR(__xludf.DUMMYFUNCTION("""COMPUTED_VALUE"""),1.2624124E7)</f>
        <v>12624124</v>
      </c>
    </row>
    <row r="203">
      <c r="A203" s="3">
        <f>IFERROR(__xludf.DUMMYFUNCTION("""COMPUTED_VALUE"""),45219.66666666667)</f>
        <v>45219.66667</v>
      </c>
      <c r="B203" s="2">
        <f>IFERROR(__xludf.DUMMYFUNCTION("""COMPUTED_VALUE"""),80.23)</f>
        <v>80.23</v>
      </c>
      <c r="C203" s="2">
        <f>IFERROR(__xludf.DUMMYFUNCTION("""COMPUTED_VALUE"""),80.86)</f>
        <v>80.86</v>
      </c>
      <c r="D203" s="2">
        <f>IFERROR(__xludf.DUMMYFUNCTION("""COMPUTED_VALUE"""),79.78)</f>
        <v>79.78</v>
      </c>
      <c r="E203" s="2">
        <f>IFERROR(__xludf.DUMMYFUNCTION("""COMPUTED_VALUE"""),79.94)</f>
        <v>79.94</v>
      </c>
      <c r="F203" s="2">
        <f>IFERROR(__xludf.DUMMYFUNCTION("""COMPUTED_VALUE"""),1.4636224E7)</f>
        <v>14636224</v>
      </c>
    </row>
    <row r="204">
      <c r="A204" s="3">
        <f>IFERROR(__xludf.DUMMYFUNCTION("""COMPUTED_VALUE"""),45222.66666666667)</f>
        <v>45222.66667</v>
      </c>
      <c r="B204" s="2">
        <f>IFERROR(__xludf.DUMMYFUNCTION("""COMPUTED_VALUE"""),79.42)</f>
        <v>79.42</v>
      </c>
      <c r="C204" s="2">
        <f>IFERROR(__xludf.DUMMYFUNCTION("""COMPUTED_VALUE"""),80.93)</f>
        <v>80.93</v>
      </c>
      <c r="D204" s="2">
        <f>IFERROR(__xludf.DUMMYFUNCTION("""COMPUTED_VALUE"""),79.02)</f>
        <v>79.02</v>
      </c>
      <c r="E204" s="2">
        <f>IFERROR(__xludf.DUMMYFUNCTION("""COMPUTED_VALUE"""),80.51)</f>
        <v>80.51</v>
      </c>
      <c r="F204" s="2">
        <f>IFERROR(__xludf.DUMMYFUNCTION("""COMPUTED_VALUE"""),1.2715187E7)</f>
        <v>12715187</v>
      </c>
    </row>
    <row r="205">
      <c r="A205" s="3">
        <f>IFERROR(__xludf.DUMMYFUNCTION("""COMPUTED_VALUE"""),45223.66666666667)</f>
        <v>45223.66667</v>
      </c>
      <c r="B205" s="2">
        <f>IFERROR(__xludf.DUMMYFUNCTION("""COMPUTED_VALUE"""),80.45)</f>
        <v>80.45</v>
      </c>
      <c r="C205" s="2">
        <f>IFERROR(__xludf.DUMMYFUNCTION("""COMPUTED_VALUE"""),83.32)</f>
        <v>83.32</v>
      </c>
      <c r="D205" s="2">
        <f>IFERROR(__xludf.DUMMYFUNCTION("""COMPUTED_VALUE"""),80.44)</f>
        <v>80.44</v>
      </c>
      <c r="E205" s="2">
        <f>IFERROR(__xludf.DUMMYFUNCTION("""COMPUTED_VALUE"""),82.87)</f>
        <v>82.87</v>
      </c>
      <c r="F205" s="2">
        <f>IFERROR(__xludf.DUMMYFUNCTION("""COMPUTED_VALUE"""),1.7925847E7)</f>
        <v>17925847</v>
      </c>
    </row>
    <row r="206">
      <c r="A206" s="3">
        <f>IFERROR(__xludf.DUMMYFUNCTION("""COMPUTED_VALUE"""),45224.66666666667)</f>
        <v>45224.66667</v>
      </c>
      <c r="B206" s="2">
        <f>IFERROR(__xludf.DUMMYFUNCTION("""COMPUTED_VALUE"""),81.3)</f>
        <v>81.3</v>
      </c>
      <c r="C206" s="2">
        <f>IFERROR(__xludf.DUMMYFUNCTION("""COMPUTED_VALUE"""),82.0)</f>
        <v>82</v>
      </c>
      <c r="D206" s="2">
        <f>IFERROR(__xludf.DUMMYFUNCTION("""COMPUTED_VALUE"""),80.78)</f>
        <v>80.78</v>
      </c>
      <c r="E206" s="2">
        <f>IFERROR(__xludf.DUMMYFUNCTION("""COMPUTED_VALUE"""),81.03)</f>
        <v>81.03</v>
      </c>
      <c r="F206" s="2">
        <f>IFERROR(__xludf.DUMMYFUNCTION("""COMPUTED_VALUE"""),1.1390178E7)</f>
        <v>11390178</v>
      </c>
    </row>
    <row r="207">
      <c r="A207" s="3">
        <f>IFERROR(__xludf.DUMMYFUNCTION("""COMPUTED_VALUE"""),45225.66666666667)</f>
        <v>45225.66667</v>
      </c>
      <c r="B207" s="2">
        <f>IFERROR(__xludf.DUMMYFUNCTION("""COMPUTED_VALUE"""),81.27)</f>
        <v>81.27</v>
      </c>
      <c r="C207" s="2">
        <f>IFERROR(__xludf.DUMMYFUNCTION("""COMPUTED_VALUE"""),83.09)</f>
        <v>83.09</v>
      </c>
      <c r="D207" s="2">
        <f>IFERROR(__xludf.DUMMYFUNCTION("""COMPUTED_VALUE"""),81.2)</f>
        <v>81.2</v>
      </c>
      <c r="E207" s="2">
        <f>IFERROR(__xludf.DUMMYFUNCTION("""COMPUTED_VALUE"""),82.51)</f>
        <v>82.51</v>
      </c>
      <c r="F207" s="2">
        <f>IFERROR(__xludf.DUMMYFUNCTION("""COMPUTED_VALUE"""),1.3010368E7)</f>
        <v>13010368</v>
      </c>
    </row>
    <row r="208">
      <c r="A208" s="3">
        <f>IFERROR(__xludf.DUMMYFUNCTION("""COMPUTED_VALUE"""),45226.66666666667)</f>
        <v>45226.66667</v>
      </c>
      <c r="B208" s="2">
        <f>IFERROR(__xludf.DUMMYFUNCTION("""COMPUTED_VALUE"""),83.87)</f>
        <v>83.87</v>
      </c>
      <c r="C208" s="2">
        <f>IFERROR(__xludf.DUMMYFUNCTION("""COMPUTED_VALUE"""),84.12)</f>
        <v>84.12</v>
      </c>
      <c r="D208" s="2">
        <f>IFERROR(__xludf.DUMMYFUNCTION("""COMPUTED_VALUE"""),82.48)</f>
        <v>82.48</v>
      </c>
      <c r="E208" s="2">
        <f>IFERROR(__xludf.DUMMYFUNCTION("""COMPUTED_VALUE"""),82.82)</f>
        <v>82.82</v>
      </c>
      <c r="F208" s="2">
        <f>IFERROR(__xludf.DUMMYFUNCTION("""COMPUTED_VALUE"""),1.0795598E7)</f>
        <v>10795598</v>
      </c>
    </row>
    <row r="209">
      <c r="A209" s="3">
        <f>IFERROR(__xludf.DUMMYFUNCTION("""COMPUTED_VALUE"""),45229.66666666667)</f>
        <v>45229.66667</v>
      </c>
      <c r="B209" s="2">
        <f>IFERROR(__xludf.DUMMYFUNCTION("""COMPUTED_VALUE"""),83.63)</f>
        <v>83.63</v>
      </c>
      <c r="C209" s="2">
        <f>IFERROR(__xludf.DUMMYFUNCTION("""COMPUTED_VALUE"""),84.24)</f>
        <v>84.24</v>
      </c>
      <c r="D209" s="2">
        <f>IFERROR(__xludf.DUMMYFUNCTION("""COMPUTED_VALUE"""),83.01)</f>
        <v>83.01</v>
      </c>
      <c r="E209" s="2">
        <f>IFERROR(__xludf.DUMMYFUNCTION("""COMPUTED_VALUE"""),83.14)</f>
        <v>83.14</v>
      </c>
      <c r="F209" s="2">
        <f>IFERROR(__xludf.DUMMYFUNCTION("""COMPUTED_VALUE"""),8980455.0)</f>
        <v>8980455</v>
      </c>
    </row>
    <row r="210">
      <c r="A210" s="3">
        <f>IFERROR(__xludf.DUMMYFUNCTION("""COMPUTED_VALUE"""),45230.66666666667)</f>
        <v>45230.66667</v>
      </c>
      <c r="B210" s="2">
        <f>IFERROR(__xludf.DUMMYFUNCTION("""COMPUTED_VALUE"""),81.94)</f>
        <v>81.94</v>
      </c>
      <c r="C210" s="2">
        <f>IFERROR(__xludf.DUMMYFUNCTION("""COMPUTED_VALUE"""),82.54)</f>
        <v>82.54</v>
      </c>
      <c r="D210" s="2">
        <f>IFERROR(__xludf.DUMMYFUNCTION("""COMPUTED_VALUE"""),80.88)</f>
        <v>80.88</v>
      </c>
      <c r="E210" s="2">
        <f>IFERROR(__xludf.DUMMYFUNCTION("""COMPUTED_VALUE"""),82.54)</f>
        <v>82.54</v>
      </c>
      <c r="F210" s="2">
        <f>IFERROR(__xludf.DUMMYFUNCTION("""COMPUTED_VALUE"""),1.2094312E7)</f>
        <v>12094312</v>
      </c>
    </row>
    <row r="211">
      <c r="A211" s="3">
        <f>IFERROR(__xludf.DUMMYFUNCTION("""COMPUTED_VALUE"""),45231.66666666667)</f>
        <v>45231.66667</v>
      </c>
      <c r="B211" s="2">
        <f>IFERROR(__xludf.DUMMYFUNCTION("""COMPUTED_VALUE"""),81.71)</f>
        <v>81.71</v>
      </c>
      <c r="C211" s="2">
        <f>IFERROR(__xludf.DUMMYFUNCTION("""COMPUTED_VALUE"""),82.49)</f>
        <v>82.49</v>
      </c>
      <c r="D211" s="2">
        <f>IFERROR(__xludf.DUMMYFUNCTION("""COMPUTED_VALUE"""),81.21)</f>
        <v>81.21</v>
      </c>
      <c r="E211" s="2">
        <f>IFERROR(__xludf.DUMMYFUNCTION("""COMPUTED_VALUE"""),82.48)</f>
        <v>82.48</v>
      </c>
      <c r="F211" s="2">
        <f>IFERROR(__xludf.DUMMYFUNCTION("""COMPUTED_VALUE"""),9549988.0)</f>
        <v>9549988</v>
      </c>
    </row>
    <row r="212">
      <c r="A212" s="3">
        <f>IFERROR(__xludf.DUMMYFUNCTION("""COMPUTED_VALUE"""),45232.66666666667)</f>
        <v>45232.66667</v>
      </c>
      <c r="B212" s="2">
        <f>IFERROR(__xludf.DUMMYFUNCTION("""COMPUTED_VALUE"""),83.65)</f>
        <v>83.65</v>
      </c>
      <c r="C212" s="2">
        <f>IFERROR(__xludf.DUMMYFUNCTION("""COMPUTED_VALUE"""),83.98)</f>
        <v>83.98</v>
      </c>
      <c r="D212" s="2">
        <f>IFERROR(__xludf.DUMMYFUNCTION("""COMPUTED_VALUE"""),83.03)</f>
        <v>83.03</v>
      </c>
      <c r="E212" s="2">
        <f>IFERROR(__xludf.DUMMYFUNCTION("""COMPUTED_VALUE"""),83.41)</f>
        <v>83.41</v>
      </c>
      <c r="F212" s="2">
        <f>IFERROR(__xludf.DUMMYFUNCTION("""COMPUTED_VALUE"""),1.0606319E7)</f>
        <v>10606319</v>
      </c>
    </row>
    <row r="213">
      <c r="A213" s="3">
        <f>IFERROR(__xludf.DUMMYFUNCTION("""COMPUTED_VALUE"""),45233.66666666667)</f>
        <v>45233.66667</v>
      </c>
      <c r="B213" s="2">
        <f>IFERROR(__xludf.DUMMYFUNCTION("""COMPUTED_VALUE"""),84.94)</f>
        <v>84.94</v>
      </c>
      <c r="C213" s="2">
        <f>IFERROR(__xludf.DUMMYFUNCTION("""COMPUTED_VALUE"""),86.08)</f>
        <v>86.08</v>
      </c>
      <c r="D213" s="2">
        <f>IFERROR(__xludf.DUMMYFUNCTION("""COMPUTED_VALUE"""),84.5)</f>
        <v>84.5</v>
      </c>
      <c r="E213" s="2">
        <f>IFERROR(__xludf.DUMMYFUNCTION("""COMPUTED_VALUE"""),85.31)</f>
        <v>85.31</v>
      </c>
      <c r="F213" s="2">
        <f>IFERROR(__xludf.DUMMYFUNCTION("""COMPUTED_VALUE"""),1.5148303E7)</f>
        <v>15148303</v>
      </c>
    </row>
    <row r="214">
      <c r="A214" s="3">
        <f>IFERROR(__xludf.DUMMYFUNCTION("""COMPUTED_VALUE"""),45236.66666666667)</f>
        <v>45236.66667</v>
      </c>
      <c r="B214" s="2">
        <f>IFERROR(__xludf.DUMMYFUNCTION("""COMPUTED_VALUE"""),86.55)</f>
        <v>86.55</v>
      </c>
      <c r="C214" s="2">
        <f>IFERROR(__xludf.DUMMYFUNCTION("""COMPUTED_VALUE"""),86.72)</f>
        <v>86.72</v>
      </c>
      <c r="D214" s="2">
        <f>IFERROR(__xludf.DUMMYFUNCTION("""COMPUTED_VALUE"""),85.23)</f>
        <v>85.23</v>
      </c>
      <c r="E214" s="2">
        <f>IFERROR(__xludf.DUMMYFUNCTION("""COMPUTED_VALUE"""),85.36)</f>
        <v>85.36</v>
      </c>
      <c r="F214" s="2">
        <f>IFERROR(__xludf.DUMMYFUNCTION("""COMPUTED_VALUE"""),9786396.0)</f>
        <v>9786396</v>
      </c>
    </row>
    <row r="215">
      <c r="A215" s="3">
        <f>IFERROR(__xludf.DUMMYFUNCTION("""COMPUTED_VALUE"""),45237.66666666667)</f>
        <v>45237.66667</v>
      </c>
      <c r="B215" s="2">
        <f>IFERROR(__xludf.DUMMYFUNCTION("""COMPUTED_VALUE"""),84.86)</f>
        <v>84.86</v>
      </c>
      <c r="C215" s="2">
        <f>IFERROR(__xludf.DUMMYFUNCTION("""COMPUTED_VALUE"""),85.66)</f>
        <v>85.66</v>
      </c>
      <c r="D215" s="2">
        <f>IFERROR(__xludf.DUMMYFUNCTION("""COMPUTED_VALUE"""),84.11)</f>
        <v>84.11</v>
      </c>
      <c r="E215" s="2">
        <f>IFERROR(__xludf.DUMMYFUNCTION("""COMPUTED_VALUE"""),85.41)</f>
        <v>85.41</v>
      </c>
      <c r="F215" s="2">
        <f>IFERROR(__xludf.DUMMYFUNCTION("""COMPUTED_VALUE"""),8829376.0)</f>
        <v>8829376</v>
      </c>
    </row>
    <row r="216">
      <c r="A216" s="3">
        <f>IFERROR(__xludf.DUMMYFUNCTION("""COMPUTED_VALUE"""),45238.66666666667)</f>
        <v>45238.66667</v>
      </c>
      <c r="B216" s="2">
        <f>IFERROR(__xludf.DUMMYFUNCTION("""COMPUTED_VALUE"""),84.62)</f>
        <v>84.62</v>
      </c>
      <c r="C216" s="2">
        <f>IFERROR(__xludf.DUMMYFUNCTION("""COMPUTED_VALUE"""),85.73)</f>
        <v>85.73</v>
      </c>
      <c r="D216" s="2">
        <f>IFERROR(__xludf.DUMMYFUNCTION("""COMPUTED_VALUE"""),84.48)</f>
        <v>84.48</v>
      </c>
      <c r="E216" s="2">
        <f>IFERROR(__xludf.DUMMYFUNCTION("""COMPUTED_VALUE"""),84.8)</f>
        <v>84.8</v>
      </c>
      <c r="F216" s="2">
        <f>IFERROR(__xludf.DUMMYFUNCTION("""COMPUTED_VALUE"""),8154582.0)</f>
        <v>8154582</v>
      </c>
    </row>
    <row r="217">
      <c r="A217" s="3">
        <f>IFERROR(__xludf.DUMMYFUNCTION("""COMPUTED_VALUE"""),45239.66666666667)</f>
        <v>45239.66667</v>
      </c>
      <c r="B217" s="2">
        <f>IFERROR(__xludf.DUMMYFUNCTION("""COMPUTED_VALUE"""),84.58)</f>
        <v>84.58</v>
      </c>
      <c r="C217" s="2">
        <f>IFERROR(__xludf.DUMMYFUNCTION("""COMPUTED_VALUE"""),84.69)</f>
        <v>84.69</v>
      </c>
      <c r="D217" s="2">
        <f>IFERROR(__xludf.DUMMYFUNCTION("""COMPUTED_VALUE"""),82.48)</f>
        <v>82.48</v>
      </c>
      <c r="E217" s="2">
        <f>IFERROR(__xludf.DUMMYFUNCTION("""COMPUTED_VALUE"""),82.73)</f>
        <v>82.73</v>
      </c>
      <c r="F217" s="2">
        <f>IFERROR(__xludf.DUMMYFUNCTION("""COMPUTED_VALUE"""),1.0885073E7)</f>
        <v>10885073</v>
      </c>
    </row>
    <row r="218">
      <c r="A218" s="3">
        <f>IFERROR(__xludf.DUMMYFUNCTION("""COMPUTED_VALUE"""),45240.66666666667)</f>
        <v>45240.66667</v>
      </c>
      <c r="B218" s="2">
        <f>IFERROR(__xludf.DUMMYFUNCTION("""COMPUTED_VALUE"""),82.41)</f>
        <v>82.41</v>
      </c>
      <c r="C218" s="2">
        <f>IFERROR(__xludf.DUMMYFUNCTION("""COMPUTED_VALUE"""),82.87)</f>
        <v>82.87</v>
      </c>
      <c r="D218" s="2">
        <f>IFERROR(__xludf.DUMMYFUNCTION("""COMPUTED_VALUE"""),81.66)</f>
        <v>81.66</v>
      </c>
      <c r="E218" s="2">
        <f>IFERROR(__xludf.DUMMYFUNCTION("""COMPUTED_VALUE"""),82.75)</f>
        <v>82.75</v>
      </c>
      <c r="F218" s="2">
        <f>IFERROR(__xludf.DUMMYFUNCTION("""COMPUTED_VALUE"""),9797571.0)</f>
        <v>9797571</v>
      </c>
    </row>
    <row r="219">
      <c r="A219" s="3">
        <f>IFERROR(__xludf.DUMMYFUNCTION("""COMPUTED_VALUE"""),45243.66666666667)</f>
        <v>45243.66667</v>
      </c>
      <c r="B219" s="2">
        <f>IFERROR(__xludf.DUMMYFUNCTION("""COMPUTED_VALUE"""),82.75)</f>
        <v>82.75</v>
      </c>
      <c r="C219" s="2">
        <f>IFERROR(__xludf.DUMMYFUNCTION("""COMPUTED_VALUE"""),83.32)</f>
        <v>83.32</v>
      </c>
      <c r="D219" s="2">
        <f>IFERROR(__xludf.DUMMYFUNCTION("""COMPUTED_VALUE"""),82.08)</f>
        <v>82.08</v>
      </c>
      <c r="E219" s="2">
        <f>IFERROR(__xludf.DUMMYFUNCTION("""COMPUTED_VALUE"""),82.26)</f>
        <v>82.26</v>
      </c>
      <c r="F219" s="2">
        <f>IFERROR(__xludf.DUMMYFUNCTION("""COMPUTED_VALUE"""),1.1236852E7)</f>
        <v>11236852</v>
      </c>
    </row>
    <row r="220">
      <c r="A220" s="3">
        <f>IFERROR(__xludf.DUMMYFUNCTION("""COMPUTED_VALUE"""),45244.66666666667)</f>
        <v>45244.66667</v>
      </c>
      <c r="B220" s="2">
        <f>IFERROR(__xludf.DUMMYFUNCTION("""COMPUTED_VALUE"""),82.76)</f>
        <v>82.76</v>
      </c>
      <c r="C220" s="2">
        <f>IFERROR(__xludf.DUMMYFUNCTION("""COMPUTED_VALUE"""),84.54)</f>
        <v>84.54</v>
      </c>
      <c r="D220" s="2">
        <f>IFERROR(__xludf.DUMMYFUNCTION("""COMPUTED_VALUE"""),82.32)</f>
        <v>82.32</v>
      </c>
      <c r="E220" s="2">
        <f>IFERROR(__xludf.DUMMYFUNCTION("""COMPUTED_VALUE"""),83.87)</f>
        <v>83.87</v>
      </c>
      <c r="F220" s="2">
        <f>IFERROR(__xludf.DUMMYFUNCTION("""COMPUTED_VALUE"""),2.0897615E7)</f>
        <v>20897615</v>
      </c>
    </row>
    <row r="221">
      <c r="A221" s="3">
        <f>IFERROR(__xludf.DUMMYFUNCTION("""COMPUTED_VALUE"""),45245.66666666667)</f>
        <v>45245.66667</v>
      </c>
      <c r="B221" s="2">
        <f>IFERROR(__xludf.DUMMYFUNCTION("""COMPUTED_VALUE"""),86.96)</f>
        <v>86.96</v>
      </c>
      <c r="C221" s="2">
        <f>IFERROR(__xludf.DUMMYFUNCTION("""COMPUTED_VALUE"""),87.83)</f>
        <v>87.83</v>
      </c>
      <c r="D221" s="2">
        <f>IFERROR(__xludf.DUMMYFUNCTION("""COMPUTED_VALUE"""),85.89)</f>
        <v>85.89</v>
      </c>
      <c r="E221" s="2">
        <f>IFERROR(__xludf.DUMMYFUNCTION("""COMPUTED_VALUE"""),87.07)</f>
        <v>87.07</v>
      </c>
      <c r="F221" s="2">
        <f>IFERROR(__xludf.DUMMYFUNCTION("""COMPUTED_VALUE"""),2.8991019E7)</f>
        <v>28991019</v>
      </c>
    </row>
    <row r="222">
      <c r="A222" s="3">
        <f>IFERROR(__xludf.DUMMYFUNCTION("""COMPUTED_VALUE"""),45246.66666666667)</f>
        <v>45246.66667</v>
      </c>
      <c r="B222" s="2">
        <f>IFERROR(__xludf.DUMMYFUNCTION("""COMPUTED_VALUE"""),79.52)</f>
        <v>79.52</v>
      </c>
      <c r="C222" s="2">
        <f>IFERROR(__xludf.DUMMYFUNCTION("""COMPUTED_VALUE"""),80.77)</f>
        <v>80.77</v>
      </c>
      <c r="D222" s="2">
        <f>IFERROR(__xludf.DUMMYFUNCTION("""COMPUTED_VALUE"""),78.23)</f>
        <v>78.23</v>
      </c>
      <c r="E222" s="2">
        <f>IFERROR(__xludf.DUMMYFUNCTION("""COMPUTED_VALUE"""),79.11)</f>
        <v>79.11</v>
      </c>
      <c r="F222" s="2">
        <f>IFERROR(__xludf.DUMMYFUNCTION("""COMPUTED_VALUE"""),6.3008526E7)</f>
        <v>63008526</v>
      </c>
    </row>
    <row r="223">
      <c r="A223" s="3">
        <f>IFERROR(__xludf.DUMMYFUNCTION("""COMPUTED_VALUE"""),45247.66666666667)</f>
        <v>45247.66667</v>
      </c>
      <c r="B223" s="2">
        <f>IFERROR(__xludf.DUMMYFUNCTION("""COMPUTED_VALUE"""),77.02)</f>
        <v>77.02</v>
      </c>
      <c r="C223" s="2">
        <f>IFERROR(__xludf.DUMMYFUNCTION("""COMPUTED_VALUE"""),78.47)</f>
        <v>78.47</v>
      </c>
      <c r="D223" s="2">
        <f>IFERROR(__xludf.DUMMYFUNCTION("""COMPUTED_VALUE"""),76.75)</f>
        <v>76.75</v>
      </c>
      <c r="E223" s="2">
        <f>IFERROR(__xludf.DUMMYFUNCTION("""COMPUTED_VALUE"""),77.6)</f>
        <v>77.6</v>
      </c>
      <c r="F223" s="2">
        <f>IFERROR(__xludf.DUMMYFUNCTION("""COMPUTED_VALUE"""),3.5580411E7)</f>
        <v>35580411</v>
      </c>
    </row>
    <row r="224">
      <c r="A224" s="3">
        <f>IFERROR(__xludf.DUMMYFUNCTION("""COMPUTED_VALUE"""),45250.66666666667)</f>
        <v>45250.66667</v>
      </c>
      <c r="B224" s="2">
        <f>IFERROR(__xludf.DUMMYFUNCTION("""COMPUTED_VALUE"""),76.91)</f>
        <v>76.91</v>
      </c>
      <c r="C224" s="2">
        <f>IFERROR(__xludf.DUMMYFUNCTION("""COMPUTED_VALUE"""),78.75)</f>
        <v>78.75</v>
      </c>
      <c r="D224" s="2">
        <f>IFERROR(__xludf.DUMMYFUNCTION("""COMPUTED_VALUE"""),76.56)</f>
        <v>76.56</v>
      </c>
      <c r="E224" s="2">
        <f>IFERROR(__xludf.DUMMYFUNCTION("""COMPUTED_VALUE"""),78.46)</f>
        <v>78.46</v>
      </c>
      <c r="F224" s="2">
        <f>IFERROR(__xludf.DUMMYFUNCTION("""COMPUTED_VALUE"""),3.1564894E7)</f>
        <v>31564894</v>
      </c>
    </row>
    <row r="225">
      <c r="A225" s="3">
        <f>IFERROR(__xludf.DUMMYFUNCTION("""COMPUTED_VALUE"""),45251.66666666667)</f>
        <v>45251.66667</v>
      </c>
      <c r="B225" s="2">
        <f>IFERROR(__xludf.DUMMYFUNCTION("""COMPUTED_VALUE"""),77.85)</f>
        <v>77.85</v>
      </c>
      <c r="C225" s="2">
        <f>IFERROR(__xludf.DUMMYFUNCTION("""COMPUTED_VALUE"""),79.28)</f>
        <v>79.28</v>
      </c>
      <c r="D225" s="2">
        <f>IFERROR(__xludf.DUMMYFUNCTION("""COMPUTED_VALUE"""),77.6)</f>
        <v>77.6</v>
      </c>
      <c r="E225" s="2">
        <f>IFERROR(__xludf.DUMMYFUNCTION("""COMPUTED_VALUE"""),78.94)</f>
        <v>78.94</v>
      </c>
      <c r="F225" s="2">
        <f>IFERROR(__xludf.DUMMYFUNCTION("""COMPUTED_VALUE"""),2.0525451E7)</f>
        <v>20525451</v>
      </c>
    </row>
    <row r="226">
      <c r="A226" s="3">
        <f>IFERROR(__xludf.DUMMYFUNCTION("""COMPUTED_VALUE"""),45252.66666666667)</f>
        <v>45252.66667</v>
      </c>
      <c r="B226" s="2">
        <f>IFERROR(__xludf.DUMMYFUNCTION("""COMPUTED_VALUE"""),79.28)</f>
        <v>79.28</v>
      </c>
      <c r="C226" s="2">
        <f>IFERROR(__xludf.DUMMYFUNCTION("""COMPUTED_VALUE"""),79.71)</f>
        <v>79.71</v>
      </c>
      <c r="D226" s="2">
        <f>IFERROR(__xludf.DUMMYFUNCTION("""COMPUTED_VALUE"""),78.13)</f>
        <v>78.13</v>
      </c>
      <c r="E226" s="2">
        <f>IFERROR(__xludf.DUMMYFUNCTION("""COMPUTED_VALUE"""),78.96)</f>
        <v>78.96</v>
      </c>
      <c r="F226" s="2">
        <f>IFERROR(__xludf.DUMMYFUNCTION("""COMPUTED_VALUE"""),1.8982123E7)</f>
        <v>18982123</v>
      </c>
    </row>
    <row r="227">
      <c r="A227" s="3">
        <f>IFERROR(__xludf.DUMMYFUNCTION("""COMPUTED_VALUE"""),45254.54166666667)</f>
        <v>45254.54167</v>
      </c>
      <c r="B227" s="2">
        <f>IFERROR(__xludf.DUMMYFUNCTION("""COMPUTED_VALUE"""),78.27)</f>
        <v>78.27</v>
      </c>
      <c r="C227" s="2">
        <f>IFERROR(__xludf.DUMMYFUNCTION("""COMPUTED_VALUE"""),79.07)</f>
        <v>79.07</v>
      </c>
      <c r="D227" s="2">
        <f>IFERROR(__xludf.DUMMYFUNCTION("""COMPUTED_VALUE"""),78.21)</f>
        <v>78.21</v>
      </c>
      <c r="E227" s="2">
        <f>IFERROR(__xludf.DUMMYFUNCTION("""COMPUTED_VALUE"""),78.49)</f>
        <v>78.49</v>
      </c>
      <c r="F227" s="2">
        <f>IFERROR(__xludf.DUMMYFUNCTION("""COMPUTED_VALUE"""),1.2251659E7)</f>
        <v>12251659</v>
      </c>
    </row>
    <row r="228">
      <c r="A228" s="3">
        <f>IFERROR(__xludf.DUMMYFUNCTION("""COMPUTED_VALUE"""),45257.66666666667)</f>
        <v>45257.66667</v>
      </c>
      <c r="B228" s="2">
        <f>IFERROR(__xludf.DUMMYFUNCTION("""COMPUTED_VALUE"""),77.56)</f>
        <v>77.56</v>
      </c>
      <c r="C228" s="2">
        <f>IFERROR(__xludf.DUMMYFUNCTION("""COMPUTED_VALUE"""),79.25)</f>
        <v>79.25</v>
      </c>
      <c r="D228" s="2">
        <f>IFERROR(__xludf.DUMMYFUNCTION("""COMPUTED_VALUE"""),77.09)</f>
        <v>77.09</v>
      </c>
      <c r="E228" s="2">
        <f>IFERROR(__xludf.DUMMYFUNCTION("""COMPUTED_VALUE"""),77.53)</f>
        <v>77.53</v>
      </c>
      <c r="F228" s="2">
        <f>IFERROR(__xludf.DUMMYFUNCTION("""COMPUTED_VALUE"""),1.8248172E7)</f>
        <v>18248172</v>
      </c>
    </row>
    <row r="229">
      <c r="A229" s="3">
        <f>IFERROR(__xludf.DUMMYFUNCTION("""COMPUTED_VALUE"""),45258.66666666667)</f>
        <v>45258.66667</v>
      </c>
      <c r="B229" s="2">
        <f>IFERROR(__xludf.DUMMYFUNCTION("""COMPUTED_VALUE"""),76.56)</f>
        <v>76.56</v>
      </c>
      <c r="C229" s="2">
        <f>IFERROR(__xludf.DUMMYFUNCTION("""COMPUTED_VALUE"""),76.84)</f>
        <v>76.84</v>
      </c>
      <c r="D229" s="2">
        <f>IFERROR(__xludf.DUMMYFUNCTION("""COMPUTED_VALUE"""),75.26)</f>
        <v>75.26</v>
      </c>
      <c r="E229" s="2">
        <f>IFERROR(__xludf.DUMMYFUNCTION("""COMPUTED_VALUE"""),76.74)</f>
        <v>76.74</v>
      </c>
      <c r="F229" s="2">
        <f>IFERROR(__xludf.DUMMYFUNCTION("""COMPUTED_VALUE"""),2.3682173E7)</f>
        <v>23682173</v>
      </c>
    </row>
    <row r="230">
      <c r="A230" s="3">
        <f>IFERROR(__xludf.DUMMYFUNCTION("""COMPUTED_VALUE"""),45259.66666666667)</f>
        <v>45259.66667</v>
      </c>
      <c r="B230" s="2">
        <f>IFERROR(__xludf.DUMMYFUNCTION("""COMPUTED_VALUE"""),75.0)</f>
        <v>75</v>
      </c>
      <c r="C230" s="2">
        <f>IFERROR(__xludf.DUMMYFUNCTION("""COMPUTED_VALUE"""),75.46)</f>
        <v>75.46</v>
      </c>
      <c r="D230" s="2">
        <f>IFERROR(__xludf.DUMMYFUNCTION("""COMPUTED_VALUE"""),74.43)</f>
        <v>74.43</v>
      </c>
      <c r="E230" s="2">
        <f>IFERROR(__xludf.DUMMYFUNCTION("""COMPUTED_VALUE"""),74.67)</f>
        <v>74.67</v>
      </c>
      <c r="F230" s="2">
        <f>IFERROR(__xludf.DUMMYFUNCTION("""COMPUTED_VALUE"""),3.0969099E7)</f>
        <v>30969099</v>
      </c>
    </row>
    <row r="231">
      <c r="A231" s="3">
        <f>IFERROR(__xludf.DUMMYFUNCTION("""COMPUTED_VALUE"""),45260.66666666667)</f>
        <v>45260.66667</v>
      </c>
      <c r="B231" s="2">
        <f>IFERROR(__xludf.DUMMYFUNCTION("""COMPUTED_VALUE"""),74.7)</f>
        <v>74.7</v>
      </c>
      <c r="C231" s="2">
        <f>IFERROR(__xludf.DUMMYFUNCTION("""COMPUTED_VALUE"""),74.94)</f>
        <v>74.94</v>
      </c>
      <c r="D231" s="2">
        <f>IFERROR(__xludf.DUMMYFUNCTION("""COMPUTED_VALUE"""),74.01)</f>
        <v>74.01</v>
      </c>
      <c r="E231" s="2">
        <f>IFERROR(__xludf.DUMMYFUNCTION("""COMPUTED_VALUE"""),74.88)</f>
        <v>74.88</v>
      </c>
      <c r="F231" s="2">
        <f>IFERROR(__xludf.DUMMYFUNCTION("""COMPUTED_VALUE"""),1.7884211E7)</f>
        <v>17884211</v>
      </c>
    </row>
    <row r="232">
      <c r="A232" s="3">
        <f>IFERROR(__xludf.DUMMYFUNCTION("""COMPUTED_VALUE"""),45261.66666666667)</f>
        <v>45261.66667</v>
      </c>
      <c r="B232" s="2">
        <f>IFERROR(__xludf.DUMMYFUNCTION("""COMPUTED_VALUE"""),73.12)</f>
        <v>73.12</v>
      </c>
      <c r="C232" s="2">
        <f>IFERROR(__xludf.DUMMYFUNCTION("""COMPUTED_VALUE"""),74.14)</f>
        <v>74.14</v>
      </c>
      <c r="D232" s="2">
        <f>IFERROR(__xludf.DUMMYFUNCTION("""COMPUTED_VALUE"""),72.12)</f>
        <v>72.12</v>
      </c>
      <c r="E232" s="2">
        <f>IFERROR(__xludf.DUMMYFUNCTION("""COMPUTED_VALUE"""),73.99)</f>
        <v>73.99</v>
      </c>
      <c r="F232" s="2">
        <f>IFERROR(__xludf.DUMMYFUNCTION("""COMPUTED_VALUE"""),2.7998595E7)</f>
        <v>27998595</v>
      </c>
    </row>
    <row r="233">
      <c r="A233" s="3">
        <f>IFERROR(__xludf.DUMMYFUNCTION("""COMPUTED_VALUE"""),45264.66666666667)</f>
        <v>45264.66667</v>
      </c>
      <c r="B233" s="2">
        <f>IFERROR(__xludf.DUMMYFUNCTION("""COMPUTED_VALUE"""),72.67)</f>
        <v>72.67</v>
      </c>
      <c r="C233" s="2">
        <f>IFERROR(__xludf.DUMMYFUNCTION("""COMPUTED_VALUE"""),73.58)</f>
        <v>73.58</v>
      </c>
      <c r="D233" s="2">
        <f>IFERROR(__xludf.DUMMYFUNCTION("""COMPUTED_VALUE"""),72.48)</f>
        <v>72.48</v>
      </c>
      <c r="E233" s="2">
        <f>IFERROR(__xludf.DUMMYFUNCTION("""COMPUTED_VALUE"""),73.03)</f>
        <v>73.03</v>
      </c>
      <c r="F233" s="2">
        <f>IFERROR(__xludf.DUMMYFUNCTION("""COMPUTED_VALUE"""),2.1074948E7)</f>
        <v>21074948</v>
      </c>
    </row>
    <row r="234">
      <c r="A234" s="3">
        <f>IFERROR(__xludf.DUMMYFUNCTION("""COMPUTED_VALUE"""),45265.66666666667)</f>
        <v>45265.66667</v>
      </c>
      <c r="B234" s="2">
        <f>IFERROR(__xludf.DUMMYFUNCTION("""COMPUTED_VALUE"""),72.04)</f>
        <v>72.04</v>
      </c>
      <c r="C234" s="2">
        <f>IFERROR(__xludf.DUMMYFUNCTION("""COMPUTED_VALUE"""),72.7)</f>
        <v>72.7</v>
      </c>
      <c r="D234" s="2">
        <f>IFERROR(__xludf.DUMMYFUNCTION("""COMPUTED_VALUE"""),71.92)</f>
        <v>71.92</v>
      </c>
      <c r="E234" s="2">
        <f>IFERROR(__xludf.DUMMYFUNCTION("""COMPUTED_VALUE"""),72.38)</f>
        <v>72.38</v>
      </c>
      <c r="F234" s="2">
        <f>IFERROR(__xludf.DUMMYFUNCTION("""COMPUTED_VALUE"""),1.9128982E7)</f>
        <v>19128982</v>
      </c>
    </row>
    <row r="235">
      <c r="A235" s="3">
        <f>IFERROR(__xludf.DUMMYFUNCTION("""COMPUTED_VALUE"""),45266.66666666667)</f>
        <v>45266.66667</v>
      </c>
      <c r="B235" s="2">
        <f>IFERROR(__xludf.DUMMYFUNCTION("""COMPUTED_VALUE"""),72.36)</f>
        <v>72.36</v>
      </c>
      <c r="C235" s="2">
        <f>IFERROR(__xludf.DUMMYFUNCTION("""COMPUTED_VALUE"""),72.95)</f>
        <v>72.95</v>
      </c>
      <c r="D235" s="2">
        <f>IFERROR(__xludf.DUMMYFUNCTION("""COMPUTED_VALUE"""),71.49)</f>
        <v>71.49</v>
      </c>
      <c r="E235" s="2">
        <f>IFERROR(__xludf.DUMMYFUNCTION("""COMPUTED_VALUE"""),71.49)</f>
        <v>71.49</v>
      </c>
      <c r="F235" s="2">
        <f>IFERROR(__xludf.DUMMYFUNCTION("""COMPUTED_VALUE"""),3.0394396E7)</f>
        <v>30394396</v>
      </c>
    </row>
    <row r="236">
      <c r="A236" s="3">
        <f>IFERROR(__xludf.DUMMYFUNCTION("""COMPUTED_VALUE"""),45267.66666666667)</f>
        <v>45267.66667</v>
      </c>
      <c r="B236" s="2">
        <f>IFERROR(__xludf.DUMMYFUNCTION("""COMPUTED_VALUE"""),71.55)</f>
        <v>71.55</v>
      </c>
      <c r="C236" s="2">
        <f>IFERROR(__xludf.DUMMYFUNCTION("""COMPUTED_VALUE"""),72.37)</f>
        <v>72.37</v>
      </c>
      <c r="D236" s="2">
        <f>IFERROR(__xludf.DUMMYFUNCTION("""COMPUTED_VALUE"""),71.44)</f>
        <v>71.44</v>
      </c>
      <c r="E236" s="2">
        <f>IFERROR(__xludf.DUMMYFUNCTION("""COMPUTED_VALUE"""),72.33)</f>
        <v>72.33</v>
      </c>
      <c r="F236" s="2">
        <f>IFERROR(__xludf.DUMMYFUNCTION("""COMPUTED_VALUE"""),1.8966685E7)</f>
        <v>18966685</v>
      </c>
    </row>
    <row r="237">
      <c r="A237" s="3">
        <f>IFERROR(__xludf.DUMMYFUNCTION("""COMPUTED_VALUE"""),45268.66666666667)</f>
        <v>45268.66667</v>
      </c>
      <c r="B237" s="2">
        <f>IFERROR(__xludf.DUMMYFUNCTION("""COMPUTED_VALUE"""),72.02)</f>
        <v>72.02</v>
      </c>
      <c r="C237" s="2">
        <f>IFERROR(__xludf.DUMMYFUNCTION("""COMPUTED_VALUE"""),72.44)</f>
        <v>72.44</v>
      </c>
      <c r="D237" s="2">
        <f>IFERROR(__xludf.DUMMYFUNCTION("""COMPUTED_VALUE"""),71.83)</f>
        <v>71.83</v>
      </c>
      <c r="E237" s="2">
        <f>IFERROR(__xludf.DUMMYFUNCTION("""COMPUTED_VALUE"""),72.14)</f>
        <v>72.14</v>
      </c>
      <c r="F237" s="2">
        <f>IFERROR(__xludf.DUMMYFUNCTION("""COMPUTED_VALUE"""),1.6914758E7)</f>
        <v>16914758</v>
      </c>
    </row>
    <row r="238">
      <c r="A238" s="3">
        <f>IFERROR(__xludf.DUMMYFUNCTION("""COMPUTED_VALUE"""),45271.66666666667)</f>
        <v>45271.66667</v>
      </c>
      <c r="B238" s="2">
        <f>IFERROR(__xludf.DUMMYFUNCTION("""COMPUTED_VALUE"""),70.49)</f>
        <v>70.49</v>
      </c>
      <c r="C238" s="2">
        <f>IFERROR(__xludf.DUMMYFUNCTION("""COMPUTED_VALUE"""),71.61)</f>
        <v>71.61</v>
      </c>
      <c r="D238" s="2">
        <f>IFERROR(__xludf.DUMMYFUNCTION("""COMPUTED_VALUE"""),70.08)</f>
        <v>70.08</v>
      </c>
      <c r="E238" s="2">
        <f>IFERROR(__xludf.DUMMYFUNCTION("""COMPUTED_VALUE"""),71.37)</f>
        <v>71.37</v>
      </c>
      <c r="F238" s="2">
        <f>IFERROR(__xludf.DUMMYFUNCTION("""COMPUTED_VALUE"""),1.9719315E7)</f>
        <v>19719315</v>
      </c>
    </row>
    <row r="239">
      <c r="A239" s="3">
        <f>IFERROR(__xludf.DUMMYFUNCTION("""COMPUTED_VALUE"""),45272.66666666667)</f>
        <v>45272.66667</v>
      </c>
      <c r="B239" s="2">
        <f>IFERROR(__xludf.DUMMYFUNCTION("""COMPUTED_VALUE"""),71.38)</f>
        <v>71.38</v>
      </c>
      <c r="C239" s="2">
        <f>IFERROR(__xludf.DUMMYFUNCTION("""COMPUTED_VALUE"""),71.96)</f>
        <v>71.96</v>
      </c>
      <c r="D239" s="2">
        <f>IFERROR(__xludf.DUMMYFUNCTION("""COMPUTED_VALUE"""),70.93)</f>
        <v>70.93</v>
      </c>
      <c r="E239" s="2">
        <f>IFERROR(__xludf.DUMMYFUNCTION("""COMPUTED_VALUE"""),71.39)</f>
        <v>71.39</v>
      </c>
      <c r="F239" s="2">
        <f>IFERROR(__xludf.DUMMYFUNCTION("""COMPUTED_VALUE"""),1.4725908E7)</f>
        <v>14725908</v>
      </c>
    </row>
    <row r="240">
      <c r="A240" s="3">
        <f>IFERROR(__xludf.DUMMYFUNCTION("""COMPUTED_VALUE"""),45273.66666666667)</f>
        <v>45273.66667</v>
      </c>
      <c r="B240" s="2">
        <f>IFERROR(__xludf.DUMMYFUNCTION("""COMPUTED_VALUE"""),70.91)</f>
        <v>70.91</v>
      </c>
      <c r="C240" s="2">
        <f>IFERROR(__xludf.DUMMYFUNCTION("""COMPUTED_VALUE"""),71.48)</f>
        <v>71.48</v>
      </c>
      <c r="D240" s="2">
        <f>IFERROR(__xludf.DUMMYFUNCTION("""COMPUTED_VALUE"""),70.12)</f>
        <v>70.12</v>
      </c>
      <c r="E240" s="2">
        <f>IFERROR(__xludf.DUMMYFUNCTION("""COMPUTED_VALUE"""),71.46)</f>
        <v>71.46</v>
      </c>
      <c r="F240" s="2">
        <f>IFERROR(__xludf.DUMMYFUNCTION("""COMPUTED_VALUE"""),2.1721644E7)</f>
        <v>21721644</v>
      </c>
    </row>
    <row r="241">
      <c r="A241" s="3">
        <f>IFERROR(__xludf.DUMMYFUNCTION("""COMPUTED_VALUE"""),45274.66666666667)</f>
        <v>45274.66667</v>
      </c>
      <c r="B241" s="2">
        <f>IFERROR(__xludf.DUMMYFUNCTION("""COMPUTED_VALUE"""),71.47)</f>
        <v>71.47</v>
      </c>
      <c r="C241" s="2">
        <f>IFERROR(__xludf.DUMMYFUNCTION("""COMPUTED_VALUE"""),73.24)</f>
        <v>73.24</v>
      </c>
      <c r="D241" s="2">
        <f>IFERROR(__xludf.DUMMYFUNCTION("""COMPUTED_VALUE"""),71.42)</f>
        <v>71.42</v>
      </c>
      <c r="E241" s="2">
        <f>IFERROR(__xludf.DUMMYFUNCTION("""COMPUTED_VALUE"""),72.51)</f>
        <v>72.51</v>
      </c>
      <c r="F241" s="2">
        <f>IFERROR(__xludf.DUMMYFUNCTION("""COMPUTED_VALUE"""),2.5199289E7)</f>
        <v>25199289</v>
      </c>
    </row>
    <row r="242">
      <c r="A242" s="3">
        <f>IFERROR(__xludf.DUMMYFUNCTION("""COMPUTED_VALUE"""),45275.66666666667)</f>
        <v>45275.66667</v>
      </c>
      <c r="B242" s="2">
        <f>IFERROR(__xludf.DUMMYFUNCTION("""COMPUTED_VALUE"""),74.0)</f>
        <v>74</v>
      </c>
      <c r="C242" s="2">
        <f>IFERROR(__xludf.DUMMYFUNCTION("""COMPUTED_VALUE"""),75.55)</f>
        <v>75.55</v>
      </c>
      <c r="D242" s="2">
        <f>IFERROR(__xludf.DUMMYFUNCTION("""COMPUTED_VALUE"""),73.32)</f>
        <v>73.32</v>
      </c>
      <c r="E242" s="2">
        <f>IFERROR(__xludf.DUMMYFUNCTION("""COMPUTED_VALUE"""),74.51)</f>
        <v>74.51</v>
      </c>
      <c r="F242" s="2">
        <f>IFERROR(__xludf.DUMMYFUNCTION("""COMPUTED_VALUE"""),3.1327519E7)</f>
        <v>31327519</v>
      </c>
    </row>
    <row r="243">
      <c r="A243" s="3">
        <f>IFERROR(__xludf.DUMMYFUNCTION("""COMPUTED_VALUE"""),45278.66666666667)</f>
        <v>45278.66667</v>
      </c>
      <c r="B243" s="2">
        <f>IFERROR(__xludf.DUMMYFUNCTION("""COMPUTED_VALUE"""),74.05)</f>
        <v>74.05</v>
      </c>
      <c r="C243" s="2">
        <f>IFERROR(__xludf.DUMMYFUNCTION("""COMPUTED_VALUE"""),74.23)</f>
        <v>74.23</v>
      </c>
      <c r="D243" s="2">
        <f>IFERROR(__xludf.DUMMYFUNCTION("""COMPUTED_VALUE"""),73.21)</f>
        <v>73.21</v>
      </c>
      <c r="E243" s="2">
        <f>IFERROR(__xludf.DUMMYFUNCTION("""COMPUTED_VALUE"""),73.84)</f>
        <v>73.84</v>
      </c>
      <c r="F243" s="2">
        <f>IFERROR(__xludf.DUMMYFUNCTION("""COMPUTED_VALUE"""),1.723351E7)</f>
        <v>17233510</v>
      </c>
    </row>
    <row r="244">
      <c r="A244" s="3">
        <f>IFERROR(__xludf.DUMMYFUNCTION("""COMPUTED_VALUE"""),45279.66666666667)</f>
        <v>45279.66667</v>
      </c>
      <c r="B244" s="2">
        <f>IFERROR(__xludf.DUMMYFUNCTION("""COMPUTED_VALUE"""),74.4)</f>
        <v>74.4</v>
      </c>
      <c r="C244" s="2">
        <f>IFERROR(__xludf.DUMMYFUNCTION("""COMPUTED_VALUE"""),76.01)</f>
        <v>76.01</v>
      </c>
      <c r="D244" s="2">
        <f>IFERROR(__xludf.DUMMYFUNCTION("""COMPUTED_VALUE"""),74.22)</f>
        <v>74.22</v>
      </c>
      <c r="E244" s="2">
        <f>IFERROR(__xludf.DUMMYFUNCTION("""COMPUTED_VALUE"""),75.39)</f>
        <v>75.39</v>
      </c>
      <c r="F244" s="2">
        <f>IFERROR(__xludf.DUMMYFUNCTION("""COMPUTED_VALUE"""),2.0939297E7)</f>
        <v>20939297</v>
      </c>
    </row>
    <row r="245">
      <c r="A245" s="3">
        <f>IFERROR(__xludf.DUMMYFUNCTION("""COMPUTED_VALUE"""),45280.66666666667)</f>
        <v>45280.66667</v>
      </c>
      <c r="B245" s="2">
        <f>IFERROR(__xludf.DUMMYFUNCTION("""COMPUTED_VALUE"""),74.58)</f>
        <v>74.58</v>
      </c>
      <c r="C245" s="2">
        <f>IFERROR(__xludf.DUMMYFUNCTION("""COMPUTED_VALUE"""),75.3)</f>
        <v>75.3</v>
      </c>
      <c r="D245" s="2">
        <f>IFERROR(__xludf.DUMMYFUNCTION("""COMPUTED_VALUE"""),73.33)</f>
        <v>73.33</v>
      </c>
      <c r="E245" s="2">
        <f>IFERROR(__xludf.DUMMYFUNCTION("""COMPUTED_VALUE"""),73.35)</f>
        <v>73.35</v>
      </c>
      <c r="F245" s="2">
        <f>IFERROR(__xludf.DUMMYFUNCTION("""COMPUTED_VALUE"""),2.7540228E7)</f>
        <v>27540228</v>
      </c>
    </row>
    <row r="246">
      <c r="A246" s="3">
        <f>IFERROR(__xludf.DUMMYFUNCTION("""COMPUTED_VALUE"""),45281.66666666667)</f>
        <v>45281.66667</v>
      </c>
      <c r="B246" s="2">
        <f>IFERROR(__xludf.DUMMYFUNCTION("""COMPUTED_VALUE"""),74.86)</f>
        <v>74.86</v>
      </c>
      <c r="C246" s="2">
        <f>IFERROR(__xludf.DUMMYFUNCTION("""COMPUTED_VALUE"""),76.29)</f>
        <v>76.29</v>
      </c>
      <c r="D246" s="2">
        <f>IFERROR(__xludf.DUMMYFUNCTION("""COMPUTED_VALUE"""),74.35)</f>
        <v>74.35</v>
      </c>
      <c r="E246" s="2">
        <f>IFERROR(__xludf.DUMMYFUNCTION("""COMPUTED_VALUE"""),76.26)</f>
        <v>76.26</v>
      </c>
      <c r="F246" s="2">
        <f>IFERROR(__xludf.DUMMYFUNCTION("""COMPUTED_VALUE"""),2.081209E7)</f>
        <v>20812090</v>
      </c>
    </row>
    <row r="247">
      <c r="A247" s="3">
        <f>IFERROR(__xludf.DUMMYFUNCTION("""COMPUTED_VALUE"""),45282.66666666667)</f>
        <v>45282.66667</v>
      </c>
      <c r="B247" s="2">
        <f>IFERROR(__xludf.DUMMYFUNCTION("""COMPUTED_VALUE"""),74.5)</f>
        <v>74.5</v>
      </c>
      <c r="C247" s="2">
        <f>IFERROR(__xludf.DUMMYFUNCTION("""COMPUTED_VALUE"""),75.68)</f>
        <v>75.68</v>
      </c>
      <c r="D247" s="2">
        <f>IFERROR(__xludf.DUMMYFUNCTION("""COMPUTED_VALUE"""),74.44)</f>
        <v>74.44</v>
      </c>
      <c r="E247" s="2">
        <f>IFERROR(__xludf.DUMMYFUNCTION("""COMPUTED_VALUE"""),75.28)</f>
        <v>75.28</v>
      </c>
      <c r="F247" s="2">
        <f>IFERROR(__xludf.DUMMYFUNCTION("""COMPUTED_VALUE"""),2.0004348E7)</f>
        <v>20004348</v>
      </c>
    </row>
    <row r="248">
      <c r="A248" s="3">
        <f>IFERROR(__xludf.DUMMYFUNCTION("""COMPUTED_VALUE"""),45286.66666666667)</f>
        <v>45286.66667</v>
      </c>
      <c r="B248" s="2">
        <f>IFERROR(__xludf.DUMMYFUNCTION("""COMPUTED_VALUE"""),76.16)</f>
        <v>76.16</v>
      </c>
      <c r="C248" s="2">
        <f>IFERROR(__xludf.DUMMYFUNCTION("""COMPUTED_VALUE"""),76.97)</f>
        <v>76.97</v>
      </c>
      <c r="D248" s="2">
        <f>IFERROR(__xludf.DUMMYFUNCTION("""COMPUTED_VALUE"""),75.73)</f>
        <v>75.73</v>
      </c>
      <c r="E248" s="2">
        <f>IFERROR(__xludf.DUMMYFUNCTION("""COMPUTED_VALUE"""),75.85)</f>
        <v>75.85</v>
      </c>
      <c r="F248" s="2">
        <f>IFERROR(__xludf.DUMMYFUNCTION("""COMPUTED_VALUE"""),1.312128E7)</f>
        <v>13121280</v>
      </c>
    </row>
    <row r="249">
      <c r="A249" s="3">
        <f>IFERROR(__xludf.DUMMYFUNCTION("""COMPUTED_VALUE"""),45287.66666666667)</f>
        <v>45287.66667</v>
      </c>
      <c r="B249" s="2">
        <f>IFERROR(__xludf.DUMMYFUNCTION("""COMPUTED_VALUE"""),76.28)</f>
        <v>76.28</v>
      </c>
      <c r="C249" s="2">
        <f>IFERROR(__xludf.DUMMYFUNCTION("""COMPUTED_VALUE"""),76.45)</f>
        <v>76.45</v>
      </c>
      <c r="D249" s="2">
        <f>IFERROR(__xludf.DUMMYFUNCTION("""COMPUTED_VALUE"""),75.41)</f>
        <v>75.41</v>
      </c>
      <c r="E249" s="2">
        <f>IFERROR(__xludf.DUMMYFUNCTION("""COMPUTED_VALUE"""),76.11)</f>
        <v>76.11</v>
      </c>
      <c r="F249" s="2">
        <f>IFERROR(__xludf.DUMMYFUNCTION("""COMPUTED_VALUE"""),1.4904479E7)</f>
        <v>14904479</v>
      </c>
    </row>
    <row r="250">
      <c r="A250" s="3">
        <f>IFERROR(__xludf.DUMMYFUNCTION("""COMPUTED_VALUE"""),45288.66666666667)</f>
        <v>45288.66667</v>
      </c>
      <c r="B250" s="2">
        <f>IFERROR(__xludf.DUMMYFUNCTION("""COMPUTED_VALUE"""),77.23)</f>
        <v>77.23</v>
      </c>
      <c r="C250" s="2">
        <f>IFERROR(__xludf.DUMMYFUNCTION("""COMPUTED_VALUE"""),77.79)</f>
        <v>77.79</v>
      </c>
      <c r="D250" s="2">
        <f>IFERROR(__xludf.DUMMYFUNCTION("""COMPUTED_VALUE"""),76.98)</f>
        <v>76.98</v>
      </c>
      <c r="E250" s="2">
        <f>IFERROR(__xludf.DUMMYFUNCTION("""COMPUTED_VALUE"""),77.24)</f>
        <v>77.24</v>
      </c>
      <c r="F250" s="2">
        <f>IFERROR(__xludf.DUMMYFUNCTION("""COMPUTED_VALUE"""),1.8937893E7)</f>
        <v>18937893</v>
      </c>
    </row>
    <row r="251">
      <c r="A251" s="3">
        <f>IFERROR(__xludf.DUMMYFUNCTION("""COMPUTED_VALUE"""),45289.66666666667)</f>
        <v>45289.66667</v>
      </c>
      <c r="B251" s="2">
        <f>IFERROR(__xludf.DUMMYFUNCTION("""COMPUTED_VALUE"""),77.06)</f>
        <v>77.06</v>
      </c>
      <c r="C251" s="2">
        <f>IFERROR(__xludf.DUMMYFUNCTION("""COMPUTED_VALUE"""),77.64)</f>
        <v>77.64</v>
      </c>
      <c r="D251" s="2">
        <f>IFERROR(__xludf.DUMMYFUNCTION("""COMPUTED_VALUE"""),76.82)</f>
        <v>76.82</v>
      </c>
      <c r="E251" s="2">
        <f>IFERROR(__xludf.DUMMYFUNCTION("""COMPUTED_VALUE"""),77.51)</f>
        <v>77.51</v>
      </c>
      <c r="F251" s="2">
        <f>IFERROR(__xludf.DUMMYFUNCTION("""COMPUTED_VALUE"""),1.4094635E7)</f>
        <v>14094635</v>
      </c>
    </row>
    <row r="252">
      <c r="A252" s="3">
        <f>IFERROR(__xludf.DUMMYFUNCTION("""COMPUTED_VALUE"""),45293.66666666667)</f>
        <v>45293.66667</v>
      </c>
      <c r="B252" s="2">
        <f>IFERROR(__xludf.DUMMYFUNCTION("""COMPUTED_VALUE"""),76.05)</f>
        <v>76.05</v>
      </c>
      <c r="C252" s="2">
        <f>IFERROR(__xludf.DUMMYFUNCTION("""COMPUTED_VALUE"""),76.08)</f>
        <v>76.08</v>
      </c>
      <c r="D252" s="2">
        <f>IFERROR(__xludf.DUMMYFUNCTION("""COMPUTED_VALUE"""),74.51)</f>
        <v>74.51</v>
      </c>
      <c r="E252" s="2">
        <f>IFERROR(__xludf.DUMMYFUNCTION("""COMPUTED_VALUE"""),74.76)</f>
        <v>74.76</v>
      </c>
      <c r="F252" s="2">
        <f>IFERROR(__xludf.DUMMYFUNCTION("""COMPUTED_VALUE"""),2.1739596E7)</f>
        <v>21739596</v>
      </c>
    </row>
    <row r="253">
      <c r="A253" s="3">
        <f>IFERROR(__xludf.DUMMYFUNCTION("""COMPUTED_VALUE"""),45294.66666666667)</f>
        <v>45294.66667</v>
      </c>
      <c r="B253" s="2">
        <f>IFERROR(__xludf.DUMMYFUNCTION("""COMPUTED_VALUE"""),74.33)</f>
        <v>74.33</v>
      </c>
      <c r="C253" s="2">
        <f>IFERROR(__xludf.DUMMYFUNCTION("""COMPUTED_VALUE"""),76.69)</f>
        <v>76.69</v>
      </c>
      <c r="D253" s="2">
        <f>IFERROR(__xludf.DUMMYFUNCTION("""COMPUTED_VALUE"""),74.07)</f>
        <v>74.07</v>
      </c>
      <c r="E253" s="2">
        <f>IFERROR(__xludf.DUMMYFUNCTION("""COMPUTED_VALUE"""),76.59)</f>
        <v>76.59</v>
      </c>
      <c r="F253" s="2">
        <f>IFERROR(__xludf.DUMMYFUNCTION("""COMPUTED_VALUE"""),2.4444642E7)</f>
        <v>24444642</v>
      </c>
    </row>
    <row r="254">
      <c r="A254" s="3">
        <f>IFERROR(__xludf.DUMMYFUNCTION("""COMPUTED_VALUE"""),45295.66666666667)</f>
        <v>45295.66667</v>
      </c>
      <c r="B254" s="2">
        <f>IFERROR(__xludf.DUMMYFUNCTION("""COMPUTED_VALUE"""),75.56)</f>
        <v>75.56</v>
      </c>
      <c r="C254" s="2">
        <f>IFERROR(__xludf.DUMMYFUNCTION("""COMPUTED_VALUE"""),75.72)</f>
        <v>75.72</v>
      </c>
      <c r="D254" s="2">
        <f>IFERROR(__xludf.DUMMYFUNCTION("""COMPUTED_VALUE"""),74.44)</f>
        <v>74.44</v>
      </c>
      <c r="E254" s="2">
        <f>IFERROR(__xludf.DUMMYFUNCTION("""COMPUTED_VALUE"""),74.66)</f>
        <v>74.66</v>
      </c>
      <c r="F254" s="2">
        <f>IFERROR(__xludf.DUMMYFUNCTION("""COMPUTED_VALUE"""),1.8454887E7)</f>
        <v>18454887</v>
      </c>
    </row>
    <row r="255">
      <c r="A255" s="3">
        <f>IFERROR(__xludf.DUMMYFUNCTION("""COMPUTED_VALUE"""),45296.66666666667)</f>
        <v>45296.66667</v>
      </c>
      <c r="B255" s="2">
        <f>IFERROR(__xludf.DUMMYFUNCTION("""COMPUTED_VALUE"""),74.0)</f>
        <v>74</v>
      </c>
      <c r="C255" s="2">
        <f>IFERROR(__xludf.DUMMYFUNCTION("""COMPUTED_VALUE"""),74.0)</f>
        <v>74</v>
      </c>
      <c r="D255" s="2">
        <f>IFERROR(__xludf.DUMMYFUNCTION("""COMPUTED_VALUE"""),72.86)</f>
        <v>72.86</v>
      </c>
      <c r="E255" s="2">
        <f>IFERROR(__xludf.DUMMYFUNCTION("""COMPUTED_VALUE"""),73.01)</f>
        <v>73.01</v>
      </c>
      <c r="F255" s="2">
        <f>IFERROR(__xludf.DUMMYFUNCTION("""COMPUTED_VALUE"""),2.1725165E7)</f>
        <v>21725165</v>
      </c>
    </row>
    <row r="256">
      <c r="A256" s="3">
        <f>IFERROR(__xludf.DUMMYFUNCTION("""COMPUTED_VALUE"""),45299.66666666667)</f>
        <v>45299.66667</v>
      </c>
      <c r="B256" s="2">
        <f>IFERROR(__xludf.DUMMYFUNCTION("""COMPUTED_VALUE"""),71.25)</f>
        <v>71.25</v>
      </c>
      <c r="C256" s="2">
        <f>IFERROR(__xludf.DUMMYFUNCTION("""COMPUTED_VALUE"""),73.06)</f>
        <v>73.06</v>
      </c>
      <c r="D256" s="2">
        <f>IFERROR(__xludf.DUMMYFUNCTION("""COMPUTED_VALUE"""),70.92)</f>
        <v>70.92</v>
      </c>
      <c r="E256" s="2">
        <f>IFERROR(__xludf.DUMMYFUNCTION("""COMPUTED_VALUE"""),72.88)</f>
        <v>72.88</v>
      </c>
      <c r="F256" s="2">
        <f>IFERROR(__xludf.DUMMYFUNCTION("""COMPUTED_VALUE"""),2.1999986E7)</f>
        <v>21999986</v>
      </c>
    </row>
    <row r="257">
      <c r="A257" s="3">
        <f>IFERROR(__xludf.DUMMYFUNCTION("""COMPUTED_VALUE"""),45300.66666666667)</f>
        <v>45300.66667</v>
      </c>
      <c r="B257" s="2">
        <f>IFERROR(__xludf.DUMMYFUNCTION("""COMPUTED_VALUE"""),71.25)</f>
        <v>71.25</v>
      </c>
      <c r="C257" s="2">
        <f>IFERROR(__xludf.DUMMYFUNCTION("""COMPUTED_VALUE"""),72.12)</f>
        <v>72.12</v>
      </c>
      <c r="D257" s="2">
        <f>IFERROR(__xludf.DUMMYFUNCTION("""COMPUTED_VALUE"""),70.96)</f>
        <v>70.96</v>
      </c>
      <c r="E257" s="2">
        <f>IFERROR(__xludf.DUMMYFUNCTION("""COMPUTED_VALUE"""),72.02)</f>
        <v>72.02</v>
      </c>
      <c r="F257" s="2">
        <f>IFERROR(__xludf.DUMMYFUNCTION("""COMPUTED_VALUE"""),2.1451778E7)</f>
        <v>21451778</v>
      </c>
    </row>
    <row r="258">
      <c r="A258" s="3">
        <f>IFERROR(__xludf.DUMMYFUNCTION("""COMPUTED_VALUE"""),45301.66666666667)</f>
        <v>45301.66667</v>
      </c>
      <c r="B258" s="2">
        <f>IFERROR(__xludf.DUMMYFUNCTION("""COMPUTED_VALUE"""),71.38)</f>
        <v>71.38</v>
      </c>
      <c r="C258" s="2">
        <f>IFERROR(__xludf.DUMMYFUNCTION("""COMPUTED_VALUE"""),71.78)</f>
        <v>71.78</v>
      </c>
      <c r="D258" s="2">
        <f>IFERROR(__xludf.DUMMYFUNCTION("""COMPUTED_VALUE"""),71.05)</f>
        <v>71.05</v>
      </c>
      <c r="E258" s="2">
        <f>IFERROR(__xludf.DUMMYFUNCTION("""COMPUTED_VALUE"""),71.41)</f>
        <v>71.41</v>
      </c>
      <c r="F258" s="2">
        <f>IFERROR(__xludf.DUMMYFUNCTION("""COMPUTED_VALUE"""),1.9540004E7)</f>
        <v>19540004</v>
      </c>
    </row>
    <row r="259">
      <c r="A259" s="3">
        <f>IFERROR(__xludf.DUMMYFUNCTION("""COMPUTED_VALUE"""),45302.66666666667)</f>
        <v>45302.66667</v>
      </c>
      <c r="B259" s="2">
        <f>IFERROR(__xludf.DUMMYFUNCTION("""COMPUTED_VALUE"""),72.55)</f>
        <v>72.55</v>
      </c>
      <c r="C259" s="2">
        <f>IFERROR(__xludf.DUMMYFUNCTION("""COMPUTED_VALUE"""),73.13)</f>
        <v>73.13</v>
      </c>
      <c r="D259" s="2">
        <f>IFERROR(__xludf.DUMMYFUNCTION("""COMPUTED_VALUE"""),71.53)</f>
        <v>71.53</v>
      </c>
      <c r="E259" s="2">
        <f>IFERROR(__xludf.DUMMYFUNCTION("""COMPUTED_VALUE"""),72.38)</f>
        <v>72.38</v>
      </c>
      <c r="F259" s="2">
        <f>IFERROR(__xludf.DUMMYFUNCTION("""COMPUTED_VALUE"""),1.8095272E7)</f>
        <v>18095272</v>
      </c>
    </row>
    <row r="260">
      <c r="A260" s="3">
        <f>IFERROR(__xludf.DUMMYFUNCTION("""COMPUTED_VALUE"""),45303.66666666667)</f>
        <v>45303.66667</v>
      </c>
      <c r="B260" s="2">
        <f>IFERROR(__xludf.DUMMYFUNCTION("""COMPUTED_VALUE"""),72.59)</f>
        <v>72.59</v>
      </c>
      <c r="C260" s="2">
        <f>IFERROR(__xludf.DUMMYFUNCTION("""COMPUTED_VALUE"""),73.43)</f>
        <v>73.43</v>
      </c>
      <c r="D260" s="2">
        <f>IFERROR(__xludf.DUMMYFUNCTION("""COMPUTED_VALUE"""),71.81)</f>
        <v>71.81</v>
      </c>
      <c r="E260" s="2">
        <f>IFERROR(__xludf.DUMMYFUNCTION("""COMPUTED_VALUE"""),71.84)</f>
        <v>71.84</v>
      </c>
      <c r="F260" s="2">
        <f>IFERROR(__xludf.DUMMYFUNCTION("""COMPUTED_VALUE"""),1.6147285E7)</f>
        <v>16147285</v>
      </c>
    </row>
    <row r="261">
      <c r="A261" s="3">
        <f>IFERROR(__xludf.DUMMYFUNCTION("""COMPUTED_VALUE"""),45307.66666666667)</f>
        <v>45307.66667</v>
      </c>
      <c r="B261" s="2">
        <f>IFERROR(__xludf.DUMMYFUNCTION("""COMPUTED_VALUE"""),70.13)</f>
        <v>70.13</v>
      </c>
      <c r="C261" s="2">
        <f>IFERROR(__xludf.DUMMYFUNCTION("""COMPUTED_VALUE"""),70.53)</f>
        <v>70.53</v>
      </c>
      <c r="D261" s="2">
        <f>IFERROR(__xludf.DUMMYFUNCTION("""COMPUTED_VALUE"""),69.3)</f>
        <v>69.3</v>
      </c>
      <c r="E261" s="2">
        <f>IFERROR(__xludf.DUMMYFUNCTION("""COMPUTED_VALUE"""),69.46)</f>
        <v>69.46</v>
      </c>
      <c r="F261" s="2">
        <f>IFERROR(__xludf.DUMMYFUNCTION("""COMPUTED_VALUE"""),2.7606901E7)</f>
        <v>27606901</v>
      </c>
    </row>
    <row r="262">
      <c r="A262" s="3">
        <f>IFERROR(__xludf.DUMMYFUNCTION("""COMPUTED_VALUE"""),45308.66666666667)</f>
        <v>45308.66667</v>
      </c>
      <c r="B262" s="2">
        <f>IFERROR(__xludf.DUMMYFUNCTION("""COMPUTED_VALUE"""),67.72)</f>
        <v>67.72</v>
      </c>
      <c r="C262" s="2">
        <f>IFERROR(__xludf.DUMMYFUNCTION("""COMPUTED_VALUE"""),69.0)</f>
        <v>69</v>
      </c>
      <c r="D262" s="2">
        <f>IFERROR(__xludf.DUMMYFUNCTION("""COMPUTED_VALUE"""),67.26)</f>
        <v>67.26</v>
      </c>
      <c r="E262" s="2">
        <f>IFERROR(__xludf.DUMMYFUNCTION("""COMPUTED_VALUE"""),68.93)</f>
        <v>68.93</v>
      </c>
      <c r="F262" s="2">
        <f>IFERROR(__xludf.DUMMYFUNCTION("""COMPUTED_VALUE"""),2.268444E7)</f>
        <v>22684440</v>
      </c>
    </row>
    <row r="263">
      <c r="A263" s="3">
        <f>IFERROR(__xludf.DUMMYFUNCTION("""COMPUTED_VALUE"""),45309.66666666667)</f>
        <v>45309.66667</v>
      </c>
      <c r="B263" s="2">
        <f>IFERROR(__xludf.DUMMYFUNCTION("""COMPUTED_VALUE"""),68.6)</f>
        <v>68.6</v>
      </c>
      <c r="C263" s="2">
        <f>IFERROR(__xludf.DUMMYFUNCTION("""COMPUTED_VALUE"""),69.08)</f>
        <v>69.08</v>
      </c>
      <c r="D263" s="2">
        <f>IFERROR(__xludf.DUMMYFUNCTION("""COMPUTED_VALUE"""),68.0)</f>
        <v>68</v>
      </c>
      <c r="E263" s="2">
        <f>IFERROR(__xludf.DUMMYFUNCTION("""COMPUTED_VALUE"""),68.05)</f>
        <v>68.05</v>
      </c>
      <c r="F263" s="2">
        <f>IFERROR(__xludf.DUMMYFUNCTION("""COMPUTED_VALUE"""),1.9306968E7)</f>
        <v>19306968</v>
      </c>
    </row>
    <row r="264">
      <c r="A264" s="3">
        <f>IFERROR(__xludf.DUMMYFUNCTION("""COMPUTED_VALUE"""),45310.66666666667)</f>
        <v>45310.66667</v>
      </c>
      <c r="B264" s="2">
        <f>IFERROR(__xludf.DUMMYFUNCTION("""COMPUTED_VALUE"""),67.2)</f>
        <v>67.2</v>
      </c>
      <c r="C264" s="2">
        <f>IFERROR(__xludf.DUMMYFUNCTION("""COMPUTED_VALUE"""),69.91)</f>
        <v>69.91</v>
      </c>
      <c r="D264" s="2">
        <f>IFERROR(__xludf.DUMMYFUNCTION("""COMPUTED_VALUE"""),66.92)</f>
        <v>66.92</v>
      </c>
      <c r="E264" s="2">
        <f>IFERROR(__xludf.DUMMYFUNCTION("""COMPUTED_VALUE"""),69.42)</f>
        <v>69.42</v>
      </c>
      <c r="F264" s="2">
        <f>IFERROR(__xludf.DUMMYFUNCTION("""COMPUTED_VALUE"""),3.4547701E7)</f>
        <v>34547701</v>
      </c>
    </row>
    <row r="265">
      <c r="A265" s="3">
        <f>IFERROR(__xludf.DUMMYFUNCTION("""COMPUTED_VALUE"""),45313.66666666667)</f>
        <v>45313.66667</v>
      </c>
      <c r="B265" s="2">
        <f>IFERROR(__xludf.DUMMYFUNCTION("""COMPUTED_VALUE"""),67.28)</f>
        <v>67.28</v>
      </c>
      <c r="C265" s="2">
        <f>IFERROR(__xludf.DUMMYFUNCTION("""COMPUTED_VALUE"""),68.74)</f>
        <v>68.74</v>
      </c>
      <c r="D265" s="2">
        <f>IFERROR(__xludf.DUMMYFUNCTION("""COMPUTED_VALUE"""),66.63)</f>
        <v>66.63</v>
      </c>
      <c r="E265" s="2">
        <f>IFERROR(__xludf.DUMMYFUNCTION("""COMPUTED_VALUE"""),68.63)</f>
        <v>68.63</v>
      </c>
      <c r="F265" s="2">
        <f>IFERROR(__xludf.DUMMYFUNCTION("""COMPUTED_VALUE"""),2.7294183E7)</f>
        <v>27294183</v>
      </c>
    </row>
    <row r="266">
      <c r="A266" s="3">
        <f>IFERROR(__xludf.DUMMYFUNCTION("""COMPUTED_VALUE"""),45314.66666666667)</f>
        <v>45314.66667</v>
      </c>
      <c r="B266" s="2">
        <f>IFERROR(__xludf.DUMMYFUNCTION("""COMPUTED_VALUE"""),72.76)</f>
        <v>72.76</v>
      </c>
      <c r="C266" s="2">
        <f>IFERROR(__xludf.DUMMYFUNCTION("""COMPUTED_VALUE"""),74.5)</f>
        <v>74.5</v>
      </c>
      <c r="D266" s="2">
        <f>IFERROR(__xludf.DUMMYFUNCTION("""COMPUTED_VALUE"""),72.55)</f>
        <v>72.55</v>
      </c>
      <c r="E266" s="2">
        <f>IFERROR(__xludf.DUMMYFUNCTION("""COMPUTED_VALUE"""),74.02)</f>
        <v>74.02</v>
      </c>
      <c r="F266" s="2">
        <f>IFERROR(__xludf.DUMMYFUNCTION("""COMPUTED_VALUE"""),5.3017674E7)</f>
        <v>53017674</v>
      </c>
    </row>
    <row r="267">
      <c r="A267" s="3">
        <f>IFERROR(__xludf.DUMMYFUNCTION("""COMPUTED_VALUE"""),45315.66666666667)</f>
        <v>45315.66667</v>
      </c>
      <c r="B267" s="2">
        <f>IFERROR(__xludf.DUMMYFUNCTION("""COMPUTED_VALUE"""),75.29)</f>
        <v>75.29</v>
      </c>
      <c r="C267" s="2">
        <f>IFERROR(__xludf.DUMMYFUNCTION("""COMPUTED_VALUE"""),75.62)</f>
        <v>75.62</v>
      </c>
      <c r="D267" s="2">
        <f>IFERROR(__xludf.DUMMYFUNCTION("""COMPUTED_VALUE"""),74.22)</f>
        <v>74.22</v>
      </c>
      <c r="E267" s="2">
        <f>IFERROR(__xludf.DUMMYFUNCTION("""COMPUTED_VALUE"""),75.2)</f>
        <v>75.2</v>
      </c>
      <c r="F267" s="2">
        <f>IFERROR(__xludf.DUMMYFUNCTION("""COMPUTED_VALUE"""),3.6503319E7)</f>
        <v>36503319</v>
      </c>
    </row>
    <row r="268">
      <c r="A268" s="3">
        <f>IFERROR(__xludf.DUMMYFUNCTION("""COMPUTED_VALUE"""),45316.66666666667)</f>
        <v>45316.66667</v>
      </c>
      <c r="B268" s="2">
        <f>IFERROR(__xludf.DUMMYFUNCTION("""COMPUTED_VALUE"""),75.19)</f>
        <v>75.19</v>
      </c>
      <c r="C268" s="2">
        <f>IFERROR(__xludf.DUMMYFUNCTION("""COMPUTED_VALUE"""),75.5)</f>
        <v>75.5</v>
      </c>
      <c r="D268" s="2">
        <f>IFERROR(__xludf.DUMMYFUNCTION("""COMPUTED_VALUE"""),73.56)</f>
        <v>73.56</v>
      </c>
      <c r="E268" s="2">
        <f>IFERROR(__xludf.DUMMYFUNCTION("""COMPUTED_VALUE"""),73.85)</f>
        <v>73.85</v>
      </c>
      <c r="F268" s="2">
        <f>IFERROR(__xludf.DUMMYFUNCTION("""COMPUTED_VALUE"""),2.3268568E7)</f>
        <v>23268568</v>
      </c>
    </row>
    <row r="269">
      <c r="A269" s="3">
        <f>IFERROR(__xludf.DUMMYFUNCTION("""COMPUTED_VALUE"""),45317.66666666667)</f>
        <v>45317.66667</v>
      </c>
      <c r="B269" s="2">
        <f>IFERROR(__xludf.DUMMYFUNCTION("""COMPUTED_VALUE"""),73.1)</f>
        <v>73.1</v>
      </c>
      <c r="C269" s="2">
        <f>IFERROR(__xludf.DUMMYFUNCTION("""COMPUTED_VALUE"""),74.72)</f>
        <v>74.72</v>
      </c>
      <c r="D269" s="2">
        <f>IFERROR(__xludf.DUMMYFUNCTION("""COMPUTED_VALUE"""),72.92)</f>
        <v>72.92</v>
      </c>
      <c r="E269" s="2">
        <f>IFERROR(__xludf.DUMMYFUNCTION("""COMPUTED_VALUE"""),74.01)</f>
        <v>74.01</v>
      </c>
      <c r="F269" s="2">
        <f>IFERROR(__xludf.DUMMYFUNCTION("""COMPUTED_VALUE"""),1.9418234E7)</f>
        <v>19418234</v>
      </c>
    </row>
    <row r="270">
      <c r="A270" s="3">
        <f>IFERROR(__xludf.DUMMYFUNCTION("""COMPUTED_VALUE"""),45320.66666666667)</f>
        <v>45320.66667</v>
      </c>
      <c r="B270" s="2">
        <f>IFERROR(__xludf.DUMMYFUNCTION("""COMPUTED_VALUE"""),74.67)</f>
        <v>74.67</v>
      </c>
      <c r="C270" s="2">
        <f>IFERROR(__xludf.DUMMYFUNCTION("""COMPUTED_VALUE"""),74.81)</f>
        <v>74.81</v>
      </c>
      <c r="D270" s="2">
        <f>IFERROR(__xludf.DUMMYFUNCTION("""COMPUTED_VALUE"""),72.83)</f>
        <v>72.83</v>
      </c>
      <c r="E270" s="2">
        <f>IFERROR(__xludf.DUMMYFUNCTION("""COMPUTED_VALUE"""),73.58)</f>
        <v>73.58</v>
      </c>
      <c r="F270" s="2">
        <f>IFERROR(__xludf.DUMMYFUNCTION("""COMPUTED_VALUE"""),1.7537439E7)</f>
        <v>17537439</v>
      </c>
    </row>
    <row r="271">
      <c r="A271" s="3">
        <f>IFERROR(__xludf.DUMMYFUNCTION("""COMPUTED_VALUE"""),45321.66666666667)</f>
        <v>45321.66667</v>
      </c>
      <c r="B271" s="2">
        <f>IFERROR(__xludf.DUMMYFUNCTION("""COMPUTED_VALUE"""),72.46)</f>
        <v>72.46</v>
      </c>
      <c r="C271" s="2">
        <f>IFERROR(__xludf.DUMMYFUNCTION("""COMPUTED_VALUE"""),73.07)</f>
        <v>73.07</v>
      </c>
      <c r="D271" s="2">
        <f>IFERROR(__xludf.DUMMYFUNCTION("""COMPUTED_VALUE"""),72.08)</f>
        <v>72.08</v>
      </c>
      <c r="E271" s="2">
        <f>IFERROR(__xludf.DUMMYFUNCTION("""COMPUTED_VALUE"""),72.32)</f>
        <v>72.32</v>
      </c>
      <c r="F271" s="2">
        <f>IFERROR(__xludf.DUMMYFUNCTION("""COMPUTED_VALUE"""),1.7089647E7)</f>
        <v>17089647</v>
      </c>
    </row>
    <row r="272">
      <c r="A272" s="3">
        <f>IFERROR(__xludf.DUMMYFUNCTION("""COMPUTED_VALUE"""),45322.66666666667)</f>
        <v>45322.66667</v>
      </c>
      <c r="B272" s="2">
        <f>IFERROR(__xludf.DUMMYFUNCTION("""COMPUTED_VALUE"""),71.5)</f>
        <v>71.5</v>
      </c>
      <c r="C272" s="2">
        <f>IFERROR(__xludf.DUMMYFUNCTION("""COMPUTED_VALUE"""),72.94)</f>
        <v>72.94</v>
      </c>
      <c r="D272" s="2">
        <f>IFERROR(__xludf.DUMMYFUNCTION("""COMPUTED_VALUE"""),71.5)</f>
        <v>71.5</v>
      </c>
      <c r="E272" s="2">
        <f>IFERROR(__xludf.DUMMYFUNCTION("""COMPUTED_VALUE"""),72.17)</f>
        <v>72.17</v>
      </c>
      <c r="F272" s="2">
        <f>IFERROR(__xludf.DUMMYFUNCTION("""COMPUTED_VALUE"""),1.5743608E7)</f>
        <v>15743608</v>
      </c>
    </row>
    <row r="273">
      <c r="A273" s="3">
        <f>IFERROR(__xludf.DUMMYFUNCTION("""COMPUTED_VALUE"""),45323.66666666667)</f>
        <v>45323.66667</v>
      </c>
      <c r="B273" s="2">
        <f>IFERROR(__xludf.DUMMYFUNCTION("""COMPUTED_VALUE"""),73.16)</f>
        <v>73.16</v>
      </c>
      <c r="C273" s="2">
        <f>IFERROR(__xludf.DUMMYFUNCTION("""COMPUTED_VALUE"""),73.47)</f>
        <v>73.47</v>
      </c>
      <c r="D273" s="2">
        <f>IFERROR(__xludf.DUMMYFUNCTION("""COMPUTED_VALUE"""),72.12)</f>
        <v>72.12</v>
      </c>
      <c r="E273" s="2">
        <f>IFERROR(__xludf.DUMMYFUNCTION("""COMPUTED_VALUE"""),72.46)</f>
        <v>72.46</v>
      </c>
      <c r="F273" s="2">
        <f>IFERROR(__xludf.DUMMYFUNCTION("""COMPUTED_VALUE"""),1.4445829E7)</f>
        <v>14445829</v>
      </c>
    </row>
    <row r="274">
      <c r="A274" s="3">
        <f>IFERROR(__xludf.DUMMYFUNCTION("""COMPUTED_VALUE"""),45324.66666666667)</f>
        <v>45324.66667</v>
      </c>
      <c r="B274" s="2">
        <f>IFERROR(__xludf.DUMMYFUNCTION("""COMPUTED_VALUE"""),72.13)</f>
        <v>72.13</v>
      </c>
      <c r="C274" s="2">
        <f>IFERROR(__xludf.DUMMYFUNCTION("""COMPUTED_VALUE"""),72.23)</f>
        <v>72.23</v>
      </c>
      <c r="D274" s="2">
        <f>IFERROR(__xludf.DUMMYFUNCTION("""COMPUTED_VALUE"""),71.05)</f>
        <v>71.05</v>
      </c>
      <c r="E274" s="2">
        <f>IFERROR(__xludf.DUMMYFUNCTION("""COMPUTED_VALUE"""),71.85)</f>
        <v>71.85</v>
      </c>
      <c r="F274" s="2">
        <f>IFERROR(__xludf.DUMMYFUNCTION("""COMPUTED_VALUE"""),1.8824232E7)</f>
        <v>18824232</v>
      </c>
    </row>
    <row r="275">
      <c r="A275" s="3">
        <f>IFERROR(__xludf.DUMMYFUNCTION("""COMPUTED_VALUE"""),45327.66666666667)</f>
        <v>45327.66667</v>
      </c>
      <c r="B275" s="2">
        <f>IFERROR(__xludf.DUMMYFUNCTION("""COMPUTED_VALUE"""),72.17)</f>
        <v>72.17</v>
      </c>
      <c r="C275" s="2">
        <f>IFERROR(__xludf.DUMMYFUNCTION("""COMPUTED_VALUE"""),75.15)</f>
        <v>75.15</v>
      </c>
      <c r="D275" s="2">
        <f>IFERROR(__xludf.DUMMYFUNCTION("""COMPUTED_VALUE"""),71.86)</f>
        <v>71.86</v>
      </c>
      <c r="E275" s="2">
        <f>IFERROR(__xludf.DUMMYFUNCTION("""COMPUTED_VALUE"""),74.63)</f>
        <v>74.63</v>
      </c>
      <c r="F275" s="2">
        <f>IFERROR(__xludf.DUMMYFUNCTION("""COMPUTED_VALUE"""),2.7721028E7)</f>
        <v>27721028</v>
      </c>
    </row>
    <row r="276">
      <c r="A276" s="3">
        <f>IFERROR(__xludf.DUMMYFUNCTION("""COMPUTED_VALUE"""),45328.66666666667)</f>
        <v>45328.66667</v>
      </c>
      <c r="B276" s="2">
        <f>IFERROR(__xludf.DUMMYFUNCTION("""COMPUTED_VALUE"""),77.05)</f>
        <v>77.05</v>
      </c>
      <c r="C276" s="2">
        <f>IFERROR(__xludf.DUMMYFUNCTION("""COMPUTED_VALUE"""),78.34)</f>
        <v>78.34</v>
      </c>
      <c r="D276" s="2">
        <f>IFERROR(__xludf.DUMMYFUNCTION("""COMPUTED_VALUE"""),75.73)</f>
        <v>75.73</v>
      </c>
      <c r="E276" s="2">
        <f>IFERROR(__xludf.DUMMYFUNCTION("""COMPUTED_VALUE"""),78.23)</f>
        <v>78.23</v>
      </c>
      <c r="F276" s="2">
        <f>IFERROR(__xludf.DUMMYFUNCTION("""COMPUTED_VALUE"""),3.9361024E7)</f>
        <v>39361024</v>
      </c>
    </row>
    <row r="277">
      <c r="A277" s="3">
        <f>IFERROR(__xludf.DUMMYFUNCTION("""COMPUTED_VALUE"""),45329.66666666667)</f>
        <v>45329.66667</v>
      </c>
      <c r="B277" s="2">
        <f>IFERROR(__xludf.DUMMYFUNCTION("""COMPUTED_VALUE"""),74.56)</f>
        <v>74.56</v>
      </c>
      <c r="C277" s="2">
        <f>IFERROR(__xludf.DUMMYFUNCTION("""COMPUTED_VALUE"""),76.17)</f>
        <v>76.17</v>
      </c>
      <c r="D277" s="2">
        <f>IFERROR(__xludf.DUMMYFUNCTION("""COMPUTED_VALUE"""),73.15)</f>
        <v>73.15</v>
      </c>
      <c r="E277" s="2">
        <f>IFERROR(__xludf.DUMMYFUNCTION("""COMPUTED_VALUE"""),73.64)</f>
        <v>73.64</v>
      </c>
      <c r="F277" s="2">
        <f>IFERROR(__xludf.DUMMYFUNCTION("""COMPUTED_VALUE"""),5.3766279E7)</f>
        <v>53766279</v>
      </c>
    </row>
    <row r="278">
      <c r="A278" s="3">
        <f>IFERROR(__xludf.DUMMYFUNCTION("""COMPUTED_VALUE"""),45330.66666666667)</f>
        <v>45330.66667</v>
      </c>
      <c r="B278" s="2">
        <f>IFERROR(__xludf.DUMMYFUNCTION("""COMPUTED_VALUE"""),71.89)</f>
        <v>71.89</v>
      </c>
      <c r="C278" s="2">
        <f>IFERROR(__xludf.DUMMYFUNCTION("""COMPUTED_VALUE"""),73.2)</f>
        <v>73.2</v>
      </c>
      <c r="D278" s="2">
        <f>IFERROR(__xludf.DUMMYFUNCTION("""COMPUTED_VALUE"""),70.65)</f>
        <v>70.65</v>
      </c>
      <c r="E278" s="2">
        <f>IFERROR(__xludf.DUMMYFUNCTION("""COMPUTED_VALUE"""),70.78)</f>
        <v>70.78</v>
      </c>
      <c r="F278" s="2">
        <f>IFERROR(__xludf.DUMMYFUNCTION("""COMPUTED_VALUE"""),3.3070577E7)</f>
        <v>33070577</v>
      </c>
    </row>
    <row r="279">
      <c r="A279" s="3">
        <f>IFERROR(__xludf.DUMMYFUNCTION("""COMPUTED_VALUE"""),45331.66666666667)</f>
        <v>45331.66667</v>
      </c>
      <c r="B279" s="2">
        <f>IFERROR(__xludf.DUMMYFUNCTION("""COMPUTED_VALUE"""),70.8)</f>
        <v>70.8</v>
      </c>
      <c r="C279" s="2">
        <f>IFERROR(__xludf.DUMMYFUNCTION("""COMPUTED_VALUE"""),72.08)</f>
        <v>72.08</v>
      </c>
      <c r="D279" s="2">
        <f>IFERROR(__xludf.DUMMYFUNCTION("""COMPUTED_VALUE"""),70.0)</f>
        <v>70</v>
      </c>
      <c r="E279" s="2">
        <f>IFERROR(__xludf.DUMMYFUNCTION("""COMPUTED_VALUE"""),72.02)</f>
        <v>72.02</v>
      </c>
      <c r="F279" s="2">
        <f>IFERROR(__xludf.DUMMYFUNCTION("""COMPUTED_VALUE"""),1.8998382E7)</f>
        <v>18998382</v>
      </c>
    </row>
    <row r="280">
      <c r="A280" s="3">
        <f>IFERROR(__xludf.DUMMYFUNCTION("""COMPUTED_VALUE"""),45334.66666666667)</f>
        <v>45334.66667</v>
      </c>
      <c r="B280" s="2">
        <f>IFERROR(__xludf.DUMMYFUNCTION("""COMPUTED_VALUE"""),72.31)</f>
        <v>72.31</v>
      </c>
      <c r="C280" s="2">
        <f>IFERROR(__xludf.DUMMYFUNCTION("""COMPUTED_VALUE"""),74.13)</f>
        <v>74.13</v>
      </c>
      <c r="D280" s="2">
        <f>IFERROR(__xludf.DUMMYFUNCTION("""COMPUTED_VALUE"""),72.31)</f>
        <v>72.31</v>
      </c>
      <c r="E280" s="2">
        <f>IFERROR(__xludf.DUMMYFUNCTION("""COMPUTED_VALUE"""),73.14)</f>
        <v>73.14</v>
      </c>
      <c r="F280" s="2">
        <f>IFERROR(__xludf.DUMMYFUNCTION("""COMPUTED_VALUE"""),1.8151149E7)</f>
        <v>18151149</v>
      </c>
    </row>
    <row r="281">
      <c r="A281" s="3">
        <f>IFERROR(__xludf.DUMMYFUNCTION("""COMPUTED_VALUE"""),45335.66666666667)</f>
        <v>45335.66667</v>
      </c>
      <c r="B281" s="2">
        <f>IFERROR(__xludf.DUMMYFUNCTION("""COMPUTED_VALUE"""),71.96)</f>
        <v>71.96</v>
      </c>
      <c r="C281" s="2">
        <f>IFERROR(__xludf.DUMMYFUNCTION("""COMPUTED_VALUE"""),73.03)</f>
        <v>73.03</v>
      </c>
      <c r="D281" s="2">
        <f>IFERROR(__xludf.DUMMYFUNCTION("""COMPUTED_VALUE"""),71.42)</f>
        <v>71.42</v>
      </c>
      <c r="E281" s="2">
        <f>IFERROR(__xludf.DUMMYFUNCTION("""COMPUTED_VALUE"""),71.6)</f>
        <v>71.6</v>
      </c>
      <c r="F281" s="2">
        <f>IFERROR(__xludf.DUMMYFUNCTION("""COMPUTED_VALUE"""),1.3560582E7)</f>
        <v>13560582</v>
      </c>
    </row>
    <row r="282">
      <c r="A282" s="3">
        <f>IFERROR(__xludf.DUMMYFUNCTION("""COMPUTED_VALUE"""),45336.66666666667)</f>
        <v>45336.66667</v>
      </c>
      <c r="B282" s="2">
        <f>IFERROR(__xludf.DUMMYFUNCTION("""COMPUTED_VALUE"""),72.31)</f>
        <v>72.31</v>
      </c>
      <c r="C282" s="2">
        <f>IFERROR(__xludf.DUMMYFUNCTION("""COMPUTED_VALUE"""),73.41)</f>
        <v>73.41</v>
      </c>
      <c r="D282" s="2">
        <f>IFERROR(__xludf.DUMMYFUNCTION("""COMPUTED_VALUE"""),72.23)</f>
        <v>72.23</v>
      </c>
      <c r="E282" s="2">
        <f>IFERROR(__xludf.DUMMYFUNCTION("""COMPUTED_VALUE"""),73.39)</f>
        <v>73.39</v>
      </c>
      <c r="F282" s="2">
        <f>IFERROR(__xludf.DUMMYFUNCTION("""COMPUTED_VALUE"""),1.281747E7)</f>
        <v>12817470</v>
      </c>
    </row>
    <row r="283">
      <c r="A283" s="3">
        <f>IFERROR(__xludf.DUMMYFUNCTION("""COMPUTED_VALUE"""),45337.66666666667)</f>
        <v>45337.66667</v>
      </c>
      <c r="B283" s="2">
        <f>IFERROR(__xludf.DUMMYFUNCTION("""COMPUTED_VALUE"""),73.22)</f>
        <v>73.22</v>
      </c>
      <c r="C283" s="2">
        <f>IFERROR(__xludf.DUMMYFUNCTION("""COMPUTED_VALUE"""),74.14)</f>
        <v>74.14</v>
      </c>
      <c r="D283" s="2">
        <f>IFERROR(__xludf.DUMMYFUNCTION("""COMPUTED_VALUE"""),73.08)</f>
        <v>73.08</v>
      </c>
      <c r="E283" s="2">
        <f>IFERROR(__xludf.DUMMYFUNCTION("""COMPUTED_VALUE"""),73.82)</f>
        <v>73.82</v>
      </c>
      <c r="F283" s="2">
        <f>IFERROR(__xludf.DUMMYFUNCTION("""COMPUTED_VALUE"""),1.2078127E7)</f>
        <v>12078127</v>
      </c>
    </row>
    <row r="284">
      <c r="A284" s="3">
        <f>IFERROR(__xludf.DUMMYFUNCTION("""COMPUTED_VALUE"""),45338.66666666667)</f>
        <v>45338.66667</v>
      </c>
      <c r="B284" s="2">
        <f>IFERROR(__xludf.DUMMYFUNCTION("""COMPUTED_VALUE"""),74.86)</f>
        <v>74.86</v>
      </c>
      <c r="C284" s="2">
        <f>IFERROR(__xludf.DUMMYFUNCTION("""COMPUTED_VALUE"""),75.37)</f>
        <v>75.37</v>
      </c>
      <c r="D284" s="2">
        <f>IFERROR(__xludf.DUMMYFUNCTION("""COMPUTED_VALUE"""),73.9)</f>
        <v>73.9</v>
      </c>
      <c r="E284" s="2">
        <f>IFERROR(__xludf.DUMMYFUNCTION("""COMPUTED_VALUE"""),73.91)</f>
        <v>73.91</v>
      </c>
      <c r="F284" s="2">
        <f>IFERROR(__xludf.DUMMYFUNCTION("""COMPUTED_VALUE"""),1.6393336E7)</f>
        <v>16393336</v>
      </c>
    </row>
    <row r="285">
      <c r="A285" s="3">
        <f>IFERROR(__xludf.DUMMYFUNCTION("""COMPUTED_VALUE"""),45342.66666666667)</f>
        <v>45342.66667</v>
      </c>
      <c r="B285" s="2">
        <f>IFERROR(__xludf.DUMMYFUNCTION("""COMPUTED_VALUE"""),73.46)</f>
        <v>73.46</v>
      </c>
      <c r="C285" s="2">
        <f>IFERROR(__xludf.DUMMYFUNCTION("""COMPUTED_VALUE"""),73.67)</f>
        <v>73.67</v>
      </c>
      <c r="D285" s="2">
        <f>IFERROR(__xludf.DUMMYFUNCTION("""COMPUTED_VALUE"""),72.18)</f>
        <v>72.18</v>
      </c>
      <c r="E285" s="2">
        <f>IFERROR(__xludf.DUMMYFUNCTION("""COMPUTED_VALUE"""),73.14)</f>
        <v>73.14</v>
      </c>
      <c r="F285" s="2">
        <f>IFERROR(__xludf.DUMMYFUNCTION("""COMPUTED_VALUE"""),1.4353321E7)</f>
        <v>14353321</v>
      </c>
    </row>
    <row r="286">
      <c r="A286" s="3">
        <f>IFERROR(__xludf.DUMMYFUNCTION("""COMPUTED_VALUE"""),45343.66666666667)</f>
        <v>45343.66667</v>
      </c>
      <c r="B286" s="2">
        <f>IFERROR(__xludf.DUMMYFUNCTION("""COMPUTED_VALUE"""),74.48)</f>
        <v>74.48</v>
      </c>
      <c r="C286" s="2">
        <f>IFERROR(__xludf.DUMMYFUNCTION("""COMPUTED_VALUE"""),76.39)</f>
        <v>76.39</v>
      </c>
      <c r="D286" s="2">
        <f>IFERROR(__xludf.DUMMYFUNCTION("""COMPUTED_VALUE"""),74.07)</f>
        <v>74.07</v>
      </c>
      <c r="E286" s="2">
        <f>IFERROR(__xludf.DUMMYFUNCTION("""COMPUTED_VALUE"""),75.58)</f>
        <v>75.58</v>
      </c>
      <c r="F286" s="2">
        <f>IFERROR(__xludf.DUMMYFUNCTION("""COMPUTED_VALUE"""),2.35338E7)</f>
        <v>23533800</v>
      </c>
    </row>
    <row r="287">
      <c r="A287" s="3">
        <f>IFERROR(__xludf.DUMMYFUNCTION("""COMPUTED_VALUE"""),45344.66666666667)</f>
        <v>45344.66667</v>
      </c>
      <c r="B287" s="2">
        <f>IFERROR(__xludf.DUMMYFUNCTION("""COMPUTED_VALUE"""),75.1)</f>
        <v>75.1</v>
      </c>
      <c r="C287" s="2">
        <f>IFERROR(__xludf.DUMMYFUNCTION("""COMPUTED_VALUE"""),76.38)</f>
        <v>76.38</v>
      </c>
      <c r="D287" s="2">
        <f>IFERROR(__xludf.DUMMYFUNCTION("""COMPUTED_VALUE"""),75.0)</f>
        <v>75</v>
      </c>
      <c r="E287" s="2">
        <f>IFERROR(__xludf.DUMMYFUNCTION("""COMPUTED_VALUE"""),76.12)</f>
        <v>76.12</v>
      </c>
      <c r="F287" s="2">
        <f>IFERROR(__xludf.DUMMYFUNCTION("""COMPUTED_VALUE"""),1.4836613E7)</f>
        <v>14836613</v>
      </c>
    </row>
    <row r="288">
      <c r="A288" s="3">
        <f>IFERROR(__xludf.DUMMYFUNCTION("""COMPUTED_VALUE"""),45345.66666666667)</f>
        <v>45345.66667</v>
      </c>
      <c r="B288" s="2">
        <f>IFERROR(__xludf.DUMMYFUNCTION("""COMPUTED_VALUE"""),76.48)</f>
        <v>76.48</v>
      </c>
      <c r="C288" s="2">
        <f>IFERROR(__xludf.DUMMYFUNCTION("""COMPUTED_VALUE"""),76.94)</f>
        <v>76.94</v>
      </c>
      <c r="D288" s="2">
        <f>IFERROR(__xludf.DUMMYFUNCTION("""COMPUTED_VALUE"""),75.15)</f>
        <v>75.15</v>
      </c>
      <c r="E288" s="2">
        <f>IFERROR(__xludf.DUMMYFUNCTION("""COMPUTED_VALUE"""),75.96)</f>
        <v>75.96</v>
      </c>
      <c r="F288" s="2">
        <f>IFERROR(__xludf.DUMMYFUNCTION("""COMPUTED_VALUE"""),1.2301721E7)</f>
        <v>12301721</v>
      </c>
    </row>
    <row r="289">
      <c r="A289" s="3">
        <f>IFERROR(__xludf.DUMMYFUNCTION("""COMPUTED_VALUE"""),45348.66666666667)</f>
        <v>45348.66667</v>
      </c>
      <c r="B289" s="2">
        <f>IFERROR(__xludf.DUMMYFUNCTION("""COMPUTED_VALUE"""),75.62)</f>
        <v>75.62</v>
      </c>
      <c r="C289" s="2">
        <f>IFERROR(__xludf.DUMMYFUNCTION("""COMPUTED_VALUE"""),76.57)</f>
        <v>76.57</v>
      </c>
      <c r="D289" s="2">
        <f>IFERROR(__xludf.DUMMYFUNCTION("""COMPUTED_VALUE"""),75.34)</f>
        <v>75.34</v>
      </c>
      <c r="E289" s="2">
        <f>IFERROR(__xludf.DUMMYFUNCTION("""COMPUTED_VALUE"""),76.51)</f>
        <v>76.51</v>
      </c>
      <c r="F289" s="2">
        <f>IFERROR(__xludf.DUMMYFUNCTION("""COMPUTED_VALUE"""),1.3973149E7)</f>
        <v>13973149</v>
      </c>
    </row>
    <row r="290">
      <c r="A290" s="3">
        <f>IFERROR(__xludf.DUMMYFUNCTION("""COMPUTED_VALUE"""),45349.66666666667)</f>
        <v>45349.66667</v>
      </c>
      <c r="B290" s="2">
        <f>IFERROR(__xludf.DUMMYFUNCTION("""COMPUTED_VALUE"""),77.53)</f>
        <v>77.53</v>
      </c>
      <c r="C290" s="2">
        <f>IFERROR(__xludf.DUMMYFUNCTION("""COMPUTED_VALUE"""),78.05)</f>
        <v>78.05</v>
      </c>
      <c r="D290" s="2">
        <f>IFERROR(__xludf.DUMMYFUNCTION("""COMPUTED_VALUE"""),77.25)</f>
        <v>77.25</v>
      </c>
      <c r="E290" s="2">
        <f>IFERROR(__xludf.DUMMYFUNCTION("""COMPUTED_VALUE"""),77.68)</f>
        <v>77.68</v>
      </c>
      <c r="F290" s="2">
        <f>IFERROR(__xludf.DUMMYFUNCTION("""COMPUTED_VALUE"""),1.44902E7)</f>
        <v>14490200</v>
      </c>
    </row>
    <row r="291">
      <c r="A291" s="3">
        <f>IFERROR(__xludf.DUMMYFUNCTION("""COMPUTED_VALUE"""),45350.66666666667)</f>
        <v>45350.66667</v>
      </c>
      <c r="B291" s="2">
        <f>IFERROR(__xludf.DUMMYFUNCTION("""COMPUTED_VALUE"""),76.02)</f>
        <v>76.02</v>
      </c>
      <c r="C291" s="2">
        <f>IFERROR(__xludf.DUMMYFUNCTION("""COMPUTED_VALUE"""),76.18)</f>
        <v>76.18</v>
      </c>
      <c r="D291" s="2">
        <f>IFERROR(__xludf.DUMMYFUNCTION("""COMPUTED_VALUE"""),74.45)</f>
        <v>74.45</v>
      </c>
      <c r="E291" s="2">
        <f>IFERROR(__xludf.DUMMYFUNCTION("""COMPUTED_VALUE"""),74.59)</f>
        <v>74.59</v>
      </c>
      <c r="F291" s="2">
        <f>IFERROR(__xludf.DUMMYFUNCTION("""COMPUTED_VALUE"""),1.690534E7)</f>
        <v>16905340</v>
      </c>
    </row>
    <row r="292">
      <c r="A292" s="3">
        <f>IFERROR(__xludf.DUMMYFUNCTION("""COMPUTED_VALUE"""),45351.66666666667)</f>
        <v>45351.66667</v>
      </c>
      <c r="B292" s="2">
        <f>IFERROR(__xludf.DUMMYFUNCTION("""COMPUTED_VALUE"""),74.68)</f>
        <v>74.68</v>
      </c>
      <c r="C292" s="2">
        <f>IFERROR(__xludf.DUMMYFUNCTION("""COMPUTED_VALUE"""),75.04)</f>
        <v>75.04</v>
      </c>
      <c r="D292" s="2">
        <f>IFERROR(__xludf.DUMMYFUNCTION("""COMPUTED_VALUE"""),73.8)</f>
        <v>73.8</v>
      </c>
      <c r="E292" s="2">
        <f>IFERROR(__xludf.DUMMYFUNCTION("""COMPUTED_VALUE"""),74.03)</f>
        <v>74.03</v>
      </c>
      <c r="F292" s="2">
        <f>IFERROR(__xludf.DUMMYFUNCTION("""COMPUTED_VALUE"""),1.2549172E7)</f>
        <v>12549172</v>
      </c>
    </row>
    <row r="293">
      <c r="A293" s="3">
        <f>IFERROR(__xludf.DUMMYFUNCTION("""COMPUTED_VALUE"""),45352.66666666667)</f>
        <v>45352.66667</v>
      </c>
      <c r="B293" s="2">
        <f>IFERROR(__xludf.DUMMYFUNCTION("""COMPUTED_VALUE"""),74.48)</f>
        <v>74.48</v>
      </c>
      <c r="C293" s="2">
        <f>IFERROR(__xludf.DUMMYFUNCTION("""COMPUTED_VALUE"""),75.09)</f>
        <v>75.09</v>
      </c>
      <c r="D293" s="2">
        <f>IFERROR(__xludf.DUMMYFUNCTION("""COMPUTED_VALUE"""),74.37)</f>
        <v>74.37</v>
      </c>
      <c r="E293" s="2">
        <f>IFERROR(__xludf.DUMMYFUNCTION("""COMPUTED_VALUE"""),74.62)</f>
        <v>74.62</v>
      </c>
      <c r="F293" s="2">
        <f>IFERROR(__xludf.DUMMYFUNCTION("""COMPUTED_VALUE"""),1.1980147E7)</f>
        <v>11980147</v>
      </c>
    </row>
    <row r="294">
      <c r="A294" s="3">
        <f>IFERROR(__xludf.DUMMYFUNCTION("""COMPUTED_VALUE"""),45355.66666666667)</f>
        <v>45355.66667</v>
      </c>
      <c r="B294" s="2">
        <f>IFERROR(__xludf.DUMMYFUNCTION("""COMPUTED_VALUE"""),73.73)</f>
        <v>73.73</v>
      </c>
      <c r="C294" s="2">
        <f>IFERROR(__xludf.DUMMYFUNCTION("""COMPUTED_VALUE"""),73.73)</f>
        <v>73.73</v>
      </c>
      <c r="D294" s="2">
        <f>IFERROR(__xludf.DUMMYFUNCTION("""COMPUTED_VALUE"""),71.7)</f>
        <v>71.7</v>
      </c>
      <c r="E294" s="2">
        <f>IFERROR(__xludf.DUMMYFUNCTION("""COMPUTED_VALUE"""),72.0)</f>
        <v>72</v>
      </c>
      <c r="F294" s="2">
        <f>IFERROR(__xludf.DUMMYFUNCTION("""COMPUTED_VALUE"""),1.9550071E7)</f>
        <v>19550071</v>
      </c>
    </row>
    <row r="295">
      <c r="A295" s="3">
        <f>IFERROR(__xludf.DUMMYFUNCTION("""COMPUTED_VALUE"""),45356.66666666667)</f>
        <v>45356.66667</v>
      </c>
      <c r="B295" s="2">
        <f>IFERROR(__xludf.DUMMYFUNCTION("""COMPUTED_VALUE"""),71.25)</f>
        <v>71.25</v>
      </c>
      <c r="C295" s="2">
        <f>IFERROR(__xludf.DUMMYFUNCTION("""COMPUTED_VALUE"""),72.71)</f>
        <v>72.71</v>
      </c>
      <c r="D295" s="2">
        <f>IFERROR(__xludf.DUMMYFUNCTION("""COMPUTED_VALUE"""),71.04)</f>
        <v>71.04</v>
      </c>
      <c r="E295" s="2">
        <f>IFERROR(__xludf.DUMMYFUNCTION("""COMPUTED_VALUE"""),72.07)</f>
        <v>72.07</v>
      </c>
      <c r="F295" s="2">
        <f>IFERROR(__xludf.DUMMYFUNCTION("""COMPUTED_VALUE"""),1.5804478E7)</f>
        <v>15804478</v>
      </c>
    </row>
    <row r="296">
      <c r="A296" s="3">
        <f>IFERROR(__xludf.DUMMYFUNCTION("""COMPUTED_VALUE"""),45357.66666666667)</f>
        <v>45357.66667</v>
      </c>
      <c r="B296" s="2">
        <f>IFERROR(__xludf.DUMMYFUNCTION("""COMPUTED_VALUE"""),74.2)</f>
        <v>74.2</v>
      </c>
      <c r="C296" s="2">
        <f>IFERROR(__xludf.DUMMYFUNCTION("""COMPUTED_VALUE"""),74.72)</f>
        <v>74.72</v>
      </c>
      <c r="D296" s="2">
        <f>IFERROR(__xludf.DUMMYFUNCTION("""COMPUTED_VALUE"""),73.61)</f>
        <v>73.61</v>
      </c>
      <c r="E296" s="2">
        <f>IFERROR(__xludf.DUMMYFUNCTION("""COMPUTED_VALUE"""),73.71)</f>
        <v>73.71</v>
      </c>
      <c r="F296" s="2">
        <f>IFERROR(__xludf.DUMMYFUNCTION("""COMPUTED_VALUE"""),1.9785292E7)</f>
        <v>19785292</v>
      </c>
    </row>
    <row r="297">
      <c r="A297" s="3">
        <f>IFERROR(__xludf.DUMMYFUNCTION("""COMPUTED_VALUE"""),45358.66666666667)</f>
        <v>45358.66667</v>
      </c>
      <c r="B297" s="2">
        <f>IFERROR(__xludf.DUMMYFUNCTION("""COMPUTED_VALUE"""),72.6)</f>
        <v>72.6</v>
      </c>
      <c r="C297" s="2">
        <f>IFERROR(__xludf.DUMMYFUNCTION("""COMPUTED_VALUE"""),72.76)</f>
        <v>72.76</v>
      </c>
      <c r="D297" s="2">
        <f>IFERROR(__xludf.DUMMYFUNCTION("""COMPUTED_VALUE"""),71.76)</f>
        <v>71.76</v>
      </c>
      <c r="E297" s="2">
        <f>IFERROR(__xludf.DUMMYFUNCTION("""COMPUTED_VALUE"""),72.54)</f>
        <v>72.54</v>
      </c>
      <c r="F297" s="2">
        <f>IFERROR(__xludf.DUMMYFUNCTION("""COMPUTED_VALUE"""),1.2374675E7)</f>
        <v>12374675</v>
      </c>
    </row>
    <row r="298">
      <c r="A298" s="3">
        <f>IFERROR(__xludf.DUMMYFUNCTION("""COMPUTED_VALUE"""),45359.66666666667)</f>
        <v>45359.66667</v>
      </c>
      <c r="B298" s="2">
        <f>IFERROR(__xludf.DUMMYFUNCTION("""COMPUTED_VALUE"""),72.81)</f>
        <v>72.81</v>
      </c>
      <c r="C298" s="2">
        <f>IFERROR(__xludf.DUMMYFUNCTION("""COMPUTED_VALUE"""),73.76)</f>
        <v>73.76</v>
      </c>
      <c r="D298" s="2">
        <f>IFERROR(__xludf.DUMMYFUNCTION("""COMPUTED_VALUE"""),72.76)</f>
        <v>72.76</v>
      </c>
      <c r="E298" s="2">
        <f>IFERROR(__xludf.DUMMYFUNCTION("""COMPUTED_VALUE"""),73.55)</f>
        <v>73.55</v>
      </c>
      <c r="F298" s="2">
        <f>IFERROR(__xludf.DUMMYFUNCTION("""COMPUTED_VALUE"""),1.6430409E7)</f>
        <v>16430409</v>
      </c>
    </row>
    <row r="299">
      <c r="A299" s="3">
        <f>IFERROR(__xludf.DUMMYFUNCTION("""COMPUTED_VALUE"""),45362.66666666667)</f>
        <v>45362.66667</v>
      </c>
      <c r="B299" s="2">
        <f>IFERROR(__xludf.DUMMYFUNCTION("""COMPUTED_VALUE"""),74.63)</f>
        <v>74.63</v>
      </c>
      <c r="C299" s="2">
        <f>IFERROR(__xludf.DUMMYFUNCTION("""COMPUTED_VALUE"""),76.06)</f>
        <v>76.06</v>
      </c>
      <c r="D299" s="2">
        <f>IFERROR(__xludf.DUMMYFUNCTION("""COMPUTED_VALUE"""),74.55)</f>
        <v>74.55</v>
      </c>
      <c r="E299" s="2">
        <f>IFERROR(__xludf.DUMMYFUNCTION("""COMPUTED_VALUE"""),74.86)</f>
        <v>74.86</v>
      </c>
      <c r="F299" s="2">
        <f>IFERROR(__xludf.DUMMYFUNCTION("""COMPUTED_VALUE"""),1.3510363E7)</f>
        <v>13510363</v>
      </c>
    </row>
    <row r="300">
      <c r="A300" s="3">
        <f>IFERROR(__xludf.DUMMYFUNCTION("""COMPUTED_VALUE"""),45363.66666666667)</f>
        <v>45363.66667</v>
      </c>
      <c r="B300" s="2">
        <f>IFERROR(__xludf.DUMMYFUNCTION("""COMPUTED_VALUE"""),75.87)</f>
        <v>75.87</v>
      </c>
      <c r="C300" s="2">
        <f>IFERROR(__xludf.DUMMYFUNCTION("""COMPUTED_VALUE"""),76.48)</f>
        <v>76.48</v>
      </c>
      <c r="D300" s="2">
        <f>IFERROR(__xludf.DUMMYFUNCTION("""COMPUTED_VALUE"""),75.22)</f>
        <v>75.22</v>
      </c>
      <c r="E300" s="2">
        <f>IFERROR(__xludf.DUMMYFUNCTION("""COMPUTED_VALUE"""),76.06)</f>
        <v>76.06</v>
      </c>
      <c r="F300" s="2">
        <f>IFERROR(__xludf.DUMMYFUNCTION("""COMPUTED_VALUE"""),1.3314717E7)</f>
        <v>13314717</v>
      </c>
    </row>
    <row r="301">
      <c r="A301" s="3">
        <f>IFERROR(__xludf.DUMMYFUNCTION("""COMPUTED_VALUE"""),45364.66666666667)</f>
        <v>45364.66667</v>
      </c>
      <c r="B301" s="2">
        <f>IFERROR(__xludf.DUMMYFUNCTION("""COMPUTED_VALUE"""),75.94)</f>
        <v>75.94</v>
      </c>
      <c r="C301" s="2">
        <f>IFERROR(__xludf.DUMMYFUNCTION("""COMPUTED_VALUE"""),77.45)</f>
        <v>77.45</v>
      </c>
      <c r="D301" s="2">
        <f>IFERROR(__xludf.DUMMYFUNCTION("""COMPUTED_VALUE"""),75.94)</f>
        <v>75.94</v>
      </c>
      <c r="E301" s="2">
        <f>IFERROR(__xludf.DUMMYFUNCTION("""COMPUTED_VALUE"""),76.39)</f>
        <v>76.39</v>
      </c>
      <c r="F301" s="2">
        <f>IFERROR(__xludf.DUMMYFUNCTION("""COMPUTED_VALUE"""),1.5319792E7)</f>
        <v>15319792</v>
      </c>
    </row>
    <row r="302">
      <c r="A302" s="3">
        <f>IFERROR(__xludf.DUMMYFUNCTION("""COMPUTED_VALUE"""),45365.66666666667)</f>
        <v>45365.66667</v>
      </c>
      <c r="B302" s="2">
        <f>IFERROR(__xludf.DUMMYFUNCTION("""COMPUTED_VALUE"""),75.24)</f>
        <v>75.24</v>
      </c>
      <c r="C302" s="2">
        <f>IFERROR(__xludf.DUMMYFUNCTION("""COMPUTED_VALUE"""),75.39)</f>
        <v>75.39</v>
      </c>
      <c r="D302" s="2">
        <f>IFERROR(__xludf.DUMMYFUNCTION("""COMPUTED_VALUE"""),73.23)</f>
        <v>73.23</v>
      </c>
      <c r="E302" s="2">
        <f>IFERROR(__xludf.DUMMYFUNCTION("""COMPUTED_VALUE"""),73.4)</f>
        <v>73.4</v>
      </c>
      <c r="F302" s="2">
        <f>IFERROR(__xludf.DUMMYFUNCTION("""COMPUTED_VALUE"""),1.892348E7)</f>
        <v>18923480</v>
      </c>
    </row>
    <row r="303">
      <c r="A303" s="3">
        <f>IFERROR(__xludf.DUMMYFUNCTION("""COMPUTED_VALUE"""),45366.66666666667)</f>
        <v>45366.66667</v>
      </c>
      <c r="B303" s="2">
        <f>IFERROR(__xludf.DUMMYFUNCTION("""COMPUTED_VALUE"""),73.58)</f>
        <v>73.58</v>
      </c>
      <c r="C303" s="2">
        <f>IFERROR(__xludf.DUMMYFUNCTION("""COMPUTED_VALUE"""),74.13)</f>
        <v>74.13</v>
      </c>
      <c r="D303" s="2">
        <f>IFERROR(__xludf.DUMMYFUNCTION("""COMPUTED_VALUE"""),73.39)</f>
        <v>73.39</v>
      </c>
      <c r="E303" s="2">
        <f>IFERROR(__xludf.DUMMYFUNCTION("""COMPUTED_VALUE"""),73.42)</f>
        <v>73.42</v>
      </c>
      <c r="F303" s="2">
        <f>IFERROR(__xludf.DUMMYFUNCTION("""COMPUTED_VALUE"""),1.0233671E7)</f>
        <v>10233671</v>
      </c>
    </row>
    <row r="304">
      <c r="A304" s="3">
        <f>IFERROR(__xludf.DUMMYFUNCTION("""COMPUTED_VALUE"""),45369.66666666667)</f>
        <v>45369.66667</v>
      </c>
      <c r="B304" s="2">
        <f>IFERROR(__xludf.DUMMYFUNCTION("""COMPUTED_VALUE"""),73.42)</f>
        <v>73.42</v>
      </c>
      <c r="C304" s="2">
        <f>IFERROR(__xludf.DUMMYFUNCTION("""COMPUTED_VALUE"""),74.02)</f>
        <v>74.02</v>
      </c>
      <c r="D304" s="2">
        <f>IFERROR(__xludf.DUMMYFUNCTION("""COMPUTED_VALUE"""),73.33)</f>
        <v>73.33</v>
      </c>
      <c r="E304" s="2">
        <f>IFERROR(__xludf.DUMMYFUNCTION("""COMPUTED_VALUE"""),73.52)</f>
        <v>73.52</v>
      </c>
      <c r="F304" s="2">
        <f>IFERROR(__xludf.DUMMYFUNCTION("""COMPUTED_VALUE"""),8542538.0)</f>
        <v>8542538</v>
      </c>
    </row>
    <row r="305">
      <c r="A305" s="3">
        <f>IFERROR(__xludf.DUMMYFUNCTION("""COMPUTED_VALUE"""),45370.66666666667)</f>
        <v>45370.66667</v>
      </c>
      <c r="B305" s="2">
        <f>IFERROR(__xludf.DUMMYFUNCTION("""COMPUTED_VALUE"""),73.08)</f>
        <v>73.08</v>
      </c>
      <c r="C305" s="2">
        <f>IFERROR(__xludf.DUMMYFUNCTION("""COMPUTED_VALUE"""),73.74)</f>
        <v>73.74</v>
      </c>
      <c r="D305" s="2">
        <f>IFERROR(__xludf.DUMMYFUNCTION("""COMPUTED_VALUE"""),72.85)</f>
        <v>72.85</v>
      </c>
      <c r="E305" s="2">
        <f>IFERROR(__xludf.DUMMYFUNCTION("""COMPUTED_VALUE"""),73.42)</f>
        <v>73.42</v>
      </c>
      <c r="F305" s="2">
        <f>IFERROR(__xludf.DUMMYFUNCTION("""COMPUTED_VALUE"""),8164247.0)</f>
        <v>8164247</v>
      </c>
    </row>
    <row r="306">
      <c r="A306" s="3">
        <f>IFERROR(__xludf.DUMMYFUNCTION("""COMPUTED_VALUE"""),45371.66666666667)</f>
        <v>45371.66667</v>
      </c>
      <c r="B306" s="2">
        <f>IFERROR(__xludf.DUMMYFUNCTION("""COMPUTED_VALUE"""),73.55)</f>
        <v>73.55</v>
      </c>
      <c r="C306" s="2">
        <f>IFERROR(__xludf.DUMMYFUNCTION("""COMPUTED_VALUE"""),74.33)</f>
        <v>74.33</v>
      </c>
      <c r="D306" s="2">
        <f>IFERROR(__xludf.DUMMYFUNCTION("""COMPUTED_VALUE"""),73.3)</f>
        <v>73.3</v>
      </c>
      <c r="E306" s="2">
        <f>IFERROR(__xludf.DUMMYFUNCTION("""COMPUTED_VALUE"""),74.18)</f>
        <v>74.18</v>
      </c>
      <c r="F306" s="2">
        <f>IFERROR(__xludf.DUMMYFUNCTION("""COMPUTED_VALUE"""),1.1123241E7)</f>
        <v>11123241</v>
      </c>
    </row>
    <row r="307">
      <c r="A307" s="3">
        <f>IFERROR(__xludf.DUMMYFUNCTION("""COMPUTED_VALUE"""),45372.66666666667)</f>
        <v>45372.66667</v>
      </c>
      <c r="B307" s="2">
        <f>IFERROR(__xludf.DUMMYFUNCTION("""COMPUTED_VALUE"""),74.3)</f>
        <v>74.3</v>
      </c>
      <c r="C307" s="2">
        <f>IFERROR(__xludf.DUMMYFUNCTION("""COMPUTED_VALUE"""),74.74)</f>
        <v>74.74</v>
      </c>
      <c r="D307" s="2">
        <f>IFERROR(__xludf.DUMMYFUNCTION("""COMPUTED_VALUE"""),73.77)</f>
        <v>73.77</v>
      </c>
      <c r="E307" s="2">
        <f>IFERROR(__xludf.DUMMYFUNCTION("""COMPUTED_VALUE"""),73.83)</f>
        <v>73.83</v>
      </c>
      <c r="F307" s="2">
        <f>IFERROR(__xludf.DUMMYFUNCTION("""COMPUTED_VALUE"""),1.1860655E7)</f>
        <v>11860655</v>
      </c>
    </row>
    <row r="308">
      <c r="A308" s="3">
        <f>IFERROR(__xludf.DUMMYFUNCTION("""COMPUTED_VALUE"""),45373.66666666667)</f>
        <v>45373.66667</v>
      </c>
      <c r="B308" s="2">
        <f>IFERROR(__xludf.DUMMYFUNCTION("""COMPUTED_VALUE"""),72.48)</f>
        <v>72.48</v>
      </c>
      <c r="C308" s="2">
        <f>IFERROR(__xludf.DUMMYFUNCTION("""COMPUTED_VALUE"""),72.62)</f>
        <v>72.62</v>
      </c>
      <c r="D308" s="2">
        <f>IFERROR(__xludf.DUMMYFUNCTION("""COMPUTED_VALUE"""),72.04)</f>
        <v>72.04</v>
      </c>
      <c r="E308" s="2">
        <f>IFERROR(__xludf.DUMMYFUNCTION("""COMPUTED_VALUE"""),72.13)</f>
        <v>72.13</v>
      </c>
      <c r="F308" s="2">
        <f>IFERROR(__xludf.DUMMYFUNCTION("""COMPUTED_VALUE"""),1.2771525E7)</f>
        <v>12771525</v>
      </c>
    </row>
    <row r="309">
      <c r="A309" s="3">
        <f>IFERROR(__xludf.DUMMYFUNCTION("""COMPUTED_VALUE"""),45376.66666666667)</f>
        <v>45376.66667</v>
      </c>
      <c r="B309" s="2">
        <f>IFERROR(__xludf.DUMMYFUNCTION("""COMPUTED_VALUE"""),71.94)</f>
        <v>71.94</v>
      </c>
      <c r="C309" s="2">
        <f>IFERROR(__xludf.DUMMYFUNCTION("""COMPUTED_VALUE"""),72.49)</f>
        <v>72.49</v>
      </c>
      <c r="D309" s="2">
        <f>IFERROR(__xludf.DUMMYFUNCTION("""COMPUTED_VALUE"""),71.36)</f>
        <v>71.36</v>
      </c>
      <c r="E309" s="2">
        <f>IFERROR(__xludf.DUMMYFUNCTION("""COMPUTED_VALUE"""),71.46)</f>
        <v>71.46</v>
      </c>
      <c r="F309" s="2">
        <f>IFERROR(__xludf.DUMMYFUNCTION("""COMPUTED_VALUE"""),1.2422139E7)</f>
        <v>12422139</v>
      </c>
    </row>
    <row r="310">
      <c r="A310" s="3">
        <f>IFERROR(__xludf.DUMMYFUNCTION("""COMPUTED_VALUE"""),45377.66666666667)</f>
        <v>45377.66667</v>
      </c>
      <c r="B310" s="2">
        <f>IFERROR(__xludf.DUMMYFUNCTION("""COMPUTED_VALUE"""),71.84)</f>
        <v>71.84</v>
      </c>
      <c r="C310" s="2">
        <f>IFERROR(__xludf.DUMMYFUNCTION("""COMPUTED_VALUE"""),71.87)</f>
        <v>71.87</v>
      </c>
      <c r="D310" s="2">
        <f>IFERROR(__xludf.DUMMYFUNCTION("""COMPUTED_VALUE"""),71.09)</f>
        <v>71.09</v>
      </c>
      <c r="E310" s="2">
        <f>IFERROR(__xludf.DUMMYFUNCTION("""COMPUTED_VALUE"""),71.48)</f>
        <v>71.48</v>
      </c>
      <c r="F310" s="2">
        <f>IFERROR(__xludf.DUMMYFUNCTION("""COMPUTED_VALUE"""),1.0881917E7)</f>
        <v>10881917</v>
      </c>
    </row>
    <row r="311">
      <c r="A311" s="3">
        <f>IFERROR(__xludf.DUMMYFUNCTION("""COMPUTED_VALUE"""),45378.66666666667)</f>
        <v>45378.66667</v>
      </c>
      <c r="B311" s="2">
        <f>IFERROR(__xludf.DUMMYFUNCTION("""COMPUTED_VALUE"""),70.89)</f>
        <v>70.89</v>
      </c>
      <c r="C311" s="2">
        <f>IFERROR(__xludf.DUMMYFUNCTION("""COMPUTED_VALUE"""),71.69)</f>
        <v>71.69</v>
      </c>
      <c r="D311" s="2">
        <f>IFERROR(__xludf.DUMMYFUNCTION("""COMPUTED_VALUE"""),70.58)</f>
        <v>70.58</v>
      </c>
      <c r="E311" s="2">
        <f>IFERROR(__xludf.DUMMYFUNCTION("""COMPUTED_VALUE"""),71.59)</f>
        <v>71.59</v>
      </c>
      <c r="F311" s="2">
        <f>IFERROR(__xludf.DUMMYFUNCTION("""COMPUTED_VALUE"""),1.3281277E7)</f>
        <v>13281277</v>
      </c>
    </row>
    <row r="312">
      <c r="A312" s="3">
        <f>IFERROR(__xludf.DUMMYFUNCTION("""COMPUTED_VALUE"""),45379.66666666667)</f>
        <v>45379.66667</v>
      </c>
      <c r="B312" s="2">
        <f>IFERROR(__xludf.DUMMYFUNCTION("""COMPUTED_VALUE"""),72.08)</f>
        <v>72.08</v>
      </c>
      <c r="C312" s="2">
        <f>IFERROR(__xludf.DUMMYFUNCTION("""COMPUTED_VALUE"""),72.59)</f>
        <v>72.59</v>
      </c>
      <c r="D312" s="2">
        <f>IFERROR(__xludf.DUMMYFUNCTION("""COMPUTED_VALUE"""),72.06)</f>
        <v>72.06</v>
      </c>
      <c r="E312" s="2">
        <f>IFERROR(__xludf.DUMMYFUNCTION("""COMPUTED_VALUE"""),72.36)</f>
        <v>72.36</v>
      </c>
      <c r="F312" s="2">
        <f>IFERROR(__xludf.DUMMYFUNCTION("""COMPUTED_VALUE"""),1.4073414E7)</f>
        <v>14073414</v>
      </c>
    </row>
    <row r="313">
      <c r="A313" s="3">
        <f>IFERROR(__xludf.DUMMYFUNCTION("""COMPUTED_VALUE"""),45383.66666666667)</f>
        <v>45383.66667</v>
      </c>
      <c r="B313" s="2">
        <f>IFERROR(__xludf.DUMMYFUNCTION("""COMPUTED_VALUE"""),73.24)</f>
        <v>73.24</v>
      </c>
      <c r="C313" s="2">
        <f>IFERROR(__xludf.DUMMYFUNCTION("""COMPUTED_VALUE"""),73.58)</f>
        <v>73.58</v>
      </c>
      <c r="D313" s="2">
        <f>IFERROR(__xludf.DUMMYFUNCTION("""COMPUTED_VALUE"""),72.81)</f>
        <v>72.81</v>
      </c>
      <c r="E313" s="2">
        <f>IFERROR(__xludf.DUMMYFUNCTION("""COMPUTED_VALUE"""),73.37)</f>
        <v>73.37</v>
      </c>
      <c r="F313" s="2">
        <f>IFERROR(__xludf.DUMMYFUNCTION("""COMPUTED_VALUE"""),1.4311746E7)</f>
        <v>14311746</v>
      </c>
    </row>
    <row r="314">
      <c r="A314" s="3">
        <f>IFERROR(__xludf.DUMMYFUNCTION("""COMPUTED_VALUE"""),45384.66666666667)</f>
        <v>45384.66667</v>
      </c>
      <c r="B314" s="2">
        <f>IFERROR(__xludf.DUMMYFUNCTION("""COMPUTED_VALUE"""),72.57)</f>
        <v>72.57</v>
      </c>
      <c r="C314" s="2">
        <f>IFERROR(__xludf.DUMMYFUNCTION("""COMPUTED_VALUE"""),73.14)</f>
        <v>73.14</v>
      </c>
      <c r="D314" s="2">
        <f>IFERROR(__xludf.DUMMYFUNCTION("""COMPUTED_VALUE"""),72.51)</f>
        <v>72.51</v>
      </c>
      <c r="E314" s="2">
        <f>IFERROR(__xludf.DUMMYFUNCTION("""COMPUTED_VALUE"""),72.88)</f>
        <v>72.88</v>
      </c>
      <c r="F314" s="2">
        <f>IFERROR(__xludf.DUMMYFUNCTION("""COMPUTED_VALUE"""),1.7290351E7)</f>
        <v>17290351</v>
      </c>
    </row>
    <row r="315">
      <c r="A315" s="3">
        <f>IFERROR(__xludf.DUMMYFUNCTION("""COMPUTED_VALUE"""),45385.66666666667)</f>
        <v>45385.66667</v>
      </c>
      <c r="B315" s="2">
        <f>IFERROR(__xludf.DUMMYFUNCTION("""COMPUTED_VALUE"""),72.42)</f>
        <v>72.42</v>
      </c>
      <c r="C315" s="2">
        <f>IFERROR(__xludf.DUMMYFUNCTION("""COMPUTED_VALUE"""),72.87)</f>
        <v>72.87</v>
      </c>
      <c r="D315" s="2">
        <f>IFERROR(__xludf.DUMMYFUNCTION("""COMPUTED_VALUE"""),72.11)</f>
        <v>72.11</v>
      </c>
      <c r="E315" s="2">
        <f>IFERROR(__xludf.DUMMYFUNCTION("""COMPUTED_VALUE"""),72.44)</f>
        <v>72.44</v>
      </c>
      <c r="F315" s="2">
        <f>IFERROR(__xludf.DUMMYFUNCTION("""COMPUTED_VALUE"""),1.1777913E7)</f>
        <v>11777913</v>
      </c>
    </row>
    <row r="316">
      <c r="A316" s="3">
        <f>IFERROR(__xludf.DUMMYFUNCTION("""COMPUTED_VALUE"""),45386.66666666667)</f>
        <v>45386.66667</v>
      </c>
      <c r="B316" s="2">
        <f>IFERROR(__xludf.DUMMYFUNCTION("""COMPUTED_VALUE"""),72.98)</f>
        <v>72.98</v>
      </c>
      <c r="C316" s="2">
        <f>IFERROR(__xludf.DUMMYFUNCTION("""COMPUTED_VALUE"""),73.23)</f>
        <v>73.23</v>
      </c>
      <c r="D316" s="2">
        <f>IFERROR(__xludf.DUMMYFUNCTION("""COMPUTED_VALUE"""),71.9)</f>
        <v>71.9</v>
      </c>
      <c r="E316" s="2">
        <f>IFERROR(__xludf.DUMMYFUNCTION("""COMPUTED_VALUE"""),71.95)</f>
        <v>71.95</v>
      </c>
      <c r="F316" s="2">
        <f>IFERROR(__xludf.DUMMYFUNCTION("""COMPUTED_VALUE"""),1.1087058E7)</f>
        <v>11087058</v>
      </c>
    </row>
    <row r="317">
      <c r="A317" s="3">
        <f>IFERROR(__xludf.DUMMYFUNCTION("""COMPUTED_VALUE"""),45387.66666666667)</f>
        <v>45387.66667</v>
      </c>
      <c r="B317" s="2">
        <f>IFERROR(__xludf.DUMMYFUNCTION("""COMPUTED_VALUE"""),71.68)</f>
        <v>71.68</v>
      </c>
      <c r="C317" s="2">
        <f>IFERROR(__xludf.DUMMYFUNCTION("""COMPUTED_VALUE"""),72.03)</f>
        <v>72.03</v>
      </c>
      <c r="D317" s="2">
        <f>IFERROR(__xludf.DUMMYFUNCTION("""COMPUTED_VALUE"""),71.41)</f>
        <v>71.41</v>
      </c>
      <c r="E317" s="2">
        <f>IFERROR(__xludf.DUMMYFUNCTION("""COMPUTED_VALUE"""),71.66)</f>
        <v>71.66</v>
      </c>
      <c r="F317" s="2">
        <f>IFERROR(__xludf.DUMMYFUNCTION("""COMPUTED_VALUE"""),1.2260274E7)</f>
        <v>12260274</v>
      </c>
    </row>
    <row r="318">
      <c r="A318" s="3">
        <f>IFERROR(__xludf.DUMMYFUNCTION("""COMPUTED_VALUE"""),45390.66666666667)</f>
        <v>45390.66667</v>
      </c>
      <c r="B318" s="2">
        <f>IFERROR(__xludf.DUMMYFUNCTION("""COMPUTED_VALUE"""),71.96)</f>
        <v>71.96</v>
      </c>
      <c r="C318" s="2">
        <f>IFERROR(__xludf.DUMMYFUNCTION("""COMPUTED_VALUE"""),72.39)</f>
        <v>72.39</v>
      </c>
      <c r="D318" s="2">
        <f>IFERROR(__xludf.DUMMYFUNCTION("""COMPUTED_VALUE"""),71.56)</f>
        <v>71.56</v>
      </c>
      <c r="E318" s="2">
        <f>IFERROR(__xludf.DUMMYFUNCTION("""COMPUTED_VALUE"""),71.71)</f>
        <v>71.71</v>
      </c>
      <c r="F318" s="2">
        <f>IFERROR(__xludf.DUMMYFUNCTION("""COMPUTED_VALUE"""),1.0560049E7)</f>
        <v>10560049</v>
      </c>
    </row>
    <row r="319">
      <c r="A319" s="3">
        <f>IFERROR(__xludf.DUMMYFUNCTION("""COMPUTED_VALUE"""),45391.66666666667)</f>
        <v>45391.66667</v>
      </c>
      <c r="B319" s="2">
        <f>IFERROR(__xludf.DUMMYFUNCTION("""COMPUTED_VALUE"""),72.37)</f>
        <v>72.37</v>
      </c>
      <c r="C319" s="2">
        <f>IFERROR(__xludf.DUMMYFUNCTION("""COMPUTED_VALUE"""),73.24)</f>
        <v>73.24</v>
      </c>
      <c r="D319" s="2">
        <f>IFERROR(__xludf.DUMMYFUNCTION("""COMPUTED_VALUE"""),72.31)</f>
        <v>72.31</v>
      </c>
      <c r="E319" s="2">
        <f>IFERROR(__xludf.DUMMYFUNCTION("""COMPUTED_VALUE"""),72.99)</f>
        <v>72.99</v>
      </c>
      <c r="F319" s="2">
        <f>IFERROR(__xludf.DUMMYFUNCTION("""COMPUTED_VALUE"""),1.4075949E7)</f>
        <v>14075949</v>
      </c>
    </row>
    <row r="320">
      <c r="A320" s="3">
        <f>IFERROR(__xludf.DUMMYFUNCTION("""COMPUTED_VALUE"""),45392.66666666667)</f>
        <v>45392.66667</v>
      </c>
      <c r="B320" s="2">
        <f>IFERROR(__xludf.DUMMYFUNCTION("""COMPUTED_VALUE"""),74.44)</f>
        <v>74.44</v>
      </c>
      <c r="C320" s="2">
        <f>IFERROR(__xludf.DUMMYFUNCTION("""COMPUTED_VALUE"""),75.17)</f>
        <v>75.17</v>
      </c>
      <c r="D320" s="2">
        <f>IFERROR(__xludf.DUMMYFUNCTION("""COMPUTED_VALUE"""),73.74)</f>
        <v>73.74</v>
      </c>
      <c r="E320" s="2">
        <f>IFERROR(__xludf.DUMMYFUNCTION("""COMPUTED_VALUE"""),74.59)</f>
        <v>74.59</v>
      </c>
      <c r="F320" s="2">
        <f>IFERROR(__xludf.DUMMYFUNCTION("""COMPUTED_VALUE"""),2.0572164E7)</f>
        <v>20572164</v>
      </c>
    </row>
    <row r="321">
      <c r="A321" s="3">
        <f>IFERROR(__xludf.DUMMYFUNCTION("""COMPUTED_VALUE"""),45393.66666666667)</f>
        <v>45393.66667</v>
      </c>
      <c r="B321" s="2">
        <f>IFERROR(__xludf.DUMMYFUNCTION("""COMPUTED_VALUE"""),75.22)</f>
        <v>75.22</v>
      </c>
      <c r="C321" s="2">
        <f>IFERROR(__xludf.DUMMYFUNCTION("""COMPUTED_VALUE"""),75.43)</f>
        <v>75.43</v>
      </c>
      <c r="D321" s="2">
        <f>IFERROR(__xludf.DUMMYFUNCTION("""COMPUTED_VALUE"""),74.37)</f>
        <v>74.37</v>
      </c>
      <c r="E321" s="2">
        <f>IFERROR(__xludf.DUMMYFUNCTION("""COMPUTED_VALUE"""),74.85)</f>
        <v>74.85</v>
      </c>
      <c r="F321" s="2">
        <f>IFERROR(__xludf.DUMMYFUNCTION("""COMPUTED_VALUE"""),1.4986818E7)</f>
        <v>14986818</v>
      </c>
    </row>
    <row r="322">
      <c r="A322" s="3">
        <f>IFERROR(__xludf.DUMMYFUNCTION("""COMPUTED_VALUE"""),45394.66666666667)</f>
        <v>45394.66667</v>
      </c>
      <c r="B322" s="2">
        <f>IFERROR(__xludf.DUMMYFUNCTION("""COMPUTED_VALUE"""),72.94)</f>
        <v>72.94</v>
      </c>
      <c r="C322" s="2">
        <f>IFERROR(__xludf.DUMMYFUNCTION("""COMPUTED_VALUE"""),72.98)</f>
        <v>72.98</v>
      </c>
      <c r="D322" s="2">
        <f>IFERROR(__xludf.DUMMYFUNCTION("""COMPUTED_VALUE"""),71.29)</f>
        <v>71.29</v>
      </c>
      <c r="E322" s="2">
        <f>IFERROR(__xludf.DUMMYFUNCTION("""COMPUTED_VALUE"""),71.29)</f>
        <v>71.29</v>
      </c>
      <c r="F322" s="2">
        <f>IFERROR(__xludf.DUMMYFUNCTION("""COMPUTED_VALUE"""),1.8231428E7)</f>
        <v>18231428</v>
      </c>
    </row>
    <row r="323">
      <c r="A323" s="3">
        <f>IFERROR(__xludf.DUMMYFUNCTION("""COMPUTED_VALUE"""),45397.66666666667)</f>
        <v>45397.66667</v>
      </c>
      <c r="B323" s="2">
        <f>IFERROR(__xludf.DUMMYFUNCTION("""COMPUTED_VALUE"""),71.73)</f>
        <v>71.73</v>
      </c>
      <c r="C323" s="2">
        <f>IFERROR(__xludf.DUMMYFUNCTION("""COMPUTED_VALUE"""),72.05)</f>
        <v>72.05</v>
      </c>
      <c r="D323" s="2">
        <f>IFERROR(__xludf.DUMMYFUNCTION("""COMPUTED_VALUE"""),70.17)</f>
        <v>70.17</v>
      </c>
      <c r="E323" s="2">
        <f>IFERROR(__xludf.DUMMYFUNCTION("""COMPUTED_VALUE"""),70.62)</f>
        <v>70.62</v>
      </c>
      <c r="F323" s="2">
        <f>IFERROR(__xludf.DUMMYFUNCTION("""COMPUTED_VALUE"""),1.5903893E7)</f>
        <v>15903893</v>
      </c>
    </row>
    <row r="324">
      <c r="A324" s="3">
        <f>IFERROR(__xludf.DUMMYFUNCTION("""COMPUTED_VALUE"""),45398.66666666667)</f>
        <v>45398.66667</v>
      </c>
      <c r="B324" s="2">
        <f>IFERROR(__xludf.DUMMYFUNCTION("""COMPUTED_VALUE"""),70.02)</f>
        <v>70.02</v>
      </c>
      <c r="C324" s="2">
        <f>IFERROR(__xludf.DUMMYFUNCTION("""COMPUTED_VALUE"""),70.31)</f>
        <v>70.31</v>
      </c>
      <c r="D324" s="2">
        <f>IFERROR(__xludf.DUMMYFUNCTION("""COMPUTED_VALUE"""),69.29)</f>
        <v>69.29</v>
      </c>
      <c r="E324" s="2">
        <f>IFERROR(__xludf.DUMMYFUNCTION("""COMPUTED_VALUE"""),69.61)</f>
        <v>69.61</v>
      </c>
      <c r="F324" s="2">
        <f>IFERROR(__xludf.DUMMYFUNCTION("""COMPUTED_VALUE"""),1.7478883E7)</f>
        <v>17478883</v>
      </c>
    </row>
    <row r="325">
      <c r="A325" s="3">
        <f>IFERROR(__xludf.DUMMYFUNCTION("""COMPUTED_VALUE"""),45399.66666666667)</f>
        <v>45399.66667</v>
      </c>
      <c r="B325" s="2">
        <f>IFERROR(__xludf.DUMMYFUNCTION("""COMPUTED_VALUE"""),69.71)</f>
        <v>69.71</v>
      </c>
      <c r="C325" s="2">
        <f>IFERROR(__xludf.DUMMYFUNCTION("""COMPUTED_VALUE"""),70.01)</f>
        <v>70.01</v>
      </c>
      <c r="D325" s="2">
        <f>IFERROR(__xludf.DUMMYFUNCTION("""COMPUTED_VALUE"""),68.72)</f>
        <v>68.72</v>
      </c>
      <c r="E325" s="2">
        <f>IFERROR(__xludf.DUMMYFUNCTION("""COMPUTED_VALUE"""),68.82)</f>
        <v>68.82</v>
      </c>
      <c r="F325" s="2">
        <f>IFERROR(__xludf.DUMMYFUNCTION("""COMPUTED_VALUE"""),1.2760587E7)</f>
        <v>12760587</v>
      </c>
    </row>
    <row r="326">
      <c r="A326" s="3">
        <f>IFERROR(__xludf.DUMMYFUNCTION("""COMPUTED_VALUE"""),45400.66666666667)</f>
        <v>45400.66667</v>
      </c>
      <c r="B326" s="2">
        <f>IFERROR(__xludf.DUMMYFUNCTION("""COMPUTED_VALUE"""),69.09)</f>
        <v>69.09</v>
      </c>
      <c r="C326" s="2">
        <f>IFERROR(__xludf.DUMMYFUNCTION("""COMPUTED_VALUE"""),69.63)</f>
        <v>69.63</v>
      </c>
      <c r="D326" s="2">
        <f>IFERROR(__xludf.DUMMYFUNCTION("""COMPUTED_VALUE"""),68.8)</f>
        <v>68.8</v>
      </c>
      <c r="E326" s="2">
        <f>IFERROR(__xludf.DUMMYFUNCTION("""COMPUTED_VALUE"""),68.88)</f>
        <v>68.88</v>
      </c>
      <c r="F326" s="2">
        <f>IFERROR(__xludf.DUMMYFUNCTION("""COMPUTED_VALUE"""),9491021.0)</f>
        <v>9491021</v>
      </c>
    </row>
    <row r="327">
      <c r="A327" s="3">
        <f>IFERROR(__xludf.DUMMYFUNCTION("""COMPUTED_VALUE"""),45401.66666666667)</f>
        <v>45401.66667</v>
      </c>
      <c r="B327" s="2">
        <f>IFERROR(__xludf.DUMMYFUNCTION("""COMPUTED_VALUE"""),68.42)</f>
        <v>68.42</v>
      </c>
      <c r="C327" s="2">
        <f>IFERROR(__xludf.DUMMYFUNCTION("""COMPUTED_VALUE"""),69.15)</f>
        <v>69.15</v>
      </c>
      <c r="D327" s="2">
        <f>IFERROR(__xludf.DUMMYFUNCTION("""COMPUTED_VALUE"""),68.36)</f>
        <v>68.36</v>
      </c>
      <c r="E327" s="2">
        <f>IFERROR(__xludf.DUMMYFUNCTION("""COMPUTED_VALUE"""),69.07)</f>
        <v>69.07</v>
      </c>
      <c r="F327" s="2">
        <f>IFERROR(__xludf.DUMMYFUNCTION("""COMPUTED_VALUE"""),1.3084098E7)</f>
        <v>13084098</v>
      </c>
    </row>
    <row r="328">
      <c r="A328" s="3">
        <f>IFERROR(__xludf.DUMMYFUNCTION("""COMPUTED_VALUE"""),45404.66666666667)</f>
        <v>45404.66667</v>
      </c>
      <c r="B328" s="2">
        <f>IFERROR(__xludf.DUMMYFUNCTION("""COMPUTED_VALUE"""),69.69)</f>
        <v>69.69</v>
      </c>
      <c r="C328" s="2">
        <f>IFERROR(__xludf.DUMMYFUNCTION("""COMPUTED_VALUE"""),70.9)</f>
        <v>70.9</v>
      </c>
      <c r="D328" s="2">
        <f>IFERROR(__xludf.DUMMYFUNCTION("""COMPUTED_VALUE"""),69.12)</f>
        <v>69.12</v>
      </c>
      <c r="E328" s="2">
        <f>IFERROR(__xludf.DUMMYFUNCTION("""COMPUTED_VALUE"""),70.68)</f>
        <v>70.68</v>
      </c>
      <c r="F328" s="2">
        <f>IFERROR(__xludf.DUMMYFUNCTION("""COMPUTED_VALUE"""),1.5015564E7)</f>
        <v>15015564</v>
      </c>
    </row>
    <row r="329">
      <c r="A329" s="3">
        <f>IFERROR(__xludf.DUMMYFUNCTION("""COMPUTED_VALUE"""),45405.66666666667)</f>
        <v>45405.66667</v>
      </c>
      <c r="B329" s="2">
        <f>IFERROR(__xludf.DUMMYFUNCTION("""COMPUTED_VALUE"""),71.08)</f>
        <v>71.08</v>
      </c>
      <c r="C329" s="2">
        <f>IFERROR(__xludf.DUMMYFUNCTION("""COMPUTED_VALUE"""),72.8)</f>
        <v>72.8</v>
      </c>
      <c r="D329" s="2">
        <f>IFERROR(__xludf.DUMMYFUNCTION("""COMPUTED_VALUE"""),70.99)</f>
        <v>70.99</v>
      </c>
      <c r="E329" s="2">
        <f>IFERROR(__xludf.DUMMYFUNCTION("""COMPUTED_VALUE"""),72.51)</f>
        <v>72.51</v>
      </c>
      <c r="F329" s="2">
        <f>IFERROR(__xludf.DUMMYFUNCTION("""COMPUTED_VALUE"""),1.5268166E7)</f>
        <v>15268166</v>
      </c>
    </row>
    <row r="330">
      <c r="A330" s="3">
        <f>IFERROR(__xludf.DUMMYFUNCTION("""COMPUTED_VALUE"""),45406.66666666667)</f>
        <v>45406.66667</v>
      </c>
      <c r="B330" s="2">
        <f>IFERROR(__xludf.DUMMYFUNCTION("""COMPUTED_VALUE"""),73.74)</f>
        <v>73.74</v>
      </c>
      <c r="C330" s="2">
        <f>IFERROR(__xludf.DUMMYFUNCTION("""COMPUTED_VALUE"""),74.7)</f>
        <v>74.7</v>
      </c>
      <c r="D330" s="2">
        <f>IFERROR(__xludf.DUMMYFUNCTION("""COMPUTED_VALUE"""),73.5)</f>
        <v>73.5</v>
      </c>
      <c r="E330" s="2">
        <f>IFERROR(__xludf.DUMMYFUNCTION("""COMPUTED_VALUE"""),74.63)</f>
        <v>74.63</v>
      </c>
      <c r="F330" s="2">
        <f>IFERROR(__xludf.DUMMYFUNCTION("""COMPUTED_VALUE"""),1.6375157E7)</f>
        <v>16375157</v>
      </c>
    </row>
    <row r="331">
      <c r="A331" s="3">
        <f>IFERROR(__xludf.DUMMYFUNCTION("""COMPUTED_VALUE"""),45407.66666666667)</f>
        <v>45407.66667</v>
      </c>
      <c r="B331" s="2">
        <f>IFERROR(__xludf.DUMMYFUNCTION("""COMPUTED_VALUE"""),73.81)</f>
        <v>73.81</v>
      </c>
      <c r="C331" s="2">
        <f>IFERROR(__xludf.DUMMYFUNCTION("""COMPUTED_VALUE"""),75.2)</f>
        <v>75.2</v>
      </c>
      <c r="D331" s="2">
        <f>IFERROR(__xludf.DUMMYFUNCTION("""COMPUTED_VALUE"""),73.81)</f>
        <v>73.81</v>
      </c>
      <c r="E331" s="2">
        <f>IFERROR(__xludf.DUMMYFUNCTION("""COMPUTED_VALUE"""),75.11)</f>
        <v>75.11</v>
      </c>
      <c r="F331" s="2">
        <f>IFERROR(__xludf.DUMMYFUNCTION("""COMPUTED_VALUE"""),1.1921914E7)</f>
        <v>11921914</v>
      </c>
    </row>
    <row r="332">
      <c r="A332" s="3">
        <f>IFERROR(__xludf.DUMMYFUNCTION("""COMPUTED_VALUE"""),45408.66666666667)</f>
        <v>45408.66667</v>
      </c>
      <c r="B332" s="2">
        <f>IFERROR(__xludf.DUMMYFUNCTION("""COMPUTED_VALUE"""),76.19)</f>
        <v>76.19</v>
      </c>
      <c r="C332" s="2">
        <f>IFERROR(__xludf.DUMMYFUNCTION("""COMPUTED_VALUE"""),76.93)</f>
        <v>76.93</v>
      </c>
      <c r="D332" s="2">
        <f>IFERROR(__xludf.DUMMYFUNCTION("""COMPUTED_VALUE"""),75.06)</f>
        <v>75.06</v>
      </c>
      <c r="E332" s="2">
        <f>IFERROR(__xludf.DUMMYFUNCTION("""COMPUTED_VALUE"""),75.55)</f>
        <v>75.55</v>
      </c>
      <c r="F332" s="2">
        <f>IFERROR(__xludf.DUMMYFUNCTION("""COMPUTED_VALUE"""),1.4216073E7)</f>
        <v>14216073</v>
      </c>
    </row>
    <row r="333">
      <c r="A333" s="3">
        <f>IFERROR(__xludf.DUMMYFUNCTION("""COMPUTED_VALUE"""),45411.66666666667)</f>
        <v>45411.66667</v>
      </c>
      <c r="B333" s="2">
        <f>IFERROR(__xludf.DUMMYFUNCTION("""COMPUTED_VALUE"""),75.65)</f>
        <v>75.65</v>
      </c>
      <c r="C333" s="2">
        <f>IFERROR(__xludf.DUMMYFUNCTION("""COMPUTED_VALUE"""),76.53)</f>
        <v>76.53</v>
      </c>
      <c r="D333" s="2">
        <f>IFERROR(__xludf.DUMMYFUNCTION("""COMPUTED_VALUE"""),75.22)</f>
        <v>75.22</v>
      </c>
      <c r="E333" s="2">
        <f>IFERROR(__xludf.DUMMYFUNCTION("""COMPUTED_VALUE"""),76.41)</f>
        <v>76.41</v>
      </c>
      <c r="F333" s="2">
        <f>IFERROR(__xludf.DUMMYFUNCTION("""COMPUTED_VALUE"""),1.3226204E7)</f>
        <v>13226204</v>
      </c>
    </row>
    <row r="334">
      <c r="A334" s="3">
        <f>IFERROR(__xludf.DUMMYFUNCTION("""COMPUTED_VALUE"""),45412.66666666667)</f>
        <v>45412.66667</v>
      </c>
      <c r="B334" s="2">
        <f>IFERROR(__xludf.DUMMYFUNCTION("""COMPUTED_VALUE"""),75.89)</f>
        <v>75.89</v>
      </c>
      <c r="C334" s="2">
        <f>IFERROR(__xludf.DUMMYFUNCTION("""COMPUTED_VALUE"""),76.29)</f>
        <v>76.29</v>
      </c>
      <c r="D334" s="2">
        <f>IFERROR(__xludf.DUMMYFUNCTION("""COMPUTED_VALUE"""),74.48)</f>
        <v>74.48</v>
      </c>
      <c r="E334" s="2">
        <f>IFERROR(__xludf.DUMMYFUNCTION("""COMPUTED_VALUE"""),74.85)</f>
        <v>74.85</v>
      </c>
      <c r="F334" s="2">
        <f>IFERROR(__xludf.DUMMYFUNCTION("""COMPUTED_VALUE"""),1.2855978E7)</f>
        <v>12855978</v>
      </c>
    </row>
    <row r="335">
      <c r="A335" s="3">
        <f>IFERROR(__xludf.DUMMYFUNCTION("""COMPUTED_VALUE"""),45413.66666666667)</f>
        <v>45413.66667</v>
      </c>
      <c r="B335" s="2">
        <f>IFERROR(__xludf.DUMMYFUNCTION("""COMPUTED_VALUE"""),74.99)</f>
        <v>74.99</v>
      </c>
      <c r="C335" s="2">
        <f>IFERROR(__xludf.DUMMYFUNCTION("""COMPUTED_VALUE"""),76.25)</f>
        <v>76.25</v>
      </c>
      <c r="D335" s="2">
        <f>IFERROR(__xludf.DUMMYFUNCTION("""COMPUTED_VALUE"""),74.87)</f>
        <v>74.87</v>
      </c>
      <c r="E335" s="2">
        <f>IFERROR(__xludf.DUMMYFUNCTION("""COMPUTED_VALUE"""),75.51)</f>
        <v>75.51</v>
      </c>
      <c r="F335" s="2">
        <f>IFERROR(__xludf.DUMMYFUNCTION("""COMPUTED_VALUE"""),1.056866E7)</f>
        <v>10568660</v>
      </c>
    </row>
    <row r="336">
      <c r="A336" s="3">
        <f>IFERROR(__xludf.DUMMYFUNCTION("""COMPUTED_VALUE"""),45414.66666666667)</f>
        <v>45414.66667</v>
      </c>
      <c r="B336" s="2">
        <f>IFERROR(__xludf.DUMMYFUNCTION("""COMPUTED_VALUE"""),77.59)</f>
        <v>77.59</v>
      </c>
      <c r="C336" s="2">
        <f>IFERROR(__xludf.DUMMYFUNCTION("""COMPUTED_VALUE"""),81.42)</f>
        <v>81.42</v>
      </c>
      <c r="D336" s="2">
        <f>IFERROR(__xludf.DUMMYFUNCTION("""COMPUTED_VALUE"""),77.16)</f>
        <v>77.16</v>
      </c>
      <c r="E336" s="2">
        <f>IFERROR(__xludf.DUMMYFUNCTION("""COMPUTED_VALUE"""),80.33)</f>
        <v>80.33</v>
      </c>
      <c r="F336" s="2">
        <f>IFERROR(__xludf.DUMMYFUNCTION("""COMPUTED_VALUE"""),3.6663857E7)</f>
        <v>36663857</v>
      </c>
    </row>
    <row r="337">
      <c r="A337" s="3">
        <f>IFERROR(__xludf.DUMMYFUNCTION("""COMPUTED_VALUE"""),45415.66666666667)</f>
        <v>45415.66667</v>
      </c>
      <c r="B337" s="2">
        <f>IFERROR(__xludf.DUMMYFUNCTION("""COMPUTED_VALUE"""),81.27)</f>
        <v>81.27</v>
      </c>
      <c r="C337" s="2">
        <f>IFERROR(__xludf.DUMMYFUNCTION("""COMPUTED_VALUE"""),81.37)</f>
        <v>81.37</v>
      </c>
      <c r="D337" s="2">
        <f>IFERROR(__xludf.DUMMYFUNCTION("""COMPUTED_VALUE"""),79.7)</f>
        <v>79.7</v>
      </c>
      <c r="E337" s="2">
        <f>IFERROR(__xludf.DUMMYFUNCTION("""COMPUTED_VALUE"""),81.33)</f>
        <v>81.33</v>
      </c>
      <c r="F337" s="2">
        <f>IFERROR(__xludf.DUMMYFUNCTION("""COMPUTED_VALUE"""),1.9355807E7)</f>
        <v>19355807</v>
      </c>
    </row>
    <row r="338">
      <c r="A338" s="3">
        <f>IFERROR(__xludf.DUMMYFUNCTION("""COMPUTED_VALUE"""),45418.66666666667)</f>
        <v>45418.66667</v>
      </c>
      <c r="B338" s="2">
        <f>IFERROR(__xludf.DUMMYFUNCTION("""COMPUTED_VALUE"""),81.76)</f>
        <v>81.76</v>
      </c>
      <c r="C338" s="2">
        <f>IFERROR(__xludf.DUMMYFUNCTION("""COMPUTED_VALUE"""),82.22)</f>
        <v>82.22</v>
      </c>
      <c r="D338" s="2">
        <f>IFERROR(__xludf.DUMMYFUNCTION("""COMPUTED_VALUE"""),80.5)</f>
        <v>80.5</v>
      </c>
      <c r="E338" s="2">
        <f>IFERROR(__xludf.DUMMYFUNCTION("""COMPUTED_VALUE"""),81.55)</f>
        <v>81.55</v>
      </c>
      <c r="F338" s="2">
        <f>IFERROR(__xludf.DUMMYFUNCTION("""COMPUTED_VALUE"""),1.1826084E7)</f>
        <v>11826084</v>
      </c>
    </row>
    <row r="339">
      <c r="A339" s="3">
        <f>IFERROR(__xludf.DUMMYFUNCTION("""COMPUTED_VALUE"""),45419.66666666667)</f>
        <v>45419.66667</v>
      </c>
      <c r="B339" s="2">
        <f>IFERROR(__xludf.DUMMYFUNCTION("""COMPUTED_VALUE"""),79.93)</f>
        <v>79.93</v>
      </c>
      <c r="C339" s="2">
        <f>IFERROR(__xludf.DUMMYFUNCTION("""COMPUTED_VALUE"""),79.93)</f>
        <v>79.93</v>
      </c>
      <c r="D339" s="2">
        <f>IFERROR(__xludf.DUMMYFUNCTION("""COMPUTED_VALUE"""),78.82)</f>
        <v>78.82</v>
      </c>
      <c r="E339" s="2">
        <f>IFERROR(__xludf.DUMMYFUNCTION("""COMPUTED_VALUE"""),79.37)</f>
        <v>79.37</v>
      </c>
      <c r="F339" s="2">
        <f>IFERROR(__xludf.DUMMYFUNCTION("""COMPUTED_VALUE"""),1.4589103E7)</f>
        <v>14589103</v>
      </c>
    </row>
    <row r="340">
      <c r="A340" s="3">
        <f>IFERROR(__xludf.DUMMYFUNCTION("""COMPUTED_VALUE"""),45420.66666666667)</f>
        <v>45420.66667</v>
      </c>
      <c r="B340" s="2">
        <f>IFERROR(__xludf.DUMMYFUNCTION("""COMPUTED_VALUE"""),77.92)</f>
        <v>77.92</v>
      </c>
      <c r="C340" s="2">
        <f>IFERROR(__xludf.DUMMYFUNCTION("""COMPUTED_VALUE"""),78.99)</f>
        <v>78.99</v>
      </c>
      <c r="D340" s="2">
        <f>IFERROR(__xludf.DUMMYFUNCTION("""COMPUTED_VALUE"""),77.81)</f>
        <v>77.81</v>
      </c>
      <c r="E340" s="2">
        <f>IFERROR(__xludf.DUMMYFUNCTION("""COMPUTED_VALUE"""),78.46)</f>
        <v>78.46</v>
      </c>
      <c r="F340" s="2">
        <f>IFERROR(__xludf.DUMMYFUNCTION("""COMPUTED_VALUE"""),1.1327088E7)</f>
        <v>11327088</v>
      </c>
    </row>
    <row r="341">
      <c r="A341" s="3">
        <f>IFERROR(__xludf.DUMMYFUNCTION("""COMPUTED_VALUE"""),45421.66666666667)</f>
        <v>45421.66667</v>
      </c>
      <c r="B341" s="2">
        <f>IFERROR(__xludf.DUMMYFUNCTION("""COMPUTED_VALUE"""),79.5)</f>
        <v>79.5</v>
      </c>
      <c r="C341" s="2">
        <f>IFERROR(__xludf.DUMMYFUNCTION("""COMPUTED_VALUE"""),79.92)</f>
        <v>79.92</v>
      </c>
      <c r="D341" s="2">
        <f>IFERROR(__xludf.DUMMYFUNCTION("""COMPUTED_VALUE"""),78.71)</f>
        <v>78.71</v>
      </c>
      <c r="E341" s="2">
        <f>IFERROR(__xludf.DUMMYFUNCTION("""COMPUTED_VALUE"""),79.46)</f>
        <v>79.46</v>
      </c>
      <c r="F341" s="2">
        <f>IFERROR(__xludf.DUMMYFUNCTION("""COMPUTED_VALUE"""),9627274.0)</f>
        <v>9627274</v>
      </c>
    </row>
    <row r="342">
      <c r="A342" s="3">
        <f>IFERROR(__xludf.DUMMYFUNCTION("""COMPUTED_VALUE"""),45422.66666666667)</f>
        <v>45422.66667</v>
      </c>
      <c r="B342" s="2">
        <f>IFERROR(__xludf.DUMMYFUNCTION("""COMPUTED_VALUE"""),80.08)</f>
        <v>80.08</v>
      </c>
      <c r="C342" s="2">
        <f>IFERROR(__xludf.DUMMYFUNCTION("""COMPUTED_VALUE"""),80.52)</f>
        <v>80.52</v>
      </c>
      <c r="D342" s="2">
        <f>IFERROR(__xludf.DUMMYFUNCTION("""COMPUTED_VALUE"""),79.77)</f>
        <v>79.77</v>
      </c>
      <c r="E342" s="2">
        <f>IFERROR(__xludf.DUMMYFUNCTION("""COMPUTED_VALUE"""),80.04)</f>
        <v>80.04</v>
      </c>
      <c r="F342" s="2">
        <f>IFERROR(__xludf.DUMMYFUNCTION("""COMPUTED_VALUE"""),1.0819572E7)</f>
        <v>10819572</v>
      </c>
    </row>
    <row r="343">
      <c r="A343" s="3">
        <f>IFERROR(__xludf.DUMMYFUNCTION("""COMPUTED_VALUE"""),45425.66666666667)</f>
        <v>45425.66667</v>
      </c>
      <c r="B343" s="2">
        <f>IFERROR(__xludf.DUMMYFUNCTION("""COMPUTED_VALUE"""),82.71)</f>
        <v>82.71</v>
      </c>
      <c r="C343" s="2">
        <f>IFERROR(__xludf.DUMMYFUNCTION("""COMPUTED_VALUE"""),85.0)</f>
        <v>85</v>
      </c>
      <c r="D343" s="2">
        <f>IFERROR(__xludf.DUMMYFUNCTION("""COMPUTED_VALUE"""),82.6)</f>
        <v>82.6</v>
      </c>
      <c r="E343" s="2">
        <f>IFERROR(__xludf.DUMMYFUNCTION("""COMPUTED_VALUE"""),84.6)</f>
        <v>84.6</v>
      </c>
      <c r="F343" s="2">
        <f>IFERROR(__xludf.DUMMYFUNCTION("""COMPUTED_VALUE"""),3.2010693E7)</f>
        <v>32010693</v>
      </c>
    </row>
    <row r="344">
      <c r="A344" s="3">
        <f>IFERROR(__xludf.DUMMYFUNCTION("""COMPUTED_VALUE"""),45426.66666666667)</f>
        <v>45426.66667</v>
      </c>
      <c r="B344" s="2">
        <f>IFERROR(__xludf.DUMMYFUNCTION("""COMPUTED_VALUE"""),79.65)</f>
        <v>79.65</v>
      </c>
      <c r="C344" s="2">
        <f>IFERROR(__xludf.DUMMYFUNCTION("""COMPUTED_VALUE"""),80.51)</f>
        <v>80.51</v>
      </c>
      <c r="D344" s="2">
        <f>IFERROR(__xludf.DUMMYFUNCTION("""COMPUTED_VALUE"""),77.72)</f>
        <v>77.72</v>
      </c>
      <c r="E344" s="2">
        <f>IFERROR(__xludf.DUMMYFUNCTION("""COMPUTED_VALUE"""),79.51)</f>
        <v>79.51</v>
      </c>
      <c r="F344" s="2">
        <f>IFERROR(__xludf.DUMMYFUNCTION("""COMPUTED_VALUE"""),4.4687713E7)</f>
        <v>44687713</v>
      </c>
    </row>
    <row r="345">
      <c r="A345" s="3">
        <f>IFERROR(__xludf.DUMMYFUNCTION("""COMPUTED_VALUE"""),45427.66666666667)</f>
        <v>45427.66667</v>
      </c>
      <c r="B345" s="2">
        <f>IFERROR(__xludf.DUMMYFUNCTION("""COMPUTED_VALUE"""),80.39)</f>
        <v>80.39</v>
      </c>
      <c r="C345" s="2">
        <f>IFERROR(__xludf.DUMMYFUNCTION("""COMPUTED_VALUE"""),81.13)</f>
        <v>81.13</v>
      </c>
      <c r="D345" s="2">
        <f>IFERROR(__xludf.DUMMYFUNCTION("""COMPUTED_VALUE"""),79.78)</f>
        <v>79.78</v>
      </c>
      <c r="E345" s="2">
        <f>IFERROR(__xludf.DUMMYFUNCTION("""COMPUTED_VALUE"""),80.99)</f>
        <v>80.99</v>
      </c>
      <c r="F345" s="2">
        <f>IFERROR(__xludf.DUMMYFUNCTION("""COMPUTED_VALUE"""),1.780326E7)</f>
        <v>17803260</v>
      </c>
    </row>
    <row r="346">
      <c r="A346" s="3">
        <f>IFERROR(__xludf.DUMMYFUNCTION("""COMPUTED_VALUE"""),45428.66666666667)</f>
        <v>45428.66667</v>
      </c>
      <c r="B346" s="2">
        <f>IFERROR(__xludf.DUMMYFUNCTION("""COMPUTED_VALUE"""),81.96)</f>
        <v>81.96</v>
      </c>
      <c r="C346" s="2">
        <f>IFERROR(__xludf.DUMMYFUNCTION("""COMPUTED_VALUE"""),87.49)</f>
        <v>87.49</v>
      </c>
      <c r="D346" s="2">
        <f>IFERROR(__xludf.DUMMYFUNCTION("""COMPUTED_VALUE"""),81.65)</f>
        <v>81.65</v>
      </c>
      <c r="E346" s="2">
        <f>IFERROR(__xludf.DUMMYFUNCTION("""COMPUTED_VALUE"""),86.7)</f>
        <v>86.7</v>
      </c>
      <c r="F346" s="2">
        <f>IFERROR(__xludf.DUMMYFUNCTION("""COMPUTED_VALUE"""),4.7259474E7)</f>
        <v>47259474</v>
      </c>
    </row>
    <row r="347">
      <c r="A347" s="3">
        <f>IFERROR(__xludf.DUMMYFUNCTION("""COMPUTED_VALUE"""),45429.66666666667)</f>
        <v>45429.66667</v>
      </c>
      <c r="B347" s="2">
        <f>IFERROR(__xludf.DUMMYFUNCTION("""COMPUTED_VALUE"""),87.6)</f>
        <v>87.6</v>
      </c>
      <c r="C347" s="2">
        <f>IFERROR(__xludf.DUMMYFUNCTION("""COMPUTED_VALUE"""),90.46)</f>
        <v>90.46</v>
      </c>
      <c r="D347" s="2">
        <f>IFERROR(__xludf.DUMMYFUNCTION("""COMPUTED_VALUE"""),86.83)</f>
        <v>86.83</v>
      </c>
      <c r="E347" s="2">
        <f>IFERROR(__xludf.DUMMYFUNCTION("""COMPUTED_VALUE"""),88.54)</f>
        <v>88.54</v>
      </c>
      <c r="F347" s="2">
        <f>IFERROR(__xludf.DUMMYFUNCTION("""COMPUTED_VALUE"""),3.5152879E7)</f>
        <v>35152879</v>
      </c>
    </row>
    <row r="348">
      <c r="A348" s="3">
        <f>IFERROR(__xludf.DUMMYFUNCTION("""COMPUTED_VALUE"""),45432.66666666667)</f>
        <v>45432.66667</v>
      </c>
      <c r="B348" s="2">
        <f>IFERROR(__xludf.DUMMYFUNCTION("""COMPUTED_VALUE"""),87.47)</f>
        <v>87.47</v>
      </c>
      <c r="C348" s="2">
        <f>IFERROR(__xludf.DUMMYFUNCTION("""COMPUTED_VALUE"""),89.24)</f>
        <v>89.24</v>
      </c>
      <c r="D348" s="2">
        <f>IFERROR(__xludf.DUMMYFUNCTION("""COMPUTED_VALUE"""),86.95)</f>
        <v>86.95</v>
      </c>
      <c r="E348" s="2">
        <f>IFERROR(__xludf.DUMMYFUNCTION("""COMPUTED_VALUE"""),88.28)</f>
        <v>88.28</v>
      </c>
      <c r="F348" s="2">
        <f>IFERROR(__xludf.DUMMYFUNCTION("""COMPUTED_VALUE"""),1.6737222E7)</f>
        <v>16737222</v>
      </c>
    </row>
    <row r="349">
      <c r="A349" s="3">
        <f>IFERROR(__xludf.DUMMYFUNCTION("""COMPUTED_VALUE"""),45433.66666666667)</f>
        <v>45433.66667</v>
      </c>
      <c r="B349" s="2">
        <f>IFERROR(__xludf.DUMMYFUNCTION("""COMPUTED_VALUE"""),86.52)</f>
        <v>86.52</v>
      </c>
      <c r="C349" s="2">
        <f>IFERROR(__xludf.DUMMYFUNCTION("""COMPUTED_VALUE"""),87.17)</f>
        <v>87.17</v>
      </c>
      <c r="D349" s="2">
        <f>IFERROR(__xludf.DUMMYFUNCTION("""COMPUTED_VALUE"""),85.32)</f>
        <v>85.32</v>
      </c>
      <c r="E349" s="2">
        <f>IFERROR(__xludf.DUMMYFUNCTION("""COMPUTED_VALUE"""),86.13)</f>
        <v>86.13</v>
      </c>
      <c r="F349" s="2">
        <f>IFERROR(__xludf.DUMMYFUNCTION("""COMPUTED_VALUE"""),1.651239E7)</f>
        <v>16512390</v>
      </c>
    </row>
    <row r="350">
      <c r="A350" s="3">
        <f>IFERROR(__xludf.DUMMYFUNCTION("""COMPUTED_VALUE"""),45434.66666666667)</f>
        <v>45434.66667</v>
      </c>
      <c r="B350" s="2">
        <f>IFERROR(__xludf.DUMMYFUNCTION("""COMPUTED_VALUE"""),84.61)</f>
        <v>84.61</v>
      </c>
      <c r="C350" s="2">
        <f>IFERROR(__xludf.DUMMYFUNCTION("""COMPUTED_VALUE"""),85.13)</f>
        <v>85.13</v>
      </c>
      <c r="D350" s="2">
        <f>IFERROR(__xludf.DUMMYFUNCTION("""COMPUTED_VALUE"""),82.68)</f>
        <v>82.68</v>
      </c>
      <c r="E350" s="2">
        <f>IFERROR(__xludf.DUMMYFUNCTION("""COMPUTED_VALUE"""),82.68)</f>
        <v>82.68</v>
      </c>
      <c r="F350" s="2">
        <f>IFERROR(__xludf.DUMMYFUNCTION("""COMPUTED_VALUE"""),1.971782E7)</f>
        <v>19717820</v>
      </c>
    </row>
    <row r="351">
      <c r="A351" s="3">
        <f>IFERROR(__xludf.DUMMYFUNCTION("""COMPUTED_VALUE"""),45435.66666666667)</f>
        <v>45435.66667</v>
      </c>
      <c r="B351" s="2">
        <f>IFERROR(__xludf.DUMMYFUNCTION("""COMPUTED_VALUE"""),81.43)</f>
        <v>81.43</v>
      </c>
      <c r="C351" s="2">
        <f>IFERROR(__xludf.DUMMYFUNCTION("""COMPUTED_VALUE"""),82.94)</f>
        <v>82.94</v>
      </c>
      <c r="D351" s="2">
        <f>IFERROR(__xludf.DUMMYFUNCTION("""COMPUTED_VALUE"""),80.05)</f>
        <v>80.05</v>
      </c>
      <c r="E351" s="2">
        <f>IFERROR(__xludf.DUMMYFUNCTION("""COMPUTED_VALUE"""),80.8)</f>
        <v>80.8</v>
      </c>
      <c r="F351" s="2">
        <f>IFERROR(__xludf.DUMMYFUNCTION("""COMPUTED_VALUE"""),2.3930255E7)</f>
        <v>23930255</v>
      </c>
    </row>
    <row r="352">
      <c r="A352" s="3">
        <f>IFERROR(__xludf.DUMMYFUNCTION("""COMPUTED_VALUE"""),45436.66666666667)</f>
        <v>45436.66667</v>
      </c>
      <c r="B352" s="2">
        <f>IFERROR(__xludf.DUMMYFUNCTION("""COMPUTED_VALUE"""),80.5)</f>
        <v>80.5</v>
      </c>
      <c r="C352" s="2">
        <f>IFERROR(__xludf.DUMMYFUNCTION("""COMPUTED_VALUE"""),82.56)</f>
        <v>82.56</v>
      </c>
      <c r="D352" s="2">
        <f>IFERROR(__xludf.DUMMYFUNCTION("""COMPUTED_VALUE"""),79.73)</f>
        <v>79.73</v>
      </c>
      <c r="E352" s="2">
        <f>IFERROR(__xludf.DUMMYFUNCTION("""COMPUTED_VALUE"""),81.26)</f>
        <v>81.26</v>
      </c>
      <c r="F352" s="2">
        <f>IFERROR(__xludf.DUMMYFUNCTION("""COMPUTED_VALUE"""),4.1456371E7)</f>
        <v>41456371</v>
      </c>
    </row>
    <row r="353">
      <c r="A353" s="3">
        <f>IFERROR(__xludf.DUMMYFUNCTION("""COMPUTED_VALUE"""),45440.66666666667)</f>
        <v>45440.66667</v>
      </c>
      <c r="B353" s="2">
        <f>IFERROR(__xludf.DUMMYFUNCTION("""COMPUTED_VALUE"""),80.8)</f>
        <v>80.8</v>
      </c>
      <c r="C353" s="2">
        <f>IFERROR(__xludf.DUMMYFUNCTION("""COMPUTED_VALUE"""),81.72)</f>
        <v>81.72</v>
      </c>
      <c r="D353" s="2">
        <f>IFERROR(__xludf.DUMMYFUNCTION("""COMPUTED_VALUE"""),80.04)</f>
        <v>80.04</v>
      </c>
      <c r="E353" s="2">
        <f>IFERROR(__xludf.DUMMYFUNCTION("""COMPUTED_VALUE"""),80.58)</f>
        <v>80.58</v>
      </c>
      <c r="F353" s="2">
        <f>IFERROR(__xludf.DUMMYFUNCTION("""COMPUTED_VALUE"""),1.5211752E7)</f>
        <v>15211752</v>
      </c>
    </row>
    <row r="354">
      <c r="A354" s="3">
        <f>IFERROR(__xludf.DUMMYFUNCTION("""COMPUTED_VALUE"""),45441.66666666667)</f>
        <v>45441.66667</v>
      </c>
      <c r="B354" s="2">
        <f>IFERROR(__xludf.DUMMYFUNCTION("""COMPUTED_VALUE"""),78.76)</f>
        <v>78.76</v>
      </c>
      <c r="C354" s="2">
        <f>IFERROR(__xludf.DUMMYFUNCTION("""COMPUTED_VALUE"""),79.36)</f>
        <v>79.36</v>
      </c>
      <c r="D354" s="2">
        <f>IFERROR(__xludf.DUMMYFUNCTION("""COMPUTED_VALUE"""),78.23)</f>
        <v>78.23</v>
      </c>
      <c r="E354" s="2">
        <f>IFERROR(__xludf.DUMMYFUNCTION("""COMPUTED_VALUE"""),79.06)</f>
        <v>79.06</v>
      </c>
      <c r="F354" s="2">
        <f>IFERROR(__xludf.DUMMYFUNCTION("""COMPUTED_VALUE"""),1.8448528E7)</f>
        <v>18448528</v>
      </c>
    </row>
    <row r="355">
      <c r="A355" s="3">
        <f>IFERROR(__xludf.DUMMYFUNCTION("""COMPUTED_VALUE"""),45442.66666666667)</f>
        <v>45442.66667</v>
      </c>
      <c r="B355" s="2">
        <f>IFERROR(__xludf.DUMMYFUNCTION("""COMPUTED_VALUE"""),78.86)</f>
        <v>78.86</v>
      </c>
      <c r="C355" s="2">
        <f>IFERROR(__xludf.DUMMYFUNCTION("""COMPUTED_VALUE"""),80.2)</f>
        <v>80.2</v>
      </c>
      <c r="D355" s="2">
        <f>IFERROR(__xludf.DUMMYFUNCTION("""COMPUTED_VALUE"""),78.7)</f>
        <v>78.7</v>
      </c>
      <c r="E355" s="2">
        <f>IFERROR(__xludf.DUMMYFUNCTION("""COMPUTED_VALUE"""),79.63)</f>
        <v>79.63</v>
      </c>
      <c r="F355" s="2">
        <f>IFERROR(__xludf.DUMMYFUNCTION("""COMPUTED_VALUE"""),1.389574E7)</f>
        <v>13895740</v>
      </c>
    </row>
    <row r="356">
      <c r="A356" s="3">
        <f>IFERROR(__xludf.DUMMYFUNCTION("""COMPUTED_VALUE"""),45443.66666666667)</f>
        <v>45443.66667</v>
      </c>
      <c r="B356" s="2">
        <f>IFERROR(__xludf.DUMMYFUNCTION("""COMPUTED_VALUE"""),77.96)</f>
        <v>77.96</v>
      </c>
      <c r="C356" s="2">
        <f>IFERROR(__xludf.DUMMYFUNCTION("""COMPUTED_VALUE"""),78.5)</f>
        <v>78.5</v>
      </c>
      <c r="D356" s="2">
        <f>IFERROR(__xludf.DUMMYFUNCTION("""COMPUTED_VALUE"""),77.17)</f>
        <v>77.17</v>
      </c>
      <c r="E356" s="2">
        <f>IFERROR(__xludf.DUMMYFUNCTION("""COMPUTED_VALUE"""),78.34)</f>
        <v>78.34</v>
      </c>
      <c r="F356" s="2">
        <f>IFERROR(__xludf.DUMMYFUNCTION("""COMPUTED_VALUE"""),2.0023892E7)</f>
        <v>20023892</v>
      </c>
    </row>
    <row r="357">
      <c r="A357" s="3">
        <f>IFERROR(__xludf.DUMMYFUNCTION("""COMPUTED_VALUE"""),45446.66666666667)</f>
        <v>45446.66667</v>
      </c>
      <c r="B357" s="2">
        <f>IFERROR(__xludf.DUMMYFUNCTION("""COMPUTED_VALUE"""),79.0)</f>
        <v>79</v>
      </c>
      <c r="C357" s="2">
        <f>IFERROR(__xludf.DUMMYFUNCTION("""COMPUTED_VALUE"""),79.32)</f>
        <v>79.32</v>
      </c>
      <c r="D357" s="2">
        <f>IFERROR(__xludf.DUMMYFUNCTION("""COMPUTED_VALUE"""),77.22)</f>
        <v>77.22</v>
      </c>
      <c r="E357" s="2">
        <f>IFERROR(__xludf.DUMMYFUNCTION("""COMPUTED_VALUE"""),77.9)</f>
        <v>77.9</v>
      </c>
      <c r="F357" s="2">
        <f>IFERROR(__xludf.DUMMYFUNCTION("""COMPUTED_VALUE"""),1.4244431E7)</f>
        <v>14244431</v>
      </c>
    </row>
    <row r="358">
      <c r="A358" s="3">
        <f>IFERROR(__xludf.DUMMYFUNCTION("""COMPUTED_VALUE"""),45447.66666666667)</f>
        <v>45447.66667</v>
      </c>
      <c r="B358" s="2">
        <f>IFERROR(__xludf.DUMMYFUNCTION("""COMPUTED_VALUE"""),78.18)</f>
        <v>78.18</v>
      </c>
      <c r="C358" s="2">
        <f>IFERROR(__xludf.DUMMYFUNCTION("""COMPUTED_VALUE"""),78.86)</f>
        <v>78.86</v>
      </c>
      <c r="D358" s="2">
        <f>IFERROR(__xludf.DUMMYFUNCTION("""COMPUTED_VALUE"""),77.78)</f>
        <v>77.78</v>
      </c>
      <c r="E358" s="2">
        <f>IFERROR(__xludf.DUMMYFUNCTION("""COMPUTED_VALUE"""),78.45)</f>
        <v>78.45</v>
      </c>
      <c r="F358" s="2">
        <f>IFERROR(__xludf.DUMMYFUNCTION("""COMPUTED_VALUE"""),1.0784382E7)</f>
        <v>10784382</v>
      </c>
    </row>
    <row r="359">
      <c r="A359" s="3">
        <f>IFERROR(__xludf.DUMMYFUNCTION("""COMPUTED_VALUE"""),45448.66666666667)</f>
        <v>45448.66667</v>
      </c>
      <c r="B359" s="2">
        <f>IFERROR(__xludf.DUMMYFUNCTION("""COMPUTED_VALUE"""),78.98)</f>
        <v>78.98</v>
      </c>
      <c r="C359" s="2">
        <f>IFERROR(__xludf.DUMMYFUNCTION("""COMPUTED_VALUE"""),79.94)</f>
        <v>79.94</v>
      </c>
      <c r="D359" s="2">
        <f>IFERROR(__xludf.DUMMYFUNCTION("""COMPUTED_VALUE"""),78.86)</f>
        <v>78.86</v>
      </c>
      <c r="E359" s="2">
        <f>IFERROR(__xludf.DUMMYFUNCTION("""COMPUTED_VALUE"""),79.83)</f>
        <v>79.83</v>
      </c>
      <c r="F359" s="2">
        <f>IFERROR(__xludf.DUMMYFUNCTION("""COMPUTED_VALUE"""),1.3716208E7)</f>
        <v>13716208</v>
      </c>
    </row>
    <row r="360">
      <c r="A360" s="3">
        <f>IFERROR(__xludf.DUMMYFUNCTION("""COMPUTED_VALUE"""),45449.66666666667)</f>
        <v>45449.66667</v>
      </c>
      <c r="B360" s="2">
        <f>IFERROR(__xludf.DUMMYFUNCTION("""COMPUTED_VALUE"""),79.42)</f>
        <v>79.42</v>
      </c>
      <c r="C360" s="2">
        <f>IFERROR(__xludf.DUMMYFUNCTION("""COMPUTED_VALUE"""),80.06)</f>
        <v>80.06</v>
      </c>
      <c r="D360" s="2">
        <f>IFERROR(__xludf.DUMMYFUNCTION("""COMPUTED_VALUE"""),78.76)</f>
        <v>78.76</v>
      </c>
      <c r="E360" s="2">
        <f>IFERROR(__xludf.DUMMYFUNCTION("""COMPUTED_VALUE"""),80.01)</f>
        <v>80.01</v>
      </c>
      <c r="F360" s="2">
        <f>IFERROR(__xludf.DUMMYFUNCTION("""COMPUTED_VALUE"""),1.1205277E7)</f>
        <v>11205277</v>
      </c>
    </row>
    <row r="361">
      <c r="A361" s="3">
        <f>IFERROR(__xludf.DUMMYFUNCTION("""COMPUTED_VALUE"""),45450.66666666667)</f>
        <v>45450.66667</v>
      </c>
      <c r="B361" s="2">
        <f>IFERROR(__xludf.DUMMYFUNCTION("""COMPUTED_VALUE"""),78.95)</f>
        <v>78.95</v>
      </c>
      <c r="C361" s="2">
        <f>IFERROR(__xludf.DUMMYFUNCTION("""COMPUTED_VALUE"""),79.32)</f>
        <v>79.32</v>
      </c>
      <c r="D361" s="2">
        <f>IFERROR(__xludf.DUMMYFUNCTION("""COMPUTED_VALUE"""),78.14)</f>
        <v>78.14</v>
      </c>
      <c r="E361" s="2">
        <f>IFERROR(__xludf.DUMMYFUNCTION("""COMPUTED_VALUE"""),78.41)</f>
        <v>78.41</v>
      </c>
      <c r="F361" s="2">
        <f>IFERROR(__xludf.DUMMYFUNCTION("""COMPUTED_VALUE"""),1.2190292E7)</f>
        <v>12190292</v>
      </c>
    </row>
    <row r="362">
      <c r="A362" s="3">
        <f>IFERROR(__xludf.DUMMYFUNCTION("""COMPUTED_VALUE"""),45453.66666666667)</f>
        <v>45453.66667</v>
      </c>
      <c r="B362" s="2">
        <f>IFERROR(__xludf.DUMMYFUNCTION("""COMPUTED_VALUE"""),78.57)</f>
        <v>78.57</v>
      </c>
      <c r="C362" s="2">
        <f>IFERROR(__xludf.DUMMYFUNCTION("""COMPUTED_VALUE"""),79.74)</f>
        <v>79.74</v>
      </c>
      <c r="D362" s="2">
        <f>IFERROR(__xludf.DUMMYFUNCTION("""COMPUTED_VALUE"""),78.24)</f>
        <v>78.24</v>
      </c>
      <c r="E362" s="2">
        <f>IFERROR(__xludf.DUMMYFUNCTION("""COMPUTED_VALUE"""),79.3)</f>
        <v>79.3</v>
      </c>
      <c r="F362" s="2">
        <f>IFERROR(__xludf.DUMMYFUNCTION("""COMPUTED_VALUE"""),9490137.0)</f>
        <v>9490137</v>
      </c>
    </row>
    <row r="363">
      <c r="A363" s="3">
        <f>IFERROR(__xludf.DUMMYFUNCTION("""COMPUTED_VALUE"""),45454.66666666667)</f>
        <v>45454.66667</v>
      </c>
      <c r="B363" s="2">
        <f>IFERROR(__xludf.DUMMYFUNCTION("""COMPUTED_VALUE"""),79.0)</f>
        <v>79</v>
      </c>
      <c r="C363" s="2">
        <f>IFERROR(__xludf.DUMMYFUNCTION("""COMPUTED_VALUE"""),79.08)</f>
        <v>79.08</v>
      </c>
      <c r="D363" s="2">
        <f>IFERROR(__xludf.DUMMYFUNCTION("""COMPUTED_VALUE"""),77.67)</f>
        <v>77.67</v>
      </c>
      <c r="E363" s="2">
        <f>IFERROR(__xludf.DUMMYFUNCTION("""COMPUTED_VALUE"""),77.9)</f>
        <v>77.9</v>
      </c>
      <c r="F363" s="2">
        <f>IFERROR(__xludf.DUMMYFUNCTION("""COMPUTED_VALUE"""),1.11084E7)</f>
        <v>11108400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tr">
        <f>IFERROR(__xludf.DUMMYFUNCTION("(GOOGLEFINANCE(""BRK.B"", ""all"", DATE(2023, 1, 1), today()))"),"Date")</f>
        <v>Date</v>
      </c>
      <c r="B1" s="2" t="str">
        <f>IFERROR(__xludf.DUMMYFUNCTION("""COMPUTED_VALUE"""),"Open")</f>
        <v>Open</v>
      </c>
      <c r="C1" s="2" t="str">
        <f>IFERROR(__xludf.DUMMYFUNCTION("""COMPUTED_VALUE"""),"High")</f>
        <v>High</v>
      </c>
      <c r="D1" s="2" t="str">
        <f>IFERROR(__xludf.DUMMYFUNCTION("""COMPUTED_VALUE"""),"Low")</f>
        <v>Low</v>
      </c>
      <c r="E1" s="2" t="str">
        <f>IFERROR(__xludf.DUMMYFUNCTION("""COMPUTED_VALUE"""),"Close")</f>
        <v>Close</v>
      </c>
      <c r="F1" s="2" t="str">
        <f>IFERROR(__xludf.DUMMYFUNCTION("""COMPUTED_VALUE"""),"Volume")</f>
        <v>Volume</v>
      </c>
    </row>
    <row r="2">
      <c r="A2" s="3">
        <f>IFERROR(__xludf.DUMMYFUNCTION("""COMPUTED_VALUE"""),44929.66666666667)</f>
        <v>44929.66667</v>
      </c>
      <c r="B2" s="2">
        <f>IFERROR(__xludf.DUMMYFUNCTION("""COMPUTED_VALUE"""),310.07)</f>
        <v>310.07</v>
      </c>
      <c r="C2" s="2">
        <f>IFERROR(__xludf.DUMMYFUNCTION("""COMPUTED_VALUE"""),312.39)</f>
        <v>312.39</v>
      </c>
      <c r="D2" s="2">
        <f>IFERROR(__xludf.DUMMYFUNCTION("""COMPUTED_VALUE"""),307.38)</f>
        <v>307.38</v>
      </c>
      <c r="E2" s="2">
        <f>IFERROR(__xludf.DUMMYFUNCTION("""COMPUTED_VALUE"""),309.91)</f>
        <v>309.91</v>
      </c>
      <c r="F2" s="2">
        <f>IFERROR(__xludf.DUMMYFUNCTION("""COMPUTED_VALUE"""),3551418.0)</f>
        <v>3551418</v>
      </c>
    </row>
    <row r="3">
      <c r="A3" s="3">
        <f>IFERROR(__xludf.DUMMYFUNCTION("""COMPUTED_VALUE"""),44930.66666666667)</f>
        <v>44930.66667</v>
      </c>
      <c r="B3" s="2">
        <f>IFERROR(__xludf.DUMMYFUNCTION("""COMPUTED_VALUE"""),312.0)</f>
        <v>312</v>
      </c>
      <c r="C3" s="2">
        <f>IFERROR(__xludf.DUMMYFUNCTION("""COMPUTED_VALUE"""),316.89)</f>
        <v>316.89</v>
      </c>
      <c r="D3" s="2">
        <f>IFERROR(__xludf.DUMMYFUNCTION("""COMPUTED_VALUE"""),311.25)</f>
        <v>311.25</v>
      </c>
      <c r="E3" s="2">
        <f>IFERROR(__xludf.DUMMYFUNCTION("""COMPUTED_VALUE"""),314.55)</f>
        <v>314.55</v>
      </c>
      <c r="F3" s="2">
        <f>IFERROR(__xludf.DUMMYFUNCTION("""COMPUTED_VALUE"""),5122121.0)</f>
        <v>5122121</v>
      </c>
    </row>
    <row r="4">
      <c r="A4" s="3">
        <f>IFERROR(__xludf.DUMMYFUNCTION("""COMPUTED_VALUE"""),44931.66666666667)</f>
        <v>44931.66667</v>
      </c>
      <c r="B4" s="2">
        <f>IFERROR(__xludf.DUMMYFUNCTION("""COMPUTED_VALUE"""),313.57)</f>
        <v>313.57</v>
      </c>
      <c r="C4" s="2">
        <f>IFERROR(__xludf.DUMMYFUNCTION("""COMPUTED_VALUE"""),314.23)</f>
        <v>314.23</v>
      </c>
      <c r="D4" s="2">
        <f>IFERROR(__xludf.DUMMYFUNCTION("""COMPUTED_VALUE"""),310.0)</f>
        <v>310</v>
      </c>
      <c r="E4" s="2">
        <f>IFERROR(__xludf.DUMMYFUNCTION("""COMPUTED_VALUE"""),312.9)</f>
        <v>312.9</v>
      </c>
      <c r="F4" s="2">
        <f>IFERROR(__xludf.DUMMYFUNCTION("""COMPUTED_VALUE"""),3418149.0)</f>
        <v>3418149</v>
      </c>
    </row>
    <row r="5">
      <c r="A5" s="3">
        <f>IFERROR(__xludf.DUMMYFUNCTION("""COMPUTED_VALUE"""),44932.66666666667)</f>
        <v>44932.66667</v>
      </c>
      <c r="B5" s="2">
        <f>IFERROR(__xludf.DUMMYFUNCTION("""COMPUTED_VALUE"""),315.0)</f>
        <v>315</v>
      </c>
      <c r="C5" s="2">
        <f>IFERROR(__xludf.DUMMYFUNCTION("""COMPUTED_VALUE"""),320.16)</f>
        <v>320.16</v>
      </c>
      <c r="D5" s="2">
        <f>IFERROR(__xludf.DUMMYFUNCTION("""COMPUTED_VALUE"""),313.38)</f>
        <v>313.38</v>
      </c>
      <c r="E5" s="2">
        <f>IFERROR(__xludf.DUMMYFUNCTION("""COMPUTED_VALUE"""),318.69)</f>
        <v>318.69</v>
      </c>
      <c r="F5" s="2">
        <f>IFERROR(__xludf.DUMMYFUNCTION("""COMPUTED_VALUE"""),3648810.0)</f>
        <v>3648810</v>
      </c>
    </row>
    <row r="6">
      <c r="A6" s="3">
        <f>IFERROR(__xludf.DUMMYFUNCTION("""COMPUTED_VALUE"""),44935.66666666667)</f>
        <v>44935.66667</v>
      </c>
      <c r="B6" s="2">
        <f>IFERROR(__xludf.DUMMYFUNCTION("""COMPUTED_VALUE"""),319.02)</f>
        <v>319.02</v>
      </c>
      <c r="C6" s="2">
        <f>IFERROR(__xludf.DUMMYFUNCTION("""COMPUTED_VALUE"""),320.5)</f>
        <v>320.5</v>
      </c>
      <c r="D6" s="2">
        <f>IFERROR(__xludf.DUMMYFUNCTION("""COMPUTED_VALUE"""),314.75)</f>
        <v>314.75</v>
      </c>
      <c r="E6" s="2">
        <f>IFERROR(__xludf.DUMMYFUNCTION("""COMPUTED_VALUE"""),315.53)</f>
        <v>315.53</v>
      </c>
      <c r="F6" s="2">
        <f>IFERROR(__xludf.DUMMYFUNCTION("""COMPUTED_VALUE"""),4399047.0)</f>
        <v>4399047</v>
      </c>
    </row>
    <row r="7">
      <c r="A7" s="3">
        <f>IFERROR(__xludf.DUMMYFUNCTION("""COMPUTED_VALUE"""),44936.66666666667)</f>
        <v>44936.66667</v>
      </c>
      <c r="B7" s="2">
        <f>IFERROR(__xludf.DUMMYFUNCTION("""COMPUTED_VALUE"""),315.0)</f>
        <v>315</v>
      </c>
      <c r="C7" s="2">
        <f>IFERROR(__xludf.DUMMYFUNCTION("""COMPUTED_VALUE"""),316.8)</f>
        <v>316.8</v>
      </c>
      <c r="D7" s="2">
        <f>IFERROR(__xludf.DUMMYFUNCTION("""COMPUTED_VALUE"""),313.34)</f>
        <v>313.34</v>
      </c>
      <c r="E7" s="2">
        <f>IFERROR(__xludf.DUMMYFUNCTION("""COMPUTED_VALUE"""),316.35)</f>
        <v>316.35</v>
      </c>
      <c r="F7" s="2">
        <f>IFERROR(__xludf.DUMMYFUNCTION("""COMPUTED_VALUE"""),3050322.0)</f>
        <v>3050322</v>
      </c>
    </row>
    <row r="8">
      <c r="A8" s="3">
        <f>IFERROR(__xludf.DUMMYFUNCTION("""COMPUTED_VALUE"""),44937.66666666667)</f>
        <v>44937.66667</v>
      </c>
      <c r="B8" s="2">
        <f>IFERROR(__xludf.DUMMYFUNCTION("""COMPUTED_VALUE"""),318.52)</f>
        <v>318.52</v>
      </c>
      <c r="C8" s="2">
        <f>IFERROR(__xludf.DUMMYFUNCTION("""COMPUTED_VALUE"""),320.57)</f>
        <v>320.57</v>
      </c>
      <c r="D8" s="2">
        <f>IFERROR(__xludf.DUMMYFUNCTION("""COMPUTED_VALUE"""),316.6)</f>
        <v>316.6</v>
      </c>
      <c r="E8" s="2">
        <f>IFERROR(__xludf.DUMMYFUNCTION("""COMPUTED_VALUE"""),320.37)</f>
        <v>320.37</v>
      </c>
      <c r="F8" s="2">
        <f>IFERROR(__xludf.DUMMYFUNCTION("""COMPUTED_VALUE"""),3001242.0)</f>
        <v>3001242</v>
      </c>
    </row>
    <row r="9">
      <c r="A9" s="3">
        <f>IFERROR(__xludf.DUMMYFUNCTION("""COMPUTED_VALUE"""),44938.66666666667)</f>
        <v>44938.66667</v>
      </c>
      <c r="B9" s="2">
        <f>IFERROR(__xludf.DUMMYFUNCTION("""COMPUTED_VALUE"""),321.15)</f>
        <v>321.15</v>
      </c>
      <c r="C9" s="2">
        <f>IFERROR(__xludf.DUMMYFUNCTION("""COMPUTED_VALUE"""),321.32)</f>
        <v>321.32</v>
      </c>
      <c r="D9" s="2">
        <f>IFERROR(__xludf.DUMMYFUNCTION("""COMPUTED_VALUE"""),317.72)</f>
        <v>317.72</v>
      </c>
      <c r="E9" s="2">
        <f>IFERROR(__xludf.DUMMYFUNCTION("""COMPUTED_VALUE"""),318.93)</f>
        <v>318.93</v>
      </c>
      <c r="F9" s="2">
        <f>IFERROR(__xludf.DUMMYFUNCTION("""COMPUTED_VALUE"""),3075151.0)</f>
        <v>3075151</v>
      </c>
    </row>
    <row r="10">
      <c r="A10" s="3">
        <f>IFERROR(__xludf.DUMMYFUNCTION("""COMPUTED_VALUE"""),44939.66666666667)</f>
        <v>44939.66667</v>
      </c>
      <c r="B10" s="2">
        <f>IFERROR(__xludf.DUMMYFUNCTION("""COMPUTED_VALUE"""),317.49)</f>
        <v>317.49</v>
      </c>
      <c r="C10" s="2">
        <f>IFERROR(__xludf.DUMMYFUNCTION("""COMPUTED_VALUE"""),318.42)</f>
        <v>318.42</v>
      </c>
      <c r="D10" s="2">
        <f>IFERROR(__xludf.DUMMYFUNCTION("""COMPUTED_VALUE"""),315.79)</f>
        <v>315.79</v>
      </c>
      <c r="E10" s="2">
        <f>IFERROR(__xludf.DUMMYFUNCTION("""COMPUTED_VALUE"""),317.64)</f>
        <v>317.64</v>
      </c>
      <c r="F10" s="2">
        <f>IFERROR(__xludf.DUMMYFUNCTION("""COMPUTED_VALUE"""),2773650.0)</f>
        <v>2773650</v>
      </c>
    </row>
    <row r="11">
      <c r="A11" s="3">
        <f>IFERROR(__xludf.DUMMYFUNCTION("""COMPUTED_VALUE"""),44943.66666666667)</f>
        <v>44943.66667</v>
      </c>
      <c r="B11" s="2">
        <f>IFERROR(__xludf.DUMMYFUNCTION("""COMPUTED_VALUE"""),318.4)</f>
        <v>318.4</v>
      </c>
      <c r="C11" s="2">
        <f>IFERROR(__xludf.DUMMYFUNCTION("""COMPUTED_VALUE"""),318.52)</f>
        <v>318.52</v>
      </c>
      <c r="D11" s="2">
        <f>IFERROR(__xludf.DUMMYFUNCTION("""COMPUTED_VALUE"""),314.25)</f>
        <v>314.25</v>
      </c>
      <c r="E11" s="2">
        <f>IFERROR(__xludf.DUMMYFUNCTION("""COMPUTED_VALUE"""),314.86)</f>
        <v>314.86</v>
      </c>
      <c r="F11" s="2">
        <f>IFERROR(__xludf.DUMMYFUNCTION("""COMPUTED_VALUE"""),3479442.0)</f>
        <v>3479442</v>
      </c>
    </row>
    <row r="12">
      <c r="A12" s="3">
        <f>IFERROR(__xludf.DUMMYFUNCTION("""COMPUTED_VALUE"""),44944.66666666667)</f>
        <v>44944.66667</v>
      </c>
      <c r="B12" s="2">
        <f>IFERROR(__xludf.DUMMYFUNCTION("""COMPUTED_VALUE"""),315.0)</f>
        <v>315</v>
      </c>
      <c r="C12" s="2">
        <f>IFERROR(__xludf.DUMMYFUNCTION("""COMPUTED_VALUE"""),315.54)</f>
        <v>315.54</v>
      </c>
      <c r="D12" s="2">
        <f>IFERROR(__xludf.DUMMYFUNCTION("""COMPUTED_VALUE"""),307.75)</f>
        <v>307.75</v>
      </c>
      <c r="E12" s="2">
        <f>IFERROR(__xludf.DUMMYFUNCTION("""COMPUTED_VALUE"""),308.3)</f>
        <v>308.3</v>
      </c>
      <c r="F12" s="2">
        <f>IFERROR(__xludf.DUMMYFUNCTION("""COMPUTED_VALUE"""),3408726.0)</f>
        <v>3408726</v>
      </c>
    </row>
    <row r="13">
      <c r="A13" s="3">
        <f>IFERROR(__xludf.DUMMYFUNCTION("""COMPUTED_VALUE"""),44945.66666666667)</f>
        <v>44945.66667</v>
      </c>
      <c r="B13" s="2">
        <f>IFERROR(__xludf.DUMMYFUNCTION("""COMPUTED_VALUE"""),306.12)</f>
        <v>306.12</v>
      </c>
      <c r="C13" s="2">
        <f>IFERROR(__xludf.DUMMYFUNCTION("""COMPUTED_VALUE"""),307.24)</f>
        <v>307.24</v>
      </c>
      <c r="D13" s="2">
        <f>IFERROR(__xludf.DUMMYFUNCTION("""COMPUTED_VALUE"""),303.86)</f>
        <v>303.86</v>
      </c>
      <c r="E13" s="2">
        <f>IFERROR(__xludf.DUMMYFUNCTION("""COMPUTED_VALUE"""),305.23)</f>
        <v>305.23</v>
      </c>
      <c r="F13" s="2">
        <f>IFERROR(__xludf.DUMMYFUNCTION("""COMPUTED_VALUE"""),3615144.0)</f>
        <v>3615144</v>
      </c>
    </row>
    <row r="14">
      <c r="A14" s="3">
        <f>IFERROR(__xludf.DUMMYFUNCTION("""COMPUTED_VALUE"""),44946.66666666667)</f>
        <v>44946.66667</v>
      </c>
      <c r="B14" s="2">
        <f>IFERROR(__xludf.DUMMYFUNCTION("""COMPUTED_VALUE"""),305.21)</f>
        <v>305.21</v>
      </c>
      <c r="C14" s="2">
        <f>IFERROR(__xludf.DUMMYFUNCTION("""COMPUTED_VALUE"""),310.01)</f>
        <v>310.01</v>
      </c>
      <c r="D14" s="2">
        <f>IFERROR(__xludf.DUMMYFUNCTION("""COMPUTED_VALUE"""),304.36)</f>
        <v>304.36</v>
      </c>
      <c r="E14" s="2">
        <f>IFERROR(__xludf.DUMMYFUNCTION("""COMPUTED_VALUE"""),309.87)</f>
        <v>309.87</v>
      </c>
      <c r="F14" s="2">
        <f>IFERROR(__xludf.DUMMYFUNCTION("""COMPUTED_VALUE"""),3772210.0)</f>
        <v>3772210</v>
      </c>
    </row>
    <row r="15">
      <c r="A15" s="3">
        <f>IFERROR(__xludf.DUMMYFUNCTION("""COMPUTED_VALUE"""),44949.66666666667)</f>
        <v>44949.66667</v>
      </c>
      <c r="B15" s="2">
        <f>IFERROR(__xludf.DUMMYFUNCTION("""COMPUTED_VALUE"""),309.63)</f>
        <v>309.63</v>
      </c>
      <c r="C15" s="2">
        <f>IFERROR(__xludf.DUMMYFUNCTION("""COMPUTED_VALUE"""),312.73)</f>
        <v>312.73</v>
      </c>
      <c r="D15" s="2">
        <f>IFERROR(__xludf.DUMMYFUNCTION("""COMPUTED_VALUE"""),306.85)</f>
        <v>306.85</v>
      </c>
      <c r="E15" s="2">
        <f>IFERROR(__xludf.DUMMYFUNCTION("""COMPUTED_VALUE"""),310.42)</f>
        <v>310.42</v>
      </c>
      <c r="F15" s="2">
        <f>IFERROR(__xludf.DUMMYFUNCTION("""COMPUTED_VALUE"""),3088133.0)</f>
        <v>3088133</v>
      </c>
    </row>
    <row r="16">
      <c r="A16" s="3">
        <f>IFERROR(__xludf.DUMMYFUNCTION("""COMPUTED_VALUE"""),44950.66666666667)</f>
        <v>44950.66667</v>
      </c>
      <c r="B16" s="2">
        <f>IFERROR(__xludf.DUMMYFUNCTION("""COMPUTED_VALUE"""),309.3)</f>
        <v>309.3</v>
      </c>
      <c r="C16" s="2">
        <f>IFERROR(__xludf.DUMMYFUNCTION("""COMPUTED_VALUE"""),312.83)</f>
        <v>312.83</v>
      </c>
      <c r="D16" s="2">
        <f>IFERROR(__xludf.DUMMYFUNCTION("""COMPUTED_VALUE"""),307.5)</f>
        <v>307.5</v>
      </c>
      <c r="E16" s="2">
        <f>IFERROR(__xludf.DUMMYFUNCTION("""COMPUTED_VALUE"""),311.3)</f>
        <v>311.3</v>
      </c>
      <c r="F16" s="2">
        <f>IFERROR(__xludf.DUMMYFUNCTION("""COMPUTED_VALUE"""),2234333.0)</f>
        <v>2234333</v>
      </c>
    </row>
    <row r="17">
      <c r="A17" s="3">
        <f>IFERROR(__xludf.DUMMYFUNCTION("""COMPUTED_VALUE"""),44951.66666666667)</f>
        <v>44951.66667</v>
      </c>
      <c r="B17" s="2">
        <f>IFERROR(__xludf.DUMMYFUNCTION("""COMPUTED_VALUE"""),308.33)</f>
        <v>308.33</v>
      </c>
      <c r="C17" s="2">
        <f>IFERROR(__xludf.DUMMYFUNCTION("""COMPUTED_VALUE"""),312.55)</f>
        <v>312.55</v>
      </c>
      <c r="D17" s="2">
        <f>IFERROR(__xludf.DUMMYFUNCTION("""COMPUTED_VALUE"""),307.71)</f>
        <v>307.71</v>
      </c>
      <c r="E17" s="2">
        <f>IFERROR(__xludf.DUMMYFUNCTION("""COMPUTED_VALUE"""),311.9)</f>
        <v>311.9</v>
      </c>
      <c r="F17" s="2">
        <f>IFERROR(__xludf.DUMMYFUNCTION("""COMPUTED_VALUE"""),2300785.0)</f>
        <v>2300785</v>
      </c>
    </row>
    <row r="18">
      <c r="A18" s="3">
        <f>IFERROR(__xludf.DUMMYFUNCTION("""COMPUTED_VALUE"""),44952.66666666667)</f>
        <v>44952.66667</v>
      </c>
      <c r="B18" s="2">
        <f>IFERROR(__xludf.DUMMYFUNCTION("""COMPUTED_VALUE"""),312.99)</f>
        <v>312.99</v>
      </c>
      <c r="C18" s="2">
        <f>IFERROR(__xludf.DUMMYFUNCTION("""COMPUTED_VALUE"""),313.68)</f>
        <v>313.68</v>
      </c>
      <c r="D18" s="2">
        <f>IFERROR(__xludf.DUMMYFUNCTION("""COMPUTED_VALUE"""),309.58)</f>
        <v>309.58</v>
      </c>
      <c r="E18" s="2">
        <f>IFERROR(__xludf.DUMMYFUNCTION("""COMPUTED_VALUE"""),310.95)</f>
        <v>310.95</v>
      </c>
      <c r="F18" s="2">
        <f>IFERROR(__xludf.DUMMYFUNCTION("""COMPUTED_VALUE"""),2858754.0)</f>
        <v>2858754</v>
      </c>
    </row>
    <row r="19">
      <c r="A19" s="3">
        <f>IFERROR(__xludf.DUMMYFUNCTION("""COMPUTED_VALUE"""),44953.66666666667)</f>
        <v>44953.66667</v>
      </c>
      <c r="B19" s="2">
        <f>IFERROR(__xludf.DUMMYFUNCTION("""COMPUTED_VALUE"""),309.79)</f>
        <v>309.79</v>
      </c>
      <c r="C19" s="2">
        <f>IFERROR(__xludf.DUMMYFUNCTION("""COMPUTED_VALUE"""),311.73)</f>
        <v>311.73</v>
      </c>
      <c r="D19" s="2">
        <f>IFERROR(__xludf.DUMMYFUNCTION("""COMPUTED_VALUE"""),308.34)</f>
        <v>308.34</v>
      </c>
      <c r="E19" s="2">
        <f>IFERROR(__xludf.DUMMYFUNCTION("""COMPUTED_VALUE"""),309.17)</f>
        <v>309.17</v>
      </c>
      <c r="F19" s="2">
        <f>IFERROR(__xludf.DUMMYFUNCTION("""COMPUTED_VALUE"""),3034223.0)</f>
        <v>3034223</v>
      </c>
    </row>
    <row r="20">
      <c r="A20" s="3">
        <f>IFERROR(__xludf.DUMMYFUNCTION("""COMPUTED_VALUE"""),44956.66666666667)</f>
        <v>44956.66667</v>
      </c>
      <c r="B20" s="2">
        <f>IFERROR(__xludf.DUMMYFUNCTION("""COMPUTED_VALUE"""),307.6)</f>
        <v>307.6</v>
      </c>
      <c r="C20" s="2">
        <f>IFERROR(__xludf.DUMMYFUNCTION("""COMPUTED_VALUE"""),309.51)</f>
        <v>309.51</v>
      </c>
      <c r="D20" s="2">
        <f>IFERROR(__xludf.DUMMYFUNCTION("""COMPUTED_VALUE"""),306.81)</f>
        <v>306.81</v>
      </c>
      <c r="E20" s="2">
        <f>IFERROR(__xludf.DUMMYFUNCTION("""COMPUTED_VALUE"""),307.33)</f>
        <v>307.33</v>
      </c>
      <c r="F20" s="2">
        <f>IFERROR(__xludf.DUMMYFUNCTION("""COMPUTED_VALUE"""),3475781.0)</f>
        <v>3475781</v>
      </c>
    </row>
    <row r="21">
      <c r="A21" s="3">
        <f>IFERROR(__xludf.DUMMYFUNCTION("""COMPUTED_VALUE"""),44957.66666666667)</f>
        <v>44957.66667</v>
      </c>
      <c r="B21" s="2">
        <f>IFERROR(__xludf.DUMMYFUNCTION("""COMPUTED_VALUE"""),307.74)</f>
        <v>307.74</v>
      </c>
      <c r="C21" s="2">
        <f>IFERROR(__xludf.DUMMYFUNCTION("""COMPUTED_VALUE"""),311.86)</f>
        <v>311.86</v>
      </c>
      <c r="D21" s="2">
        <f>IFERROR(__xludf.DUMMYFUNCTION("""COMPUTED_VALUE"""),305.79)</f>
        <v>305.79</v>
      </c>
      <c r="E21" s="2">
        <f>IFERROR(__xludf.DUMMYFUNCTION("""COMPUTED_VALUE"""),311.52)</f>
        <v>311.52</v>
      </c>
      <c r="F21" s="2">
        <f>IFERROR(__xludf.DUMMYFUNCTION("""COMPUTED_VALUE"""),3655334.0)</f>
        <v>3655334</v>
      </c>
    </row>
    <row r="22">
      <c r="A22" s="3">
        <f>IFERROR(__xludf.DUMMYFUNCTION("""COMPUTED_VALUE"""),44958.66666666667)</f>
        <v>44958.66667</v>
      </c>
      <c r="B22" s="2">
        <f>IFERROR(__xludf.DUMMYFUNCTION("""COMPUTED_VALUE"""),309.63)</f>
        <v>309.63</v>
      </c>
      <c r="C22" s="2">
        <f>IFERROR(__xludf.DUMMYFUNCTION("""COMPUTED_VALUE"""),312.67)</f>
        <v>312.67</v>
      </c>
      <c r="D22" s="2">
        <f>IFERROR(__xludf.DUMMYFUNCTION("""COMPUTED_VALUE"""),306.38)</f>
        <v>306.38</v>
      </c>
      <c r="E22" s="2">
        <f>IFERROR(__xludf.DUMMYFUNCTION("""COMPUTED_VALUE"""),310.57)</f>
        <v>310.57</v>
      </c>
      <c r="F22" s="2">
        <f>IFERROR(__xludf.DUMMYFUNCTION("""COMPUTED_VALUE"""),3520304.0)</f>
        <v>3520304</v>
      </c>
    </row>
    <row r="23">
      <c r="A23" s="3">
        <f>IFERROR(__xludf.DUMMYFUNCTION("""COMPUTED_VALUE"""),44959.66666666667)</f>
        <v>44959.66667</v>
      </c>
      <c r="B23" s="2">
        <f>IFERROR(__xludf.DUMMYFUNCTION("""COMPUTED_VALUE"""),312.35)</f>
        <v>312.35</v>
      </c>
      <c r="C23" s="2">
        <f>IFERROR(__xludf.DUMMYFUNCTION("""COMPUTED_VALUE"""),312.6)</f>
        <v>312.6</v>
      </c>
      <c r="D23" s="2">
        <f>IFERROR(__xludf.DUMMYFUNCTION("""COMPUTED_VALUE"""),308.3)</f>
        <v>308.3</v>
      </c>
      <c r="E23" s="2">
        <f>IFERROR(__xludf.DUMMYFUNCTION("""COMPUTED_VALUE"""),311.86)</f>
        <v>311.86</v>
      </c>
      <c r="F23" s="2">
        <f>IFERROR(__xludf.DUMMYFUNCTION("""COMPUTED_VALUE"""),4430266.0)</f>
        <v>4430266</v>
      </c>
    </row>
    <row r="24">
      <c r="A24" s="3">
        <f>IFERROR(__xludf.DUMMYFUNCTION("""COMPUTED_VALUE"""),44960.66666666667)</f>
        <v>44960.66667</v>
      </c>
      <c r="B24" s="2">
        <f>IFERROR(__xludf.DUMMYFUNCTION("""COMPUTED_VALUE"""),311.0)</f>
        <v>311</v>
      </c>
      <c r="C24" s="2">
        <f>IFERROR(__xludf.DUMMYFUNCTION("""COMPUTED_VALUE"""),311.55)</f>
        <v>311.55</v>
      </c>
      <c r="D24" s="2">
        <f>IFERROR(__xludf.DUMMYFUNCTION("""COMPUTED_VALUE"""),305.92)</f>
        <v>305.92</v>
      </c>
      <c r="E24" s="2">
        <f>IFERROR(__xludf.DUMMYFUNCTION("""COMPUTED_VALUE"""),308.51)</f>
        <v>308.51</v>
      </c>
      <c r="F24" s="2">
        <f>IFERROR(__xludf.DUMMYFUNCTION("""COMPUTED_VALUE"""),5387548.0)</f>
        <v>5387548</v>
      </c>
    </row>
    <row r="25">
      <c r="A25" s="3">
        <f>IFERROR(__xludf.DUMMYFUNCTION("""COMPUTED_VALUE"""),44963.66666666667)</f>
        <v>44963.66667</v>
      </c>
      <c r="B25" s="2">
        <f>IFERROR(__xludf.DUMMYFUNCTION("""COMPUTED_VALUE"""),308.25)</f>
        <v>308.25</v>
      </c>
      <c r="C25" s="2">
        <f>IFERROR(__xludf.DUMMYFUNCTION("""COMPUTED_VALUE"""),308.8)</f>
        <v>308.8</v>
      </c>
      <c r="D25" s="2">
        <f>IFERROR(__xludf.DUMMYFUNCTION("""COMPUTED_VALUE"""),305.6)</f>
        <v>305.6</v>
      </c>
      <c r="E25" s="2">
        <f>IFERROR(__xludf.DUMMYFUNCTION("""COMPUTED_VALUE"""),308.43)</f>
        <v>308.43</v>
      </c>
      <c r="F25" s="2">
        <f>IFERROR(__xludf.DUMMYFUNCTION("""COMPUTED_VALUE"""),2980217.0)</f>
        <v>2980217</v>
      </c>
    </row>
    <row r="26">
      <c r="A26" s="3">
        <f>IFERROR(__xludf.DUMMYFUNCTION("""COMPUTED_VALUE"""),44964.66666666667)</f>
        <v>44964.66667</v>
      </c>
      <c r="B26" s="2">
        <f>IFERROR(__xludf.DUMMYFUNCTION("""COMPUTED_VALUE"""),307.3)</f>
        <v>307.3</v>
      </c>
      <c r="C26" s="2">
        <f>IFERROR(__xludf.DUMMYFUNCTION("""COMPUTED_VALUE"""),314.15)</f>
        <v>314.15</v>
      </c>
      <c r="D26" s="2">
        <f>IFERROR(__xludf.DUMMYFUNCTION("""COMPUTED_VALUE"""),306.63)</f>
        <v>306.63</v>
      </c>
      <c r="E26" s="2">
        <f>IFERROR(__xludf.DUMMYFUNCTION("""COMPUTED_VALUE"""),312.97)</f>
        <v>312.97</v>
      </c>
      <c r="F26" s="2">
        <f>IFERROR(__xludf.DUMMYFUNCTION("""COMPUTED_VALUE"""),3788007.0)</f>
        <v>3788007</v>
      </c>
    </row>
    <row r="27">
      <c r="A27" s="3">
        <f>IFERROR(__xludf.DUMMYFUNCTION("""COMPUTED_VALUE"""),44965.66666666667)</f>
        <v>44965.66667</v>
      </c>
      <c r="B27" s="2">
        <f>IFERROR(__xludf.DUMMYFUNCTION("""COMPUTED_VALUE"""),311.12)</f>
        <v>311.12</v>
      </c>
      <c r="C27" s="2">
        <f>IFERROR(__xludf.DUMMYFUNCTION("""COMPUTED_VALUE"""),313.41)</f>
        <v>313.41</v>
      </c>
      <c r="D27" s="2">
        <f>IFERROR(__xludf.DUMMYFUNCTION("""COMPUTED_VALUE"""),308.01)</f>
        <v>308.01</v>
      </c>
      <c r="E27" s="2">
        <f>IFERROR(__xludf.DUMMYFUNCTION("""COMPUTED_VALUE"""),308.48)</f>
        <v>308.48</v>
      </c>
      <c r="F27" s="2">
        <f>IFERROR(__xludf.DUMMYFUNCTION("""COMPUTED_VALUE"""),3370587.0)</f>
        <v>3370587</v>
      </c>
    </row>
    <row r="28">
      <c r="A28" s="3">
        <f>IFERROR(__xludf.DUMMYFUNCTION("""COMPUTED_VALUE"""),44966.66666666667)</f>
        <v>44966.66667</v>
      </c>
      <c r="B28" s="2">
        <f>IFERROR(__xludf.DUMMYFUNCTION("""COMPUTED_VALUE"""),310.17)</f>
        <v>310.17</v>
      </c>
      <c r="C28" s="2">
        <f>IFERROR(__xludf.DUMMYFUNCTION("""COMPUTED_VALUE"""),311.42)</f>
        <v>311.42</v>
      </c>
      <c r="D28" s="2">
        <f>IFERROR(__xludf.DUMMYFUNCTION("""COMPUTED_VALUE"""),306.99)</f>
        <v>306.99</v>
      </c>
      <c r="E28" s="2">
        <f>IFERROR(__xludf.DUMMYFUNCTION("""COMPUTED_VALUE"""),307.21)</f>
        <v>307.21</v>
      </c>
      <c r="F28" s="2">
        <f>IFERROR(__xludf.DUMMYFUNCTION("""COMPUTED_VALUE"""),3462603.0)</f>
        <v>3462603</v>
      </c>
    </row>
    <row r="29">
      <c r="A29" s="3">
        <f>IFERROR(__xludf.DUMMYFUNCTION("""COMPUTED_VALUE"""),44967.66666666667)</f>
        <v>44967.66667</v>
      </c>
      <c r="B29" s="2">
        <f>IFERROR(__xludf.DUMMYFUNCTION("""COMPUTED_VALUE"""),307.08)</f>
        <v>307.08</v>
      </c>
      <c r="C29" s="2">
        <f>IFERROR(__xludf.DUMMYFUNCTION("""COMPUTED_VALUE"""),309.98)</f>
        <v>309.98</v>
      </c>
      <c r="D29" s="2">
        <f>IFERROR(__xludf.DUMMYFUNCTION("""COMPUTED_VALUE"""),305.28)</f>
        <v>305.28</v>
      </c>
      <c r="E29" s="2">
        <f>IFERROR(__xludf.DUMMYFUNCTION("""COMPUTED_VALUE"""),309.89)</f>
        <v>309.89</v>
      </c>
      <c r="F29" s="2">
        <f>IFERROR(__xludf.DUMMYFUNCTION("""COMPUTED_VALUE"""),2811155.0)</f>
        <v>2811155</v>
      </c>
    </row>
    <row r="30">
      <c r="A30" s="3">
        <f>IFERROR(__xludf.DUMMYFUNCTION("""COMPUTED_VALUE"""),44970.66666666667)</f>
        <v>44970.66667</v>
      </c>
      <c r="B30" s="2">
        <f>IFERROR(__xludf.DUMMYFUNCTION("""COMPUTED_VALUE"""),310.3)</f>
        <v>310.3</v>
      </c>
      <c r="C30" s="2">
        <f>IFERROR(__xludf.DUMMYFUNCTION("""COMPUTED_VALUE"""),313.74)</f>
        <v>313.74</v>
      </c>
      <c r="D30" s="2">
        <f>IFERROR(__xludf.DUMMYFUNCTION("""COMPUTED_VALUE"""),309.62)</f>
        <v>309.62</v>
      </c>
      <c r="E30" s="2">
        <f>IFERROR(__xludf.DUMMYFUNCTION("""COMPUTED_VALUE"""),313.74)</f>
        <v>313.74</v>
      </c>
      <c r="F30" s="2">
        <f>IFERROR(__xludf.DUMMYFUNCTION("""COMPUTED_VALUE"""),3261952.0)</f>
        <v>3261952</v>
      </c>
    </row>
    <row r="31">
      <c r="A31" s="3">
        <f>IFERROR(__xludf.DUMMYFUNCTION("""COMPUTED_VALUE"""),44971.66666666667)</f>
        <v>44971.66667</v>
      </c>
      <c r="B31" s="2">
        <f>IFERROR(__xludf.DUMMYFUNCTION("""COMPUTED_VALUE"""),313.78)</f>
        <v>313.78</v>
      </c>
      <c r="C31" s="2">
        <f>IFERROR(__xludf.DUMMYFUNCTION("""COMPUTED_VALUE"""),314.1)</f>
        <v>314.1</v>
      </c>
      <c r="D31" s="2">
        <f>IFERROR(__xludf.DUMMYFUNCTION("""COMPUTED_VALUE"""),309.04)</f>
        <v>309.04</v>
      </c>
      <c r="E31" s="2">
        <f>IFERROR(__xludf.DUMMYFUNCTION("""COMPUTED_VALUE"""),310.79)</f>
        <v>310.79</v>
      </c>
      <c r="F31" s="2">
        <f>IFERROR(__xludf.DUMMYFUNCTION("""COMPUTED_VALUE"""),2908849.0)</f>
        <v>2908849</v>
      </c>
    </row>
    <row r="32">
      <c r="A32" s="3">
        <f>IFERROR(__xludf.DUMMYFUNCTION("""COMPUTED_VALUE"""),44972.66666666667)</f>
        <v>44972.66667</v>
      </c>
      <c r="B32" s="2">
        <f>IFERROR(__xludf.DUMMYFUNCTION("""COMPUTED_VALUE"""),309.98)</f>
        <v>309.98</v>
      </c>
      <c r="C32" s="2">
        <f>IFERROR(__xludf.DUMMYFUNCTION("""COMPUTED_VALUE"""),310.37)</f>
        <v>310.37</v>
      </c>
      <c r="D32" s="2">
        <f>IFERROR(__xludf.DUMMYFUNCTION("""COMPUTED_VALUE"""),308.28)</f>
        <v>308.28</v>
      </c>
      <c r="E32" s="2">
        <f>IFERROR(__xludf.DUMMYFUNCTION("""COMPUTED_VALUE"""),309.63)</f>
        <v>309.63</v>
      </c>
      <c r="F32" s="2">
        <f>IFERROR(__xludf.DUMMYFUNCTION("""COMPUTED_VALUE"""),2411819.0)</f>
        <v>2411819</v>
      </c>
    </row>
    <row r="33">
      <c r="A33" s="3">
        <f>IFERROR(__xludf.DUMMYFUNCTION("""COMPUTED_VALUE"""),44973.66666666667)</f>
        <v>44973.66667</v>
      </c>
      <c r="B33" s="2">
        <f>IFERROR(__xludf.DUMMYFUNCTION("""COMPUTED_VALUE"""),307.58)</f>
        <v>307.58</v>
      </c>
      <c r="C33" s="2">
        <f>IFERROR(__xludf.DUMMYFUNCTION("""COMPUTED_VALUE"""),310.2)</f>
        <v>310.2</v>
      </c>
      <c r="D33" s="2">
        <f>IFERROR(__xludf.DUMMYFUNCTION("""COMPUTED_VALUE"""),306.87)</f>
        <v>306.87</v>
      </c>
      <c r="E33" s="2">
        <f>IFERROR(__xludf.DUMMYFUNCTION("""COMPUTED_VALUE"""),308.18)</f>
        <v>308.18</v>
      </c>
      <c r="F33" s="2">
        <f>IFERROR(__xludf.DUMMYFUNCTION("""COMPUTED_VALUE"""),2803844.0)</f>
        <v>2803844</v>
      </c>
    </row>
    <row r="34">
      <c r="A34" s="3">
        <f>IFERROR(__xludf.DUMMYFUNCTION("""COMPUTED_VALUE"""),44974.66666666667)</f>
        <v>44974.66667</v>
      </c>
      <c r="B34" s="2">
        <f>IFERROR(__xludf.DUMMYFUNCTION("""COMPUTED_VALUE"""),307.15)</f>
        <v>307.15</v>
      </c>
      <c r="C34" s="2">
        <f>IFERROR(__xludf.DUMMYFUNCTION("""COMPUTED_VALUE"""),308.41)</f>
        <v>308.41</v>
      </c>
      <c r="D34" s="2">
        <f>IFERROR(__xludf.DUMMYFUNCTION("""COMPUTED_VALUE"""),305.48)</f>
        <v>305.48</v>
      </c>
      <c r="E34" s="2">
        <f>IFERROR(__xludf.DUMMYFUNCTION("""COMPUTED_VALUE"""),308.24)</f>
        <v>308.24</v>
      </c>
      <c r="F34" s="2">
        <f>IFERROR(__xludf.DUMMYFUNCTION("""COMPUTED_VALUE"""),2721407.0)</f>
        <v>2721407</v>
      </c>
    </row>
    <row r="35">
      <c r="A35" s="3">
        <f>IFERROR(__xludf.DUMMYFUNCTION("""COMPUTED_VALUE"""),44978.66666666667)</f>
        <v>44978.66667</v>
      </c>
      <c r="B35" s="2">
        <f>IFERROR(__xludf.DUMMYFUNCTION("""COMPUTED_VALUE"""),306.17)</f>
        <v>306.17</v>
      </c>
      <c r="C35" s="2">
        <f>IFERROR(__xludf.DUMMYFUNCTION("""COMPUTED_VALUE"""),307.3)</f>
        <v>307.3</v>
      </c>
      <c r="D35" s="2">
        <f>IFERROR(__xludf.DUMMYFUNCTION("""COMPUTED_VALUE"""),300.5)</f>
        <v>300.5</v>
      </c>
      <c r="E35" s="2">
        <f>IFERROR(__xludf.DUMMYFUNCTION("""COMPUTED_VALUE"""),302.72)</f>
        <v>302.72</v>
      </c>
      <c r="F35" s="2">
        <f>IFERROR(__xludf.DUMMYFUNCTION("""COMPUTED_VALUE"""),4131732.0)</f>
        <v>4131732</v>
      </c>
    </row>
    <row r="36">
      <c r="A36" s="3">
        <f>IFERROR(__xludf.DUMMYFUNCTION("""COMPUTED_VALUE"""),44979.66666666667)</f>
        <v>44979.66667</v>
      </c>
      <c r="B36" s="2">
        <f>IFERROR(__xludf.DUMMYFUNCTION("""COMPUTED_VALUE"""),303.2)</f>
        <v>303.2</v>
      </c>
      <c r="C36" s="2">
        <f>IFERROR(__xludf.DUMMYFUNCTION("""COMPUTED_VALUE"""),305.27)</f>
        <v>305.27</v>
      </c>
      <c r="D36" s="2">
        <f>IFERROR(__xludf.DUMMYFUNCTION("""COMPUTED_VALUE"""),301.77)</f>
        <v>301.77</v>
      </c>
      <c r="E36" s="2">
        <f>IFERROR(__xludf.DUMMYFUNCTION("""COMPUTED_VALUE"""),303.16)</f>
        <v>303.16</v>
      </c>
      <c r="F36" s="2">
        <f>IFERROR(__xludf.DUMMYFUNCTION("""COMPUTED_VALUE"""),2900326.0)</f>
        <v>2900326</v>
      </c>
    </row>
    <row r="37">
      <c r="A37" s="3">
        <f>IFERROR(__xludf.DUMMYFUNCTION("""COMPUTED_VALUE"""),44980.66666666667)</f>
        <v>44980.66667</v>
      </c>
      <c r="B37" s="2">
        <f>IFERROR(__xludf.DUMMYFUNCTION("""COMPUTED_VALUE"""),305.01)</f>
        <v>305.01</v>
      </c>
      <c r="C37" s="2">
        <f>IFERROR(__xludf.DUMMYFUNCTION("""COMPUTED_VALUE"""),305.56)</f>
        <v>305.56</v>
      </c>
      <c r="D37" s="2">
        <f>IFERROR(__xludf.DUMMYFUNCTION("""COMPUTED_VALUE"""),300.25)</f>
        <v>300.25</v>
      </c>
      <c r="E37" s="2">
        <f>IFERROR(__xludf.DUMMYFUNCTION("""COMPUTED_VALUE"""),303.07)</f>
        <v>303.07</v>
      </c>
      <c r="F37" s="2">
        <f>IFERROR(__xludf.DUMMYFUNCTION("""COMPUTED_VALUE"""),2739656.0)</f>
        <v>2739656</v>
      </c>
    </row>
    <row r="38">
      <c r="A38" s="3">
        <f>IFERROR(__xludf.DUMMYFUNCTION("""COMPUTED_VALUE"""),44981.66666666667)</f>
        <v>44981.66667</v>
      </c>
      <c r="B38" s="2">
        <f>IFERROR(__xludf.DUMMYFUNCTION("""COMPUTED_VALUE"""),300.4)</f>
        <v>300.4</v>
      </c>
      <c r="C38" s="2">
        <f>IFERROR(__xludf.DUMMYFUNCTION("""COMPUTED_VALUE"""),305.62)</f>
        <v>305.62</v>
      </c>
      <c r="D38" s="2">
        <f>IFERROR(__xludf.DUMMYFUNCTION("""COMPUTED_VALUE"""),300.01)</f>
        <v>300.01</v>
      </c>
      <c r="E38" s="2">
        <f>IFERROR(__xludf.DUMMYFUNCTION("""COMPUTED_VALUE"""),304.02)</f>
        <v>304.02</v>
      </c>
      <c r="F38" s="2">
        <f>IFERROR(__xludf.DUMMYFUNCTION("""COMPUTED_VALUE"""),3659339.0)</f>
        <v>3659339</v>
      </c>
    </row>
    <row r="39">
      <c r="A39" s="3">
        <f>IFERROR(__xludf.DUMMYFUNCTION("""COMPUTED_VALUE"""),44984.66666666667)</f>
        <v>44984.66667</v>
      </c>
      <c r="B39" s="2">
        <f>IFERROR(__xludf.DUMMYFUNCTION("""COMPUTED_VALUE"""),304.37)</f>
        <v>304.37</v>
      </c>
      <c r="C39" s="2">
        <f>IFERROR(__xludf.DUMMYFUNCTION("""COMPUTED_VALUE"""),305.78)</f>
        <v>305.78</v>
      </c>
      <c r="D39" s="2">
        <f>IFERROR(__xludf.DUMMYFUNCTION("""COMPUTED_VALUE"""),302.01)</f>
        <v>302.01</v>
      </c>
      <c r="E39" s="2">
        <f>IFERROR(__xludf.DUMMYFUNCTION("""COMPUTED_VALUE"""),304.66)</f>
        <v>304.66</v>
      </c>
      <c r="F39" s="2">
        <f>IFERROR(__xludf.DUMMYFUNCTION("""COMPUTED_VALUE"""),3652907.0)</f>
        <v>3652907</v>
      </c>
    </row>
    <row r="40">
      <c r="A40" s="3">
        <f>IFERROR(__xludf.DUMMYFUNCTION("""COMPUTED_VALUE"""),44985.66666666667)</f>
        <v>44985.66667</v>
      </c>
      <c r="B40" s="2">
        <f>IFERROR(__xludf.DUMMYFUNCTION("""COMPUTED_VALUE"""),304.89)</f>
        <v>304.89</v>
      </c>
      <c r="C40" s="2">
        <f>IFERROR(__xludf.DUMMYFUNCTION("""COMPUTED_VALUE"""),306.15)</f>
        <v>306.15</v>
      </c>
      <c r="D40" s="2">
        <f>IFERROR(__xludf.DUMMYFUNCTION("""COMPUTED_VALUE"""),303.41)</f>
        <v>303.41</v>
      </c>
      <c r="E40" s="2">
        <f>IFERROR(__xludf.DUMMYFUNCTION("""COMPUTED_VALUE"""),305.18)</f>
        <v>305.18</v>
      </c>
      <c r="F40" s="2">
        <f>IFERROR(__xludf.DUMMYFUNCTION("""COMPUTED_VALUE"""),4737739.0)</f>
        <v>4737739</v>
      </c>
    </row>
    <row r="41">
      <c r="A41" s="3">
        <f>IFERROR(__xludf.DUMMYFUNCTION("""COMPUTED_VALUE"""),44986.66666666667)</f>
        <v>44986.66667</v>
      </c>
      <c r="B41" s="2">
        <f>IFERROR(__xludf.DUMMYFUNCTION("""COMPUTED_VALUE"""),304.02)</f>
        <v>304.02</v>
      </c>
      <c r="C41" s="2">
        <f>IFERROR(__xludf.DUMMYFUNCTION("""COMPUTED_VALUE"""),305.62)</f>
        <v>305.62</v>
      </c>
      <c r="D41" s="2">
        <f>IFERROR(__xludf.DUMMYFUNCTION("""COMPUTED_VALUE"""),302.08)</f>
        <v>302.08</v>
      </c>
      <c r="E41" s="2">
        <f>IFERROR(__xludf.DUMMYFUNCTION("""COMPUTED_VALUE"""),304.62)</f>
        <v>304.62</v>
      </c>
      <c r="F41" s="2">
        <f>IFERROR(__xludf.DUMMYFUNCTION("""COMPUTED_VALUE"""),3400537.0)</f>
        <v>3400537</v>
      </c>
    </row>
    <row r="42">
      <c r="A42" s="3">
        <f>IFERROR(__xludf.DUMMYFUNCTION("""COMPUTED_VALUE"""),44987.66666666667)</f>
        <v>44987.66667</v>
      </c>
      <c r="B42" s="2">
        <f>IFERROR(__xludf.DUMMYFUNCTION("""COMPUTED_VALUE"""),303.66)</f>
        <v>303.66</v>
      </c>
      <c r="C42" s="2">
        <f>IFERROR(__xludf.DUMMYFUNCTION("""COMPUTED_VALUE"""),308.1)</f>
        <v>308.1</v>
      </c>
      <c r="D42" s="2">
        <f>IFERROR(__xludf.DUMMYFUNCTION("""COMPUTED_VALUE"""),301.45)</f>
        <v>301.45</v>
      </c>
      <c r="E42" s="2">
        <f>IFERROR(__xludf.DUMMYFUNCTION("""COMPUTED_VALUE"""),307.75)</f>
        <v>307.75</v>
      </c>
      <c r="F42" s="2">
        <f>IFERROR(__xludf.DUMMYFUNCTION("""COMPUTED_VALUE"""),3153781.0)</f>
        <v>3153781</v>
      </c>
    </row>
    <row r="43">
      <c r="A43" s="3">
        <f>IFERROR(__xludf.DUMMYFUNCTION("""COMPUTED_VALUE"""),44988.66666666667)</f>
        <v>44988.66667</v>
      </c>
      <c r="B43" s="2">
        <f>IFERROR(__xludf.DUMMYFUNCTION("""COMPUTED_VALUE"""),309.56)</f>
        <v>309.56</v>
      </c>
      <c r="C43" s="2">
        <f>IFERROR(__xludf.DUMMYFUNCTION("""COMPUTED_VALUE"""),312.66)</f>
        <v>312.66</v>
      </c>
      <c r="D43" s="2">
        <f>IFERROR(__xludf.DUMMYFUNCTION("""COMPUTED_VALUE"""),308.5)</f>
        <v>308.5</v>
      </c>
      <c r="E43" s="2">
        <f>IFERROR(__xludf.DUMMYFUNCTION("""COMPUTED_VALUE"""),312.45)</f>
        <v>312.45</v>
      </c>
      <c r="F43" s="2">
        <f>IFERROR(__xludf.DUMMYFUNCTION("""COMPUTED_VALUE"""),4493702.0)</f>
        <v>4493702</v>
      </c>
    </row>
    <row r="44">
      <c r="A44" s="3">
        <f>IFERROR(__xludf.DUMMYFUNCTION("""COMPUTED_VALUE"""),44991.66666666667)</f>
        <v>44991.66667</v>
      </c>
      <c r="B44" s="2">
        <f>IFERROR(__xludf.DUMMYFUNCTION("""COMPUTED_VALUE"""),312.82)</f>
        <v>312.82</v>
      </c>
      <c r="C44" s="2">
        <f>IFERROR(__xludf.DUMMYFUNCTION("""COMPUTED_VALUE"""),317.29)</f>
        <v>317.29</v>
      </c>
      <c r="D44" s="2">
        <f>IFERROR(__xludf.DUMMYFUNCTION("""COMPUTED_VALUE"""),312.43)</f>
        <v>312.43</v>
      </c>
      <c r="E44" s="2">
        <f>IFERROR(__xludf.DUMMYFUNCTION("""COMPUTED_VALUE"""),316.97)</f>
        <v>316.97</v>
      </c>
      <c r="F44" s="2">
        <f>IFERROR(__xludf.DUMMYFUNCTION("""COMPUTED_VALUE"""),4892345.0)</f>
        <v>4892345</v>
      </c>
    </row>
    <row r="45">
      <c r="A45" s="3">
        <f>IFERROR(__xludf.DUMMYFUNCTION("""COMPUTED_VALUE"""),44992.66666666667)</f>
        <v>44992.66667</v>
      </c>
      <c r="B45" s="2">
        <f>IFERROR(__xludf.DUMMYFUNCTION("""COMPUTED_VALUE"""),316.39)</f>
        <v>316.39</v>
      </c>
      <c r="C45" s="2">
        <f>IFERROR(__xludf.DUMMYFUNCTION("""COMPUTED_VALUE"""),316.5)</f>
        <v>316.5</v>
      </c>
      <c r="D45" s="2">
        <f>IFERROR(__xludf.DUMMYFUNCTION("""COMPUTED_VALUE"""),310.23)</f>
        <v>310.23</v>
      </c>
      <c r="E45" s="2">
        <f>IFERROR(__xludf.DUMMYFUNCTION("""COMPUTED_VALUE"""),311.12)</f>
        <v>311.12</v>
      </c>
      <c r="F45" s="2">
        <f>IFERROR(__xludf.DUMMYFUNCTION("""COMPUTED_VALUE"""),3610304.0)</f>
        <v>3610304</v>
      </c>
    </row>
    <row r="46">
      <c r="A46" s="3">
        <f>IFERROR(__xludf.DUMMYFUNCTION("""COMPUTED_VALUE"""),44993.66666666667)</f>
        <v>44993.66667</v>
      </c>
      <c r="B46" s="2">
        <f>IFERROR(__xludf.DUMMYFUNCTION("""COMPUTED_VALUE"""),310.72)</f>
        <v>310.72</v>
      </c>
      <c r="C46" s="2">
        <f>IFERROR(__xludf.DUMMYFUNCTION("""COMPUTED_VALUE"""),312.68)</f>
        <v>312.68</v>
      </c>
      <c r="D46" s="2">
        <f>IFERROR(__xludf.DUMMYFUNCTION("""COMPUTED_VALUE"""),309.25)</f>
        <v>309.25</v>
      </c>
      <c r="E46" s="2">
        <f>IFERROR(__xludf.DUMMYFUNCTION("""COMPUTED_VALUE"""),311.37)</f>
        <v>311.37</v>
      </c>
      <c r="F46" s="2">
        <f>IFERROR(__xludf.DUMMYFUNCTION("""COMPUTED_VALUE"""),2706760.0)</f>
        <v>2706760</v>
      </c>
    </row>
    <row r="47">
      <c r="A47" s="3">
        <f>IFERROR(__xludf.DUMMYFUNCTION("""COMPUTED_VALUE"""),44994.66666666667)</f>
        <v>44994.66667</v>
      </c>
      <c r="B47" s="2">
        <f>IFERROR(__xludf.DUMMYFUNCTION("""COMPUTED_VALUE"""),311.0)</f>
        <v>311</v>
      </c>
      <c r="C47" s="2">
        <f>IFERROR(__xludf.DUMMYFUNCTION("""COMPUTED_VALUE"""),313.18)</f>
        <v>313.18</v>
      </c>
      <c r="D47" s="2">
        <f>IFERROR(__xludf.DUMMYFUNCTION("""COMPUTED_VALUE"""),303.94)</f>
        <v>303.94</v>
      </c>
      <c r="E47" s="2">
        <f>IFERROR(__xludf.DUMMYFUNCTION("""COMPUTED_VALUE"""),304.82)</f>
        <v>304.82</v>
      </c>
      <c r="F47" s="2">
        <f>IFERROR(__xludf.DUMMYFUNCTION("""COMPUTED_VALUE"""),3934324.0)</f>
        <v>3934324</v>
      </c>
    </row>
    <row r="48">
      <c r="A48" s="3">
        <f>IFERROR(__xludf.DUMMYFUNCTION("""COMPUTED_VALUE"""),44995.66666666667)</f>
        <v>44995.66667</v>
      </c>
      <c r="B48" s="2">
        <f>IFERROR(__xludf.DUMMYFUNCTION("""COMPUTED_VALUE"""),302.95)</f>
        <v>302.95</v>
      </c>
      <c r="C48" s="2">
        <f>IFERROR(__xludf.DUMMYFUNCTION("""COMPUTED_VALUE"""),306.72)</f>
        <v>306.72</v>
      </c>
      <c r="D48" s="2">
        <f>IFERROR(__xludf.DUMMYFUNCTION("""COMPUTED_VALUE"""),301.92)</f>
        <v>301.92</v>
      </c>
      <c r="E48" s="2">
        <f>IFERROR(__xludf.DUMMYFUNCTION("""COMPUTED_VALUE"""),303.63)</f>
        <v>303.63</v>
      </c>
      <c r="F48" s="2">
        <f>IFERROR(__xludf.DUMMYFUNCTION("""COMPUTED_VALUE"""),5297790.0)</f>
        <v>5297790</v>
      </c>
    </row>
    <row r="49">
      <c r="A49" s="3">
        <f>IFERROR(__xludf.DUMMYFUNCTION("""COMPUTED_VALUE"""),44998.66666666667)</f>
        <v>44998.66667</v>
      </c>
      <c r="B49" s="2">
        <f>IFERROR(__xludf.DUMMYFUNCTION("""COMPUTED_VALUE"""),301.75)</f>
        <v>301.75</v>
      </c>
      <c r="C49" s="2">
        <f>IFERROR(__xludf.DUMMYFUNCTION("""COMPUTED_VALUE"""),306.59)</f>
        <v>306.59</v>
      </c>
      <c r="D49" s="2">
        <f>IFERROR(__xludf.DUMMYFUNCTION("""COMPUTED_VALUE"""),300.76)</f>
        <v>300.76</v>
      </c>
      <c r="E49" s="2">
        <f>IFERROR(__xludf.DUMMYFUNCTION("""COMPUTED_VALUE"""),302.88)</f>
        <v>302.88</v>
      </c>
      <c r="F49" s="2">
        <f>IFERROR(__xludf.DUMMYFUNCTION("""COMPUTED_VALUE"""),4993820.0)</f>
        <v>4993820</v>
      </c>
    </row>
    <row r="50">
      <c r="A50" s="3">
        <f>IFERROR(__xludf.DUMMYFUNCTION("""COMPUTED_VALUE"""),44999.66666666667)</f>
        <v>44999.66667</v>
      </c>
      <c r="B50" s="2">
        <f>IFERROR(__xludf.DUMMYFUNCTION("""COMPUTED_VALUE"""),306.92)</f>
        <v>306.92</v>
      </c>
      <c r="C50" s="2">
        <f>IFERROR(__xludf.DUMMYFUNCTION("""COMPUTED_VALUE"""),307.55)</f>
        <v>307.55</v>
      </c>
      <c r="D50" s="2">
        <f>IFERROR(__xludf.DUMMYFUNCTION("""COMPUTED_VALUE"""),301.68)</f>
        <v>301.68</v>
      </c>
      <c r="E50" s="2">
        <f>IFERROR(__xludf.DUMMYFUNCTION("""COMPUTED_VALUE"""),305.33)</f>
        <v>305.33</v>
      </c>
      <c r="F50" s="2">
        <f>IFERROR(__xludf.DUMMYFUNCTION("""COMPUTED_VALUE"""),5255174.0)</f>
        <v>5255174</v>
      </c>
    </row>
    <row r="51">
      <c r="A51" s="3">
        <f>IFERROR(__xludf.DUMMYFUNCTION("""COMPUTED_VALUE"""),45000.66666666667)</f>
        <v>45000.66667</v>
      </c>
      <c r="B51" s="2">
        <f>IFERROR(__xludf.DUMMYFUNCTION("""COMPUTED_VALUE"""),300.02)</f>
        <v>300.02</v>
      </c>
      <c r="C51" s="2">
        <f>IFERROR(__xludf.DUMMYFUNCTION("""COMPUTED_VALUE"""),300.55)</f>
        <v>300.55</v>
      </c>
      <c r="D51" s="2">
        <f>IFERROR(__xludf.DUMMYFUNCTION("""COMPUTED_VALUE"""),294.9)</f>
        <v>294.9</v>
      </c>
      <c r="E51" s="2">
        <f>IFERROR(__xludf.DUMMYFUNCTION("""COMPUTED_VALUE"""),297.88)</f>
        <v>297.88</v>
      </c>
      <c r="F51" s="2">
        <f>IFERROR(__xludf.DUMMYFUNCTION("""COMPUTED_VALUE"""),7165298.0)</f>
        <v>7165298</v>
      </c>
    </row>
    <row r="52">
      <c r="A52" s="3">
        <f>IFERROR(__xludf.DUMMYFUNCTION("""COMPUTED_VALUE"""),45001.66666666667)</f>
        <v>45001.66667</v>
      </c>
      <c r="B52" s="2">
        <f>IFERROR(__xludf.DUMMYFUNCTION("""COMPUTED_VALUE"""),296.37)</f>
        <v>296.37</v>
      </c>
      <c r="C52" s="2">
        <f>IFERROR(__xludf.DUMMYFUNCTION("""COMPUTED_VALUE"""),304.43)</f>
        <v>304.43</v>
      </c>
      <c r="D52" s="2">
        <f>IFERROR(__xludf.DUMMYFUNCTION("""COMPUTED_VALUE"""),295.36)</f>
        <v>295.36</v>
      </c>
      <c r="E52" s="2">
        <f>IFERROR(__xludf.DUMMYFUNCTION("""COMPUTED_VALUE"""),302.01)</f>
        <v>302.01</v>
      </c>
      <c r="F52" s="2">
        <f>IFERROR(__xludf.DUMMYFUNCTION("""COMPUTED_VALUE"""),6327578.0)</f>
        <v>6327578</v>
      </c>
    </row>
    <row r="53">
      <c r="A53" s="3">
        <f>IFERROR(__xludf.DUMMYFUNCTION("""COMPUTED_VALUE"""),45002.66666666667)</f>
        <v>45002.66667</v>
      </c>
      <c r="B53" s="2">
        <f>IFERROR(__xludf.DUMMYFUNCTION("""COMPUTED_VALUE"""),301.3)</f>
        <v>301.3</v>
      </c>
      <c r="C53" s="2">
        <f>IFERROR(__xludf.DUMMYFUNCTION("""COMPUTED_VALUE"""),301.3)</f>
        <v>301.3</v>
      </c>
      <c r="D53" s="2">
        <f>IFERROR(__xludf.DUMMYFUNCTION("""COMPUTED_VALUE"""),292.42)</f>
        <v>292.42</v>
      </c>
      <c r="E53" s="2">
        <f>IFERROR(__xludf.DUMMYFUNCTION("""COMPUTED_VALUE"""),293.51)</f>
        <v>293.51</v>
      </c>
      <c r="F53" s="2">
        <f>IFERROR(__xludf.DUMMYFUNCTION("""COMPUTED_VALUE"""),1.561127E7)</f>
        <v>15611270</v>
      </c>
    </row>
    <row r="54">
      <c r="A54" s="3">
        <f>IFERROR(__xludf.DUMMYFUNCTION("""COMPUTED_VALUE"""),45005.66666666667)</f>
        <v>45005.66667</v>
      </c>
      <c r="B54" s="2">
        <f>IFERROR(__xludf.DUMMYFUNCTION("""COMPUTED_VALUE"""),295.57)</f>
        <v>295.57</v>
      </c>
      <c r="C54" s="2">
        <f>IFERROR(__xludf.DUMMYFUNCTION("""COMPUTED_VALUE"""),301.51)</f>
        <v>301.51</v>
      </c>
      <c r="D54" s="2">
        <f>IFERROR(__xludf.DUMMYFUNCTION("""COMPUTED_VALUE"""),295.06)</f>
        <v>295.06</v>
      </c>
      <c r="E54" s="2">
        <f>IFERROR(__xludf.DUMMYFUNCTION("""COMPUTED_VALUE"""),301.06)</f>
        <v>301.06</v>
      </c>
      <c r="F54" s="2">
        <f>IFERROR(__xludf.DUMMYFUNCTION("""COMPUTED_VALUE"""),6059923.0)</f>
        <v>6059923</v>
      </c>
    </row>
    <row r="55">
      <c r="A55" s="3">
        <f>IFERROR(__xludf.DUMMYFUNCTION("""COMPUTED_VALUE"""),45006.66666666667)</f>
        <v>45006.66667</v>
      </c>
      <c r="B55" s="2">
        <f>IFERROR(__xludf.DUMMYFUNCTION("""COMPUTED_VALUE"""),304.56)</f>
        <v>304.56</v>
      </c>
      <c r="C55" s="2">
        <f>IFERROR(__xludf.DUMMYFUNCTION("""COMPUTED_VALUE"""),305.63)</f>
        <v>305.63</v>
      </c>
      <c r="D55" s="2">
        <f>IFERROR(__xludf.DUMMYFUNCTION("""COMPUTED_VALUE"""),302.25)</f>
        <v>302.25</v>
      </c>
      <c r="E55" s="2">
        <f>IFERROR(__xludf.DUMMYFUNCTION("""COMPUTED_VALUE"""),303.85)</f>
        <v>303.85</v>
      </c>
      <c r="F55" s="2">
        <f>IFERROR(__xludf.DUMMYFUNCTION("""COMPUTED_VALUE"""),4725100.0)</f>
        <v>4725100</v>
      </c>
    </row>
    <row r="56">
      <c r="A56" s="3">
        <f>IFERROR(__xludf.DUMMYFUNCTION("""COMPUTED_VALUE"""),45007.66666666667)</f>
        <v>45007.66667</v>
      </c>
      <c r="B56" s="2">
        <f>IFERROR(__xludf.DUMMYFUNCTION("""COMPUTED_VALUE"""),303.72)</f>
        <v>303.72</v>
      </c>
      <c r="C56" s="2">
        <f>IFERROR(__xludf.DUMMYFUNCTION("""COMPUTED_VALUE"""),307.05)</f>
        <v>307.05</v>
      </c>
      <c r="D56" s="2">
        <f>IFERROR(__xludf.DUMMYFUNCTION("""COMPUTED_VALUE"""),299.65)</f>
        <v>299.65</v>
      </c>
      <c r="E56" s="2">
        <f>IFERROR(__xludf.DUMMYFUNCTION("""COMPUTED_VALUE"""),299.73)</f>
        <v>299.73</v>
      </c>
      <c r="F56" s="2">
        <f>IFERROR(__xludf.DUMMYFUNCTION("""COMPUTED_VALUE"""),3089313.0)</f>
        <v>3089313</v>
      </c>
    </row>
    <row r="57">
      <c r="A57" s="3">
        <f>IFERROR(__xludf.DUMMYFUNCTION("""COMPUTED_VALUE"""),45008.66666666667)</f>
        <v>45008.66667</v>
      </c>
      <c r="B57" s="2">
        <f>IFERROR(__xludf.DUMMYFUNCTION("""COMPUTED_VALUE"""),301.39)</f>
        <v>301.39</v>
      </c>
      <c r="C57" s="2">
        <f>IFERROR(__xludf.DUMMYFUNCTION("""COMPUTED_VALUE"""),302.08)</f>
        <v>302.08</v>
      </c>
      <c r="D57" s="2">
        <f>IFERROR(__xludf.DUMMYFUNCTION("""COMPUTED_VALUE"""),296.3)</f>
        <v>296.3</v>
      </c>
      <c r="E57" s="2">
        <f>IFERROR(__xludf.DUMMYFUNCTION("""COMPUTED_VALUE"""),298.37)</f>
        <v>298.37</v>
      </c>
      <c r="F57" s="2">
        <f>IFERROR(__xludf.DUMMYFUNCTION("""COMPUTED_VALUE"""),4016197.0)</f>
        <v>4016197</v>
      </c>
    </row>
    <row r="58">
      <c r="A58" s="3">
        <f>IFERROR(__xludf.DUMMYFUNCTION("""COMPUTED_VALUE"""),45009.66666666667)</f>
        <v>45009.66667</v>
      </c>
      <c r="B58" s="2">
        <f>IFERROR(__xludf.DUMMYFUNCTION("""COMPUTED_VALUE"""),294.68)</f>
        <v>294.68</v>
      </c>
      <c r="C58" s="2">
        <f>IFERROR(__xludf.DUMMYFUNCTION("""COMPUTED_VALUE"""),299.5)</f>
        <v>299.5</v>
      </c>
      <c r="D58" s="2">
        <f>IFERROR(__xludf.DUMMYFUNCTION("""COMPUTED_VALUE"""),293.39)</f>
        <v>293.39</v>
      </c>
      <c r="E58" s="2">
        <f>IFERROR(__xludf.DUMMYFUNCTION("""COMPUTED_VALUE"""),298.92)</f>
        <v>298.92</v>
      </c>
      <c r="F58" s="2">
        <f>IFERROR(__xludf.DUMMYFUNCTION("""COMPUTED_VALUE"""),3905988.0)</f>
        <v>3905988</v>
      </c>
    </row>
    <row r="59">
      <c r="A59" s="3">
        <f>IFERROR(__xludf.DUMMYFUNCTION("""COMPUTED_VALUE"""),45012.66666666667)</f>
        <v>45012.66667</v>
      </c>
      <c r="B59" s="2">
        <f>IFERROR(__xludf.DUMMYFUNCTION("""COMPUTED_VALUE"""),300.88)</f>
        <v>300.88</v>
      </c>
      <c r="C59" s="2">
        <f>IFERROR(__xludf.DUMMYFUNCTION("""COMPUTED_VALUE"""),303.21)</f>
        <v>303.21</v>
      </c>
      <c r="D59" s="2">
        <f>IFERROR(__xludf.DUMMYFUNCTION("""COMPUTED_VALUE"""),298.97)</f>
        <v>298.97</v>
      </c>
      <c r="E59" s="2">
        <f>IFERROR(__xludf.DUMMYFUNCTION("""COMPUTED_VALUE"""),302.14)</f>
        <v>302.14</v>
      </c>
      <c r="F59" s="2">
        <f>IFERROR(__xludf.DUMMYFUNCTION("""COMPUTED_VALUE"""),3835260.0)</f>
        <v>3835260</v>
      </c>
    </row>
    <row r="60">
      <c r="A60" s="3">
        <f>IFERROR(__xludf.DUMMYFUNCTION("""COMPUTED_VALUE"""),45013.66666666667)</f>
        <v>45013.66667</v>
      </c>
      <c r="B60" s="2">
        <f>IFERROR(__xludf.DUMMYFUNCTION("""COMPUTED_VALUE"""),301.93)</f>
        <v>301.93</v>
      </c>
      <c r="C60" s="2">
        <f>IFERROR(__xludf.DUMMYFUNCTION("""COMPUTED_VALUE"""),302.72)</f>
        <v>302.72</v>
      </c>
      <c r="D60" s="2">
        <f>IFERROR(__xludf.DUMMYFUNCTION("""COMPUTED_VALUE"""),300.59)</f>
        <v>300.59</v>
      </c>
      <c r="E60" s="2">
        <f>IFERROR(__xludf.DUMMYFUNCTION("""COMPUTED_VALUE"""),302.32)</f>
        <v>302.32</v>
      </c>
      <c r="F60" s="2">
        <f>IFERROR(__xludf.DUMMYFUNCTION("""COMPUTED_VALUE"""),2437683.0)</f>
        <v>2437683</v>
      </c>
    </row>
    <row r="61">
      <c r="A61" s="3">
        <f>IFERROR(__xludf.DUMMYFUNCTION("""COMPUTED_VALUE"""),45014.66666666667)</f>
        <v>45014.66667</v>
      </c>
      <c r="B61" s="2">
        <f>IFERROR(__xludf.DUMMYFUNCTION("""COMPUTED_VALUE"""),304.8)</f>
        <v>304.8</v>
      </c>
      <c r="C61" s="2">
        <f>IFERROR(__xludf.DUMMYFUNCTION("""COMPUTED_VALUE"""),305.38)</f>
        <v>305.38</v>
      </c>
      <c r="D61" s="2">
        <f>IFERROR(__xludf.DUMMYFUNCTION("""COMPUTED_VALUE"""),303.36)</f>
        <v>303.36</v>
      </c>
      <c r="E61" s="2">
        <f>IFERROR(__xludf.DUMMYFUNCTION("""COMPUTED_VALUE"""),305.3)</f>
        <v>305.3</v>
      </c>
      <c r="F61" s="2">
        <f>IFERROR(__xludf.DUMMYFUNCTION("""COMPUTED_VALUE"""),2651414.0)</f>
        <v>2651414</v>
      </c>
    </row>
    <row r="62">
      <c r="A62" s="3">
        <f>IFERROR(__xludf.DUMMYFUNCTION("""COMPUTED_VALUE"""),45015.66666666667)</f>
        <v>45015.66667</v>
      </c>
      <c r="B62" s="2">
        <f>IFERROR(__xludf.DUMMYFUNCTION("""COMPUTED_VALUE"""),307.09)</f>
        <v>307.09</v>
      </c>
      <c r="C62" s="2">
        <f>IFERROR(__xludf.DUMMYFUNCTION("""COMPUTED_VALUE"""),307.47)</f>
        <v>307.47</v>
      </c>
      <c r="D62" s="2">
        <f>IFERROR(__xludf.DUMMYFUNCTION("""COMPUTED_VALUE"""),302.58)</f>
        <v>302.58</v>
      </c>
      <c r="E62" s="2">
        <f>IFERROR(__xludf.DUMMYFUNCTION("""COMPUTED_VALUE"""),305.08)</f>
        <v>305.08</v>
      </c>
      <c r="F62" s="2">
        <f>IFERROR(__xludf.DUMMYFUNCTION("""COMPUTED_VALUE"""),2694985.0)</f>
        <v>2694985</v>
      </c>
    </row>
    <row r="63">
      <c r="A63" s="3">
        <f>IFERROR(__xludf.DUMMYFUNCTION("""COMPUTED_VALUE"""),45016.66666666667)</f>
        <v>45016.66667</v>
      </c>
      <c r="B63" s="2">
        <f>IFERROR(__xludf.DUMMYFUNCTION("""COMPUTED_VALUE"""),305.9)</f>
        <v>305.9</v>
      </c>
      <c r="C63" s="2">
        <f>IFERROR(__xludf.DUMMYFUNCTION("""COMPUTED_VALUE"""),308.81)</f>
        <v>308.81</v>
      </c>
      <c r="D63" s="2">
        <f>IFERROR(__xludf.DUMMYFUNCTION("""COMPUTED_VALUE"""),304.99)</f>
        <v>304.99</v>
      </c>
      <c r="E63" s="2">
        <f>IFERROR(__xludf.DUMMYFUNCTION("""COMPUTED_VALUE"""),308.77)</f>
        <v>308.77</v>
      </c>
      <c r="F63" s="2">
        <f>IFERROR(__xludf.DUMMYFUNCTION("""COMPUTED_VALUE"""),5022204.0)</f>
        <v>5022204</v>
      </c>
    </row>
    <row r="64">
      <c r="A64" s="3">
        <f>IFERROR(__xludf.DUMMYFUNCTION("""COMPUTED_VALUE"""),45019.66666666667)</f>
        <v>45019.66667</v>
      </c>
      <c r="B64" s="2">
        <f>IFERROR(__xludf.DUMMYFUNCTION("""COMPUTED_VALUE"""),309.25)</f>
        <v>309.25</v>
      </c>
      <c r="C64" s="2">
        <f>IFERROR(__xludf.DUMMYFUNCTION("""COMPUTED_VALUE"""),311.5)</f>
        <v>311.5</v>
      </c>
      <c r="D64" s="2">
        <f>IFERROR(__xludf.DUMMYFUNCTION("""COMPUTED_VALUE"""),308.24)</f>
        <v>308.24</v>
      </c>
      <c r="E64" s="2">
        <f>IFERROR(__xludf.DUMMYFUNCTION("""COMPUTED_VALUE"""),310.31)</f>
        <v>310.31</v>
      </c>
      <c r="F64" s="2">
        <f>IFERROR(__xludf.DUMMYFUNCTION("""COMPUTED_VALUE"""),4863537.0)</f>
        <v>4863537</v>
      </c>
    </row>
    <row r="65">
      <c r="A65" s="3">
        <f>IFERROR(__xludf.DUMMYFUNCTION("""COMPUTED_VALUE"""),45020.66666666667)</f>
        <v>45020.66667</v>
      </c>
      <c r="B65" s="2">
        <f>IFERROR(__xludf.DUMMYFUNCTION("""COMPUTED_VALUE"""),310.76)</f>
        <v>310.76</v>
      </c>
      <c r="C65" s="2">
        <f>IFERROR(__xludf.DUMMYFUNCTION("""COMPUTED_VALUE"""),311.0)</f>
        <v>311</v>
      </c>
      <c r="D65" s="2">
        <f>IFERROR(__xludf.DUMMYFUNCTION("""COMPUTED_VALUE"""),307.07)</f>
        <v>307.07</v>
      </c>
      <c r="E65" s="2">
        <f>IFERROR(__xludf.DUMMYFUNCTION("""COMPUTED_VALUE"""),309.07)</f>
        <v>309.07</v>
      </c>
      <c r="F65" s="2">
        <f>IFERROR(__xludf.DUMMYFUNCTION("""COMPUTED_VALUE"""),2740754.0)</f>
        <v>2740754</v>
      </c>
    </row>
    <row r="66">
      <c r="A66" s="3">
        <f>IFERROR(__xludf.DUMMYFUNCTION("""COMPUTED_VALUE"""),45021.66666666667)</f>
        <v>45021.66667</v>
      </c>
      <c r="B66" s="2">
        <f>IFERROR(__xludf.DUMMYFUNCTION("""COMPUTED_VALUE"""),307.85)</f>
        <v>307.85</v>
      </c>
      <c r="C66" s="2">
        <f>IFERROR(__xludf.DUMMYFUNCTION("""COMPUTED_VALUE"""),311.07)</f>
        <v>311.07</v>
      </c>
      <c r="D66" s="2">
        <f>IFERROR(__xludf.DUMMYFUNCTION("""COMPUTED_VALUE"""),307.85)</f>
        <v>307.85</v>
      </c>
      <c r="E66" s="2">
        <f>IFERROR(__xludf.DUMMYFUNCTION("""COMPUTED_VALUE"""),310.39)</f>
        <v>310.39</v>
      </c>
      <c r="F66" s="2">
        <f>IFERROR(__xludf.DUMMYFUNCTION("""COMPUTED_VALUE"""),2314853.0)</f>
        <v>2314853</v>
      </c>
    </row>
    <row r="67">
      <c r="A67" s="3">
        <f>IFERROR(__xludf.DUMMYFUNCTION("""COMPUTED_VALUE"""),45022.66666666667)</f>
        <v>45022.66667</v>
      </c>
      <c r="B67" s="2">
        <f>IFERROR(__xludf.DUMMYFUNCTION("""COMPUTED_VALUE"""),309.82)</f>
        <v>309.82</v>
      </c>
      <c r="C67" s="2">
        <f>IFERROR(__xludf.DUMMYFUNCTION("""COMPUTED_VALUE"""),313.22)</f>
        <v>313.22</v>
      </c>
      <c r="D67" s="2">
        <f>IFERROR(__xludf.DUMMYFUNCTION("""COMPUTED_VALUE"""),309.05)</f>
        <v>309.05</v>
      </c>
      <c r="E67" s="2">
        <f>IFERROR(__xludf.DUMMYFUNCTION("""COMPUTED_VALUE"""),312.51)</f>
        <v>312.51</v>
      </c>
      <c r="F67" s="2">
        <f>IFERROR(__xludf.DUMMYFUNCTION("""COMPUTED_VALUE"""),3132148.0)</f>
        <v>3132148</v>
      </c>
    </row>
    <row r="68">
      <c r="A68" s="3">
        <f>IFERROR(__xludf.DUMMYFUNCTION("""COMPUTED_VALUE"""),45026.66666666667)</f>
        <v>45026.66667</v>
      </c>
      <c r="B68" s="2">
        <f>IFERROR(__xludf.DUMMYFUNCTION("""COMPUTED_VALUE"""),311.41)</f>
        <v>311.41</v>
      </c>
      <c r="C68" s="2">
        <f>IFERROR(__xludf.DUMMYFUNCTION("""COMPUTED_VALUE"""),313.7)</f>
        <v>313.7</v>
      </c>
      <c r="D68" s="2">
        <f>IFERROR(__xludf.DUMMYFUNCTION("""COMPUTED_VALUE"""),310.33)</f>
        <v>310.33</v>
      </c>
      <c r="E68" s="2">
        <f>IFERROR(__xludf.DUMMYFUNCTION("""COMPUTED_VALUE"""),312.62)</f>
        <v>312.62</v>
      </c>
      <c r="F68" s="2">
        <f>IFERROR(__xludf.DUMMYFUNCTION("""COMPUTED_VALUE"""),2331743.0)</f>
        <v>2331743</v>
      </c>
    </row>
    <row r="69">
      <c r="A69" s="3">
        <f>IFERROR(__xludf.DUMMYFUNCTION("""COMPUTED_VALUE"""),45027.66666666667)</f>
        <v>45027.66667</v>
      </c>
      <c r="B69" s="2">
        <f>IFERROR(__xludf.DUMMYFUNCTION("""COMPUTED_VALUE"""),312.56)</f>
        <v>312.56</v>
      </c>
      <c r="C69" s="2">
        <f>IFERROR(__xludf.DUMMYFUNCTION("""COMPUTED_VALUE"""),315.94)</f>
        <v>315.94</v>
      </c>
      <c r="D69" s="2">
        <f>IFERROR(__xludf.DUMMYFUNCTION("""COMPUTED_VALUE"""),311.77)</f>
        <v>311.77</v>
      </c>
      <c r="E69" s="2">
        <f>IFERROR(__xludf.DUMMYFUNCTION("""COMPUTED_VALUE"""),313.7)</f>
        <v>313.7</v>
      </c>
      <c r="F69" s="2">
        <f>IFERROR(__xludf.DUMMYFUNCTION("""COMPUTED_VALUE"""),3109850.0)</f>
        <v>3109850</v>
      </c>
    </row>
    <row r="70">
      <c r="A70" s="3">
        <f>IFERROR(__xludf.DUMMYFUNCTION("""COMPUTED_VALUE"""),45028.66666666667)</f>
        <v>45028.66667</v>
      </c>
      <c r="B70" s="2">
        <f>IFERROR(__xludf.DUMMYFUNCTION("""COMPUTED_VALUE"""),315.97)</f>
        <v>315.97</v>
      </c>
      <c r="C70" s="2">
        <f>IFERROR(__xludf.DUMMYFUNCTION("""COMPUTED_VALUE"""),316.92)</f>
        <v>316.92</v>
      </c>
      <c r="D70" s="2">
        <f>IFERROR(__xludf.DUMMYFUNCTION("""COMPUTED_VALUE"""),313.72)</f>
        <v>313.72</v>
      </c>
      <c r="E70" s="2">
        <f>IFERROR(__xludf.DUMMYFUNCTION("""COMPUTED_VALUE"""),314.55)</f>
        <v>314.55</v>
      </c>
      <c r="F70" s="2">
        <f>IFERROR(__xludf.DUMMYFUNCTION("""COMPUTED_VALUE"""),2663461.0)</f>
        <v>2663461</v>
      </c>
    </row>
    <row r="71">
      <c r="A71" s="3">
        <f>IFERROR(__xludf.DUMMYFUNCTION("""COMPUTED_VALUE"""),45029.66666666667)</f>
        <v>45029.66667</v>
      </c>
      <c r="B71" s="2">
        <f>IFERROR(__xludf.DUMMYFUNCTION("""COMPUTED_VALUE"""),315.27)</f>
        <v>315.27</v>
      </c>
      <c r="C71" s="2">
        <f>IFERROR(__xludf.DUMMYFUNCTION("""COMPUTED_VALUE"""),318.81)</f>
        <v>318.81</v>
      </c>
      <c r="D71" s="2">
        <f>IFERROR(__xludf.DUMMYFUNCTION("""COMPUTED_VALUE"""),313.26)</f>
        <v>313.26</v>
      </c>
      <c r="E71" s="2">
        <f>IFERROR(__xludf.DUMMYFUNCTION("""COMPUTED_VALUE"""),318.05)</f>
        <v>318.05</v>
      </c>
      <c r="F71" s="2">
        <f>IFERROR(__xludf.DUMMYFUNCTION("""COMPUTED_VALUE"""),3325989.0)</f>
        <v>3325989</v>
      </c>
    </row>
    <row r="72">
      <c r="A72" s="3">
        <f>IFERROR(__xludf.DUMMYFUNCTION("""COMPUTED_VALUE"""),45030.66666666667)</f>
        <v>45030.66667</v>
      </c>
      <c r="B72" s="2">
        <f>IFERROR(__xludf.DUMMYFUNCTION("""COMPUTED_VALUE"""),318.89)</f>
        <v>318.89</v>
      </c>
      <c r="C72" s="2">
        <f>IFERROR(__xludf.DUMMYFUNCTION("""COMPUTED_VALUE"""),321.88)</f>
        <v>321.88</v>
      </c>
      <c r="D72" s="2">
        <f>IFERROR(__xludf.DUMMYFUNCTION("""COMPUTED_VALUE"""),318.12)</f>
        <v>318.12</v>
      </c>
      <c r="E72" s="2">
        <f>IFERROR(__xludf.DUMMYFUNCTION("""COMPUTED_VALUE"""),319.74)</f>
        <v>319.74</v>
      </c>
      <c r="F72" s="2">
        <f>IFERROR(__xludf.DUMMYFUNCTION("""COMPUTED_VALUE"""),2976417.0)</f>
        <v>2976417</v>
      </c>
    </row>
    <row r="73">
      <c r="A73" s="3">
        <f>IFERROR(__xludf.DUMMYFUNCTION("""COMPUTED_VALUE"""),45033.66666666667)</f>
        <v>45033.66667</v>
      </c>
      <c r="B73" s="2">
        <f>IFERROR(__xludf.DUMMYFUNCTION("""COMPUTED_VALUE"""),320.2)</f>
        <v>320.2</v>
      </c>
      <c r="C73" s="2">
        <f>IFERROR(__xludf.DUMMYFUNCTION("""COMPUTED_VALUE"""),323.98)</f>
        <v>323.98</v>
      </c>
      <c r="D73" s="2">
        <f>IFERROR(__xludf.DUMMYFUNCTION("""COMPUTED_VALUE"""),319.0)</f>
        <v>319</v>
      </c>
      <c r="E73" s="2">
        <f>IFERROR(__xludf.DUMMYFUNCTION("""COMPUTED_VALUE"""),323.79)</f>
        <v>323.79</v>
      </c>
      <c r="F73" s="2">
        <f>IFERROR(__xludf.DUMMYFUNCTION("""COMPUTED_VALUE"""),3426342.0)</f>
        <v>3426342</v>
      </c>
    </row>
    <row r="74">
      <c r="A74" s="3">
        <f>IFERROR(__xludf.DUMMYFUNCTION("""COMPUTED_VALUE"""),45034.66666666667)</f>
        <v>45034.66667</v>
      </c>
      <c r="B74" s="2">
        <f>IFERROR(__xludf.DUMMYFUNCTION("""COMPUTED_VALUE"""),324.95)</f>
        <v>324.95</v>
      </c>
      <c r="C74" s="2">
        <f>IFERROR(__xludf.DUMMYFUNCTION("""COMPUTED_VALUE"""),325.72)</f>
        <v>325.72</v>
      </c>
      <c r="D74" s="2">
        <f>IFERROR(__xludf.DUMMYFUNCTION("""COMPUTED_VALUE"""),322.5)</f>
        <v>322.5</v>
      </c>
      <c r="E74" s="2">
        <f>IFERROR(__xludf.DUMMYFUNCTION("""COMPUTED_VALUE"""),324.63)</f>
        <v>324.63</v>
      </c>
      <c r="F74" s="2">
        <f>IFERROR(__xludf.DUMMYFUNCTION("""COMPUTED_VALUE"""),3582623.0)</f>
        <v>3582623</v>
      </c>
    </row>
    <row r="75">
      <c r="A75" s="3">
        <f>IFERROR(__xludf.DUMMYFUNCTION("""COMPUTED_VALUE"""),45035.66666666667)</f>
        <v>45035.66667</v>
      </c>
      <c r="B75" s="2">
        <f>IFERROR(__xludf.DUMMYFUNCTION("""COMPUTED_VALUE"""),323.85)</f>
        <v>323.85</v>
      </c>
      <c r="C75" s="2">
        <f>IFERROR(__xludf.DUMMYFUNCTION("""COMPUTED_VALUE"""),324.55)</f>
        <v>324.55</v>
      </c>
      <c r="D75" s="2">
        <f>IFERROR(__xludf.DUMMYFUNCTION("""COMPUTED_VALUE"""),322.76)</f>
        <v>322.76</v>
      </c>
      <c r="E75" s="2">
        <f>IFERROR(__xludf.DUMMYFUNCTION("""COMPUTED_VALUE"""),323.09)</f>
        <v>323.09</v>
      </c>
      <c r="F75" s="2">
        <f>IFERROR(__xludf.DUMMYFUNCTION("""COMPUTED_VALUE"""),2410917.0)</f>
        <v>2410917</v>
      </c>
    </row>
    <row r="76">
      <c r="A76" s="3">
        <f>IFERROR(__xludf.DUMMYFUNCTION("""COMPUTED_VALUE"""),45036.66666666667)</f>
        <v>45036.66667</v>
      </c>
      <c r="B76" s="2">
        <f>IFERROR(__xludf.DUMMYFUNCTION("""COMPUTED_VALUE"""),322.2)</f>
        <v>322.2</v>
      </c>
      <c r="C76" s="2">
        <f>IFERROR(__xludf.DUMMYFUNCTION("""COMPUTED_VALUE"""),324.37)</f>
        <v>324.37</v>
      </c>
      <c r="D76" s="2">
        <f>IFERROR(__xludf.DUMMYFUNCTION("""COMPUTED_VALUE"""),321.32)</f>
        <v>321.32</v>
      </c>
      <c r="E76" s="2">
        <f>IFERROR(__xludf.DUMMYFUNCTION("""COMPUTED_VALUE"""),323.82)</f>
        <v>323.82</v>
      </c>
      <c r="F76" s="2">
        <f>IFERROR(__xludf.DUMMYFUNCTION("""COMPUTED_VALUE"""),2429179.0)</f>
        <v>2429179</v>
      </c>
    </row>
    <row r="77">
      <c r="A77" s="3">
        <f>IFERROR(__xludf.DUMMYFUNCTION("""COMPUTED_VALUE"""),45037.66666666667)</f>
        <v>45037.66667</v>
      </c>
      <c r="B77" s="2">
        <f>IFERROR(__xludf.DUMMYFUNCTION("""COMPUTED_VALUE"""),322.36)</f>
        <v>322.36</v>
      </c>
      <c r="C77" s="2">
        <f>IFERROR(__xludf.DUMMYFUNCTION("""COMPUTED_VALUE"""),324.85)</f>
        <v>324.85</v>
      </c>
      <c r="D77" s="2">
        <f>IFERROR(__xludf.DUMMYFUNCTION("""COMPUTED_VALUE"""),321.61)</f>
        <v>321.61</v>
      </c>
      <c r="E77" s="2">
        <f>IFERROR(__xludf.DUMMYFUNCTION("""COMPUTED_VALUE"""),324.33)</f>
        <v>324.33</v>
      </c>
      <c r="F77" s="2">
        <f>IFERROR(__xludf.DUMMYFUNCTION("""COMPUTED_VALUE"""),2405869.0)</f>
        <v>2405869</v>
      </c>
    </row>
    <row r="78">
      <c r="A78" s="3">
        <f>IFERROR(__xludf.DUMMYFUNCTION("""COMPUTED_VALUE"""),45040.66666666667)</f>
        <v>45040.66667</v>
      </c>
      <c r="B78" s="2">
        <f>IFERROR(__xludf.DUMMYFUNCTION("""COMPUTED_VALUE"""),324.43)</f>
        <v>324.43</v>
      </c>
      <c r="C78" s="2">
        <f>IFERROR(__xludf.DUMMYFUNCTION("""COMPUTED_VALUE"""),326.4)</f>
        <v>326.4</v>
      </c>
      <c r="D78" s="2">
        <f>IFERROR(__xludf.DUMMYFUNCTION("""COMPUTED_VALUE"""),324.3)</f>
        <v>324.3</v>
      </c>
      <c r="E78" s="2">
        <f>IFERROR(__xludf.DUMMYFUNCTION("""COMPUTED_VALUE"""),326.05)</f>
        <v>326.05</v>
      </c>
      <c r="F78" s="2">
        <f>IFERROR(__xludf.DUMMYFUNCTION("""COMPUTED_VALUE"""),2262391.0)</f>
        <v>2262391</v>
      </c>
    </row>
    <row r="79">
      <c r="A79" s="3">
        <f>IFERROR(__xludf.DUMMYFUNCTION("""COMPUTED_VALUE"""),45041.66666666667)</f>
        <v>45041.66667</v>
      </c>
      <c r="B79" s="2">
        <f>IFERROR(__xludf.DUMMYFUNCTION("""COMPUTED_VALUE"""),325.99)</f>
        <v>325.99</v>
      </c>
      <c r="C79" s="2">
        <f>IFERROR(__xludf.DUMMYFUNCTION("""COMPUTED_VALUE"""),327.1)</f>
        <v>327.1</v>
      </c>
      <c r="D79" s="2">
        <f>IFERROR(__xludf.DUMMYFUNCTION("""COMPUTED_VALUE"""),324.11)</f>
        <v>324.11</v>
      </c>
      <c r="E79" s="2">
        <f>IFERROR(__xludf.DUMMYFUNCTION("""COMPUTED_VALUE"""),324.34)</f>
        <v>324.34</v>
      </c>
      <c r="F79" s="2">
        <f>IFERROR(__xludf.DUMMYFUNCTION("""COMPUTED_VALUE"""),2554381.0)</f>
        <v>2554381</v>
      </c>
    </row>
    <row r="80">
      <c r="A80" s="3">
        <f>IFERROR(__xludf.DUMMYFUNCTION("""COMPUTED_VALUE"""),45042.66666666667)</f>
        <v>45042.66667</v>
      </c>
      <c r="B80" s="2">
        <f>IFERROR(__xludf.DUMMYFUNCTION("""COMPUTED_VALUE"""),323.31)</f>
        <v>323.31</v>
      </c>
      <c r="C80" s="2">
        <f>IFERROR(__xludf.DUMMYFUNCTION("""COMPUTED_VALUE"""),323.74)</f>
        <v>323.74</v>
      </c>
      <c r="D80" s="2">
        <f>IFERROR(__xludf.DUMMYFUNCTION("""COMPUTED_VALUE"""),319.0)</f>
        <v>319</v>
      </c>
      <c r="E80" s="2">
        <f>IFERROR(__xludf.DUMMYFUNCTION("""COMPUTED_VALUE"""),320.53)</f>
        <v>320.53</v>
      </c>
      <c r="F80" s="2">
        <f>IFERROR(__xludf.DUMMYFUNCTION("""COMPUTED_VALUE"""),2721238.0)</f>
        <v>2721238</v>
      </c>
    </row>
    <row r="81">
      <c r="A81" s="3">
        <f>IFERROR(__xludf.DUMMYFUNCTION("""COMPUTED_VALUE"""),45043.66666666667)</f>
        <v>45043.66667</v>
      </c>
      <c r="B81" s="2">
        <f>IFERROR(__xludf.DUMMYFUNCTION("""COMPUTED_VALUE"""),322.86)</f>
        <v>322.86</v>
      </c>
      <c r="C81" s="2">
        <f>IFERROR(__xludf.DUMMYFUNCTION("""COMPUTED_VALUE"""),326.91)</f>
        <v>326.91</v>
      </c>
      <c r="D81" s="2">
        <f>IFERROR(__xludf.DUMMYFUNCTION("""COMPUTED_VALUE"""),322.11)</f>
        <v>322.11</v>
      </c>
      <c r="E81" s="2">
        <f>IFERROR(__xludf.DUMMYFUNCTION("""COMPUTED_VALUE"""),326.23)</f>
        <v>326.23</v>
      </c>
      <c r="F81" s="2">
        <f>IFERROR(__xludf.DUMMYFUNCTION("""COMPUTED_VALUE"""),2951130.0)</f>
        <v>2951130</v>
      </c>
    </row>
    <row r="82">
      <c r="A82" s="3">
        <f>IFERROR(__xludf.DUMMYFUNCTION("""COMPUTED_VALUE"""),45044.66666666667)</f>
        <v>45044.66667</v>
      </c>
      <c r="B82" s="2">
        <f>IFERROR(__xludf.DUMMYFUNCTION("""COMPUTED_VALUE"""),325.44)</f>
        <v>325.44</v>
      </c>
      <c r="C82" s="2">
        <f>IFERROR(__xludf.DUMMYFUNCTION("""COMPUTED_VALUE"""),328.81)</f>
        <v>328.81</v>
      </c>
      <c r="D82" s="2">
        <f>IFERROR(__xludf.DUMMYFUNCTION("""COMPUTED_VALUE"""),325.19)</f>
        <v>325.19</v>
      </c>
      <c r="E82" s="2">
        <f>IFERROR(__xludf.DUMMYFUNCTION("""COMPUTED_VALUE"""),328.55)</f>
        <v>328.55</v>
      </c>
      <c r="F82" s="2">
        <f>IFERROR(__xludf.DUMMYFUNCTION("""COMPUTED_VALUE"""),2912387.0)</f>
        <v>2912387</v>
      </c>
    </row>
    <row r="83">
      <c r="A83" s="3">
        <f>IFERROR(__xludf.DUMMYFUNCTION("""COMPUTED_VALUE"""),45047.66666666667)</f>
        <v>45047.66667</v>
      </c>
      <c r="B83" s="2">
        <f>IFERROR(__xludf.DUMMYFUNCTION("""COMPUTED_VALUE"""),329.16)</f>
        <v>329.16</v>
      </c>
      <c r="C83" s="2">
        <f>IFERROR(__xludf.DUMMYFUNCTION("""COMPUTED_VALUE"""),331.84)</f>
        <v>331.84</v>
      </c>
      <c r="D83" s="2">
        <f>IFERROR(__xludf.DUMMYFUNCTION("""COMPUTED_VALUE"""),328.57)</f>
        <v>328.57</v>
      </c>
      <c r="E83" s="2">
        <f>IFERROR(__xludf.DUMMYFUNCTION("""COMPUTED_VALUE"""),330.17)</f>
        <v>330.17</v>
      </c>
      <c r="F83" s="2">
        <f>IFERROR(__xludf.DUMMYFUNCTION("""COMPUTED_VALUE"""),2465391.0)</f>
        <v>2465391</v>
      </c>
    </row>
    <row r="84">
      <c r="A84" s="3">
        <f>IFERROR(__xludf.DUMMYFUNCTION("""COMPUTED_VALUE"""),45048.66666666667)</f>
        <v>45048.66667</v>
      </c>
      <c r="B84" s="2">
        <f>IFERROR(__xludf.DUMMYFUNCTION("""COMPUTED_VALUE"""),330.15)</f>
        <v>330.15</v>
      </c>
      <c r="C84" s="2">
        <f>IFERROR(__xludf.DUMMYFUNCTION("""COMPUTED_VALUE"""),330.25)</f>
        <v>330.25</v>
      </c>
      <c r="D84" s="2">
        <f>IFERROR(__xludf.DUMMYFUNCTION("""COMPUTED_VALUE"""),322.76)</f>
        <v>322.76</v>
      </c>
      <c r="E84" s="2">
        <f>IFERROR(__xludf.DUMMYFUNCTION("""COMPUTED_VALUE"""),325.86)</f>
        <v>325.86</v>
      </c>
      <c r="F84" s="2">
        <f>IFERROR(__xludf.DUMMYFUNCTION("""COMPUTED_VALUE"""),3369713.0)</f>
        <v>3369713</v>
      </c>
    </row>
    <row r="85">
      <c r="A85" s="3">
        <f>IFERROR(__xludf.DUMMYFUNCTION("""COMPUTED_VALUE"""),45049.66666666667)</f>
        <v>45049.66667</v>
      </c>
      <c r="B85" s="2">
        <f>IFERROR(__xludf.DUMMYFUNCTION("""COMPUTED_VALUE"""),327.13)</f>
        <v>327.13</v>
      </c>
      <c r="C85" s="2">
        <f>IFERROR(__xludf.DUMMYFUNCTION("""COMPUTED_VALUE"""),328.07)</f>
        <v>328.07</v>
      </c>
      <c r="D85" s="2">
        <f>IFERROR(__xludf.DUMMYFUNCTION("""COMPUTED_VALUE"""),323.06)</f>
        <v>323.06</v>
      </c>
      <c r="E85" s="2">
        <f>IFERROR(__xludf.DUMMYFUNCTION("""COMPUTED_VALUE"""),323.22)</f>
        <v>323.22</v>
      </c>
      <c r="F85" s="2">
        <f>IFERROR(__xludf.DUMMYFUNCTION("""COMPUTED_VALUE"""),2660456.0)</f>
        <v>2660456</v>
      </c>
    </row>
    <row r="86">
      <c r="A86" s="3">
        <f>IFERROR(__xludf.DUMMYFUNCTION("""COMPUTED_VALUE"""),45050.66666666667)</f>
        <v>45050.66667</v>
      </c>
      <c r="B86" s="2">
        <f>IFERROR(__xludf.DUMMYFUNCTION("""COMPUTED_VALUE"""),323.44)</f>
        <v>323.44</v>
      </c>
      <c r="C86" s="2">
        <f>IFERROR(__xludf.DUMMYFUNCTION("""COMPUTED_VALUE"""),325.99)</f>
        <v>325.99</v>
      </c>
      <c r="D86" s="2">
        <f>IFERROR(__xludf.DUMMYFUNCTION("""COMPUTED_VALUE"""),317.41)</f>
        <v>317.41</v>
      </c>
      <c r="E86" s="2">
        <f>IFERROR(__xludf.DUMMYFUNCTION("""COMPUTED_VALUE"""),320.0)</f>
        <v>320</v>
      </c>
      <c r="F86" s="2">
        <f>IFERROR(__xludf.DUMMYFUNCTION("""COMPUTED_VALUE"""),3194768.0)</f>
        <v>3194768</v>
      </c>
    </row>
    <row r="87">
      <c r="A87" s="3">
        <f>IFERROR(__xludf.DUMMYFUNCTION("""COMPUTED_VALUE"""),45051.66666666667)</f>
        <v>45051.66667</v>
      </c>
      <c r="B87" s="2">
        <f>IFERROR(__xludf.DUMMYFUNCTION("""COMPUTED_VALUE"""),323.36)</f>
        <v>323.36</v>
      </c>
      <c r="C87" s="2">
        <f>IFERROR(__xludf.DUMMYFUNCTION("""COMPUTED_VALUE"""),325.16)</f>
        <v>325.16</v>
      </c>
      <c r="D87" s="2">
        <f>IFERROR(__xludf.DUMMYFUNCTION("""COMPUTED_VALUE"""),322.62)</f>
        <v>322.62</v>
      </c>
      <c r="E87" s="2">
        <f>IFERROR(__xludf.DUMMYFUNCTION("""COMPUTED_VALUE"""),323.88)</f>
        <v>323.88</v>
      </c>
      <c r="F87" s="2">
        <f>IFERROR(__xludf.DUMMYFUNCTION("""COMPUTED_VALUE"""),3876299.0)</f>
        <v>3876299</v>
      </c>
    </row>
    <row r="88">
      <c r="A88" s="3">
        <f>IFERROR(__xludf.DUMMYFUNCTION("""COMPUTED_VALUE"""),45054.66666666667)</f>
        <v>45054.66667</v>
      </c>
      <c r="B88" s="2">
        <f>IFERROR(__xludf.DUMMYFUNCTION("""COMPUTED_VALUE"""),328.26)</f>
        <v>328.26</v>
      </c>
      <c r="C88" s="2">
        <f>IFERROR(__xludf.DUMMYFUNCTION("""COMPUTED_VALUE"""),330.69)</f>
        <v>330.69</v>
      </c>
      <c r="D88" s="2">
        <f>IFERROR(__xludf.DUMMYFUNCTION("""COMPUTED_VALUE"""),325.79)</f>
        <v>325.79</v>
      </c>
      <c r="E88" s="2">
        <f>IFERROR(__xludf.DUMMYFUNCTION("""COMPUTED_VALUE"""),326.14)</f>
        <v>326.14</v>
      </c>
      <c r="F88" s="2">
        <f>IFERROR(__xludf.DUMMYFUNCTION("""COMPUTED_VALUE"""),3303393.0)</f>
        <v>3303393</v>
      </c>
    </row>
    <row r="89">
      <c r="A89" s="3">
        <f>IFERROR(__xludf.DUMMYFUNCTION("""COMPUTED_VALUE"""),45055.66666666667)</f>
        <v>45055.66667</v>
      </c>
      <c r="B89" s="2">
        <f>IFERROR(__xludf.DUMMYFUNCTION("""COMPUTED_VALUE"""),324.87)</f>
        <v>324.87</v>
      </c>
      <c r="C89" s="2">
        <f>IFERROR(__xludf.DUMMYFUNCTION("""COMPUTED_VALUE"""),326.88)</f>
        <v>326.88</v>
      </c>
      <c r="D89" s="2">
        <f>IFERROR(__xludf.DUMMYFUNCTION("""COMPUTED_VALUE"""),323.48)</f>
        <v>323.48</v>
      </c>
      <c r="E89" s="2">
        <f>IFERROR(__xludf.DUMMYFUNCTION("""COMPUTED_VALUE"""),324.87)</f>
        <v>324.87</v>
      </c>
      <c r="F89" s="2">
        <f>IFERROR(__xludf.DUMMYFUNCTION("""COMPUTED_VALUE"""),2285924.0)</f>
        <v>2285924</v>
      </c>
    </row>
    <row r="90">
      <c r="A90" s="3">
        <f>IFERROR(__xludf.DUMMYFUNCTION("""COMPUTED_VALUE"""),45056.66666666667)</f>
        <v>45056.66667</v>
      </c>
      <c r="B90" s="2">
        <f>IFERROR(__xludf.DUMMYFUNCTION("""COMPUTED_VALUE"""),326.08)</f>
        <v>326.08</v>
      </c>
      <c r="C90" s="2">
        <f>IFERROR(__xludf.DUMMYFUNCTION("""COMPUTED_VALUE"""),326.16)</f>
        <v>326.16</v>
      </c>
      <c r="D90" s="2">
        <f>IFERROR(__xludf.DUMMYFUNCTION("""COMPUTED_VALUE"""),320.15)</f>
        <v>320.15</v>
      </c>
      <c r="E90" s="2">
        <f>IFERROR(__xludf.DUMMYFUNCTION("""COMPUTED_VALUE"""),322.99)</f>
        <v>322.99</v>
      </c>
      <c r="F90" s="2">
        <f>IFERROR(__xludf.DUMMYFUNCTION("""COMPUTED_VALUE"""),2641134.0)</f>
        <v>2641134</v>
      </c>
    </row>
    <row r="91">
      <c r="A91" s="3">
        <f>IFERROR(__xludf.DUMMYFUNCTION("""COMPUTED_VALUE"""),45057.66666666667)</f>
        <v>45057.66667</v>
      </c>
      <c r="B91" s="2">
        <f>IFERROR(__xludf.DUMMYFUNCTION("""COMPUTED_VALUE"""),321.0)</f>
        <v>321</v>
      </c>
      <c r="C91" s="2">
        <f>IFERROR(__xludf.DUMMYFUNCTION("""COMPUTED_VALUE"""),322.96)</f>
        <v>322.96</v>
      </c>
      <c r="D91" s="2">
        <f>IFERROR(__xludf.DUMMYFUNCTION("""COMPUTED_VALUE"""),319.81)</f>
        <v>319.81</v>
      </c>
      <c r="E91" s="2">
        <f>IFERROR(__xludf.DUMMYFUNCTION("""COMPUTED_VALUE"""),322.64)</f>
        <v>322.64</v>
      </c>
      <c r="F91" s="2">
        <f>IFERROR(__xludf.DUMMYFUNCTION("""COMPUTED_VALUE"""),2549339.0)</f>
        <v>2549339</v>
      </c>
    </row>
    <row r="92">
      <c r="A92" s="3">
        <f>IFERROR(__xludf.DUMMYFUNCTION("""COMPUTED_VALUE"""),45058.66666666667)</f>
        <v>45058.66667</v>
      </c>
      <c r="B92" s="2">
        <f>IFERROR(__xludf.DUMMYFUNCTION("""COMPUTED_VALUE"""),323.82)</f>
        <v>323.82</v>
      </c>
      <c r="C92" s="2">
        <f>IFERROR(__xludf.DUMMYFUNCTION("""COMPUTED_VALUE"""),324.24)</f>
        <v>324.24</v>
      </c>
      <c r="D92" s="2">
        <f>IFERROR(__xludf.DUMMYFUNCTION("""COMPUTED_VALUE"""),320.54)</f>
        <v>320.54</v>
      </c>
      <c r="E92" s="2">
        <f>IFERROR(__xludf.DUMMYFUNCTION("""COMPUTED_VALUE"""),322.49)</f>
        <v>322.49</v>
      </c>
      <c r="F92" s="2">
        <f>IFERROR(__xludf.DUMMYFUNCTION("""COMPUTED_VALUE"""),1938264.0)</f>
        <v>1938264</v>
      </c>
    </row>
    <row r="93">
      <c r="A93" s="3">
        <f>IFERROR(__xludf.DUMMYFUNCTION("""COMPUTED_VALUE"""),45061.66666666667)</f>
        <v>45061.66667</v>
      </c>
      <c r="B93" s="2">
        <f>IFERROR(__xludf.DUMMYFUNCTION("""COMPUTED_VALUE"""),322.89)</f>
        <v>322.89</v>
      </c>
      <c r="C93" s="2">
        <f>IFERROR(__xludf.DUMMYFUNCTION("""COMPUTED_VALUE"""),323.83)</f>
        <v>323.83</v>
      </c>
      <c r="D93" s="2">
        <f>IFERROR(__xludf.DUMMYFUNCTION("""COMPUTED_VALUE"""),320.13)</f>
        <v>320.13</v>
      </c>
      <c r="E93" s="2">
        <f>IFERROR(__xludf.DUMMYFUNCTION("""COMPUTED_VALUE"""),323.53)</f>
        <v>323.53</v>
      </c>
      <c r="F93" s="2">
        <f>IFERROR(__xludf.DUMMYFUNCTION("""COMPUTED_VALUE"""),2191609.0)</f>
        <v>2191609</v>
      </c>
    </row>
    <row r="94">
      <c r="A94" s="3">
        <f>IFERROR(__xludf.DUMMYFUNCTION("""COMPUTED_VALUE"""),45062.66666666667)</f>
        <v>45062.66667</v>
      </c>
      <c r="B94" s="2">
        <f>IFERROR(__xludf.DUMMYFUNCTION("""COMPUTED_VALUE"""),322.46)</f>
        <v>322.46</v>
      </c>
      <c r="C94" s="2">
        <f>IFERROR(__xludf.DUMMYFUNCTION("""COMPUTED_VALUE"""),324.69)</f>
        <v>324.69</v>
      </c>
      <c r="D94" s="2">
        <f>IFERROR(__xludf.DUMMYFUNCTION("""COMPUTED_VALUE"""),322.36)</f>
        <v>322.36</v>
      </c>
      <c r="E94" s="2">
        <f>IFERROR(__xludf.DUMMYFUNCTION("""COMPUTED_VALUE"""),323.75)</f>
        <v>323.75</v>
      </c>
      <c r="F94" s="2">
        <f>IFERROR(__xludf.DUMMYFUNCTION("""COMPUTED_VALUE"""),2139996.0)</f>
        <v>2139996</v>
      </c>
    </row>
    <row r="95">
      <c r="A95" s="3">
        <f>IFERROR(__xludf.DUMMYFUNCTION("""COMPUTED_VALUE"""),45063.66666666667)</f>
        <v>45063.66667</v>
      </c>
      <c r="B95" s="2">
        <f>IFERROR(__xludf.DUMMYFUNCTION("""COMPUTED_VALUE"""),325.02)</f>
        <v>325.02</v>
      </c>
      <c r="C95" s="2">
        <f>IFERROR(__xludf.DUMMYFUNCTION("""COMPUTED_VALUE"""),328.26)</f>
        <v>328.26</v>
      </c>
      <c r="D95" s="2">
        <f>IFERROR(__xludf.DUMMYFUNCTION("""COMPUTED_VALUE"""),324.82)</f>
        <v>324.82</v>
      </c>
      <c r="E95" s="2">
        <f>IFERROR(__xludf.DUMMYFUNCTION("""COMPUTED_VALUE"""),327.39)</f>
        <v>327.39</v>
      </c>
      <c r="F95" s="2">
        <f>IFERROR(__xludf.DUMMYFUNCTION("""COMPUTED_VALUE"""),3047626.0)</f>
        <v>3047626</v>
      </c>
    </row>
    <row r="96">
      <c r="A96" s="3">
        <f>IFERROR(__xludf.DUMMYFUNCTION("""COMPUTED_VALUE"""),45064.66666666667)</f>
        <v>45064.66667</v>
      </c>
      <c r="B96" s="2">
        <f>IFERROR(__xludf.DUMMYFUNCTION("""COMPUTED_VALUE"""),326.87)</f>
        <v>326.87</v>
      </c>
      <c r="C96" s="2">
        <f>IFERROR(__xludf.DUMMYFUNCTION("""COMPUTED_VALUE"""),329.98)</f>
        <v>329.98</v>
      </c>
      <c r="D96" s="2">
        <f>IFERROR(__xludf.DUMMYFUNCTION("""COMPUTED_VALUE"""),325.85)</f>
        <v>325.85</v>
      </c>
      <c r="E96" s="2">
        <f>IFERROR(__xludf.DUMMYFUNCTION("""COMPUTED_VALUE"""),329.76)</f>
        <v>329.76</v>
      </c>
      <c r="F96" s="2">
        <f>IFERROR(__xludf.DUMMYFUNCTION("""COMPUTED_VALUE"""),2808329.0)</f>
        <v>2808329</v>
      </c>
    </row>
    <row r="97">
      <c r="A97" s="3">
        <f>IFERROR(__xludf.DUMMYFUNCTION("""COMPUTED_VALUE"""),45065.66666666667)</f>
        <v>45065.66667</v>
      </c>
      <c r="B97" s="2">
        <f>IFERROR(__xludf.DUMMYFUNCTION("""COMPUTED_VALUE"""),331.0)</f>
        <v>331</v>
      </c>
      <c r="C97" s="2">
        <f>IFERROR(__xludf.DUMMYFUNCTION("""COMPUTED_VALUE"""),333.94)</f>
        <v>333.94</v>
      </c>
      <c r="D97" s="2">
        <f>IFERROR(__xludf.DUMMYFUNCTION("""COMPUTED_VALUE"""),329.12)</f>
        <v>329.12</v>
      </c>
      <c r="E97" s="2">
        <f>IFERROR(__xludf.DUMMYFUNCTION("""COMPUTED_VALUE"""),330.39)</f>
        <v>330.39</v>
      </c>
      <c r="F97" s="2">
        <f>IFERROR(__xludf.DUMMYFUNCTION("""COMPUTED_VALUE"""),4323538.0)</f>
        <v>4323538</v>
      </c>
    </row>
    <row r="98">
      <c r="A98" s="3">
        <f>IFERROR(__xludf.DUMMYFUNCTION("""COMPUTED_VALUE"""),45068.66666666667)</f>
        <v>45068.66667</v>
      </c>
      <c r="B98" s="2">
        <f>IFERROR(__xludf.DUMMYFUNCTION("""COMPUTED_VALUE"""),330.75)</f>
        <v>330.75</v>
      </c>
      <c r="C98" s="2">
        <f>IFERROR(__xludf.DUMMYFUNCTION("""COMPUTED_VALUE"""),331.49)</f>
        <v>331.49</v>
      </c>
      <c r="D98" s="2">
        <f>IFERROR(__xludf.DUMMYFUNCTION("""COMPUTED_VALUE"""),328.35)</f>
        <v>328.35</v>
      </c>
      <c r="E98" s="2">
        <f>IFERROR(__xludf.DUMMYFUNCTION("""COMPUTED_VALUE"""),329.13)</f>
        <v>329.13</v>
      </c>
      <c r="F98" s="2">
        <f>IFERROR(__xludf.DUMMYFUNCTION("""COMPUTED_VALUE"""),2763422.0)</f>
        <v>2763422</v>
      </c>
    </row>
    <row r="99">
      <c r="A99" s="3">
        <f>IFERROR(__xludf.DUMMYFUNCTION("""COMPUTED_VALUE"""),45069.66666666667)</f>
        <v>45069.66667</v>
      </c>
      <c r="B99" s="2">
        <f>IFERROR(__xludf.DUMMYFUNCTION("""COMPUTED_VALUE"""),328.19)</f>
        <v>328.19</v>
      </c>
      <c r="C99" s="2">
        <f>IFERROR(__xludf.DUMMYFUNCTION("""COMPUTED_VALUE"""),329.27)</f>
        <v>329.27</v>
      </c>
      <c r="D99" s="2">
        <f>IFERROR(__xludf.DUMMYFUNCTION("""COMPUTED_VALUE"""),322.97)</f>
        <v>322.97</v>
      </c>
      <c r="E99" s="2">
        <f>IFERROR(__xludf.DUMMYFUNCTION("""COMPUTED_VALUE"""),323.11)</f>
        <v>323.11</v>
      </c>
      <c r="F99" s="2">
        <f>IFERROR(__xludf.DUMMYFUNCTION("""COMPUTED_VALUE"""),4031342.0)</f>
        <v>4031342</v>
      </c>
    </row>
    <row r="100">
      <c r="A100" s="3">
        <f>IFERROR(__xludf.DUMMYFUNCTION("""COMPUTED_VALUE"""),45070.66666666667)</f>
        <v>45070.66667</v>
      </c>
      <c r="B100" s="2">
        <f>IFERROR(__xludf.DUMMYFUNCTION("""COMPUTED_VALUE"""),322.71)</f>
        <v>322.71</v>
      </c>
      <c r="C100" s="2">
        <f>IFERROR(__xludf.DUMMYFUNCTION("""COMPUTED_VALUE"""),323.0)</f>
        <v>323</v>
      </c>
      <c r="D100" s="2">
        <f>IFERROR(__xludf.DUMMYFUNCTION("""COMPUTED_VALUE"""),319.56)</f>
        <v>319.56</v>
      </c>
      <c r="E100" s="2">
        <f>IFERROR(__xludf.DUMMYFUNCTION("""COMPUTED_VALUE"""),320.2)</f>
        <v>320.2</v>
      </c>
      <c r="F100" s="2">
        <f>IFERROR(__xludf.DUMMYFUNCTION("""COMPUTED_VALUE"""),3075393.0)</f>
        <v>3075393</v>
      </c>
    </row>
    <row r="101">
      <c r="A101" s="3">
        <f>IFERROR(__xludf.DUMMYFUNCTION("""COMPUTED_VALUE"""),45071.66666666667)</f>
        <v>45071.66667</v>
      </c>
      <c r="B101" s="2">
        <f>IFERROR(__xludf.DUMMYFUNCTION("""COMPUTED_VALUE"""),320.56)</f>
        <v>320.56</v>
      </c>
      <c r="C101" s="2">
        <f>IFERROR(__xludf.DUMMYFUNCTION("""COMPUTED_VALUE"""),320.56)</f>
        <v>320.56</v>
      </c>
      <c r="D101" s="2">
        <f>IFERROR(__xludf.DUMMYFUNCTION("""COMPUTED_VALUE"""),317.71)</f>
        <v>317.71</v>
      </c>
      <c r="E101" s="2">
        <f>IFERROR(__xludf.DUMMYFUNCTION("""COMPUTED_VALUE"""),319.02)</f>
        <v>319.02</v>
      </c>
      <c r="F101" s="2">
        <f>IFERROR(__xludf.DUMMYFUNCTION("""COMPUTED_VALUE"""),4251935.0)</f>
        <v>4251935</v>
      </c>
    </row>
    <row r="102">
      <c r="A102" s="3">
        <f>IFERROR(__xludf.DUMMYFUNCTION("""COMPUTED_VALUE"""),45072.66666666667)</f>
        <v>45072.66667</v>
      </c>
      <c r="B102" s="2">
        <f>IFERROR(__xludf.DUMMYFUNCTION("""COMPUTED_VALUE"""),320.44)</f>
        <v>320.44</v>
      </c>
      <c r="C102" s="2">
        <f>IFERROR(__xludf.DUMMYFUNCTION("""COMPUTED_VALUE"""),322.63)</f>
        <v>322.63</v>
      </c>
      <c r="D102" s="2">
        <f>IFERROR(__xludf.DUMMYFUNCTION("""COMPUTED_VALUE"""),319.67)</f>
        <v>319.67</v>
      </c>
      <c r="E102" s="2">
        <f>IFERROR(__xludf.DUMMYFUNCTION("""COMPUTED_VALUE"""),320.6)</f>
        <v>320.6</v>
      </c>
      <c r="F102" s="2">
        <f>IFERROR(__xludf.DUMMYFUNCTION("""COMPUTED_VALUE"""),3229873.0)</f>
        <v>3229873</v>
      </c>
    </row>
    <row r="103">
      <c r="A103" s="3">
        <f>IFERROR(__xludf.DUMMYFUNCTION("""COMPUTED_VALUE"""),45076.66666666667)</f>
        <v>45076.66667</v>
      </c>
      <c r="B103" s="2">
        <f>IFERROR(__xludf.DUMMYFUNCTION("""COMPUTED_VALUE"""),321.86)</f>
        <v>321.86</v>
      </c>
      <c r="C103" s="2">
        <f>IFERROR(__xludf.DUMMYFUNCTION("""COMPUTED_VALUE"""),322.47)</f>
        <v>322.47</v>
      </c>
      <c r="D103" s="2">
        <f>IFERROR(__xludf.DUMMYFUNCTION("""COMPUTED_VALUE"""),319.0)</f>
        <v>319</v>
      </c>
      <c r="E103" s="2">
        <f>IFERROR(__xludf.DUMMYFUNCTION("""COMPUTED_VALUE"""),322.19)</f>
        <v>322.19</v>
      </c>
      <c r="F103" s="2">
        <f>IFERROR(__xludf.DUMMYFUNCTION("""COMPUTED_VALUE"""),3232461.0)</f>
        <v>3232461</v>
      </c>
    </row>
    <row r="104">
      <c r="A104" s="3">
        <f>IFERROR(__xludf.DUMMYFUNCTION("""COMPUTED_VALUE"""),45077.66666666667)</f>
        <v>45077.66667</v>
      </c>
      <c r="B104" s="2">
        <f>IFERROR(__xludf.DUMMYFUNCTION("""COMPUTED_VALUE"""),321.12)</f>
        <v>321.12</v>
      </c>
      <c r="C104" s="2">
        <f>IFERROR(__xludf.DUMMYFUNCTION("""COMPUTED_VALUE"""),322.41)</f>
        <v>322.41</v>
      </c>
      <c r="D104" s="2">
        <f>IFERROR(__xludf.DUMMYFUNCTION("""COMPUTED_VALUE"""),319.39)</f>
        <v>319.39</v>
      </c>
      <c r="E104" s="2">
        <f>IFERROR(__xludf.DUMMYFUNCTION("""COMPUTED_VALUE"""),321.08)</f>
        <v>321.08</v>
      </c>
      <c r="F104" s="2">
        <f>IFERROR(__xludf.DUMMYFUNCTION("""COMPUTED_VALUE"""),6175417.0)</f>
        <v>6175417</v>
      </c>
    </row>
    <row r="105">
      <c r="A105" s="3">
        <f>IFERROR(__xludf.DUMMYFUNCTION("""COMPUTED_VALUE"""),45078.66666666667)</f>
        <v>45078.66667</v>
      </c>
      <c r="B105" s="2">
        <f>IFERROR(__xludf.DUMMYFUNCTION("""COMPUTED_VALUE"""),321.42)</f>
        <v>321.42</v>
      </c>
      <c r="C105" s="2">
        <f>IFERROR(__xludf.DUMMYFUNCTION("""COMPUTED_VALUE"""),323.22)</f>
        <v>323.22</v>
      </c>
      <c r="D105" s="2">
        <f>IFERROR(__xludf.DUMMYFUNCTION("""COMPUTED_VALUE"""),319.53)</f>
        <v>319.53</v>
      </c>
      <c r="E105" s="2">
        <f>IFERROR(__xludf.DUMMYFUNCTION("""COMPUTED_VALUE"""),323.12)</f>
        <v>323.12</v>
      </c>
      <c r="F105" s="2">
        <f>IFERROR(__xludf.DUMMYFUNCTION("""COMPUTED_VALUE"""),3377699.0)</f>
        <v>3377699</v>
      </c>
    </row>
    <row r="106">
      <c r="A106" s="3">
        <f>IFERROR(__xludf.DUMMYFUNCTION("""COMPUTED_VALUE"""),45079.66666666667)</f>
        <v>45079.66667</v>
      </c>
      <c r="B106" s="2">
        <f>IFERROR(__xludf.DUMMYFUNCTION("""COMPUTED_VALUE"""),325.16)</f>
        <v>325.16</v>
      </c>
      <c r="C106" s="2">
        <f>IFERROR(__xludf.DUMMYFUNCTION("""COMPUTED_VALUE"""),330.67)</f>
        <v>330.67</v>
      </c>
      <c r="D106" s="2">
        <f>IFERROR(__xludf.DUMMYFUNCTION("""COMPUTED_VALUE"""),324.42)</f>
        <v>324.42</v>
      </c>
      <c r="E106" s="2">
        <f>IFERROR(__xludf.DUMMYFUNCTION("""COMPUTED_VALUE"""),329.48)</f>
        <v>329.48</v>
      </c>
      <c r="F106" s="2">
        <f>IFERROR(__xludf.DUMMYFUNCTION("""COMPUTED_VALUE"""),3962988.0)</f>
        <v>3962988</v>
      </c>
    </row>
    <row r="107">
      <c r="A107" s="3">
        <f>IFERROR(__xludf.DUMMYFUNCTION("""COMPUTED_VALUE"""),45082.66666666667)</f>
        <v>45082.66667</v>
      </c>
      <c r="B107" s="2">
        <f>IFERROR(__xludf.DUMMYFUNCTION("""COMPUTED_VALUE"""),330.89)</f>
        <v>330.89</v>
      </c>
      <c r="C107" s="2">
        <f>IFERROR(__xludf.DUMMYFUNCTION("""COMPUTED_VALUE"""),330.89)</f>
        <v>330.89</v>
      </c>
      <c r="D107" s="2">
        <f>IFERROR(__xludf.DUMMYFUNCTION("""COMPUTED_VALUE"""),327.57)</f>
        <v>327.57</v>
      </c>
      <c r="E107" s="2">
        <f>IFERROR(__xludf.DUMMYFUNCTION("""COMPUTED_VALUE"""),328.58)</f>
        <v>328.58</v>
      </c>
      <c r="F107" s="2">
        <f>IFERROR(__xludf.DUMMYFUNCTION("""COMPUTED_VALUE"""),3092174.0)</f>
        <v>3092174</v>
      </c>
    </row>
    <row r="108">
      <c r="A108" s="3">
        <f>IFERROR(__xludf.DUMMYFUNCTION("""COMPUTED_VALUE"""),45083.66666666667)</f>
        <v>45083.66667</v>
      </c>
      <c r="B108" s="2">
        <f>IFERROR(__xludf.DUMMYFUNCTION("""COMPUTED_VALUE"""),329.04)</f>
        <v>329.04</v>
      </c>
      <c r="C108" s="2">
        <f>IFERROR(__xludf.DUMMYFUNCTION("""COMPUTED_VALUE"""),334.16)</f>
        <v>334.16</v>
      </c>
      <c r="D108" s="2">
        <f>IFERROR(__xludf.DUMMYFUNCTION("""COMPUTED_VALUE"""),328.68)</f>
        <v>328.68</v>
      </c>
      <c r="E108" s="2">
        <f>IFERROR(__xludf.DUMMYFUNCTION("""COMPUTED_VALUE"""),333.41)</f>
        <v>333.41</v>
      </c>
      <c r="F108" s="2">
        <f>IFERROR(__xludf.DUMMYFUNCTION("""COMPUTED_VALUE"""),3183994.0)</f>
        <v>3183994</v>
      </c>
    </row>
    <row r="109">
      <c r="A109" s="3">
        <f>IFERROR(__xludf.DUMMYFUNCTION("""COMPUTED_VALUE"""),45084.66666666667)</f>
        <v>45084.66667</v>
      </c>
      <c r="B109" s="2">
        <f>IFERROR(__xludf.DUMMYFUNCTION("""COMPUTED_VALUE"""),334.01)</f>
        <v>334.01</v>
      </c>
      <c r="C109" s="2">
        <f>IFERROR(__xludf.DUMMYFUNCTION("""COMPUTED_VALUE"""),335.82)</f>
        <v>335.82</v>
      </c>
      <c r="D109" s="2">
        <f>IFERROR(__xludf.DUMMYFUNCTION("""COMPUTED_VALUE"""),331.43)</f>
        <v>331.43</v>
      </c>
      <c r="E109" s="2">
        <f>IFERROR(__xludf.DUMMYFUNCTION("""COMPUTED_VALUE"""),335.42)</f>
        <v>335.42</v>
      </c>
      <c r="F109" s="2">
        <f>IFERROR(__xludf.DUMMYFUNCTION("""COMPUTED_VALUE"""),3730381.0)</f>
        <v>3730381</v>
      </c>
    </row>
    <row r="110">
      <c r="A110" s="3">
        <f>IFERROR(__xludf.DUMMYFUNCTION("""COMPUTED_VALUE"""),45085.66666666667)</f>
        <v>45085.66667</v>
      </c>
      <c r="B110" s="2">
        <f>IFERROR(__xludf.DUMMYFUNCTION("""COMPUTED_VALUE"""),335.49)</f>
        <v>335.49</v>
      </c>
      <c r="C110" s="2">
        <f>IFERROR(__xludf.DUMMYFUNCTION("""COMPUTED_VALUE"""),336.32)</f>
        <v>336.32</v>
      </c>
      <c r="D110" s="2">
        <f>IFERROR(__xludf.DUMMYFUNCTION("""COMPUTED_VALUE"""),334.1)</f>
        <v>334.1</v>
      </c>
      <c r="E110" s="2">
        <f>IFERROR(__xludf.DUMMYFUNCTION("""COMPUTED_VALUE"""),335.95)</f>
        <v>335.95</v>
      </c>
      <c r="F110" s="2">
        <f>IFERROR(__xludf.DUMMYFUNCTION("""COMPUTED_VALUE"""),2759715.0)</f>
        <v>2759715</v>
      </c>
    </row>
    <row r="111">
      <c r="A111" s="3">
        <f>IFERROR(__xludf.DUMMYFUNCTION("""COMPUTED_VALUE"""),45086.66666666667)</f>
        <v>45086.66667</v>
      </c>
      <c r="B111" s="2">
        <f>IFERROR(__xludf.DUMMYFUNCTION("""COMPUTED_VALUE"""),335.76)</f>
        <v>335.76</v>
      </c>
      <c r="C111" s="2">
        <f>IFERROR(__xludf.DUMMYFUNCTION("""COMPUTED_VALUE"""),337.59)</f>
        <v>337.59</v>
      </c>
      <c r="D111" s="2">
        <f>IFERROR(__xludf.DUMMYFUNCTION("""COMPUTED_VALUE"""),334.92)</f>
        <v>334.92</v>
      </c>
      <c r="E111" s="2">
        <f>IFERROR(__xludf.DUMMYFUNCTION("""COMPUTED_VALUE"""),335.29)</f>
        <v>335.29</v>
      </c>
      <c r="F111" s="2">
        <f>IFERROR(__xludf.DUMMYFUNCTION("""COMPUTED_VALUE"""),2619487.0)</f>
        <v>2619487</v>
      </c>
    </row>
    <row r="112">
      <c r="A112" s="3">
        <f>IFERROR(__xludf.DUMMYFUNCTION("""COMPUTED_VALUE"""),45089.66666666667)</f>
        <v>45089.66667</v>
      </c>
      <c r="B112" s="2">
        <f>IFERROR(__xludf.DUMMYFUNCTION("""COMPUTED_VALUE"""),335.16)</f>
        <v>335.16</v>
      </c>
      <c r="C112" s="2">
        <f>IFERROR(__xludf.DUMMYFUNCTION("""COMPUTED_VALUE"""),335.35)</f>
        <v>335.35</v>
      </c>
      <c r="D112" s="2">
        <f>IFERROR(__xludf.DUMMYFUNCTION("""COMPUTED_VALUE"""),332.22)</f>
        <v>332.22</v>
      </c>
      <c r="E112" s="2">
        <f>IFERROR(__xludf.DUMMYFUNCTION("""COMPUTED_VALUE"""),333.6)</f>
        <v>333.6</v>
      </c>
      <c r="F112" s="2">
        <f>IFERROR(__xludf.DUMMYFUNCTION("""COMPUTED_VALUE"""),2874530.0)</f>
        <v>2874530</v>
      </c>
    </row>
    <row r="113">
      <c r="A113" s="3">
        <f>IFERROR(__xludf.DUMMYFUNCTION("""COMPUTED_VALUE"""),45090.66666666667)</f>
        <v>45090.66667</v>
      </c>
      <c r="B113" s="2">
        <f>IFERROR(__xludf.DUMMYFUNCTION("""COMPUTED_VALUE"""),333.22)</f>
        <v>333.22</v>
      </c>
      <c r="C113" s="2">
        <f>IFERROR(__xludf.DUMMYFUNCTION("""COMPUTED_VALUE"""),336.62)</f>
        <v>336.62</v>
      </c>
      <c r="D113" s="2">
        <f>IFERROR(__xludf.DUMMYFUNCTION("""COMPUTED_VALUE"""),332.2)</f>
        <v>332.2</v>
      </c>
      <c r="E113" s="2">
        <f>IFERROR(__xludf.DUMMYFUNCTION("""COMPUTED_VALUE"""),336.39)</f>
        <v>336.39</v>
      </c>
      <c r="F113" s="2">
        <f>IFERROR(__xludf.DUMMYFUNCTION("""COMPUTED_VALUE"""),2953682.0)</f>
        <v>2953682</v>
      </c>
    </row>
    <row r="114">
      <c r="A114" s="3">
        <f>IFERROR(__xludf.DUMMYFUNCTION("""COMPUTED_VALUE"""),45091.66666666667)</f>
        <v>45091.66667</v>
      </c>
      <c r="B114" s="2">
        <f>IFERROR(__xludf.DUMMYFUNCTION("""COMPUTED_VALUE"""),337.22)</f>
        <v>337.22</v>
      </c>
      <c r="C114" s="2">
        <f>IFERROR(__xludf.DUMMYFUNCTION("""COMPUTED_VALUE"""),340.38)</f>
        <v>340.38</v>
      </c>
      <c r="D114" s="2">
        <f>IFERROR(__xludf.DUMMYFUNCTION("""COMPUTED_VALUE"""),334.09)</f>
        <v>334.09</v>
      </c>
      <c r="E114" s="2">
        <f>IFERROR(__xludf.DUMMYFUNCTION("""COMPUTED_VALUE"""),335.9)</f>
        <v>335.9</v>
      </c>
      <c r="F114" s="2">
        <f>IFERROR(__xludf.DUMMYFUNCTION("""COMPUTED_VALUE"""),5167308.0)</f>
        <v>5167308</v>
      </c>
    </row>
    <row r="115">
      <c r="A115" s="3">
        <f>IFERROR(__xludf.DUMMYFUNCTION("""COMPUTED_VALUE"""),45092.66666666667)</f>
        <v>45092.66667</v>
      </c>
      <c r="B115" s="2">
        <f>IFERROR(__xludf.DUMMYFUNCTION("""COMPUTED_VALUE"""),335.97)</f>
        <v>335.97</v>
      </c>
      <c r="C115" s="2">
        <f>IFERROR(__xludf.DUMMYFUNCTION("""COMPUTED_VALUE"""),341.68)</f>
        <v>341.68</v>
      </c>
      <c r="D115" s="2">
        <f>IFERROR(__xludf.DUMMYFUNCTION("""COMPUTED_VALUE"""),335.54)</f>
        <v>335.54</v>
      </c>
      <c r="E115" s="2">
        <f>IFERROR(__xludf.DUMMYFUNCTION("""COMPUTED_VALUE"""),339.82)</f>
        <v>339.82</v>
      </c>
      <c r="F115" s="2">
        <f>IFERROR(__xludf.DUMMYFUNCTION("""COMPUTED_VALUE"""),4116957.0)</f>
        <v>4116957</v>
      </c>
    </row>
    <row r="116">
      <c r="A116" s="3">
        <f>IFERROR(__xludf.DUMMYFUNCTION("""COMPUTED_VALUE"""),45093.66666666667)</f>
        <v>45093.66667</v>
      </c>
      <c r="B116" s="2">
        <f>IFERROR(__xludf.DUMMYFUNCTION("""COMPUTED_VALUE"""),341.02)</f>
        <v>341.02</v>
      </c>
      <c r="C116" s="2">
        <f>IFERROR(__xludf.DUMMYFUNCTION("""COMPUTED_VALUE"""),341.3)</f>
        <v>341.3</v>
      </c>
      <c r="D116" s="2">
        <f>IFERROR(__xludf.DUMMYFUNCTION("""COMPUTED_VALUE"""),337.66)</f>
        <v>337.66</v>
      </c>
      <c r="E116" s="2">
        <f>IFERROR(__xludf.DUMMYFUNCTION("""COMPUTED_VALUE"""),338.31)</f>
        <v>338.31</v>
      </c>
      <c r="F116" s="2">
        <f>IFERROR(__xludf.DUMMYFUNCTION("""COMPUTED_VALUE"""),8487204.0)</f>
        <v>8487204</v>
      </c>
    </row>
    <row r="117">
      <c r="A117" s="3">
        <f>IFERROR(__xludf.DUMMYFUNCTION("""COMPUTED_VALUE"""),45097.66666666667)</f>
        <v>45097.66667</v>
      </c>
      <c r="B117" s="2">
        <f>IFERROR(__xludf.DUMMYFUNCTION("""COMPUTED_VALUE"""),338.15)</f>
        <v>338.15</v>
      </c>
      <c r="C117" s="2">
        <f>IFERROR(__xludf.DUMMYFUNCTION("""COMPUTED_VALUE"""),339.28)</f>
        <v>339.28</v>
      </c>
      <c r="D117" s="2">
        <f>IFERROR(__xludf.DUMMYFUNCTION("""COMPUTED_VALUE"""),336.62)</f>
        <v>336.62</v>
      </c>
      <c r="E117" s="2">
        <f>IFERROR(__xludf.DUMMYFUNCTION("""COMPUTED_VALUE"""),338.67)</f>
        <v>338.67</v>
      </c>
      <c r="F117" s="2">
        <f>IFERROR(__xludf.DUMMYFUNCTION("""COMPUTED_VALUE"""),3752659.0)</f>
        <v>3752659</v>
      </c>
    </row>
    <row r="118">
      <c r="A118" s="3">
        <f>IFERROR(__xludf.DUMMYFUNCTION("""COMPUTED_VALUE"""),45098.66666666667)</f>
        <v>45098.66667</v>
      </c>
      <c r="B118" s="2">
        <f>IFERROR(__xludf.DUMMYFUNCTION("""COMPUTED_VALUE"""),337.3)</f>
        <v>337.3</v>
      </c>
      <c r="C118" s="2">
        <f>IFERROR(__xludf.DUMMYFUNCTION("""COMPUTED_VALUE"""),341.35)</f>
        <v>341.35</v>
      </c>
      <c r="D118" s="2">
        <f>IFERROR(__xludf.DUMMYFUNCTION("""COMPUTED_VALUE"""),336.37)</f>
        <v>336.37</v>
      </c>
      <c r="E118" s="2">
        <f>IFERROR(__xludf.DUMMYFUNCTION("""COMPUTED_VALUE"""),338.61)</f>
        <v>338.61</v>
      </c>
      <c r="F118" s="2">
        <f>IFERROR(__xludf.DUMMYFUNCTION("""COMPUTED_VALUE"""),4507761.0)</f>
        <v>4507761</v>
      </c>
    </row>
    <row r="119">
      <c r="A119" s="3">
        <f>IFERROR(__xludf.DUMMYFUNCTION("""COMPUTED_VALUE"""),45099.66666666667)</f>
        <v>45099.66667</v>
      </c>
      <c r="B119" s="2">
        <f>IFERROR(__xludf.DUMMYFUNCTION("""COMPUTED_VALUE"""),338.84)</f>
        <v>338.84</v>
      </c>
      <c r="C119" s="2">
        <f>IFERROR(__xludf.DUMMYFUNCTION("""COMPUTED_VALUE"""),338.85)</f>
        <v>338.85</v>
      </c>
      <c r="D119" s="2">
        <f>IFERROR(__xludf.DUMMYFUNCTION("""COMPUTED_VALUE"""),335.66)</f>
        <v>335.66</v>
      </c>
      <c r="E119" s="2">
        <f>IFERROR(__xludf.DUMMYFUNCTION("""COMPUTED_VALUE"""),336.96)</f>
        <v>336.96</v>
      </c>
      <c r="F119" s="2">
        <f>IFERROR(__xludf.DUMMYFUNCTION("""COMPUTED_VALUE"""),3304552.0)</f>
        <v>3304552</v>
      </c>
    </row>
    <row r="120">
      <c r="A120" s="3">
        <f>IFERROR(__xludf.DUMMYFUNCTION("""COMPUTED_VALUE"""),45100.66666666667)</f>
        <v>45100.66667</v>
      </c>
      <c r="B120" s="2">
        <f>IFERROR(__xludf.DUMMYFUNCTION("""COMPUTED_VALUE"""),335.1)</f>
        <v>335.1</v>
      </c>
      <c r="C120" s="2">
        <f>IFERROR(__xludf.DUMMYFUNCTION("""COMPUTED_VALUE"""),337.47)</f>
        <v>337.47</v>
      </c>
      <c r="D120" s="2">
        <f>IFERROR(__xludf.DUMMYFUNCTION("""COMPUTED_VALUE"""),334.19)</f>
        <v>334.19</v>
      </c>
      <c r="E120" s="2">
        <f>IFERROR(__xludf.DUMMYFUNCTION("""COMPUTED_VALUE"""),335.25)</f>
        <v>335.25</v>
      </c>
      <c r="F120" s="2">
        <f>IFERROR(__xludf.DUMMYFUNCTION("""COMPUTED_VALUE"""),4453846.0)</f>
        <v>4453846</v>
      </c>
    </row>
    <row r="121">
      <c r="A121" s="3">
        <f>IFERROR(__xludf.DUMMYFUNCTION("""COMPUTED_VALUE"""),45103.66666666667)</f>
        <v>45103.66667</v>
      </c>
      <c r="B121" s="2">
        <f>IFERROR(__xludf.DUMMYFUNCTION("""COMPUTED_VALUE"""),335.17)</f>
        <v>335.17</v>
      </c>
      <c r="C121" s="2">
        <f>IFERROR(__xludf.DUMMYFUNCTION("""COMPUTED_VALUE"""),335.83)</f>
        <v>335.83</v>
      </c>
      <c r="D121" s="2">
        <f>IFERROR(__xludf.DUMMYFUNCTION("""COMPUTED_VALUE"""),331.84)</f>
        <v>331.84</v>
      </c>
      <c r="E121" s="2">
        <f>IFERROR(__xludf.DUMMYFUNCTION("""COMPUTED_VALUE"""),334.12)</f>
        <v>334.12</v>
      </c>
      <c r="F121" s="2">
        <f>IFERROR(__xludf.DUMMYFUNCTION("""COMPUTED_VALUE"""),3221884.0)</f>
        <v>3221884</v>
      </c>
    </row>
    <row r="122">
      <c r="A122" s="3">
        <f>IFERROR(__xludf.DUMMYFUNCTION("""COMPUTED_VALUE"""),45104.66666666667)</f>
        <v>45104.66667</v>
      </c>
      <c r="B122" s="2">
        <f>IFERROR(__xludf.DUMMYFUNCTION("""COMPUTED_VALUE"""),334.39)</f>
        <v>334.39</v>
      </c>
      <c r="C122" s="2">
        <f>IFERROR(__xludf.DUMMYFUNCTION("""COMPUTED_VALUE"""),336.73)</f>
        <v>336.73</v>
      </c>
      <c r="D122" s="2">
        <f>IFERROR(__xludf.DUMMYFUNCTION("""COMPUTED_VALUE"""),334.37)</f>
        <v>334.37</v>
      </c>
      <c r="E122" s="2">
        <f>IFERROR(__xludf.DUMMYFUNCTION("""COMPUTED_VALUE"""),335.34)</f>
        <v>335.34</v>
      </c>
      <c r="F122" s="2">
        <f>IFERROR(__xludf.DUMMYFUNCTION("""COMPUTED_VALUE"""),2626698.0)</f>
        <v>2626698</v>
      </c>
    </row>
    <row r="123">
      <c r="A123" s="3">
        <f>IFERROR(__xludf.DUMMYFUNCTION("""COMPUTED_VALUE"""),45105.66666666667)</f>
        <v>45105.66667</v>
      </c>
      <c r="B123" s="2">
        <f>IFERROR(__xludf.DUMMYFUNCTION("""COMPUTED_VALUE"""),336.05)</f>
        <v>336.05</v>
      </c>
      <c r="C123" s="2">
        <f>IFERROR(__xludf.DUMMYFUNCTION("""COMPUTED_VALUE"""),336.4)</f>
        <v>336.4</v>
      </c>
      <c r="D123" s="2">
        <f>IFERROR(__xludf.DUMMYFUNCTION("""COMPUTED_VALUE"""),332.61)</f>
        <v>332.61</v>
      </c>
      <c r="E123" s="2">
        <f>IFERROR(__xludf.DUMMYFUNCTION("""COMPUTED_VALUE"""),334.15)</f>
        <v>334.15</v>
      </c>
      <c r="F123" s="2">
        <f>IFERROR(__xludf.DUMMYFUNCTION("""COMPUTED_VALUE"""),3216531.0)</f>
        <v>3216531</v>
      </c>
    </row>
    <row r="124">
      <c r="A124" s="3">
        <f>IFERROR(__xludf.DUMMYFUNCTION("""COMPUTED_VALUE"""),45106.66666666667)</f>
        <v>45106.66667</v>
      </c>
      <c r="B124" s="2">
        <f>IFERROR(__xludf.DUMMYFUNCTION("""COMPUTED_VALUE"""),334.26)</f>
        <v>334.26</v>
      </c>
      <c r="C124" s="2">
        <f>IFERROR(__xludf.DUMMYFUNCTION("""COMPUTED_VALUE"""),337.01)</f>
        <v>337.01</v>
      </c>
      <c r="D124" s="2">
        <f>IFERROR(__xludf.DUMMYFUNCTION("""COMPUTED_VALUE"""),334.14)</f>
        <v>334.14</v>
      </c>
      <c r="E124" s="2">
        <f>IFERROR(__xludf.DUMMYFUNCTION("""COMPUTED_VALUE"""),336.91)</f>
        <v>336.91</v>
      </c>
      <c r="F124" s="2">
        <f>IFERROR(__xludf.DUMMYFUNCTION("""COMPUTED_VALUE"""),2499138.0)</f>
        <v>2499138</v>
      </c>
    </row>
    <row r="125">
      <c r="A125" s="3">
        <f>IFERROR(__xludf.DUMMYFUNCTION("""COMPUTED_VALUE"""),45107.66666666667)</f>
        <v>45107.66667</v>
      </c>
      <c r="B125" s="2">
        <f>IFERROR(__xludf.DUMMYFUNCTION("""COMPUTED_VALUE"""),338.78)</f>
        <v>338.78</v>
      </c>
      <c r="C125" s="2">
        <f>IFERROR(__xludf.DUMMYFUNCTION("""COMPUTED_VALUE"""),342.5)</f>
        <v>342.5</v>
      </c>
      <c r="D125" s="2">
        <f>IFERROR(__xludf.DUMMYFUNCTION("""COMPUTED_VALUE"""),338.4)</f>
        <v>338.4</v>
      </c>
      <c r="E125" s="2">
        <f>IFERROR(__xludf.DUMMYFUNCTION("""COMPUTED_VALUE"""),341.0)</f>
        <v>341</v>
      </c>
      <c r="F125" s="2">
        <f>IFERROR(__xludf.DUMMYFUNCTION("""COMPUTED_VALUE"""),4522066.0)</f>
        <v>4522066</v>
      </c>
    </row>
    <row r="126">
      <c r="A126" s="3">
        <f>IFERROR(__xludf.DUMMYFUNCTION("""COMPUTED_VALUE"""),45110.54166666667)</f>
        <v>45110.54167</v>
      </c>
      <c r="B126" s="2">
        <f>IFERROR(__xludf.DUMMYFUNCTION("""COMPUTED_VALUE"""),340.75)</f>
        <v>340.75</v>
      </c>
      <c r="C126" s="2">
        <f>IFERROR(__xludf.DUMMYFUNCTION("""COMPUTED_VALUE"""),342.08)</f>
        <v>342.08</v>
      </c>
      <c r="D126" s="2">
        <f>IFERROR(__xludf.DUMMYFUNCTION("""COMPUTED_VALUE"""),338.41)</f>
        <v>338.41</v>
      </c>
      <c r="E126" s="2">
        <f>IFERROR(__xludf.DUMMYFUNCTION("""COMPUTED_VALUE"""),342.0)</f>
        <v>342</v>
      </c>
      <c r="F126" s="2">
        <f>IFERROR(__xludf.DUMMYFUNCTION("""COMPUTED_VALUE"""),2047440.0)</f>
        <v>2047440</v>
      </c>
    </row>
    <row r="127">
      <c r="A127" s="3">
        <f>IFERROR(__xludf.DUMMYFUNCTION("""COMPUTED_VALUE"""),45112.66666666667)</f>
        <v>45112.66667</v>
      </c>
      <c r="B127" s="2">
        <f>IFERROR(__xludf.DUMMYFUNCTION("""COMPUTED_VALUE"""),340.05)</f>
        <v>340.05</v>
      </c>
      <c r="C127" s="2">
        <f>IFERROR(__xludf.DUMMYFUNCTION("""COMPUTED_VALUE"""),341.89)</f>
        <v>341.89</v>
      </c>
      <c r="D127" s="2">
        <f>IFERROR(__xludf.DUMMYFUNCTION("""COMPUTED_VALUE"""),338.7)</f>
        <v>338.7</v>
      </c>
      <c r="E127" s="2">
        <f>IFERROR(__xludf.DUMMYFUNCTION("""COMPUTED_VALUE"""),341.56)</f>
        <v>341.56</v>
      </c>
      <c r="F127" s="2">
        <f>IFERROR(__xludf.DUMMYFUNCTION("""COMPUTED_VALUE"""),2875644.0)</f>
        <v>2875644</v>
      </c>
    </row>
    <row r="128">
      <c r="A128" s="3">
        <f>IFERROR(__xludf.DUMMYFUNCTION("""COMPUTED_VALUE"""),45113.66666666667)</f>
        <v>45113.66667</v>
      </c>
      <c r="B128" s="2">
        <f>IFERROR(__xludf.DUMMYFUNCTION("""COMPUTED_VALUE"""),339.75)</f>
        <v>339.75</v>
      </c>
      <c r="C128" s="2">
        <f>IFERROR(__xludf.DUMMYFUNCTION("""COMPUTED_VALUE"""),341.8)</f>
        <v>341.8</v>
      </c>
      <c r="D128" s="2">
        <f>IFERROR(__xludf.DUMMYFUNCTION("""COMPUTED_VALUE"""),338.91)</f>
        <v>338.91</v>
      </c>
      <c r="E128" s="2">
        <f>IFERROR(__xludf.DUMMYFUNCTION("""COMPUTED_VALUE"""),341.46)</f>
        <v>341.46</v>
      </c>
      <c r="F128" s="2">
        <f>IFERROR(__xludf.DUMMYFUNCTION("""COMPUTED_VALUE"""),2550399.0)</f>
        <v>2550399</v>
      </c>
    </row>
    <row r="129">
      <c r="A129" s="3">
        <f>IFERROR(__xludf.DUMMYFUNCTION("""COMPUTED_VALUE"""),45114.66666666667)</f>
        <v>45114.66667</v>
      </c>
      <c r="B129" s="2">
        <f>IFERROR(__xludf.DUMMYFUNCTION("""COMPUTED_VALUE"""),340.52)</f>
        <v>340.52</v>
      </c>
      <c r="C129" s="2">
        <f>IFERROR(__xludf.DUMMYFUNCTION("""COMPUTED_VALUE"""),344.07)</f>
        <v>344.07</v>
      </c>
      <c r="D129" s="2">
        <f>IFERROR(__xludf.DUMMYFUNCTION("""COMPUTED_VALUE"""),340.39)</f>
        <v>340.39</v>
      </c>
      <c r="E129" s="2">
        <f>IFERROR(__xludf.DUMMYFUNCTION("""COMPUTED_VALUE"""),340.9)</f>
        <v>340.9</v>
      </c>
      <c r="F129" s="2">
        <f>IFERROR(__xludf.DUMMYFUNCTION("""COMPUTED_VALUE"""),2942066.0)</f>
        <v>2942066</v>
      </c>
    </row>
    <row r="130">
      <c r="A130" s="3">
        <f>IFERROR(__xludf.DUMMYFUNCTION("""COMPUTED_VALUE"""),45117.66666666667)</f>
        <v>45117.66667</v>
      </c>
      <c r="B130" s="2">
        <f>IFERROR(__xludf.DUMMYFUNCTION("""COMPUTED_VALUE"""),340.48)</f>
        <v>340.48</v>
      </c>
      <c r="C130" s="2">
        <f>IFERROR(__xludf.DUMMYFUNCTION("""COMPUTED_VALUE"""),343.48)</f>
        <v>343.48</v>
      </c>
      <c r="D130" s="2">
        <f>IFERROR(__xludf.DUMMYFUNCTION("""COMPUTED_VALUE"""),339.87)</f>
        <v>339.87</v>
      </c>
      <c r="E130" s="2">
        <f>IFERROR(__xludf.DUMMYFUNCTION("""COMPUTED_VALUE"""),341.13)</f>
        <v>341.13</v>
      </c>
      <c r="F130" s="2">
        <f>IFERROR(__xludf.DUMMYFUNCTION("""COMPUTED_VALUE"""),2966941.0)</f>
        <v>2966941</v>
      </c>
    </row>
    <row r="131">
      <c r="A131" s="3">
        <f>IFERROR(__xludf.DUMMYFUNCTION("""COMPUTED_VALUE"""),45118.66666666667)</f>
        <v>45118.66667</v>
      </c>
      <c r="B131" s="2">
        <f>IFERROR(__xludf.DUMMYFUNCTION("""COMPUTED_VALUE"""),341.23)</f>
        <v>341.23</v>
      </c>
      <c r="C131" s="2">
        <f>IFERROR(__xludf.DUMMYFUNCTION("""COMPUTED_VALUE"""),343.84)</f>
        <v>343.84</v>
      </c>
      <c r="D131" s="2">
        <f>IFERROR(__xludf.DUMMYFUNCTION("""COMPUTED_VALUE"""),340.93)</f>
        <v>340.93</v>
      </c>
      <c r="E131" s="2">
        <f>IFERROR(__xludf.DUMMYFUNCTION("""COMPUTED_VALUE"""),343.37)</f>
        <v>343.37</v>
      </c>
      <c r="F131" s="2">
        <f>IFERROR(__xludf.DUMMYFUNCTION("""COMPUTED_VALUE"""),2755374.0)</f>
        <v>2755374</v>
      </c>
    </row>
    <row r="132">
      <c r="A132" s="3">
        <f>IFERROR(__xludf.DUMMYFUNCTION("""COMPUTED_VALUE"""),45119.66666666667)</f>
        <v>45119.66667</v>
      </c>
      <c r="B132" s="2">
        <f>IFERROR(__xludf.DUMMYFUNCTION("""COMPUTED_VALUE"""),345.29)</f>
        <v>345.29</v>
      </c>
      <c r="C132" s="2">
        <f>IFERROR(__xludf.DUMMYFUNCTION("""COMPUTED_VALUE"""),346.44)</f>
        <v>346.44</v>
      </c>
      <c r="D132" s="2">
        <f>IFERROR(__xludf.DUMMYFUNCTION("""COMPUTED_VALUE"""),344.31)</f>
        <v>344.31</v>
      </c>
      <c r="E132" s="2">
        <f>IFERROR(__xludf.DUMMYFUNCTION("""COMPUTED_VALUE"""),345.35)</f>
        <v>345.35</v>
      </c>
      <c r="F132" s="2">
        <f>IFERROR(__xludf.DUMMYFUNCTION("""COMPUTED_VALUE"""),2899407.0)</f>
        <v>2899407</v>
      </c>
    </row>
    <row r="133">
      <c r="A133" s="3">
        <f>IFERROR(__xludf.DUMMYFUNCTION("""COMPUTED_VALUE"""),45120.66666666667)</f>
        <v>45120.66667</v>
      </c>
      <c r="B133" s="2">
        <f>IFERROR(__xludf.DUMMYFUNCTION("""COMPUTED_VALUE"""),345.6)</f>
        <v>345.6</v>
      </c>
      <c r="C133" s="2">
        <f>IFERROR(__xludf.DUMMYFUNCTION("""COMPUTED_VALUE"""),346.21)</f>
        <v>346.21</v>
      </c>
      <c r="D133" s="2">
        <f>IFERROR(__xludf.DUMMYFUNCTION("""COMPUTED_VALUE"""),343.45)</f>
        <v>343.45</v>
      </c>
      <c r="E133" s="2">
        <f>IFERROR(__xludf.DUMMYFUNCTION("""COMPUTED_VALUE"""),343.54)</f>
        <v>343.54</v>
      </c>
      <c r="F133" s="2">
        <f>IFERROR(__xludf.DUMMYFUNCTION("""COMPUTED_VALUE"""),2833854.0)</f>
        <v>2833854</v>
      </c>
    </row>
    <row r="134">
      <c r="A134" s="3">
        <f>IFERROR(__xludf.DUMMYFUNCTION("""COMPUTED_VALUE"""),45121.66666666667)</f>
        <v>45121.66667</v>
      </c>
      <c r="B134" s="2">
        <f>IFERROR(__xludf.DUMMYFUNCTION("""COMPUTED_VALUE"""),344.99)</f>
        <v>344.99</v>
      </c>
      <c r="C134" s="2">
        <f>IFERROR(__xludf.DUMMYFUNCTION("""COMPUTED_VALUE"""),345.0)</f>
        <v>345</v>
      </c>
      <c r="D134" s="2">
        <f>IFERROR(__xludf.DUMMYFUNCTION("""COMPUTED_VALUE"""),340.51)</f>
        <v>340.51</v>
      </c>
      <c r="E134" s="2">
        <f>IFERROR(__xludf.DUMMYFUNCTION("""COMPUTED_VALUE"""),341.09)</f>
        <v>341.09</v>
      </c>
      <c r="F134" s="2">
        <f>IFERROR(__xludf.DUMMYFUNCTION("""COMPUTED_VALUE"""),2675172.0)</f>
        <v>2675172</v>
      </c>
    </row>
    <row r="135">
      <c r="A135" s="3">
        <f>IFERROR(__xludf.DUMMYFUNCTION("""COMPUTED_VALUE"""),45124.66666666667)</f>
        <v>45124.66667</v>
      </c>
      <c r="B135" s="2">
        <f>IFERROR(__xludf.DUMMYFUNCTION("""COMPUTED_VALUE"""),341.09)</f>
        <v>341.09</v>
      </c>
      <c r="C135" s="2">
        <f>IFERROR(__xludf.DUMMYFUNCTION("""COMPUTED_VALUE"""),345.72)</f>
        <v>345.72</v>
      </c>
      <c r="D135" s="2">
        <f>IFERROR(__xludf.DUMMYFUNCTION("""COMPUTED_VALUE"""),341.09)</f>
        <v>341.09</v>
      </c>
      <c r="E135" s="2">
        <f>IFERROR(__xludf.DUMMYFUNCTION("""COMPUTED_VALUE"""),344.25)</f>
        <v>344.25</v>
      </c>
      <c r="F135" s="2">
        <f>IFERROR(__xludf.DUMMYFUNCTION("""COMPUTED_VALUE"""),2361019.0)</f>
        <v>2361019</v>
      </c>
    </row>
    <row r="136">
      <c r="A136" s="3">
        <f>IFERROR(__xludf.DUMMYFUNCTION("""COMPUTED_VALUE"""),45125.66666666667)</f>
        <v>45125.66667</v>
      </c>
      <c r="B136" s="2">
        <f>IFERROR(__xludf.DUMMYFUNCTION("""COMPUTED_VALUE"""),344.05)</f>
        <v>344.05</v>
      </c>
      <c r="C136" s="2">
        <f>IFERROR(__xludf.DUMMYFUNCTION("""COMPUTED_VALUE"""),347.25)</f>
        <v>347.25</v>
      </c>
      <c r="D136" s="2">
        <f>IFERROR(__xludf.DUMMYFUNCTION("""COMPUTED_VALUE"""),343.54)</f>
        <v>343.54</v>
      </c>
      <c r="E136" s="2">
        <f>IFERROR(__xludf.DUMMYFUNCTION("""COMPUTED_VALUE"""),345.34)</f>
        <v>345.34</v>
      </c>
      <c r="F136" s="2">
        <f>IFERROR(__xludf.DUMMYFUNCTION("""COMPUTED_VALUE"""),2569008.0)</f>
        <v>2569008</v>
      </c>
    </row>
    <row r="137">
      <c r="A137" s="3">
        <f>IFERROR(__xludf.DUMMYFUNCTION("""COMPUTED_VALUE"""),45126.66666666667)</f>
        <v>45126.66667</v>
      </c>
      <c r="B137" s="2">
        <f>IFERROR(__xludf.DUMMYFUNCTION("""COMPUTED_VALUE"""),344.21)</f>
        <v>344.21</v>
      </c>
      <c r="C137" s="2">
        <f>IFERROR(__xludf.DUMMYFUNCTION("""COMPUTED_VALUE"""),345.38)</f>
        <v>345.38</v>
      </c>
      <c r="D137" s="2">
        <f>IFERROR(__xludf.DUMMYFUNCTION("""COMPUTED_VALUE"""),341.99)</f>
        <v>341.99</v>
      </c>
      <c r="E137" s="2">
        <f>IFERROR(__xludf.DUMMYFUNCTION("""COMPUTED_VALUE"""),342.43)</f>
        <v>342.43</v>
      </c>
      <c r="F137" s="2">
        <f>IFERROR(__xludf.DUMMYFUNCTION("""COMPUTED_VALUE"""),3037697.0)</f>
        <v>3037697</v>
      </c>
    </row>
    <row r="138">
      <c r="A138" s="3">
        <f>IFERROR(__xludf.DUMMYFUNCTION("""COMPUTED_VALUE"""),45127.66666666667)</f>
        <v>45127.66667</v>
      </c>
      <c r="B138" s="2">
        <f>IFERROR(__xludf.DUMMYFUNCTION("""COMPUTED_VALUE"""),343.09)</f>
        <v>343.09</v>
      </c>
      <c r="C138" s="2">
        <f>IFERROR(__xludf.DUMMYFUNCTION("""COMPUTED_VALUE"""),346.79)</f>
        <v>346.79</v>
      </c>
      <c r="D138" s="2">
        <f>IFERROR(__xludf.DUMMYFUNCTION("""COMPUTED_VALUE"""),342.85)</f>
        <v>342.85</v>
      </c>
      <c r="E138" s="2">
        <f>IFERROR(__xludf.DUMMYFUNCTION("""COMPUTED_VALUE"""),346.61)</f>
        <v>346.61</v>
      </c>
      <c r="F138" s="2">
        <f>IFERROR(__xludf.DUMMYFUNCTION("""COMPUTED_VALUE"""),3147635.0)</f>
        <v>3147635</v>
      </c>
    </row>
    <row r="139">
      <c r="A139" s="3">
        <f>IFERROR(__xludf.DUMMYFUNCTION("""COMPUTED_VALUE"""),45128.66666666667)</f>
        <v>45128.66667</v>
      </c>
      <c r="B139" s="2">
        <f>IFERROR(__xludf.DUMMYFUNCTION("""COMPUTED_VALUE"""),346.76)</f>
        <v>346.76</v>
      </c>
      <c r="C139" s="2">
        <f>IFERROR(__xludf.DUMMYFUNCTION("""COMPUTED_VALUE"""),347.62)</f>
        <v>347.62</v>
      </c>
      <c r="D139" s="2">
        <f>IFERROR(__xludf.DUMMYFUNCTION("""COMPUTED_VALUE"""),345.1)</f>
        <v>345.1</v>
      </c>
      <c r="E139" s="2">
        <f>IFERROR(__xludf.DUMMYFUNCTION("""COMPUTED_VALUE"""),345.76)</f>
        <v>345.76</v>
      </c>
      <c r="F139" s="2">
        <f>IFERROR(__xludf.DUMMYFUNCTION("""COMPUTED_VALUE"""),3302140.0)</f>
        <v>3302140</v>
      </c>
    </row>
    <row r="140">
      <c r="A140" s="3">
        <f>IFERROR(__xludf.DUMMYFUNCTION("""COMPUTED_VALUE"""),45131.66666666667)</f>
        <v>45131.66667</v>
      </c>
      <c r="B140" s="2">
        <f>IFERROR(__xludf.DUMMYFUNCTION("""COMPUTED_VALUE"""),346.77)</f>
        <v>346.77</v>
      </c>
      <c r="C140" s="2">
        <f>IFERROR(__xludf.DUMMYFUNCTION("""COMPUTED_VALUE"""),351.19)</f>
        <v>351.19</v>
      </c>
      <c r="D140" s="2">
        <f>IFERROR(__xludf.DUMMYFUNCTION("""COMPUTED_VALUE"""),346.28)</f>
        <v>346.28</v>
      </c>
      <c r="E140" s="2">
        <f>IFERROR(__xludf.DUMMYFUNCTION("""COMPUTED_VALUE"""),349.63)</f>
        <v>349.63</v>
      </c>
      <c r="F140" s="2">
        <f>IFERROR(__xludf.DUMMYFUNCTION("""COMPUTED_VALUE"""),3270037.0)</f>
        <v>3270037</v>
      </c>
    </row>
    <row r="141">
      <c r="A141" s="3">
        <f>IFERROR(__xludf.DUMMYFUNCTION("""COMPUTED_VALUE"""),45132.66666666667)</f>
        <v>45132.66667</v>
      </c>
      <c r="B141" s="2">
        <f>IFERROR(__xludf.DUMMYFUNCTION("""COMPUTED_VALUE"""),349.32)</f>
        <v>349.32</v>
      </c>
      <c r="C141" s="2">
        <f>IFERROR(__xludf.DUMMYFUNCTION("""COMPUTED_VALUE"""),349.66)</f>
        <v>349.66</v>
      </c>
      <c r="D141" s="2">
        <f>IFERROR(__xludf.DUMMYFUNCTION("""COMPUTED_VALUE"""),345.54)</f>
        <v>345.54</v>
      </c>
      <c r="E141" s="2">
        <f>IFERROR(__xludf.DUMMYFUNCTION("""COMPUTED_VALUE"""),347.58)</f>
        <v>347.58</v>
      </c>
      <c r="F141" s="2">
        <f>IFERROR(__xludf.DUMMYFUNCTION("""COMPUTED_VALUE"""),3016291.0)</f>
        <v>3016291</v>
      </c>
    </row>
    <row r="142">
      <c r="A142" s="3">
        <f>IFERROR(__xludf.DUMMYFUNCTION("""COMPUTED_VALUE"""),45133.66666666667)</f>
        <v>45133.66667</v>
      </c>
      <c r="B142" s="2">
        <f>IFERROR(__xludf.DUMMYFUNCTION("""COMPUTED_VALUE"""),347.56)</f>
        <v>347.56</v>
      </c>
      <c r="C142" s="2">
        <f>IFERROR(__xludf.DUMMYFUNCTION("""COMPUTED_VALUE"""),351.09)</f>
        <v>351.09</v>
      </c>
      <c r="D142" s="2">
        <f>IFERROR(__xludf.DUMMYFUNCTION("""COMPUTED_VALUE"""),347.52)</f>
        <v>347.52</v>
      </c>
      <c r="E142" s="2">
        <f>IFERROR(__xludf.DUMMYFUNCTION("""COMPUTED_VALUE"""),349.8)</f>
        <v>349.8</v>
      </c>
      <c r="F142" s="2">
        <f>IFERROR(__xludf.DUMMYFUNCTION("""COMPUTED_VALUE"""),2684530.0)</f>
        <v>2684530</v>
      </c>
    </row>
    <row r="143">
      <c r="A143" s="3">
        <f>IFERROR(__xludf.DUMMYFUNCTION("""COMPUTED_VALUE"""),45134.66666666667)</f>
        <v>45134.66667</v>
      </c>
      <c r="B143" s="2">
        <f>IFERROR(__xludf.DUMMYFUNCTION("""COMPUTED_VALUE"""),350.69)</f>
        <v>350.69</v>
      </c>
      <c r="C143" s="2">
        <f>IFERROR(__xludf.DUMMYFUNCTION("""COMPUTED_VALUE"""),351.27)</f>
        <v>351.27</v>
      </c>
      <c r="D143" s="2">
        <f>IFERROR(__xludf.DUMMYFUNCTION("""COMPUTED_VALUE"""),348.6)</f>
        <v>348.6</v>
      </c>
      <c r="E143" s="2">
        <f>IFERROR(__xludf.DUMMYFUNCTION("""COMPUTED_VALUE"""),349.31)</f>
        <v>349.31</v>
      </c>
      <c r="F143" s="2">
        <f>IFERROR(__xludf.DUMMYFUNCTION("""COMPUTED_VALUE"""),2712061.0)</f>
        <v>2712061</v>
      </c>
    </row>
    <row r="144">
      <c r="A144" s="3">
        <f>IFERROR(__xludf.DUMMYFUNCTION("""COMPUTED_VALUE"""),45135.66666666667)</f>
        <v>45135.66667</v>
      </c>
      <c r="B144" s="2">
        <f>IFERROR(__xludf.DUMMYFUNCTION("""COMPUTED_VALUE"""),349.93)</f>
        <v>349.93</v>
      </c>
      <c r="C144" s="2">
        <f>IFERROR(__xludf.DUMMYFUNCTION("""COMPUTED_VALUE"""),351.0)</f>
        <v>351</v>
      </c>
      <c r="D144" s="2">
        <f>IFERROR(__xludf.DUMMYFUNCTION("""COMPUTED_VALUE"""),348.32)</f>
        <v>348.32</v>
      </c>
      <c r="E144" s="2">
        <f>IFERROR(__xludf.DUMMYFUNCTION("""COMPUTED_VALUE"""),349.81)</f>
        <v>349.81</v>
      </c>
      <c r="F144" s="2">
        <f>IFERROR(__xludf.DUMMYFUNCTION("""COMPUTED_VALUE"""),2473823.0)</f>
        <v>2473823</v>
      </c>
    </row>
    <row r="145">
      <c r="A145" s="3">
        <f>IFERROR(__xludf.DUMMYFUNCTION("""COMPUTED_VALUE"""),45138.66666666667)</f>
        <v>45138.66667</v>
      </c>
      <c r="B145" s="2">
        <f>IFERROR(__xludf.DUMMYFUNCTION("""COMPUTED_VALUE"""),350.73)</f>
        <v>350.73</v>
      </c>
      <c r="C145" s="2">
        <f>IFERROR(__xludf.DUMMYFUNCTION("""COMPUTED_VALUE"""),352.33)</f>
        <v>352.33</v>
      </c>
      <c r="D145" s="2">
        <f>IFERROR(__xludf.DUMMYFUNCTION("""COMPUTED_VALUE"""),350.21)</f>
        <v>350.21</v>
      </c>
      <c r="E145" s="2">
        <f>IFERROR(__xludf.DUMMYFUNCTION("""COMPUTED_VALUE"""),351.96)</f>
        <v>351.96</v>
      </c>
      <c r="F145" s="2">
        <f>IFERROR(__xludf.DUMMYFUNCTION("""COMPUTED_VALUE"""),2622162.0)</f>
        <v>2622162</v>
      </c>
    </row>
    <row r="146">
      <c r="A146" s="3">
        <f>IFERROR(__xludf.DUMMYFUNCTION("""COMPUTED_VALUE"""),45139.66666666667)</f>
        <v>45139.66667</v>
      </c>
      <c r="B146" s="2">
        <f>IFERROR(__xludf.DUMMYFUNCTION("""COMPUTED_VALUE"""),352.03)</f>
        <v>352.03</v>
      </c>
      <c r="C146" s="2">
        <f>IFERROR(__xludf.DUMMYFUNCTION("""COMPUTED_VALUE"""),353.42)</f>
        <v>353.42</v>
      </c>
      <c r="D146" s="2">
        <f>IFERROR(__xludf.DUMMYFUNCTION("""COMPUTED_VALUE"""),351.25)</f>
        <v>351.25</v>
      </c>
      <c r="E146" s="2">
        <f>IFERROR(__xludf.DUMMYFUNCTION("""COMPUTED_VALUE"""),352.26)</f>
        <v>352.26</v>
      </c>
      <c r="F146" s="2">
        <f>IFERROR(__xludf.DUMMYFUNCTION("""COMPUTED_VALUE"""),2296703.0)</f>
        <v>2296703</v>
      </c>
    </row>
    <row r="147">
      <c r="A147" s="3">
        <f>IFERROR(__xludf.DUMMYFUNCTION("""COMPUTED_VALUE"""),45140.66666666667)</f>
        <v>45140.66667</v>
      </c>
      <c r="B147" s="2">
        <f>IFERROR(__xludf.DUMMYFUNCTION("""COMPUTED_VALUE"""),351.45)</f>
        <v>351.45</v>
      </c>
      <c r="C147" s="2">
        <f>IFERROR(__xludf.DUMMYFUNCTION("""COMPUTED_VALUE"""),352.89)</f>
        <v>352.89</v>
      </c>
      <c r="D147" s="2">
        <f>IFERROR(__xludf.DUMMYFUNCTION("""COMPUTED_VALUE"""),349.69)</f>
        <v>349.69</v>
      </c>
      <c r="E147" s="2">
        <f>IFERROR(__xludf.DUMMYFUNCTION("""COMPUTED_VALUE"""),351.19)</f>
        <v>351.19</v>
      </c>
      <c r="F147" s="2">
        <f>IFERROR(__xludf.DUMMYFUNCTION("""COMPUTED_VALUE"""),3088573.0)</f>
        <v>3088573</v>
      </c>
    </row>
    <row r="148">
      <c r="A148" s="3">
        <f>IFERROR(__xludf.DUMMYFUNCTION("""COMPUTED_VALUE"""),45141.66666666667)</f>
        <v>45141.66667</v>
      </c>
      <c r="B148" s="2">
        <f>IFERROR(__xludf.DUMMYFUNCTION("""COMPUTED_VALUE"""),350.29)</f>
        <v>350.29</v>
      </c>
      <c r="C148" s="2">
        <f>IFERROR(__xludf.DUMMYFUNCTION("""COMPUTED_VALUE"""),354.47)</f>
        <v>354.47</v>
      </c>
      <c r="D148" s="2">
        <f>IFERROR(__xludf.DUMMYFUNCTION("""COMPUTED_VALUE"""),349.42)</f>
        <v>349.42</v>
      </c>
      <c r="E148" s="2">
        <f>IFERROR(__xludf.DUMMYFUNCTION("""COMPUTED_VALUE"""),353.81)</f>
        <v>353.81</v>
      </c>
      <c r="F148" s="2">
        <f>IFERROR(__xludf.DUMMYFUNCTION("""COMPUTED_VALUE"""),2943675.0)</f>
        <v>2943675</v>
      </c>
    </row>
    <row r="149">
      <c r="A149" s="3">
        <f>IFERROR(__xludf.DUMMYFUNCTION("""COMPUTED_VALUE"""),45142.66666666667)</f>
        <v>45142.66667</v>
      </c>
      <c r="B149" s="2">
        <f>IFERROR(__xludf.DUMMYFUNCTION("""COMPUTED_VALUE"""),353.99)</f>
        <v>353.99</v>
      </c>
      <c r="C149" s="2">
        <f>IFERROR(__xludf.DUMMYFUNCTION("""COMPUTED_VALUE"""),355.11)</f>
        <v>355.11</v>
      </c>
      <c r="D149" s="2">
        <f>IFERROR(__xludf.DUMMYFUNCTION("""COMPUTED_VALUE"""),349.39)</f>
        <v>349.39</v>
      </c>
      <c r="E149" s="2">
        <f>IFERROR(__xludf.DUMMYFUNCTION("""COMPUTED_VALUE"""),349.99)</f>
        <v>349.99</v>
      </c>
      <c r="F149" s="2">
        <f>IFERROR(__xludf.DUMMYFUNCTION("""COMPUTED_VALUE"""),2843922.0)</f>
        <v>2843922</v>
      </c>
    </row>
    <row r="150">
      <c r="A150" s="3">
        <f>IFERROR(__xludf.DUMMYFUNCTION("""COMPUTED_VALUE"""),45145.66666666667)</f>
        <v>45145.66667</v>
      </c>
      <c r="B150" s="2">
        <f>IFERROR(__xludf.DUMMYFUNCTION("""COMPUTED_VALUE"""),355.73)</f>
        <v>355.73</v>
      </c>
      <c r="C150" s="2">
        <f>IFERROR(__xludf.DUMMYFUNCTION("""COMPUTED_VALUE"""),364.63)</f>
        <v>364.63</v>
      </c>
      <c r="D150" s="2">
        <f>IFERROR(__xludf.DUMMYFUNCTION("""COMPUTED_VALUE"""),355.15)</f>
        <v>355.15</v>
      </c>
      <c r="E150" s="2">
        <f>IFERROR(__xludf.DUMMYFUNCTION("""COMPUTED_VALUE"""),362.58)</f>
        <v>362.58</v>
      </c>
      <c r="F150" s="2">
        <f>IFERROR(__xludf.DUMMYFUNCTION("""COMPUTED_VALUE"""),5385741.0)</f>
        <v>5385741</v>
      </c>
    </row>
    <row r="151">
      <c r="A151" s="3">
        <f>IFERROR(__xludf.DUMMYFUNCTION("""COMPUTED_VALUE"""),45146.66666666667)</f>
        <v>45146.66667</v>
      </c>
      <c r="B151" s="2">
        <f>IFERROR(__xludf.DUMMYFUNCTION("""COMPUTED_VALUE"""),359.42)</f>
        <v>359.42</v>
      </c>
      <c r="C151" s="2">
        <f>IFERROR(__xludf.DUMMYFUNCTION("""COMPUTED_VALUE"""),364.25)</f>
        <v>364.25</v>
      </c>
      <c r="D151" s="2">
        <f>IFERROR(__xludf.DUMMYFUNCTION("""COMPUTED_VALUE"""),358.85)</f>
        <v>358.85</v>
      </c>
      <c r="E151" s="2">
        <f>IFERROR(__xludf.DUMMYFUNCTION("""COMPUTED_VALUE"""),363.73)</f>
        <v>363.73</v>
      </c>
      <c r="F151" s="2">
        <f>IFERROR(__xludf.DUMMYFUNCTION("""COMPUTED_VALUE"""),3430319.0)</f>
        <v>3430319</v>
      </c>
    </row>
    <row r="152">
      <c r="A152" s="3">
        <f>IFERROR(__xludf.DUMMYFUNCTION("""COMPUTED_VALUE"""),45147.66666666667)</f>
        <v>45147.66667</v>
      </c>
      <c r="B152" s="2">
        <f>IFERROR(__xludf.DUMMYFUNCTION("""COMPUTED_VALUE"""),364.2)</f>
        <v>364.2</v>
      </c>
      <c r="C152" s="2">
        <f>IFERROR(__xludf.DUMMYFUNCTION("""COMPUTED_VALUE"""),364.43)</f>
        <v>364.43</v>
      </c>
      <c r="D152" s="2">
        <f>IFERROR(__xludf.DUMMYFUNCTION("""COMPUTED_VALUE"""),356.06)</f>
        <v>356.06</v>
      </c>
      <c r="E152" s="2">
        <f>IFERROR(__xludf.DUMMYFUNCTION("""COMPUTED_VALUE"""),358.02)</f>
        <v>358.02</v>
      </c>
      <c r="F152" s="2">
        <f>IFERROR(__xludf.DUMMYFUNCTION("""COMPUTED_VALUE"""),4425837.0)</f>
        <v>4425837</v>
      </c>
    </row>
    <row r="153">
      <c r="A153" s="3">
        <f>IFERROR(__xludf.DUMMYFUNCTION("""COMPUTED_VALUE"""),45148.66666666667)</f>
        <v>45148.66667</v>
      </c>
      <c r="B153" s="2">
        <f>IFERROR(__xludf.DUMMYFUNCTION("""COMPUTED_VALUE"""),359.36)</f>
        <v>359.36</v>
      </c>
      <c r="C153" s="2">
        <f>IFERROR(__xludf.DUMMYFUNCTION("""COMPUTED_VALUE"""),362.35)</f>
        <v>362.35</v>
      </c>
      <c r="D153" s="2">
        <f>IFERROR(__xludf.DUMMYFUNCTION("""COMPUTED_VALUE"""),355.92)</f>
        <v>355.92</v>
      </c>
      <c r="E153" s="2">
        <f>IFERROR(__xludf.DUMMYFUNCTION("""COMPUTED_VALUE"""),356.98)</f>
        <v>356.98</v>
      </c>
      <c r="F153" s="2">
        <f>IFERROR(__xludf.DUMMYFUNCTION("""COMPUTED_VALUE"""),3099505.0)</f>
        <v>3099505</v>
      </c>
    </row>
    <row r="154">
      <c r="A154" s="3">
        <f>IFERROR(__xludf.DUMMYFUNCTION("""COMPUTED_VALUE"""),45149.66666666667)</f>
        <v>45149.66667</v>
      </c>
      <c r="B154" s="2">
        <f>IFERROR(__xludf.DUMMYFUNCTION("""COMPUTED_VALUE"""),356.26)</f>
        <v>356.26</v>
      </c>
      <c r="C154" s="2">
        <f>IFERROR(__xludf.DUMMYFUNCTION("""COMPUTED_VALUE"""),359.25)</f>
        <v>359.25</v>
      </c>
      <c r="D154" s="2">
        <f>IFERROR(__xludf.DUMMYFUNCTION("""COMPUTED_VALUE"""),353.2)</f>
        <v>353.2</v>
      </c>
      <c r="E154" s="2">
        <f>IFERROR(__xludf.DUMMYFUNCTION("""COMPUTED_VALUE"""),358.35)</f>
        <v>358.35</v>
      </c>
      <c r="F154" s="2">
        <f>IFERROR(__xludf.DUMMYFUNCTION("""COMPUTED_VALUE"""),2476339.0)</f>
        <v>2476339</v>
      </c>
    </row>
    <row r="155">
      <c r="A155" s="3">
        <f>IFERROR(__xludf.DUMMYFUNCTION("""COMPUTED_VALUE"""),45152.66666666667)</f>
        <v>45152.66667</v>
      </c>
      <c r="B155" s="2">
        <f>IFERROR(__xludf.DUMMYFUNCTION("""COMPUTED_VALUE"""),358.25)</f>
        <v>358.25</v>
      </c>
      <c r="C155" s="2">
        <f>IFERROR(__xludf.DUMMYFUNCTION("""COMPUTED_VALUE"""),358.95)</f>
        <v>358.95</v>
      </c>
      <c r="D155" s="2">
        <f>IFERROR(__xludf.DUMMYFUNCTION("""COMPUTED_VALUE"""),356.81)</f>
        <v>356.81</v>
      </c>
      <c r="E155" s="2">
        <f>IFERROR(__xludf.DUMMYFUNCTION("""COMPUTED_VALUE"""),358.48)</f>
        <v>358.48</v>
      </c>
      <c r="F155" s="2">
        <f>IFERROR(__xludf.DUMMYFUNCTION("""COMPUTED_VALUE"""),1991973.0)</f>
        <v>1991973</v>
      </c>
    </row>
    <row r="156">
      <c r="A156" s="3">
        <f>IFERROR(__xludf.DUMMYFUNCTION("""COMPUTED_VALUE"""),45153.66666666667)</f>
        <v>45153.66667</v>
      </c>
      <c r="B156" s="2">
        <f>IFERROR(__xludf.DUMMYFUNCTION("""COMPUTED_VALUE"""),357.0)</f>
        <v>357</v>
      </c>
      <c r="C156" s="2">
        <f>IFERROR(__xludf.DUMMYFUNCTION("""COMPUTED_VALUE"""),357.92)</f>
        <v>357.92</v>
      </c>
      <c r="D156" s="2">
        <f>IFERROR(__xludf.DUMMYFUNCTION("""COMPUTED_VALUE"""),353.67)</f>
        <v>353.67</v>
      </c>
      <c r="E156" s="2">
        <f>IFERROR(__xludf.DUMMYFUNCTION("""COMPUTED_VALUE"""),354.5)</f>
        <v>354.5</v>
      </c>
      <c r="F156" s="2">
        <f>IFERROR(__xludf.DUMMYFUNCTION("""COMPUTED_VALUE"""),2866087.0)</f>
        <v>2866087</v>
      </c>
    </row>
    <row r="157">
      <c r="A157" s="3">
        <f>IFERROR(__xludf.DUMMYFUNCTION("""COMPUTED_VALUE"""),45154.66666666667)</f>
        <v>45154.66667</v>
      </c>
      <c r="B157" s="2">
        <f>IFERROR(__xludf.DUMMYFUNCTION("""COMPUTED_VALUE"""),354.6)</f>
        <v>354.6</v>
      </c>
      <c r="C157" s="2">
        <f>IFERROR(__xludf.DUMMYFUNCTION("""COMPUTED_VALUE"""),358.72)</f>
        <v>358.72</v>
      </c>
      <c r="D157" s="2">
        <f>IFERROR(__xludf.DUMMYFUNCTION("""COMPUTED_VALUE"""),353.38)</f>
        <v>353.38</v>
      </c>
      <c r="E157" s="2">
        <f>IFERROR(__xludf.DUMMYFUNCTION("""COMPUTED_VALUE"""),354.11)</f>
        <v>354.11</v>
      </c>
      <c r="F157" s="2">
        <f>IFERROR(__xludf.DUMMYFUNCTION("""COMPUTED_VALUE"""),2196921.0)</f>
        <v>2196921</v>
      </c>
    </row>
    <row r="158">
      <c r="A158" s="3">
        <f>IFERROR(__xludf.DUMMYFUNCTION("""COMPUTED_VALUE"""),45155.66666666667)</f>
        <v>45155.66667</v>
      </c>
      <c r="B158" s="2">
        <f>IFERROR(__xludf.DUMMYFUNCTION("""COMPUTED_VALUE"""),354.01)</f>
        <v>354.01</v>
      </c>
      <c r="C158" s="2">
        <f>IFERROR(__xludf.DUMMYFUNCTION("""COMPUTED_VALUE"""),356.3)</f>
        <v>356.3</v>
      </c>
      <c r="D158" s="2">
        <f>IFERROR(__xludf.DUMMYFUNCTION("""COMPUTED_VALUE"""),351.88)</f>
        <v>351.88</v>
      </c>
      <c r="E158" s="2">
        <f>IFERROR(__xludf.DUMMYFUNCTION("""COMPUTED_VALUE"""),353.19)</f>
        <v>353.19</v>
      </c>
      <c r="F158" s="2">
        <f>IFERROR(__xludf.DUMMYFUNCTION("""COMPUTED_VALUE"""),2851173.0)</f>
        <v>2851173</v>
      </c>
    </row>
    <row r="159">
      <c r="A159" s="3">
        <f>IFERROR(__xludf.DUMMYFUNCTION("""COMPUTED_VALUE"""),45156.66666666667)</f>
        <v>45156.66667</v>
      </c>
      <c r="B159" s="2">
        <f>IFERROR(__xludf.DUMMYFUNCTION("""COMPUTED_VALUE"""),351.47)</f>
        <v>351.47</v>
      </c>
      <c r="C159" s="2">
        <f>IFERROR(__xludf.DUMMYFUNCTION("""COMPUTED_VALUE"""),354.3)</f>
        <v>354.3</v>
      </c>
      <c r="D159" s="2">
        <f>IFERROR(__xludf.DUMMYFUNCTION("""COMPUTED_VALUE"""),351.25)</f>
        <v>351.25</v>
      </c>
      <c r="E159" s="2">
        <f>IFERROR(__xludf.DUMMYFUNCTION("""COMPUTED_VALUE"""),352.56)</f>
        <v>352.56</v>
      </c>
      <c r="F159" s="2">
        <f>IFERROR(__xludf.DUMMYFUNCTION("""COMPUTED_VALUE"""),2870910.0)</f>
        <v>2870910</v>
      </c>
    </row>
    <row r="160">
      <c r="A160" s="3">
        <f>IFERROR(__xludf.DUMMYFUNCTION("""COMPUTED_VALUE"""),45159.66666666667)</f>
        <v>45159.66667</v>
      </c>
      <c r="B160" s="2">
        <f>IFERROR(__xludf.DUMMYFUNCTION("""COMPUTED_VALUE"""),354.09)</f>
        <v>354.09</v>
      </c>
      <c r="C160" s="2">
        <f>IFERROR(__xludf.DUMMYFUNCTION("""COMPUTED_VALUE"""),354.18)</f>
        <v>354.18</v>
      </c>
      <c r="D160" s="2">
        <f>IFERROR(__xludf.DUMMYFUNCTION("""COMPUTED_VALUE"""),349.61)</f>
        <v>349.61</v>
      </c>
      <c r="E160" s="2">
        <f>IFERROR(__xludf.DUMMYFUNCTION("""COMPUTED_VALUE"""),352.09)</f>
        <v>352.09</v>
      </c>
      <c r="F160" s="2">
        <f>IFERROR(__xludf.DUMMYFUNCTION("""COMPUTED_VALUE"""),2543100.0)</f>
        <v>2543100</v>
      </c>
    </row>
    <row r="161">
      <c r="A161" s="3">
        <f>IFERROR(__xludf.DUMMYFUNCTION("""COMPUTED_VALUE"""),45160.66666666667)</f>
        <v>45160.66667</v>
      </c>
      <c r="B161" s="2">
        <f>IFERROR(__xludf.DUMMYFUNCTION("""COMPUTED_VALUE"""),353.01)</f>
        <v>353.01</v>
      </c>
      <c r="C161" s="2">
        <f>IFERROR(__xludf.DUMMYFUNCTION("""COMPUTED_VALUE"""),353.5)</f>
        <v>353.5</v>
      </c>
      <c r="D161" s="2">
        <f>IFERROR(__xludf.DUMMYFUNCTION("""COMPUTED_VALUE"""),349.66)</f>
        <v>349.66</v>
      </c>
      <c r="E161" s="2">
        <f>IFERROR(__xludf.DUMMYFUNCTION("""COMPUTED_VALUE"""),350.57)</f>
        <v>350.57</v>
      </c>
      <c r="F161" s="2">
        <f>IFERROR(__xludf.DUMMYFUNCTION("""COMPUTED_VALUE"""),2366926.0)</f>
        <v>2366926</v>
      </c>
    </row>
    <row r="162">
      <c r="A162" s="3">
        <f>IFERROR(__xludf.DUMMYFUNCTION("""COMPUTED_VALUE"""),45161.66666666667)</f>
        <v>45161.66667</v>
      </c>
      <c r="B162" s="2">
        <f>IFERROR(__xludf.DUMMYFUNCTION("""COMPUTED_VALUE"""),351.63)</f>
        <v>351.63</v>
      </c>
      <c r="C162" s="2">
        <f>IFERROR(__xludf.DUMMYFUNCTION("""COMPUTED_VALUE"""),354.32)</f>
        <v>354.32</v>
      </c>
      <c r="D162" s="2">
        <f>IFERROR(__xludf.DUMMYFUNCTION("""COMPUTED_VALUE"""),351.54)</f>
        <v>351.54</v>
      </c>
      <c r="E162" s="2">
        <f>IFERROR(__xludf.DUMMYFUNCTION("""COMPUTED_VALUE"""),354.26)</f>
        <v>354.26</v>
      </c>
      <c r="F162" s="2">
        <f>IFERROR(__xludf.DUMMYFUNCTION("""COMPUTED_VALUE"""),2241066.0)</f>
        <v>2241066</v>
      </c>
    </row>
    <row r="163">
      <c r="A163" s="3">
        <f>IFERROR(__xludf.DUMMYFUNCTION("""COMPUTED_VALUE"""),45162.66666666667)</f>
        <v>45162.66667</v>
      </c>
      <c r="B163" s="2">
        <f>IFERROR(__xludf.DUMMYFUNCTION("""COMPUTED_VALUE"""),354.35)</f>
        <v>354.35</v>
      </c>
      <c r="C163" s="2">
        <f>IFERROR(__xludf.DUMMYFUNCTION("""COMPUTED_VALUE"""),357.23)</f>
        <v>357.23</v>
      </c>
      <c r="D163" s="2">
        <f>IFERROR(__xludf.DUMMYFUNCTION("""COMPUTED_VALUE"""),354.13)</f>
        <v>354.13</v>
      </c>
      <c r="E163" s="2">
        <f>IFERROR(__xludf.DUMMYFUNCTION("""COMPUTED_VALUE"""),354.3)</f>
        <v>354.3</v>
      </c>
      <c r="F163" s="2">
        <f>IFERROR(__xludf.DUMMYFUNCTION("""COMPUTED_VALUE"""),2526601.0)</f>
        <v>2526601</v>
      </c>
    </row>
    <row r="164">
      <c r="A164" s="3">
        <f>IFERROR(__xludf.DUMMYFUNCTION("""COMPUTED_VALUE"""),45163.66666666667)</f>
        <v>45163.66667</v>
      </c>
      <c r="B164" s="2">
        <f>IFERROR(__xludf.DUMMYFUNCTION("""COMPUTED_VALUE"""),354.99)</f>
        <v>354.99</v>
      </c>
      <c r="C164" s="2">
        <f>IFERROR(__xludf.DUMMYFUNCTION("""COMPUTED_VALUE"""),357.35)</f>
        <v>357.35</v>
      </c>
      <c r="D164" s="2">
        <f>IFERROR(__xludf.DUMMYFUNCTION("""COMPUTED_VALUE"""),352.92)</f>
        <v>352.92</v>
      </c>
      <c r="E164" s="2">
        <f>IFERROR(__xludf.DUMMYFUNCTION("""COMPUTED_VALUE"""),355.93)</f>
        <v>355.93</v>
      </c>
      <c r="F164" s="2">
        <f>IFERROR(__xludf.DUMMYFUNCTION("""COMPUTED_VALUE"""),2137549.0)</f>
        <v>2137549</v>
      </c>
    </row>
    <row r="165">
      <c r="A165" s="3">
        <f>IFERROR(__xludf.DUMMYFUNCTION("""COMPUTED_VALUE"""),45166.66666666667)</f>
        <v>45166.66667</v>
      </c>
      <c r="B165" s="2">
        <f>IFERROR(__xludf.DUMMYFUNCTION("""COMPUTED_VALUE"""),357.89)</f>
        <v>357.89</v>
      </c>
      <c r="C165" s="2">
        <f>IFERROR(__xludf.DUMMYFUNCTION("""COMPUTED_VALUE"""),358.41)</f>
        <v>358.41</v>
      </c>
      <c r="D165" s="2">
        <f>IFERROR(__xludf.DUMMYFUNCTION("""COMPUTED_VALUE"""),354.53)</f>
        <v>354.53</v>
      </c>
      <c r="E165" s="2">
        <f>IFERROR(__xludf.DUMMYFUNCTION("""COMPUTED_VALUE"""),355.55)</f>
        <v>355.55</v>
      </c>
      <c r="F165" s="2">
        <f>IFERROR(__xludf.DUMMYFUNCTION("""COMPUTED_VALUE"""),1729035.0)</f>
        <v>1729035</v>
      </c>
    </row>
    <row r="166">
      <c r="A166" s="3">
        <f>IFERROR(__xludf.DUMMYFUNCTION("""COMPUTED_VALUE"""),45167.66666666667)</f>
        <v>45167.66667</v>
      </c>
      <c r="B166" s="2">
        <f>IFERROR(__xludf.DUMMYFUNCTION("""COMPUTED_VALUE"""),355.04)</f>
        <v>355.04</v>
      </c>
      <c r="C166" s="2">
        <f>IFERROR(__xludf.DUMMYFUNCTION("""COMPUTED_VALUE"""),358.59)</f>
        <v>358.59</v>
      </c>
      <c r="D166" s="2">
        <f>IFERROR(__xludf.DUMMYFUNCTION("""COMPUTED_VALUE"""),354.01)</f>
        <v>354.01</v>
      </c>
      <c r="E166" s="2">
        <f>IFERROR(__xludf.DUMMYFUNCTION("""COMPUTED_VALUE"""),358.29)</f>
        <v>358.29</v>
      </c>
      <c r="F166" s="2">
        <f>IFERROR(__xludf.DUMMYFUNCTION("""COMPUTED_VALUE"""),2286942.0)</f>
        <v>2286942</v>
      </c>
    </row>
    <row r="167">
      <c r="A167" s="3">
        <f>IFERROR(__xludf.DUMMYFUNCTION("""COMPUTED_VALUE"""),45168.66666666667)</f>
        <v>45168.66667</v>
      </c>
      <c r="B167" s="2">
        <f>IFERROR(__xludf.DUMMYFUNCTION("""COMPUTED_VALUE"""),358.63)</f>
        <v>358.63</v>
      </c>
      <c r="C167" s="2">
        <f>IFERROR(__xludf.DUMMYFUNCTION("""COMPUTED_VALUE"""),362.68)</f>
        <v>362.68</v>
      </c>
      <c r="D167" s="2">
        <f>IFERROR(__xludf.DUMMYFUNCTION("""COMPUTED_VALUE"""),358.6)</f>
        <v>358.6</v>
      </c>
      <c r="E167" s="2">
        <f>IFERROR(__xludf.DUMMYFUNCTION("""COMPUTED_VALUE"""),361.06)</f>
        <v>361.06</v>
      </c>
      <c r="F167" s="2">
        <f>IFERROR(__xludf.DUMMYFUNCTION("""COMPUTED_VALUE"""),3063438.0)</f>
        <v>3063438</v>
      </c>
    </row>
    <row r="168">
      <c r="A168" s="3">
        <f>IFERROR(__xludf.DUMMYFUNCTION("""COMPUTED_VALUE"""),45169.66666666667)</f>
        <v>45169.66667</v>
      </c>
      <c r="B168" s="2">
        <f>IFERROR(__xludf.DUMMYFUNCTION("""COMPUTED_VALUE"""),362.18)</f>
        <v>362.18</v>
      </c>
      <c r="C168" s="2">
        <f>IFERROR(__xludf.DUMMYFUNCTION("""COMPUTED_VALUE"""),362.47)</f>
        <v>362.47</v>
      </c>
      <c r="D168" s="2">
        <f>IFERROR(__xludf.DUMMYFUNCTION("""COMPUTED_VALUE"""),359.25)</f>
        <v>359.25</v>
      </c>
      <c r="E168" s="2">
        <f>IFERROR(__xludf.DUMMYFUNCTION("""COMPUTED_VALUE"""),360.2)</f>
        <v>360.2</v>
      </c>
      <c r="F168" s="2">
        <f>IFERROR(__xludf.DUMMYFUNCTION("""COMPUTED_VALUE"""),2845092.0)</f>
        <v>2845092</v>
      </c>
    </row>
    <row r="169">
      <c r="A169" s="3">
        <f>IFERROR(__xludf.DUMMYFUNCTION("""COMPUTED_VALUE"""),45170.66666666667)</f>
        <v>45170.66667</v>
      </c>
      <c r="B169" s="2">
        <f>IFERROR(__xludf.DUMMYFUNCTION("""COMPUTED_VALUE"""),362.0)</f>
        <v>362</v>
      </c>
      <c r="C169" s="2">
        <f>IFERROR(__xludf.DUMMYFUNCTION("""COMPUTED_VALUE"""),363.39)</f>
        <v>363.39</v>
      </c>
      <c r="D169" s="2">
        <f>IFERROR(__xludf.DUMMYFUNCTION("""COMPUTED_VALUE"""),360.6)</f>
        <v>360.6</v>
      </c>
      <c r="E169" s="2">
        <f>IFERROR(__xludf.DUMMYFUNCTION("""COMPUTED_VALUE"""),362.46)</f>
        <v>362.46</v>
      </c>
      <c r="F169" s="2">
        <f>IFERROR(__xludf.DUMMYFUNCTION("""COMPUTED_VALUE"""),2638297.0)</f>
        <v>2638297</v>
      </c>
    </row>
    <row r="170">
      <c r="A170" s="3">
        <f>IFERROR(__xludf.DUMMYFUNCTION("""COMPUTED_VALUE"""),45174.66666666667)</f>
        <v>45174.66667</v>
      </c>
      <c r="B170" s="2">
        <f>IFERROR(__xludf.DUMMYFUNCTION("""COMPUTED_VALUE"""),363.88)</f>
        <v>363.88</v>
      </c>
      <c r="C170" s="2">
        <f>IFERROR(__xludf.DUMMYFUNCTION("""COMPUTED_VALUE"""),366.47)</f>
        <v>366.47</v>
      </c>
      <c r="D170" s="2">
        <f>IFERROR(__xludf.DUMMYFUNCTION("""COMPUTED_VALUE"""),360.0)</f>
        <v>360</v>
      </c>
      <c r="E170" s="2">
        <f>IFERROR(__xludf.DUMMYFUNCTION("""COMPUTED_VALUE"""),360.47)</f>
        <v>360.47</v>
      </c>
      <c r="F170" s="2">
        <f>IFERROR(__xludf.DUMMYFUNCTION("""COMPUTED_VALUE"""),2977246.0)</f>
        <v>2977246</v>
      </c>
    </row>
    <row r="171">
      <c r="A171" s="3">
        <f>IFERROR(__xludf.DUMMYFUNCTION("""COMPUTED_VALUE"""),45175.66666666667)</f>
        <v>45175.66667</v>
      </c>
      <c r="B171" s="2">
        <f>IFERROR(__xludf.DUMMYFUNCTION("""COMPUTED_VALUE"""),360.02)</f>
        <v>360.02</v>
      </c>
      <c r="C171" s="2">
        <f>IFERROR(__xludf.DUMMYFUNCTION("""COMPUTED_VALUE"""),362.8)</f>
        <v>362.8</v>
      </c>
      <c r="D171" s="2">
        <f>IFERROR(__xludf.DUMMYFUNCTION("""COMPUTED_VALUE"""),359.26)</f>
        <v>359.26</v>
      </c>
      <c r="E171" s="2">
        <f>IFERROR(__xludf.DUMMYFUNCTION("""COMPUTED_VALUE"""),361.67)</f>
        <v>361.67</v>
      </c>
      <c r="F171" s="2">
        <f>IFERROR(__xludf.DUMMYFUNCTION("""COMPUTED_VALUE"""),2656676.0)</f>
        <v>2656676</v>
      </c>
    </row>
    <row r="172">
      <c r="A172" s="3">
        <f>IFERROR(__xludf.DUMMYFUNCTION("""COMPUTED_VALUE"""),45176.66666666667)</f>
        <v>45176.66667</v>
      </c>
      <c r="B172" s="2">
        <f>IFERROR(__xludf.DUMMYFUNCTION("""COMPUTED_VALUE"""),360.96)</f>
        <v>360.96</v>
      </c>
      <c r="C172" s="2">
        <f>IFERROR(__xludf.DUMMYFUNCTION("""COMPUTED_VALUE"""),363.3)</f>
        <v>363.3</v>
      </c>
      <c r="D172" s="2">
        <f>IFERROR(__xludf.DUMMYFUNCTION("""COMPUTED_VALUE"""),360.87)</f>
        <v>360.87</v>
      </c>
      <c r="E172" s="2">
        <f>IFERROR(__xludf.DUMMYFUNCTION("""COMPUTED_VALUE"""),361.8)</f>
        <v>361.8</v>
      </c>
      <c r="F172" s="2">
        <f>IFERROR(__xludf.DUMMYFUNCTION("""COMPUTED_VALUE"""),3264576.0)</f>
        <v>3264576</v>
      </c>
    </row>
    <row r="173">
      <c r="A173" s="3">
        <f>IFERROR(__xludf.DUMMYFUNCTION("""COMPUTED_VALUE"""),45177.66666666667)</f>
        <v>45177.66667</v>
      </c>
      <c r="B173" s="2">
        <f>IFERROR(__xludf.DUMMYFUNCTION("""COMPUTED_VALUE"""),362.52)</f>
        <v>362.52</v>
      </c>
      <c r="C173" s="2">
        <f>IFERROR(__xludf.DUMMYFUNCTION("""COMPUTED_VALUE"""),364.83)</f>
        <v>364.83</v>
      </c>
      <c r="D173" s="2">
        <f>IFERROR(__xludf.DUMMYFUNCTION("""COMPUTED_VALUE"""),361.77)</f>
        <v>361.77</v>
      </c>
      <c r="E173" s="2">
        <f>IFERROR(__xludf.DUMMYFUNCTION("""COMPUTED_VALUE"""),363.15)</f>
        <v>363.15</v>
      </c>
      <c r="F173" s="2">
        <f>IFERROR(__xludf.DUMMYFUNCTION("""COMPUTED_VALUE"""),3022938.0)</f>
        <v>3022938</v>
      </c>
    </row>
    <row r="174">
      <c r="A174" s="3">
        <f>IFERROR(__xludf.DUMMYFUNCTION("""COMPUTED_VALUE"""),45180.66666666667)</f>
        <v>45180.66667</v>
      </c>
      <c r="B174" s="2">
        <f>IFERROR(__xludf.DUMMYFUNCTION("""COMPUTED_VALUE"""),364.87)</f>
        <v>364.87</v>
      </c>
      <c r="C174" s="2">
        <f>IFERROR(__xludf.DUMMYFUNCTION("""COMPUTED_VALUE"""),366.61)</f>
        <v>366.61</v>
      </c>
      <c r="D174" s="2">
        <f>IFERROR(__xludf.DUMMYFUNCTION("""COMPUTED_VALUE"""),364.51)</f>
        <v>364.51</v>
      </c>
      <c r="E174" s="2">
        <f>IFERROR(__xludf.DUMMYFUNCTION("""COMPUTED_VALUE"""),365.52)</f>
        <v>365.52</v>
      </c>
      <c r="F174" s="2">
        <f>IFERROR(__xludf.DUMMYFUNCTION("""COMPUTED_VALUE"""),2926680.0)</f>
        <v>2926680</v>
      </c>
    </row>
    <row r="175">
      <c r="A175" s="3">
        <f>IFERROR(__xludf.DUMMYFUNCTION("""COMPUTED_VALUE"""),45181.66666666667)</f>
        <v>45181.66667</v>
      </c>
      <c r="B175" s="2">
        <f>IFERROR(__xludf.DUMMYFUNCTION("""COMPUTED_VALUE"""),365.65)</f>
        <v>365.65</v>
      </c>
      <c r="C175" s="2">
        <f>IFERROR(__xludf.DUMMYFUNCTION("""COMPUTED_VALUE"""),370.43)</f>
        <v>370.43</v>
      </c>
      <c r="D175" s="2">
        <f>IFERROR(__xludf.DUMMYFUNCTION("""COMPUTED_VALUE"""),365.47)</f>
        <v>365.47</v>
      </c>
      <c r="E175" s="2">
        <f>IFERROR(__xludf.DUMMYFUNCTION("""COMPUTED_VALUE"""),367.78)</f>
        <v>367.78</v>
      </c>
      <c r="F175" s="2">
        <f>IFERROR(__xludf.DUMMYFUNCTION("""COMPUTED_VALUE"""),2901774.0)</f>
        <v>2901774</v>
      </c>
    </row>
    <row r="176">
      <c r="A176" s="3">
        <f>IFERROR(__xludf.DUMMYFUNCTION("""COMPUTED_VALUE"""),45182.66666666667)</f>
        <v>45182.66667</v>
      </c>
      <c r="B176" s="2">
        <f>IFERROR(__xludf.DUMMYFUNCTION("""COMPUTED_VALUE"""),369.33)</f>
        <v>369.33</v>
      </c>
      <c r="C176" s="2">
        <f>IFERROR(__xludf.DUMMYFUNCTION("""COMPUTED_VALUE"""),370.84)</f>
        <v>370.84</v>
      </c>
      <c r="D176" s="2">
        <f>IFERROR(__xludf.DUMMYFUNCTION("""COMPUTED_VALUE"""),365.97)</f>
        <v>365.97</v>
      </c>
      <c r="E176" s="2">
        <f>IFERROR(__xludf.DUMMYFUNCTION("""COMPUTED_VALUE"""),367.82)</f>
        <v>367.82</v>
      </c>
      <c r="F176" s="2">
        <f>IFERROR(__xludf.DUMMYFUNCTION("""COMPUTED_VALUE"""),3265928.0)</f>
        <v>3265928</v>
      </c>
    </row>
    <row r="177">
      <c r="A177" s="3">
        <f>IFERROR(__xludf.DUMMYFUNCTION("""COMPUTED_VALUE"""),45183.66666666667)</f>
        <v>45183.66667</v>
      </c>
      <c r="B177" s="2">
        <f>IFERROR(__xludf.DUMMYFUNCTION("""COMPUTED_VALUE"""),370.1)</f>
        <v>370.1</v>
      </c>
      <c r="C177" s="2">
        <f>IFERROR(__xludf.DUMMYFUNCTION("""COMPUTED_VALUE"""),370.22)</f>
        <v>370.22</v>
      </c>
      <c r="D177" s="2">
        <f>IFERROR(__xludf.DUMMYFUNCTION("""COMPUTED_VALUE"""),368.26)</f>
        <v>368.26</v>
      </c>
      <c r="E177" s="2">
        <f>IFERROR(__xludf.DUMMYFUNCTION("""COMPUTED_VALUE"""),369.5)</f>
        <v>369.5</v>
      </c>
      <c r="F177" s="2">
        <f>IFERROR(__xludf.DUMMYFUNCTION("""COMPUTED_VALUE"""),3677865.0)</f>
        <v>3677865</v>
      </c>
    </row>
    <row r="178">
      <c r="A178" s="3">
        <f>IFERROR(__xludf.DUMMYFUNCTION("""COMPUTED_VALUE"""),45184.66666666667)</f>
        <v>45184.66667</v>
      </c>
      <c r="B178" s="2">
        <f>IFERROR(__xludf.DUMMYFUNCTION("""COMPUTED_VALUE"""),368.52)</f>
        <v>368.52</v>
      </c>
      <c r="C178" s="2">
        <f>IFERROR(__xludf.DUMMYFUNCTION("""COMPUTED_VALUE"""),370.2)</f>
        <v>370.2</v>
      </c>
      <c r="D178" s="2">
        <f>IFERROR(__xludf.DUMMYFUNCTION("""COMPUTED_VALUE"""),367.52)</f>
        <v>367.52</v>
      </c>
      <c r="E178" s="2">
        <f>IFERROR(__xludf.DUMMYFUNCTION("""COMPUTED_VALUE"""),367.86)</f>
        <v>367.86</v>
      </c>
      <c r="F178" s="2">
        <f>IFERROR(__xludf.DUMMYFUNCTION("""COMPUTED_VALUE"""),1.1615119E7)</f>
        <v>11615119</v>
      </c>
    </row>
    <row r="179">
      <c r="A179" s="3">
        <f>IFERROR(__xludf.DUMMYFUNCTION("""COMPUTED_VALUE"""),45187.66666666667)</f>
        <v>45187.66667</v>
      </c>
      <c r="B179" s="2">
        <f>IFERROR(__xludf.DUMMYFUNCTION("""COMPUTED_VALUE"""),369.33)</f>
        <v>369.33</v>
      </c>
      <c r="C179" s="2">
        <f>IFERROR(__xludf.DUMMYFUNCTION("""COMPUTED_VALUE"""),371.33)</f>
        <v>371.33</v>
      </c>
      <c r="D179" s="2">
        <f>IFERROR(__xludf.DUMMYFUNCTION("""COMPUTED_VALUE"""),367.79)</f>
        <v>367.79</v>
      </c>
      <c r="E179" s="2">
        <f>IFERROR(__xludf.DUMMYFUNCTION("""COMPUTED_VALUE"""),370.43)</f>
        <v>370.43</v>
      </c>
      <c r="F179" s="2">
        <f>IFERROR(__xludf.DUMMYFUNCTION("""COMPUTED_VALUE"""),3131548.0)</f>
        <v>3131548</v>
      </c>
    </row>
    <row r="180">
      <c r="A180" s="3">
        <f>IFERROR(__xludf.DUMMYFUNCTION("""COMPUTED_VALUE"""),45188.66666666667)</f>
        <v>45188.66667</v>
      </c>
      <c r="B180" s="2">
        <f>IFERROR(__xludf.DUMMYFUNCTION("""COMPUTED_VALUE"""),371.64)</f>
        <v>371.64</v>
      </c>
      <c r="C180" s="2">
        <f>IFERROR(__xludf.DUMMYFUNCTION("""COMPUTED_VALUE"""),373.34)</f>
        <v>373.34</v>
      </c>
      <c r="D180" s="2">
        <f>IFERROR(__xludf.DUMMYFUNCTION("""COMPUTED_VALUE"""),368.46)</f>
        <v>368.46</v>
      </c>
      <c r="E180" s="2">
        <f>IFERROR(__xludf.DUMMYFUNCTION("""COMPUTED_VALUE"""),370.48)</f>
        <v>370.48</v>
      </c>
      <c r="F180" s="2">
        <f>IFERROR(__xludf.DUMMYFUNCTION("""COMPUTED_VALUE"""),2606955.0)</f>
        <v>2606955</v>
      </c>
    </row>
    <row r="181">
      <c r="A181" s="3">
        <f>IFERROR(__xludf.DUMMYFUNCTION("""COMPUTED_VALUE"""),45189.66666666667)</f>
        <v>45189.66667</v>
      </c>
      <c r="B181" s="2">
        <f>IFERROR(__xludf.DUMMYFUNCTION("""COMPUTED_VALUE"""),371.33)</f>
        <v>371.33</v>
      </c>
      <c r="C181" s="2">
        <f>IFERROR(__xludf.DUMMYFUNCTION("""COMPUTED_VALUE"""),371.34)</f>
        <v>371.34</v>
      </c>
      <c r="D181" s="2">
        <f>IFERROR(__xludf.DUMMYFUNCTION("""COMPUTED_VALUE"""),366.73)</f>
        <v>366.73</v>
      </c>
      <c r="E181" s="2">
        <f>IFERROR(__xludf.DUMMYFUNCTION("""COMPUTED_VALUE"""),366.82)</f>
        <v>366.82</v>
      </c>
      <c r="F181" s="2">
        <f>IFERROR(__xludf.DUMMYFUNCTION("""COMPUTED_VALUE"""),2272080.0)</f>
        <v>2272080</v>
      </c>
    </row>
    <row r="182">
      <c r="A182" s="3">
        <f>IFERROR(__xludf.DUMMYFUNCTION("""COMPUTED_VALUE"""),45190.66666666667)</f>
        <v>45190.66667</v>
      </c>
      <c r="B182" s="2">
        <f>IFERROR(__xludf.DUMMYFUNCTION("""COMPUTED_VALUE"""),366.56)</f>
        <v>366.56</v>
      </c>
      <c r="C182" s="2">
        <f>IFERROR(__xludf.DUMMYFUNCTION("""COMPUTED_VALUE"""),367.2)</f>
        <v>367.2</v>
      </c>
      <c r="D182" s="2">
        <f>IFERROR(__xludf.DUMMYFUNCTION("""COMPUTED_VALUE"""),362.94)</f>
        <v>362.94</v>
      </c>
      <c r="E182" s="2">
        <f>IFERROR(__xludf.DUMMYFUNCTION("""COMPUTED_VALUE"""),363.28)</f>
        <v>363.28</v>
      </c>
      <c r="F182" s="2">
        <f>IFERROR(__xludf.DUMMYFUNCTION("""COMPUTED_VALUE"""),3179013.0)</f>
        <v>3179013</v>
      </c>
    </row>
    <row r="183">
      <c r="A183" s="3">
        <f>IFERROR(__xludf.DUMMYFUNCTION("""COMPUTED_VALUE"""),45191.66666666667)</f>
        <v>45191.66667</v>
      </c>
      <c r="B183" s="2">
        <f>IFERROR(__xludf.DUMMYFUNCTION("""COMPUTED_VALUE"""),362.78)</f>
        <v>362.78</v>
      </c>
      <c r="C183" s="2">
        <f>IFERROR(__xludf.DUMMYFUNCTION("""COMPUTED_VALUE"""),363.42)</f>
        <v>363.42</v>
      </c>
      <c r="D183" s="2">
        <f>IFERROR(__xludf.DUMMYFUNCTION("""COMPUTED_VALUE"""),359.76)</f>
        <v>359.76</v>
      </c>
      <c r="E183" s="2">
        <f>IFERROR(__xludf.DUMMYFUNCTION("""COMPUTED_VALUE"""),360.16)</f>
        <v>360.16</v>
      </c>
      <c r="F183" s="2">
        <f>IFERROR(__xludf.DUMMYFUNCTION("""COMPUTED_VALUE"""),3970107.0)</f>
        <v>3970107</v>
      </c>
    </row>
    <row r="184">
      <c r="A184" s="3">
        <f>IFERROR(__xludf.DUMMYFUNCTION("""COMPUTED_VALUE"""),45194.66666666667)</f>
        <v>45194.66667</v>
      </c>
      <c r="B184" s="2">
        <f>IFERROR(__xludf.DUMMYFUNCTION("""COMPUTED_VALUE"""),359.01)</f>
        <v>359.01</v>
      </c>
      <c r="C184" s="2">
        <f>IFERROR(__xludf.DUMMYFUNCTION("""COMPUTED_VALUE"""),361.89)</f>
        <v>361.89</v>
      </c>
      <c r="D184" s="2">
        <f>IFERROR(__xludf.DUMMYFUNCTION("""COMPUTED_VALUE"""),357.27)</f>
        <v>357.27</v>
      </c>
      <c r="E184" s="2">
        <f>IFERROR(__xludf.DUMMYFUNCTION("""COMPUTED_VALUE"""),361.71)</f>
        <v>361.71</v>
      </c>
      <c r="F184" s="2">
        <f>IFERROR(__xludf.DUMMYFUNCTION("""COMPUTED_VALUE"""),2561880.0)</f>
        <v>2561880</v>
      </c>
    </row>
    <row r="185">
      <c r="A185" s="3">
        <f>IFERROR(__xludf.DUMMYFUNCTION("""COMPUTED_VALUE"""),45195.66666666667)</f>
        <v>45195.66667</v>
      </c>
      <c r="B185" s="2">
        <f>IFERROR(__xludf.DUMMYFUNCTION("""COMPUTED_VALUE"""),359.8)</f>
        <v>359.8</v>
      </c>
      <c r="C185" s="2">
        <f>IFERROR(__xludf.DUMMYFUNCTION("""COMPUTED_VALUE"""),360.79)</f>
        <v>360.79</v>
      </c>
      <c r="D185" s="2">
        <f>IFERROR(__xludf.DUMMYFUNCTION("""COMPUTED_VALUE"""),357.95)</f>
        <v>357.95</v>
      </c>
      <c r="E185" s="2">
        <f>IFERROR(__xludf.DUMMYFUNCTION("""COMPUTED_VALUE"""),359.42)</f>
        <v>359.42</v>
      </c>
      <c r="F185" s="2">
        <f>IFERROR(__xludf.DUMMYFUNCTION("""COMPUTED_VALUE"""),3070751.0)</f>
        <v>3070751</v>
      </c>
    </row>
    <row r="186">
      <c r="A186" s="3">
        <f>IFERROR(__xludf.DUMMYFUNCTION("""COMPUTED_VALUE"""),45196.66666666667)</f>
        <v>45196.66667</v>
      </c>
      <c r="B186" s="2">
        <f>IFERROR(__xludf.DUMMYFUNCTION("""COMPUTED_VALUE"""),360.01)</f>
        <v>360.01</v>
      </c>
      <c r="C186" s="2">
        <f>IFERROR(__xludf.DUMMYFUNCTION("""COMPUTED_VALUE"""),360.52)</f>
        <v>360.52</v>
      </c>
      <c r="D186" s="2">
        <f>IFERROR(__xludf.DUMMYFUNCTION("""COMPUTED_VALUE"""),354.27)</f>
        <v>354.27</v>
      </c>
      <c r="E186" s="2">
        <f>IFERROR(__xludf.DUMMYFUNCTION("""COMPUTED_VALUE"""),357.78)</f>
        <v>357.78</v>
      </c>
      <c r="F186" s="2">
        <f>IFERROR(__xludf.DUMMYFUNCTION("""COMPUTED_VALUE"""),3537042.0)</f>
        <v>3537042</v>
      </c>
    </row>
    <row r="187">
      <c r="A187" s="3">
        <f>IFERROR(__xludf.DUMMYFUNCTION("""COMPUTED_VALUE"""),45197.66666666667)</f>
        <v>45197.66667</v>
      </c>
      <c r="B187" s="2">
        <f>IFERROR(__xludf.DUMMYFUNCTION("""COMPUTED_VALUE"""),357.8)</f>
        <v>357.8</v>
      </c>
      <c r="C187" s="2">
        <f>IFERROR(__xludf.DUMMYFUNCTION("""COMPUTED_VALUE"""),359.47)</f>
        <v>359.47</v>
      </c>
      <c r="D187" s="2">
        <f>IFERROR(__xludf.DUMMYFUNCTION("""COMPUTED_VALUE"""),356.67)</f>
        <v>356.67</v>
      </c>
      <c r="E187" s="2">
        <f>IFERROR(__xludf.DUMMYFUNCTION("""COMPUTED_VALUE"""),357.06)</f>
        <v>357.06</v>
      </c>
      <c r="F187" s="2">
        <f>IFERROR(__xludf.DUMMYFUNCTION("""COMPUTED_VALUE"""),2734400.0)</f>
        <v>2734400</v>
      </c>
    </row>
    <row r="188">
      <c r="A188" s="3">
        <f>IFERROR(__xludf.DUMMYFUNCTION("""COMPUTED_VALUE"""),45198.66666666667)</f>
        <v>45198.66667</v>
      </c>
      <c r="B188" s="2">
        <f>IFERROR(__xludf.DUMMYFUNCTION("""COMPUTED_VALUE"""),357.3)</f>
        <v>357.3</v>
      </c>
      <c r="C188" s="2">
        <f>IFERROR(__xludf.DUMMYFUNCTION("""COMPUTED_VALUE"""),357.5)</f>
        <v>357.5</v>
      </c>
      <c r="D188" s="2">
        <f>IFERROR(__xludf.DUMMYFUNCTION("""COMPUTED_VALUE"""),348.55)</f>
        <v>348.55</v>
      </c>
      <c r="E188" s="2">
        <f>IFERROR(__xludf.DUMMYFUNCTION("""COMPUTED_VALUE"""),350.3)</f>
        <v>350.3</v>
      </c>
      <c r="F188" s="2">
        <f>IFERROR(__xludf.DUMMYFUNCTION("""COMPUTED_VALUE"""),4935674.0)</f>
        <v>4935674</v>
      </c>
    </row>
    <row r="189">
      <c r="A189" s="3">
        <f>IFERROR(__xludf.DUMMYFUNCTION("""COMPUTED_VALUE"""),45201.66666666667)</f>
        <v>45201.66667</v>
      </c>
      <c r="B189" s="2">
        <f>IFERROR(__xludf.DUMMYFUNCTION("""COMPUTED_VALUE"""),349.64)</f>
        <v>349.64</v>
      </c>
      <c r="C189" s="2">
        <f>IFERROR(__xludf.DUMMYFUNCTION("""COMPUTED_VALUE"""),350.0)</f>
        <v>350</v>
      </c>
      <c r="D189" s="2">
        <f>IFERROR(__xludf.DUMMYFUNCTION("""COMPUTED_VALUE"""),345.41)</f>
        <v>345.41</v>
      </c>
      <c r="E189" s="2">
        <f>IFERROR(__xludf.DUMMYFUNCTION("""COMPUTED_VALUE"""),348.08)</f>
        <v>348.08</v>
      </c>
      <c r="F189" s="2">
        <f>IFERROR(__xludf.DUMMYFUNCTION("""COMPUTED_VALUE"""),3529125.0)</f>
        <v>3529125</v>
      </c>
    </row>
    <row r="190">
      <c r="A190" s="3">
        <f>IFERROR(__xludf.DUMMYFUNCTION("""COMPUTED_VALUE"""),45202.66666666667)</f>
        <v>45202.66667</v>
      </c>
      <c r="B190" s="2">
        <f>IFERROR(__xludf.DUMMYFUNCTION("""COMPUTED_VALUE"""),347.39)</f>
        <v>347.39</v>
      </c>
      <c r="C190" s="2">
        <f>IFERROR(__xludf.DUMMYFUNCTION("""COMPUTED_VALUE"""),348.24)</f>
        <v>348.24</v>
      </c>
      <c r="D190" s="2">
        <f>IFERROR(__xludf.DUMMYFUNCTION("""COMPUTED_VALUE"""),342.13)</f>
        <v>342.13</v>
      </c>
      <c r="E190" s="2">
        <f>IFERROR(__xludf.DUMMYFUNCTION("""COMPUTED_VALUE"""),343.04)</f>
        <v>343.04</v>
      </c>
      <c r="F190" s="2">
        <f>IFERROR(__xludf.DUMMYFUNCTION("""COMPUTED_VALUE"""),3153221.0)</f>
        <v>3153221</v>
      </c>
    </row>
    <row r="191">
      <c r="A191" s="3">
        <f>IFERROR(__xludf.DUMMYFUNCTION("""COMPUTED_VALUE"""),45203.66666666667)</f>
        <v>45203.66667</v>
      </c>
      <c r="B191" s="2">
        <f>IFERROR(__xludf.DUMMYFUNCTION("""COMPUTED_VALUE"""),342.92)</f>
        <v>342.92</v>
      </c>
      <c r="C191" s="2">
        <f>IFERROR(__xludf.DUMMYFUNCTION("""COMPUTED_VALUE"""),344.01)</f>
        <v>344.01</v>
      </c>
      <c r="D191" s="2">
        <f>IFERROR(__xludf.DUMMYFUNCTION("""COMPUTED_VALUE"""),339.51)</f>
        <v>339.51</v>
      </c>
      <c r="E191" s="2">
        <f>IFERROR(__xludf.DUMMYFUNCTION("""COMPUTED_VALUE"""),343.69)</f>
        <v>343.69</v>
      </c>
      <c r="F191" s="2">
        <f>IFERROR(__xludf.DUMMYFUNCTION("""COMPUTED_VALUE"""),3245444.0)</f>
        <v>3245444</v>
      </c>
    </row>
    <row r="192">
      <c r="A192" s="3">
        <f>IFERROR(__xludf.DUMMYFUNCTION("""COMPUTED_VALUE"""),45204.66666666667)</f>
        <v>45204.66667</v>
      </c>
      <c r="B192" s="2">
        <f>IFERROR(__xludf.DUMMYFUNCTION("""COMPUTED_VALUE"""),343.7)</f>
        <v>343.7</v>
      </c>
      <c r="C192" s="2">
        <f>IFERROR(__xludf.DUMMYFUNCTION("""COMPUTED_VALUE"""),345.94)</f>
        <v>345.94</v>
      </c>
      <c r="D192" s="2">
        <f>IFERROR(__xludf.DUMMYFUNCTION("""COMPUTED_VALUE"""),342.37)</f>
        <v>342.37</v>
      </c>
      <c r="E192" s="2">
        <f>IFERROR(__xludf.DUMMYFUNCTION("""COMPUTED_VALUE"""),345.06)</f>
        <v>345.06</v>
      </c>
      <c r="F192" s="2">
        <f>IFERROR(__xludf.DUMMYFUNCTION("""COMPUTED_VALUE"""),3029114.0)</f>
        <v>3029114</v>
      </c>
    </row>
    <row r="193">
      <c r="A193" s="3">
        <f>IFERROR(__xludf.DUMMYFUNCTION("""COMPUTED_VALUE"""),45205.66666666667)</f>
        <v>45205.66667</v>
      </c>
      <c r="B193" s="2">
        <f>IFERROR(__xludf.DUMMYFUNCTION("""COMPUTED_VALUE"""),344.1)</f>
        <v>344.1</v>
      </c>
      <c r="C193" s="2">
        <f>IFERROR(__xludf.DUMMYFUNCTION("""COMPUTED_VALUE"""),348.76)</f>
        <v>348.76</v>
      </c>
      <c r="D193" s="2">
        <f>IFERROR(__xludf.DUMMYFUNCTION("""COMPUTED_VALUE"""),341.86)</f>
        <v>341.86</v>
      </c>
      <c r="E193" s="2">
        <f>IFERROR(__xludf.DUMMYFUNCTION("""COMPUTED_VALUE"""),346.34)</f>
        <v>346.34</v>
      </c>
      <c r="F193" s="2">
        <f>IFERROR(__xludf.DUMMYFUNCTION("""COMPUTED_VALUE"""),3176158.0)</f>
        <v>3176158</v>
      </c>
    </row>
    <row r="194">
      <c r="A194" s="3">
        <f>IFERROR(__xludf.DUMMYFUNCTION("""COMPUTED_VALUE"""),45208.66666666667)</f>
        <v>45208.66667</v>
      </c>
      <c r="B194" s="2">
        <f>IFERROR(__xludf.DUMMYFUNCTION("""COMPUTED_VALUE"""),344.24)</f>
        <v>344.24</v>
      </c>
      <c r="C194" s="2">
        <f>IFERROR(__xludf.DUMMYFUNCTION("""COMPUTED_VALUE"""),345.9)</f>
        <v>345.9</v>
      </c>
      <c r="D194" s="2">
        <f>IFERROR(__xludf.DUMMYFUNCTION("""COMPUTED_VALUE"""),342.83)</f>
        <v>342.83</v>
      </c>
      <c r="E194" s="2">
        <f>IFERROR(__xludf.DUMMYFUNCTION("""COMPUTED_VALUE"""),345.45)</f>
        <v>345.45</v>
      </c>
      <c r="F194" s="2">
        <f>IFERROR(__xludf.DUMMYFUNCTION("""COMPUTED_VALUE"""),2763106.0)</f>
        <v>2763106</v>
      </c>
    </row>
    <row r="195">
      <c r="A195" s="3">
        <f>IFERROR(__xludf.DUMMYFUNCTION("""COMPUTED_VALUE"""),45209.66666666667)</f>
        <v>45209.66667</v>
      </c>
      <c r="B195" s="2">
        <f>IFERROR(__xludf.DUMMYFUNCTION("""COMPUTED_VALUE"""),347.0)</f>
        <v>347</v>
      </c>
      <c r="C195" s="2">
        <f>IFERROR(__xludf.DUMMYFUNCTION("""COMPUTED_VALUE"""),349.51)</f>
        <v>349.51</v>
      </c>
      <c r="D195" s="2">
        <f>IFERROR(__xludf.DUMMYFUNCTION("""COMPUTED_VALUE"""),345.5)</f>
        <v>345.5</v>
      </c>
      <c r="E195" s="2">
        <f>IFERROR(__xludf.DUMMYFUNCTION("""COMPUTED_VALUE"""),348.56)</f>
        <v>348.56</v>
      </c>
      <c r="F195" s="2">
        <f>IFERROR(__xludf.DUMMYFUNCTION("""COMPUTED_VALUE"""),2859909.0)</f>
        <v>2859909</v>
      </c>
    </row>
    <row r="196">
      <c r="A196" s="3">
        <f>IFERROR(__xludf.DUMMYFUNCTION("""COMPUTED_VALUE"""),45210.66666666667)</f>
        <v>45210.66667</v>
      </c>
      <c r="B196" s="2">
        <f>IFERROR(__xludf.DUMMYFUNCTION("""COMPUTED_VALUE"""),349.38)</f>
        <v>349.38</v>
      </c>
      <c r="C196" s="2">
        <f>IFERROR(__xludf.DUMMYFUNCTION("""COMPUTED_VALUE"""),349.6)</f>
        <v>349.6</v>
      </c>
      <c r="D196" s="2">
        <f>IFERROR(__xludf.DUMMYFUNCTION("""COMPUTED_VALUE"""),344.92)</f>
        <v>344.92</v>
      </c>
      <c r="E196" s="2">
        <f>IFERROR(__xludf.DUMMYFUNCTION("""COMPUTED_VALUE"""),348.43)</f>
        <v>348.43</v>
      </c>
      <c r="F196" s="2">
        <f>IFERROR(__xludf.DUMMYFUNCTION("""COMPUTED_VALUE"""),2621414.0)</f>
        <v>2621414</v>
      </c>
    </row>
    <row r="197">
      <c r="A197" s="3">
        <f>IFERROR(__xludf.DUMMYFUNCTION("""COMPUTED_VALUE"""),45211.66666666667)</f>
        <v>45211.66667</v>
      </c>
      <c r="B197" s="2">
        <f>IFERROR(__xludf.DUMMYFUNCTION("""COMPUTED_VALUE"""),348.21)</f>
        <v>348.21</v>
      </c>
      <c r="C197" s="2">
        <f>IFERROR(__xludf.DUMMYFUNCTION("""COMPUTED_VALUE"""),348.66)</f>
        <v>348.66</v>
      </c>
      <c r="D197" s="2">
        <f>IFERROR(__xludf.DUMMYFUNCTION("""COMPUTED_VALUE"""),343.02)</f>
        <v>343.02</v>
      </c>
      <c r="E197" s="2">
        <f>IFERROR(__xludf.DUMMYFUNCTION("""COMPUTED_VALUE"""),345.66)</f>
        <v>345.66</v>
      </c>
      <c r="F197" s="2">
        <f>IFERROR(__xludf.DUMMYFUNCTION("""COMPUTED_VALUE"""),2678343.0)</f>
        <v>2678343</v>
      </c>
    </row>
    <row r="198">
      <c r="A198" s="3">
        <f>IFERROR(__xludf.DUMMYFUNCTION("""COMPUTED_VALUE"""),45212.66666666667)</f>
        <v>45212.66667</v>
      </c>
      <c r="B198" s="2">
        <f>IFERROR(__xludf.DUMMYFUNCTION("""COMPUTED_VALUE"""),346.0)</f>
        <v>346</v>
      </c>
      <c r="C198" s="2">
        <f>IFERROR(__xludf.DUMMYFUNCTION("""COMPUTED_VALUE"""),348.44)</f>
        <v>348.44</v>
      </c>
      <c r="D198" s="2">
        <f>IFERROR(__xludf.DUMMYFUNCTION("""COMPUTED_VALUE"""),343.88)</f>
        <v>343.88</v>
      </c>
      <c r="E198" s="2">
        <f>IFERROR(__xludf.DUMMYFUNCTION("""COMPUTED_VALUE"""),345.09)</f>
        <v>345.09</v>
      </c>
      <c r="F198" s="2">
        <f>IFERROR(__xludf.DUMMYFUNCTION("""COMPUTED_VALUE"""),2805970.0)</f>
        <v>2805970</v>
      </c>
    </row>
    <row r="199">
      <c r="A199" s="3">
        <f>IFERROR(__xludf.DUMMYFUNCTION("""COMPUTED_VALUE"""),45215.66666666667)</f>
        <v>45215.66667</v>
      </c>
      <c r="B199" s="2">
        <f>IFERROR(__xludf.DUMMYFUNCTION("""COMPUTED_VALUE"""),348.0)</f>
        <v>348</v>
      </c>
      <c r="C199" s="2">
        <f>IFERROR(__xludf.DUMMYFUNCTION("""COMPUTED_VALUE"""),349.94)</f>
        <v>349.94</v>
      </c>
      <c r="D199" s="2">
        <f>IFERROR(__xludf.DUMMYFUNCTION("""COMPUTED_VALUE"""),345.83)</f>
        <v>345.83</v>
      </c>
      <c r="E199" s="2">
        <f>IFERROR(__xludf.DUMMYFUNCTION("""COMPUTED_VALUE"""),346.23)</f>
        <v>346.23</v>
      </c>
      <c r="F199" s="2">
        <f>IFERROR(__xludf.DUMMYFUNCTION("""COMPUTED_VALUE"""),3120530.0)</f>
        <v>3120530</v>
      </c>
    </row>
    <row r="200">
      <c r="A200" s="3">
        <f>IFERROR(__xludf.DUMMYFUNCTION("""COMPUTED_VALUE"""),45216.66666666667)</f>
        <v>45216.66667</v>
      </c>
      <c r="B200" s="2">
        <f>IFERROR(__xludf.DUMMYFUNCTION("""COMPUTED_VALUE"""),346.18)</f>
        <v>346.18</v>
      </c>
      <c r="C200" s="2">
        <f>IFERROR(__xludf.DUMMYFUNCTION("""COMPUTED_VALUE"""),348.41)</f>
        <v>348.41</v>
      </c>
      <c r="D200" s="2">
        <f>IFERROR(__xludf.DUMMYFUNCTION("""COMPUTED_VALUE"""),344.15)</f>
        <v>344.15</v>
      </c>
      <c r="E200" s="2">
        <f>IFERROR(__xludf.DUMMYFUNCTION("""COMPUTED_VALUE"""),345.39)</f>
        <v>345.39</v>
      </c>
      <c r="F200" s="2">
        <f>IFERROR(__xludf.DUMMYFUNCTION("""COMPUTED_VALUE"""),2999308.0)</f>
        <v>2999308</v>
      </c>
    </row>
    <row r="201">
      <c r="A201" s="3">
        <f>IFERROR(__xludf.DUMMYFUNCTION("""COMPUTED_VALUE"""),45217.66666666667)</f>
        <v>45217.66667</v>
      </c>
      <c r="B201" s="2">
        <f>IFERROR(__xludf.DUMMYFUNCTION("""COMPUTED_VALUE"""),344.72)</f>
        <v>344.72</v>
      </c>
      <c r="C201" s="2">
        <f>IFERROR(__xludf.DUMMYFUNCTION("""COMPUTED_VALUE"""),344.83)</f>
        <v>344.83</v>
      </c>
      <c r="D201" s="2">
        <f>IFERROR(__xludf.DUMMYFUNCTION("""COMPUTED_VALUE"""),339.96)</f>
        <v>339.96</v>
      </c>
      <c r="E201" s="2">
        <f>IFERROR(__xludf.DUMMYFUNCTION("""COMPUTED_VALUE"""),340.89)</f>
        <v>340.89</v>
      </c>
      <c r="F201" s="2">
        <f>IFERROR(__xludf.DUMMYFUNCTION("""COMPUTED_VALUE"""),2978004.0)</f>
        <v>2978004</v>
      </c>
    </row>
    <row r="202">
      <c r="A202" s="3">
        <f>IFERROR(__xludf.DUMMYFUNCTION("""COMPUTED_VALUE"""),45218.66666666667)</f>
        <v>45218.66667</v>
      </c>
      <c r="B202" s="2">
        <f>IFERROR(__xludf.DUMMYFUNCTION("""COMPUTED_VALUE"""),340.31)</f>
        <v>340.31</v>
      </c>
      <c r="C202" s="2">
        <f>IFERROR(__xludf.DUMMYFUNCTION("""COMPUTED_VALUE"""),342.69)</f>
        <v>342.69</v>
      </c>
      <c r="D202" s="2">
        <f>IFERROR(__xludf.DUMMYFUNCTION("""COMPUTED_VALUE"""),338.45)</f>
        <v>338.45</v>
      </c>
      <c r="E202" s="2">
        <f>IFERROR(__xludf.DUMMYFUNCTION("""COMPUTED_VALUE"""),338.66)</f>
        <v>338.66</v>
      </c>
      <c r="F202" s="2">
        <f>IFERROR(__xludf.DUMMYFUNCTION("""COMPUTED_VALUE"""),2745685.0)</f>
        <v>2745685</v>
      </c>
    </row>
    <row r="203">
      <c r="A203" s="3">
        <f>IFERROR(__xludf.DUMMYFUNCTION("""COMPUTED_VALUE"""),45219.66666666667)</f>
        <v>45219.66667</v>
      </c>
      <c r="B203" s="2">
        <f>IFERROR(__xludf.DUMMYFUNCTION("""COMPUTED_VALUE"""),338.15)</f>
        <v>338.15</v>
      </c>
      <c r="C203" s="2">
        <f>IFERROR(__xludf.DUMMYFUNCTION("""COMPUTED_VALUE"""),340.0)</f>
        <v>340</v>
      </c>
      <c r="D203" s="2">
        <f>IFERROR(__xludf.DUMMYFUNCTION("""COMPUTED_VALUE"""),334.35)</f>
        <v>334.35</v>
      </c>
      <c r="E203" s="2">
        <f>IFERROR(__xludf.DUMMYFUNCTION("""COMPUTED_VALUE"""),335.86)</f>
        <v>335.86</v>
      </c>
      <c r="F203" s="2">
        <f>IFERROR(__xludf.DUMMYFUNCTION("""COMPUTED_VALUE"""),3472804.0)</f>
        <v>3472804</v>
      </c>
    </row>
    <row r="204">
      <c r="A204" s="3">
        <f>IFERROR(__xludf.DUMMYFUNCTION("""COMPUTED_VALUE"""),45222.66666666667)</f>
        <v>45222.66667</v>
      </c>
      <c r="B204" s="2">
        <f>IFERROR(__xludf.DUMMYFUNCTION("""COMPUTED_VALUE"""),334.07)</f>
        <v>334.07</v>
      </c>
      <c r="C204" s="2">
        <f>IFERROR(__xludf.DUMMYFUNCTION("""COMPUTED_VALUE"""),338.88)</f>
        <v>338.88</v>
      </c>
      <c r="D204" s="2">
        <f>IFERROR(__xludf.DUMMYFUNCTION("""COMPUTED_VALUE"""),333.49)</f>
        <v>333.49</v>
      </c>
      <c r="E204" s="2">
        <f>IFERROR(__xludf.DUMMYFUNCTION("""COMPUTED_VALUE"""),336.84)</f>
        <v>336.84</v>
      </c>
      <c r="F204" s="2">
        <f>IFERROR(__xludf.DUMMYFUNCTION("""COMPUTED_VALUE"""),2795170.0)</f>
        <v>2795170</v>
      </c>
    </row>
    <row r="205">
      <c r="A205" s="3">
        <f>IFERROR(__xludf.DUMMYFUNCTION("""COMPUTED_VALUE"""),45223.66666666667)</f>
        <v>45223.66667</v>
      </c>
      <c r="B205" s="2">
        <f>IFERROR(__xludf.DUMMYFUNCTION("""COMPUTED_VALUE"""),338.18)</f>
        <v>338.18</v>
      </c>
      <c r="C205" s="2">
        <f>IFERROR(__xludf.DUMMYFUNCTION("""COMPUTED_VALUE"""),339.85)</f>
        <v>339.85</v>
      </c>
      <c r="D205" s="2">
        <f>IFERROR(__xludf.DUMMYFUNCTION("""COMPUTED_VALUE"""),337.77)</f>
        <v>337.77</v>
      </c>
      <c r="E205" s="2">
        <f>IFERROR(__xludf.DUMMYFUNCTION("""COMPUTED_VALUE"""),338.63)</f>
        <v>338.63</v>
      </c>
      <c r="F205" s="2">
        <f>IFERROR(__xludf.DUMMYFUNCTION("""COMPUTED_VALUE"""),2356386.0)</f>
        <v>2356386</v>
      </c>
    </row>
    <row r="206">
      <c r="A206" s="3">
        <f>IFERROR(__xludf.DUMMYFUNCTION("""COMPUTED_VALUE"""),45224.66666666667)</f>
        <v>45224.66667</v>
      </c>
      <c r="B206" s="2">
        <f>IFERROR(__xludf.DUMMYFUNCTION("""COMPUTED_VALUE"""),338.59)</f>
        <v>338.59</v>
      </c>
      <c r="C206" s="2">
        <f>IFERROR(__xludf.DUMMYFUNCTION("""COMPUTED_VALUE"""),339.62)</f>
        <v>339.62</v>
      </c>
      <c r="D206" s="2">
        <f>IFERROR(__xludf.DUMMYFUNCTION("""COMPUTED_VALUE"""),336.55)</f>
        <v>336.55</v>
      </c>
      <c r="E206" s="2">
        <f>IFERROR(__xludf.DUMMYFUNCTION("""COMPUTED_VALUE"""),336.9)</f>
        <v>336.9</v>
      </c>
      <c r="F206" s="2">
        <f>IFERROR(__xludf.DUMMYFUNCTION("""COMPUTED_VALUE"""),2624711.0)</f>
        <v>2624711</v>
      </c>
    </row>
    <row r="207">
      <c r="A207" s="3">
        <f>IFERROR(__xludf.DUMMYFUNCTION("""COMPUTED_VALUE"""),45225.66666666667)</f>
        <v>45225.66667</v>
      </c>
      <c r="B207" s="2">
        <f>IFERROR(__xludf.DUMMYFUNCTION("""COMPUTED_VALUE"""),337.07)</f>
        <v>337.07</v>
      </c>
      <c r="C207" s="2">
        <f>IFERROR(__xludf.DUMMYFUNCTION("""COMPUTED_VALUE"""),338.32)</f>
        <v>338.32</v>
      </c>
      <c r="D207" s="2">
        <f>IFERROR(__xludf.DUMMYFUNCTION("""COMPUTED_VALUE"""),335.46)</f>
        <v>335.46</v>
      </c>
      <c r="E207" s="2">
        <f>IFERROR(__xludf.DUMMYFUNCTION("""COMPUTED_VALUE"""),336.16)</f>
        <v>336.16</v>
      </c>
      <c r="F207" s="2">
        <f>IFERROR(__xludf.DUMMYFUNCTION("""COMPUTED_VALUE"""),2687088.0)</f>
        <v>2687088</v>
      </c>
    </row>
    <row r="208">
      <c r="A208" s="3">
        <f>IFERROR(__xludf.DUMMYFUNCTION("""COMPUTED_VALUE"""),45226.66666666667)</f>
        <v>45226.66667</v>
      </c>
      <c r="B208" s="2">
        <f>IFERROR(__xludf.DUMMYFUNCTION("""COMPUTED_VALUE"""),336.12)</f>
        <v>336.12</v>
      </c>
      <c r="C208" s="2">
        <f>IFERROR(__xludf.DUMMYFUNCTION("""COMPUTED_VALUE"""),336.19)</f>
        <v>336.19</v>
      </c>
      <c r="D208" s="2">
        <f>IFERROR(__xludf.DUMMYFUNCTION("""COMPUTED_VALUE"""),330.58)</f>
        <v>330.58</v>
      </c>
      <c r="E208" s="2">
        <f>IFERROR(__xludf.DUMMYFUNCTION("""COMPUTED_VALUE"""),331.71)</f>
        <v>331.71</v>
      </c>
      <c r="F208" s="2">
        <f>IFERROR(__xludf.DUMMYFUNCTION("""COMPUTED_VALUE"""),3609115.0)</f>
        <v>3609115</v>
      </c>
    </row>
    <row r="209">
      <c r="A209" s="3">
        <f>IFERROR(__xludf.DUMMYFUNCTION("""COMPUTED_VALUE"""),45229.66666666667)</f>
        <v>45229.66667</v>
      </c>
      <c r="B209" s="2">
        <f>IFERROR(__xludf.DUMMYFUNCTION("""COMPUTED_VALUE"""),332.96)</f>
        <v>332.96</v>
      </c>
      <c r="C209" s="2">
        <f>IFERROR(__xludf.DUMMYFUNCTION("""COMPUTED_VALUE"""),338.36)</f>
        <v>338.36</v>
      </c>
      <c r="D209" s="2">
        <f>IFERROR(__xludf.DUMMYFUNCTION("""COMPUTED_VALUE"""),332.18)</f>
        <v>332.18</v>
      </c>
      <c r="E209" s="2">
        <f>IFERROR(__xludf.DUMMYFUNCTION("""COMPUTED_VALUE"""),337.41)</f>
        <v>337.41</v>
      </c>
      <c r="F209" s="2">
        <f>IFERROR(__xludf.DUMMYFUNCTION("""COMPUTED_VALUE"""),2635839.0)</f>
        <v>2635839</v>
      </c>
    </row>
    <row r="210">
      <c r="A210" s="3">
        <f>IFERROR(__xludf.DUMMYFUNCTION("""COMPUTED_VALUE"""),45230.66666666667)</f>
        <v>45230.66667</v>
      </c>
      <c r="B210" s="2">
        <f>IFERROR(__xludf.DUMMYFUNCTION("""COMPUTED_VALUE"""),337.95)</f>
        <v>337.95</v>
      </c>
      <c r="C210" s="2">
        <f>IFERROR(__xludf.DUMMYFUNCTION("""COMPUTED_VALUE"""),341.49)</f>
        <v>341.49</v>
      </c>
      <c r="D210" s="2">
        <f>IFERROR(__xludf.DUMMYFUNCTION("""COMPUTED_VALUE"""),337.5)</f>
        <v>337.5</v>
      </c>
      <c r="E210" s="2">
        <f>IFERROR(__xludf.DUMMYFUNCTION("""COMPUTED_VALUE"""),341.33)</f>
        <v>341.33</v>
      </c>
      <c r="F210" s="2">
        <f>IFERROR(__xludf.DUMMYFUNCTION("""COMPUTED_VALUE"""),3067894.0)</f>
        <v>3067894</v>
      </c>
    </row>
    <row r="211">
      <c r="A211" s="3">
        <f>IFERROR(__xludf.DUMMYFUNCTION("""COMPUTED_VALUE"""),45231.66666666667)</f>
        <v>45231.66667</v>
      </c>
      <c r="B211" s="2">
        <f>IFERROR(__xludf.DUMMYFUNCTION("""COMPUTED_VALUE"""),341.21)</f>
        <v>341.21</v>
      </c>
      <c r="C211" s="2">
        <f>IFERROR(__xludf.DUMMYFUNCTION("""COMPUTED_VALUE"""),345.33)</f>
        <v>345.33</v>
      </c>
      <c r="D211" s="2">
        <f>IFERROR(__xludf.DUMMYFUNCTION("""COMPUTED_VALUE"""),340.58)</f>
        <v>340.58</v>
      </c>
      <c r="E211" s="2">
        <f>IFERROR(__xludf.DUMMYFUNCTION("""COMPUTED_VALUE"""),343.75)</f>
        <v>343.75</v>
      </c>
      <c r="F211" s="2">
        <f>IFERROR(__xludf.DUMMYFUNCTION("""COMPUTED_VALUE"""),2790593.0)</f>
        <v>2790593</v>
      </c>
    </row>
    <row r="212">
      <c r="A212" s="3">
        <f>IFERROR(__xludf.DUMMYFUNCTION("""COMPUTED_VALUE"""),45232.66666666667)</f>
        <v>45232.66667</v>
      </c>
      <c r="B212" s="2">
        <f>IFERROR(__xludf.DUMMYFUNCTION("""COMPUTED_VALUE"""),346.39)</f>
        <v>346.39</v>
      </c>
      <c r="C212" s="2">
        <f>IFERROR(__xludf.DUMMYFUNCTION("""COMPUTED_VALUE"""),349.39)</f>
        <v>349.39</v>
      </c>
      <c r="D212" s="2">
        <f>IFERROR(__xludf.DUMMYFUNCTION("""COMPUTED_VALUE"""),344.5)</f>
        <v>344.5</v>
      </c>
      <c r="E212" s="2">
        <f>IFERROR(__xludf.DUMMYFUNCTION("""COMPUTED_VALUE"""),349.02)</f>
        <v>349.02</v>
      </c>
      <c r="F212" s="2">
        <f>IFERROR(__xludf.DUMMYFUNCTION("""COMPUTED_VALUE"""),3437737.0)</f>
        <v>3437737</v>
      </c>
    </row>
    <row r="213">
      <c r="A213" s="3">
        <f>IFERROR(__xludf.DUMMYFUNCTION("""COMPUTED_VALUE"""),45233.66666666667)</f>
        <v>45233.66667</v>
      </c>
      <c r="B213" s="2">
        <f>IFERROR(__xludf.DUMMYFUNCTION("""COMPUTED_VALUE"""),350.17)</f>
        <v>350.17</v>
      </c>
      <c r="C213" s="2">
        <f>IFERROR(__xludf.DUMMYFUNCTION("""COMPUTED_VALUE"""),354.35)</f>
        <v>354.35</v>
      </c>
      <c r="D213" s="2">
        <f>IFERROR(__xludf.DUMMYFUNCTION("""COMPUTED_VALUE"""),349.79)</f>
        <v>349.79</v>
      </c>
      <c r="E213" s="2">
        <f>IFERROR(__xludf.DUMMYFUNCTION("""COMPUTED_VALUE"""),351.81)</f>
        <v>351.81</v>
      </c>
      <c r="F213" s="2">
        <f>IFERROR(__xludf.DUMMYFUNCTION("""COMPUTED_VALUE"""),4410901.0)</f>
        <v>4410901</v>
      </c>
    </row>
    <row r="214">
      <c r="A214" s="3">
        <f>IFERROR(__xludf.DUMMYFUNCTION("""COMPUTED_VALUE"""),45236.66666666667)</f>
        <v>45236.66667</v>
      </c>
      <c r="B214" s="2">
        <f>IFERROR(__xludf.DUMMYFUNCTION("""COMPUTED_VALUE"""),354.03)</f>
        <v>354.03</v>
      </c>
      <c r="C214" s="2">
        <f>IFERROR(__xludf.DUMMYFUNCTION("""COMPUTED_VALUE"""),354.03)</f>
        <v>354.03</v>
      </c>
      <c r="D214" s="2">
        <f>IFERROR(__xludf.DUMMYFUNCTION("""COMPUTED_VALUE"""),344.06)</f>
        <v>344.06</v>
      </c>
      <c r="E214" s="2">
        <f>IFERROR(__xludf.DUMMYFUNCTION("""COMPUTED_VALUE"""),346.63)</f>
        <v>346.63</v>
      </c>
      <c r="F214" s="2">
        <f>IFERROR(__xludf.DUMMYFUNCTION("""COMPUTED_VALUE"""),5489338.0)</f>
        <v>5489338</v>
      </c>
    </row>
    <row r="215">
      <c r="A215" s="3">
        <f>IFERROR(__xludf.DUMMYFUNCTION("""COMPUTED_VALUE"""),45237.66666666667)</f>
        <v>45237.66667</v>
      </c>
      <c r="B215" s="2">
        <f>IFERROR(__xludf.DUMMYFUNCTION("""COMPUTED_VALUE"""),346.81)</f>
        <v>346.81</v>
      </c>
      <c r="C215" s="2">
        <f>IFERROR(__xludf.DUMMYFUNCTION("""COMPUTED_VALUE"""),346.95)</f>
        <v>346.95</v>
      </c>
      <c r="D215" s="2">
        <f>IFERROR(__xludf.DUMMYFUNCTION("""COMPUTED_VALUE"""),344.3)</f>
        <v>344.3</v>
      </c>
      <c r="E215" s="2">
        <f>IFERROR(__xludf.DUMMYFUNCTION("""COMPUTED_VALUE"""),346.17)</f>
        <v>346.17</v>
      </c>
      <c r="F215" s="2">
        <f>IFERROR(__xludf.DUMMYFUNCTION("""COMPUTED_VALUE"""),3063822.0)</f>
        <v>3063822</v>
      </c>
    </row>
    <row r="216">
      <c r="A216" s="3">
        <f>IFERROR(__xludf.DUMMYFUNCTION("""COMPUTED_VALUE"""),45238.66666666667)</f>
        <v>45238.66667</v>
      </c>
      <c r="B216" s="2">
        <f>IFERROR(__xludf.DUMMYFUNCTION("""COMPUTED_VALUE"""),346.85)</f>
        <v>346.85</v>
      </c>
      <c r="C216" s="2">
        <f>IFERROR(__xludf.DUMMYFUNCTION("""COMPUTED_VALUE"""),348.0)</f>
        <v>348</v>
      </c>
      <c r="D216" s="2">
        <f>IFERROR(__xludf.DUMMYFUNCTION("""COMPUTED_VALUE"""),344.69)</f>
        <v>344.69</v>
      </c>
      <c r="E216" s="2">
        <f>IFERROR(__xludf.DUMMYFUNCTION("""COMPUTED_VALUE"""),346.3)</f>
        <v>346.3</v>
      </c>
      <c r="F216" s="2">
        <f>IFERROR(__xludf.DUMMYFUNCTION("""COMPUTED_VALUE"""),2604356.0)</f>
        <v>2604356</v>
      </c>
    </row>
    <row r="217">
      <c r="A217" s="3">
        <f>IFERROR(__xludf.DUMMYFUNCTION("""COMPUTED_VALUE"""),45239.66666666667)</f>
        <v>45239.66667</v>
      </c>
      <c r="B217" s="2">
        <f>IFERROR(__xludf.DUMMYFUNCTION("""COMPUTED_VALUE"""),347.64)</f>
        <v>347.64</v>
      </c>
      <c r="C217" s="2">
        <f>IFERROR(__xludf.DUMMYFUNCTION("""COMPUTED_VALUE"""),350.11)</f>
        <v>350.11</v>
      </c>
      <c r="D217" s="2">
        <f>IFERROR(__xludf.DUMMYFUNCTION("""COMPUTED_VALUE"""),346.88)</f>
        <v>346.88</v>
      </c>
      <c r="E217" s="2">
        <f>IFERROR(__xludf.DUMMYFUNCTION("""COMPUTED_VALUE"""),348.18)</f>
        <v>348.18</v>
      </c>
      <c r="F217" s="2">
        <f>IFERROR(__xludf.DUMMYFUNCTION("""COMPUTED_VALUE"""),3054272.0)</f>
        <v>3054272</v>
      </c>
    </row>
    <row r="218">
      <c r="A218" s="3">
        <f>IFERROR(__xludf.DUMMYFUNCTION("""COMPUTED_VALUE"""),45240.66666666667)</f>
        <v>45240.66667</v>
      </c>
      <c r="B218" s="2">
        <f>IFERROR(__xludf.DUMMYFUNCTION("""COMPUTED_VALUE"""),349.6)</f>
        <v>349.6</v>
      </c>
      <c r="C218" s="2">
        <f>IFERROR(__xludf.DUMMYFUNCTION("""COMPUTED_VALUE"""),351.2)</f>
        <v>351.2</v>
      </c>
      <c r="D218" s="2">
        <f>IFERROR(__xludf.DUMMYFUNCTION("""COMPUTED_VALUE"""),348.6)</f>
        <v>348.6</v>
      </c>
      <c r="E218" s="2">
        <f>IFERROR(__xludf.DUMMYFUNCTION("""COMPUTED_VALUE"""),350.56)</f>
        <v>350.56</v>
      </c>
      <c r="F218" s="2">
        <f>IFERROR(__xludf.DUMMYFUNCTION("""COMPUTED_VALUE"""),3702339.0)</f>
        <v>3702339</v>
      </c>
    </row>
    <row r="219">
      <c r="A219" s="3">
        <f>IFERROR(__xludf.DUMMYFUNCTION("""COMPUTED_VALUE"""),45243.66666666667)</f>
        <v>45243.66667</v>
      </c>
      <c r="B219" s="2">
        <f>IFERROR(__xludf.DUMMYFUNCTION("""COMPUTED_VALUE"""),350.09)</f>
        <v>350.09</v>
      </c>
      <c r="C219" s="2">
        <f>IFERROR(__xludf.DUMMYFUNCTION("""COMPUTED_VALUE"""),350.65)</f>
        <v>350.65</v>
      </c>
      <c r="D219" s="2">
        <f>IFERROR(__xludf.DUMMYFUNCTION("""COMPUTED_VALUE"""),348.81)</f>
        <v>348.81</v>
      </c>
      <c r="E219" s="2">
        <f>IFERROR(__xludf.DUMMYFUNCTION("""COMPUTED_VALUE"""),350.01)</f>
        <v>350.01</v>
      </c>
      <c r="F219" s="2">
        <f>IFERROR(__xludf.DUMMYFUNCTION("""COMPUTED_VALUE"""),2196921.0)</f>
        <v>2196921</v>
      </c>
    </row>
    <row r="220">
      <c r="A220" s="3">
        <f>IFERROR(__xludf.DUMMYFUNCTION("""COMPUTED_VALUE"""),45244.66666666667)</f>
        <v>45244.66667</v>
      </c>
      <c r="B220" s="2">
        <f>IFERROR(__xludf.DUMMYFUNCTION("""COMPUTED_VALUE"""),352.52)</f>
        <v>352.52</v>
      </c>
      <c r="C220" s="2">
        <f>IFERROR(__xludf.DUMMYFUNCTION("""COMPUTED_VALUE"""),355.95)</f>
        <v>355.95</v>
      </c>
      <c r="D220" s="2">
        <f>IFERROR(__xludf.DUMMYFUNCTION("""COMPUTED_VALUE"""),351.25)</f>
        <v>351.25</v>
      </c>
      <c r="E220" s="2">
        <f>IFERROR(__xludf.DUMMYFUNCTION("""COMPUTED_VALUE"""),354.25)</f>
        <v>354.25</v>
      </c>
      <c r="F220" s="2">
        <f>IFERROR(__xludf.DUMMYFUNCTION("""COMPUTED_VALUE"""),3388316.0)</f>
        <v>3388316</v>
      </c>
    </row>
    <row r="221">
      <c r="A221" s="3">
        <f>IFERROR(__xludf.DUMMYFUNCTION("""COMPUTED_VALUE"""),45245.66666666667)</f>
        <v>45245.66667</v>
      </c>
      <c r="B221" s="2">
        <f>IFERROR(__xludf.DUMMYFUNCTION("""COMPUTED_VALUE"""),355.02)</f>
        <v>355.02</v>
      </c>
      <c r="C221" s="2">
        <f>IFERROR(__xludf.DUMMYFUNCTION("""COMPUTED_VALUE"""),357.31)</f>
        <v>357.31</v>
      </c>
      <c r="D221" s="2">
        <f>IFERROR(__xludf.DUMMYFUNCTION("""COMPUTED_VALUE"""),354.48)</f>
        <v>354.48</v>
      </c>
      <c r="E221" s="2">
        <f>IFERROR(__xludf.DUMMYFUNCTION("""COMPUTED_VALUE"""),356.79)</f>
        <v>356.79</v>
      </c>
      <c r="F221" s="2">
        <f>IFERROR(__xludf.DUMMYFUNCTION("""COMPUTED_VALUE"""),3577350.0)</f>
        <v>3577350</v>
      </c>
    </row>
    <row r="222">
      <c r="A222" s="3">
        <f>IFERROR(__xludf.DUMMYFUNCTION("""COMPUTED_VALUE"""),45246.66666666667)</f>
        <v>45246.66667</v>
      </c>
      <c r="B222" s="2">
        <f>IFERROR(__xludf.DUMMYFUNCTION("""COMPUTED_VALUE"""),357.79)</f>
        <v>357.79</v>
      </c>
      <c r="C222" s="2">
        <f>IFERROR(__xludf.DUMMYFUNCTION("""COMPUTED_VALUE"""),360.0)</f>
        <v>360</v>
      </c>
      <c r="D222" s="2">
        <f>IFERROR(__xludf.DUMMYFUNCTION("""COMPUTED_VALUE"""),357.23)</f>
        <v>357.23</v>
      </c>
      <c r="E222" s="2">
        <f>IFERROR(__xludf.DUMMYFUNCTION("""COMPUTED_VALUE"""),359.86)</f>
        <v>359.86</v>
      </c>
      <c r="F222" s="2">
        <f>IFERROR(__xludf.DUMMYFUNCTION("""COMPUTED_VALUE"""),2830358.0)</f>
        <v>2830358</v>
      </c>
    </row>
    <row r="223">
      <c r="A223" s="3">
        <f>IFERROR(__xludf.DUMMYFUNCTION("""COMPUTED_VALUE"""),45247.66666666667)</f>
        <v>45247.66667</v>
      </c>
      <c r="B223" s="2">
        <f>IFERROR(__xludf.DUMMYFUNCTION("""COMPUTED_VALUE"""),360.47)</f>
        <v>360.47</v>
      </c>
      <c r="C223" s="2">
        <f>IFERROR(__xludf.DUMMYFUNCTION("""COMPUTED_VALUE"""),360.56)</f>
        <v>360.56</v>
      </c>
      <c r="D223" s="2">
        <f>IFERROR(__xludf.DUMMYFUNCTION("""COMPUTED_VALUE"""),358.07)</f>
        <v>358.07</v>
      </c>
      <c r="E223" s="2">
        <f>IFERROR(__xludf.DUMMYFUNCTION("""COMPUTED_VALUE"""),358.93)</f>
        <v>358.93</v>
      </c>
      <c r="F223" s="2">
        <f>IFERROR(__xludf.DUMMYFUNCTION("""COMPUTED_VALUE"""),3260955.0)</f>
        <v>3260955</v>
      </c>
    </row>
    <row r="224">
      <c r="A224" s="3">
        <f>IFERROR(__xludf.DUMMYFUNCTION("""COMPUTED_VALUE"""),45250.66666666667)</f>
        <v>45250.66667</v>
      </c>
      <c r="B224" s="2">
        <f>IFERROR(__xludf.DUMMYFUNCTION("""COMPUTED_VALUE"""),359.35)</f>
        <v>359.35</v>
      </c>
      <c r="C224" s="2">
        <f>IFERROR(__xludf.DUMMYFUNCTION("""COMPUTED_VALUE"""),362.61)</f>
        <v>362.61</v>
      </c>
      <c r="D224" s="2">
        <f>IFERROR(__xludf.DUMMYFUNCTION("""COMPUTED_VALUE"""),358.18)</f>
        <v>358.18</v>
      </c>
      <c r="E224" s="2">
        <f>IFERROR(__xludf.DUMMYFUNCTION("""COMPUTED_VALUE"""),361.33)</f>
        <v>361.33</v>
      </c>
      <c r="F224" s="2">
        <f>IFERROR(__xludf.DUMMYFUNCTION("""COMPUTED_VALUE"""),3219051.0)</f>
        <v>3219051</v>
      </c>
    </row>
    <row r="225">
      <c r="A225" s="3">
        <f>IFERROR(__xludf.DUMMYFUNCTION("""COMPUTED_VALUE"""),45251.66666666667)</f>
        <v>45251.66667</v>
      </c>
      <c r="B225" s="2">
        <f>IFERROR(__xludf.DUMMYFUNCTION("""COMPUTED_VALUE"""),360.58)</f>
        <v>360.58</v>
      </c>
      <c r="C225" s="2">
        <f>IFERROR(__xludf.DUMMYFUNCTION("""COMPUTED_VALUE"""),363.03)</f>
        <v>363.03</v>
      </c>
      <c r="D225" s="2">
        <f>IFERROR(__xludf.DUMMYFUNCTION("""COMPUTED_VALUE"""),360.25)</f>
        <v>360.25</v>
      </c>
      <c r="E225" s="2">
        <f>IFERROR(__xludf.DUMMYFUNCTION("""COMPUTED_VALUE"""),361.0)</f>
        <v>361</v>
      </c>
      <c r="F225" s="2">
        <f>IFERROR(__xludf.DUMMYFUNCTION("""COMPUTED_VALUE"""),2919342.0)</f>
        <v>2919342</v>
      </c>
    </row>
    <row r="226">
      <c r="A226" s="3">
        <f>IFERROR(__xludf.DUMMYFUNCTION("""COMPUTED_VALUE"""),45252.66666666667)</f>
        <v>45252.66667</v>
      </c>
      <c r="B226" s="2">
        <f>IFERROR(__xludf.DUMMYFUNCTION("""COMPUTED_VALUE"""),361.76)</f>
        <v>361.76</v>
      </c>
      <c r="C226" s="2">
        <f>IFERROR(__xludf.DUMMYFUNCTION("""COMPUTED_VALUE"""),362.46)</f>
        <v>362.46</v>
      </c>
      <c r="D226" s="2">
        <f>IFERROR(__xludf.DUMMYFUNCTION("""COMPUTED_VALUE"""),360.05)</f>
        <v>360.05</v>
      </c>
      <c r="E226" s="2">
        <f>IFERROR(__xludf.DUMMYFUNCTION("""COMPUTED_VALUE"""),361.8)</f>
        <v>361.8</v>
      </c>
      <c r="F226" s="2">
        <f>IFERROR(__xludf.DUMMYFUNCTION("""COMPUTED_VALUE"""),2110602.0)</f>
        <v>2110602</v>
      </c>
    </row>
    <row r="227">
      <c r="A227" s="3">
        <f>IFERROR(__xludf.DUMMYFUNCTION("""COMPUTED_VALUE"""),45254.54166666667)</f>
        <v>45254.54167</v>
      </c>
      <c r="B227" s="2">
        <f>IFERROR(__xludf.DUMMYFUNCTION("""COMPUTED_VALUE"""),362.51)</f>
        <v>362.51</v>
      </c>
      <c r="C227" s="2">
        <f>IFERROR(__xludf.DUMMYFUNCTION("""COMPUTED_VALUE"""),363.19)</f>
        <v>363.19</v>
      </c>
      <c r="D227" s="2">
        <f>IFERROR(__xludf.DUMMYFUNCTION("""COMPUTED_VALUE"""),361.24)</f>
        <v>361.24</v>
      </c>
      <c r="E227" s="2">
        <f>IFERROR(__xludf.DUMMYFUNCTION("""COMPUTED_VALUE"""),362.68)</f>
        <v>362.68</v>
      </c>
      <c r="F227" s="2">
        <f>IFERROR(__xludf.DUMMYFUNCTION("""COMPUTED_VALUE"""),1281978.0)</f>
        <v>1281978</v>
      </c>
    </row>
    <row r="228">
      <c r="A228" s="3">
        <f>IFERROR(__xludf.DUMMYFUNCTION("""COMPUTED_VALUE"""),45257.66666666667)</f>
        <v>45257.66667</v>
      </c>
      <c r="B228" s="2">
        <f>IFERROR(__xludf.DUMMYFUNCTION("""COMPUTED_VALUE"""),362.64)</f>
        <v>362.64</v>
      </c>
      <c r="C228" s="2">
        <f>IFERROR(__xludf.DUMMYFUNCTION("""COMPUTED_VALUE"""),362.64)</f>
        <v>362.64</v>
      </c>
      <c r="D228" s="2">
        <f>IFERROR(__xludf.DUMMYFUNCTION("""COMPUTED_VALUE"""),359.58)</f>
        <v>359.58</v>
      </c>
      <c r="E228" s="2">
        <f>IFERROR(__xludf.DUMMYFUNCTION("""COMPUTED_VALUE"""),361.34)</f>
        <v>361.34</v>
      </c>
      <c r="F228" s="2">
        <f>IFERROR(__xludf.DUMMYFUNCTION("""COMPUTED_VALUE"""),2583674.0)</f>
        <v>2583674</v>
      </c>
    </row>
    <row r="229">
      <c r="A229" s="3">
        <f>IFERROR(__xludf.DUMMYFUNCTION("""COMPUTED_VALUE"""),45258.66666666667)</f>
        <v>45258.66667</v>
      </c>
      <c r="B229" s="2">
        <f>IFERROR(__xludf.DUMMYFUNCTION("""COMPUTED_VALUE"""),361.55)</f>
        <v>361.55</v>
      </c>
      <c r="C229" s="2">
        <f>IFERROR(__xludf.DUMMYFUNCTION("""COMPUTED_VALUE"""),362.12)</f>
        <v>362.12</v>
      </c>
      <c r="D229" s="2">
        <f>IFERROR(__xludf.DUMMYFUNCTION("""COMPUTED_VALUE"""),359.21)</f>
        <v>359.21</v>
      </c>
      <c r="E229" s="2">
        <f>IFERROR(__xludf.DUMMYFUNCTION("""COMPUTED_VALUE"""),360.05)</f>
        <v>360.05</v>
      </c>
      <c r="F229" s="2">
        <f>IFERROR(__xludf.DUMMYFUNCTION("""COMPUTED_VALUE"""),2958540.0)</f>
        <v>2958540</v>
      </c>
    </row>
    <row r="230">
      <c r="A230" s="3">
        <f>IFERROR(__xludf.DUMMYFUNCTION("""COMPUTED_VALUE"""),45259.66666666667)</f>
        <v>45259.66667</v>
      </c>
      <c r="B230" s="2">
        <f>IFERROR(__xludf.DUMMYFUNCTION("""COMPUTED_VALUE"""),360.95)</f>
        <v>360.95</v>
      </c>
      <c r="C230" s="2">
        <f>IFERROR(__xludf.DUMMYFUNCTION("""COMPUTED_VALUE"""),361.52)</f>
        <v>361.52</v>
      </c>
      <c r="D230" s="2">
        <f>IFERROR(__xludf.DUMMYFUNCTION("""COMPUTED_VALUE"""),358.3)</f>
        <v>358.3</v>
      </c>
      <c r="E230" s="2">
        <f>IFERROR(__xludf.DUMMYFUNCTION("""COMPUTED_VALUE"""),358.69)</f>
        <v>358.69</v>
      </c>
      <c r="F230" s="2">
        <f>IFERROR(__xludf.DUMMYFUNCTION("""COMPUTED_VALUE"""),3141450.0)</f>
        <v>3141450</v>
      </c>
    </row>
    <row r="231">
      <c r="A231" s="3">
        <f>IFERROR(__xludf.DUMMYFUNCTION("""COMPUTED_VALUE"""),45260.66666666667)</f>
        <v>45260.66667</v>
      </c>
      <c r="B231" s="2">
        <f>IFERROR(__xludf.DUMMYFUNCTION("""COMPUTED_VALUE"""),359.45)</f>
        <v>359.45</v>
      </c>
      <c r="C231" s="2">
        <f>IFERROR(__xludf.DUMMYFUNCTION("""COMPUTED_VALUE"""),360.43)</f>
        <v>360.43</v>
      </c>
      <c r="D231" s="2">
        <f>IFERROR(__xludf.DUMMYFUNCTION("""COMPUTED_VALUE"""),358.42)</f>
        <v>358.42</v>
      </c>
      <c r="E231" s="2">
        <f>IFERROR(__xludf.DUMMYFUNCTION("""COMPUTED_VALUE"""),360.0)</f>
        <v>360</v>
      </c>
      <c r="F231" s="2">
        <f>IFERROR(__xludf.DUMMYFUNCTION("""COMPUTED_VALUE"""),4607404.0)</f>
        <v>4607404</v>
      </c>
    </row>
    <row r="232">
      <c r="A232" s="3">
        <f>IFERROR(__xludf.DUMMYFUNCTION("""COMPUTED_VALUE"""),45261.66666666667)</f>
        <v>45261.66667</v>
      </c>
      <c r="B232" s="2">
        <f>IFERROR(__xludf.DUMMYFUNCTION("""COMPUTED_VALUE"""),359.94)</f>
        <v>359.94</v>
      </c>
      <c r="C232" s="2">
        <f>IFERROR(__xludf.DUMMYFUNCTION("""COMPUTED_VALUE"""),360.24)</f>
        <v>360.24</v>
      </c>
      <c r="D232" s="2">
        <f>IFERROR(__xludf.DUMMYFUNCTION("""COMPUTED_VALUE"""),355.3)</f>
        <v>355.3</v>
      </c>
      <c r="E232" s="2">
        <f>IFERROR(__xludf.DUMMYFUNCTION("""COMPUTED_VALUE"""),357.07)</f>
        <v>357.07</v>
      </c>
      <c r="F232" s="2">
        <f>IFERROR(__xludf.DUMMYFUNCTION("""COMPUTED_VALUE"""),4706958.0)</f>
        <v>4706958</v>
      </c>
    </row>
    <row r="233">
      <c r="A233" s="3">
        <f>IFERROR(__xludf.DUMMYFUNCTION("""COMPUTED_VALUE"""),45264.66666666667)</f>
        <v>45264.66667</v>
      </c>
      <c r="B233" s="2">
        <f>IFERROR(__xludf.DUMMYFUNCTION("""COMPUTED_VALUE"""),355.91)</f>
        <v>355.91</v>
      </c>
      <c r="C233" s="2">
        <f>IFERROR(__xludf.DUMMYFUNCTION("""COMPUTED_VALUE"""),357.83)</f>
        <v>357.83</v>
      </c>
      <c r="D233" s="2">
        <f>IFERROR(__xludf.DUMMYFUNCTION("""COMPUTED_VALUE"""),353.79)</f>
        <v>353.79</v>
      </c>
      <c r="E233" s="2">
        <f>IFERROR(__xludf.DUMMYFUNCTION("""COMPUTED_VALUE"""),356.66)</f>
        <v>356.66</v>
      </c>
      <c r="F233" s="2">
        <f>IFERROR(__xludf.DUMMYFUNCTION("""COMPUTED_VALUE"""),3054245.0)</f>
        <v>3054245</v>
      </c>
    </row>
    <row r="234">
      <c r="A234" s="3">
        <f>IFERROR(__xludf.DUMMYFUNCTION("""COMPUTED_VALUE"""),45265.66666666667)</f>
        <v>45265.66667</v>
      </c>
      <c r="B234" s="2">
        <f>IFERROR(__xludf.DUMMYFUNCTION("""COMPUTED_VALUE"""),355.23)</f>
        <v>355.23</v>
      </c>
      <c r="C234" s="2">
        <f>IFERROR(__xludf.DUMMYFUNCTION("""COMPUTED_VALUE"""),356.6)</f>
        <v>356.6</v>
      </c>
      <c r="D234" s="2">
        <f>IFERROR(__xludf.DUMMYFUNCTION("""COMPUTED_VALUE"""),352.29)</f>
        <v>352.29</v>
      </c>
      <c r="E234" s="2">
        <f>IFERROR(__xludf.DUMMYFUNCTION("""COMPUTED_VALUE"""),355.03)</f>
        <v>355.03</v>
      </c>
      <c r="F234" s="2">
        <f>IFERROR(__xludf.DUMMYFUNCTION("""COMPUTED_VALUE"""),3281046.0)</f>
        <v>3281046</v>
      </c>
    </row>
    <row r="235">
      <c r="A235" s="3">
        <f>IFERROR(__xludf.DUMMYFUNCTION("""COMPUTED_VALUE"""),45266.66666666667)</f>
        <v>45266.66667</v>
      </c>
      <c r="B235" s="2">
        <f>IFERROR(__xludf.DUMMYFUNCTION("""COMPUTED_VALUE"""),356.15)</f>
        <v>356.15</v>
      </c>
      <c r="C235" s="2">
        <f>IFERROR(__xludf.DUMMYFUNCTION("""COMPUTED_VALUE"""),357.45)</f>
        <v>357.45</v>
      </c>
      <c r="D235" s="2">
        <f>IFERROR(__xludf.DUMMYFUNCTION("""COMPUTED_VALUE"""),351.89)</f>
        <v>351.89</v>
      </c>
      <c r="E235" s="2">
        <f>IFERROR(__xludf.DUMMYFUNCTION("""COMPUTED_VALUE"""),352.38)</f>
        <v>352.38</v>
      </c>
      <c r="F235" s="2">
        <f>IFERROR(__xludf.DUMMYFUNCTION("""COMPUTED_VALUE"""),3040448.0)</f>
        <v>3040448</v>
      </c>
    </row>
    <row r="236">
      <c r="A236" s="3">
        <f>IFERROR(__xludf.DUMMYFUNCTION("""COMPUTED_VALUE"""),45267.66666666667)</f>
        <v>45267.66667</v>
      </c>
      <c r="B236" s="2">
        <f>IFERROR(__xludf.DUMMYFUNCTION("""COMPUTED_VALUE"""),352.0)</f>
        <v>352</v>
      </c>
      <c r="C236" s="2">
        <f>IFERROR(__xludf.DUMMYFUNCTION("""COMPUTED_VALUE"""),353.02)</f>
        <v>353.02</v>
      </c>
      <c r="D236" s="2">
        <f>IFERROR(__xludf.DUMMYFUNCTION("""COMPUTED_VALUE"""),350.85)</f>
        <v>350.85</v>
      </c>
      <c r="E236" s="2">
        <f>IFERROR(__xludf.DUMMYFUNCTION("""COMPUTED_VALUE"""),352.7)</f>
        <v>352.7</v>
      </c>
      <c r="F236" s="2">
        <f>IFERROR(__xludf.DUMMYFUNCTION("""COMPUTED_VALUE"""),2833348.0)</f>
        <v>2833348</v>
      </c>
    </row>
    <row r="237">
      <c r="A237" s="3">
        <f>IFERROR(__xludf.DUMMYFUNCTION("""COMPUTED_VALUE"""),45268.66666666667)</f>
        <v>45268.66667</v>
      </c>
      <c r="B237" s="2">
        <f>IFERROR(__xludf.DUMMYFUNCTION("""COMPUTED_VALUE"""),353.0)</f>
        <v>353</v>
      </c>
      <c r="C237" s="2">
        <f>IFERROR(__xludf.DUMMYFUNCTION("""COMPUTED_VALUE"""),353.67)</f>
        <v>353.67</v>
      </c>
      <c r="D237" s="2">
        <f>IFERROR(__xludf.DUMMYFUNCTION("""COMPUTED_VALUE"""),351.02)</f>
        <v>351.02</v>
      </c>
      <c r="E237" s="2">
        <f>IFERROR(__xludf.DUMMYFUNCTION("""COMPUTED_VALUE"""),353.08)</f>
        <v>353.08</v>
      </c>
      <c r="F237" s="2">
        <f>IFERROR(__xludf.DUMMYFUNCTION("""COMPUTED_VALUE"""),3289270.0)</f>
        <v>3289270</v>
      </c>
    </row>
    <row r="238">
      <c r="A238" s="3">
        <f>IFERROR(__xludf.DUMMYFUNCTION("""COMPUTED_VALUE"""),45271.66666666667)</f>
        <v>45271.66667</v>
      </c>
      <c r="B238" s="2">
        <f>IFERROR(__xludf.DUMMYFUNCTION("""COMPUTED_VALUE"""),355.0)</f>
        <v>355</v>
      </c>
      <c r="C238" s="2">
        <f>IFERROR(__xludf.DUMMYFUNCTION("""COMPUTED_VALUE"""),357.49)</f>
        <v>357.49</v>
      </c>
      <c r="D238" s="2">
        <f>IFERROR(__xludf.DUMMYFUNCTION("""COMPUTED_VALUE"""),354.21)</f>
        <v>354.21</v>
      </c>
      <c r="E238" s="2">
        <f>IFERROR(__xludf.DUMMYFUNCTION("""COMPUTED_VALUE"""),357.06)</f>
        <v>357.06</v>
      </c>
      <c r="F238" s="2">
        <f>IFERROR(__xludf.DUMMYFUNCTION("""COMPUTED_VALUE"""),3111595.0)</f>
        <v>3111595</v>
      </c>
    </row>
    <row r="239">
      <c r="A239" s="3">
        <f>IFERROR(__xludf.DUMMYFUNCTION("""COMPUTED_VALUE"""),45272.66666666667)</f>
        <v>45272.66667</v>
      </c>
      <c r="B239" s="2">
        <f>IFERROR(__xludf.DUMMYFUNCTION("""COMPUTED_VALUE"""),357.9)</f>
        <v>357.9</v>
      </c>
      <c r="C239" s="2">
        <f>IFERROR(__xludf.DUMMYFUNCTION("""COMPUTED_VALUE"""),360.41)</f>
        <v>360.41</v>
      </c>
      <c r="D239" s="2">
        <f>IFERROR(__xludf.DUMMYFUNCTION("""COMPUTED_VALUE"""),356.76)</f>
        <v>356.76</v>
      </c>
      <c r="E239" s="2">
        <f>IFERROR(__xludf.DUMMYFUNCTION("""COMPUTED_VALUE"""),360.02)</f>
        <v>360.02</v>
      </c>
      <c r="F239" s="2">
        <f>IFERROR(__xludf.DUMMYFUNCTION("""COMPUTED_VALUE"""),3193023.0)</f>
        <v>3193023</v>
      </c>
    </row>
    <row r="240">
      <c r="A240" s="3">
        <f>IFERROR(__xludf.DUMMYFUNCTION("""COMPUTED_VALUE"""),45273.66666666667)</f>
        <v>45273.66667</v>
      </c>
      <c r="B240" s="2">
        <f>IFERROR(__xludf.DUMMYFUNCTION("""COMPUTED_VALUE"""),360.19)</f>
        <v>360.19</v>
      </c>
      <c r="C240" s="2">
        <f>IFERROR(__xludf.DUMMYFUNCTION("""COMPUTED_VALUE"""),362.15)</f>
        <v>362.15</v>
      </c>
      <c r="D240" s="2">
        <f>IFERROR(__xludf.DUMMYFUNCTION("""COMPUTED_VALUE"""),359.04)</f>
        <v>359.04</v>
      </c>
      <c r="E240" s="2">
        <f>IFERROR(__xludf.DUMMYFUNCTION("""COMPUTED_VALUE"""),362.03)</f>
        <v>362.03</v>
      </c>
      <c r="F240" s="2">
        <f>IFERROR(__xludf.DUMMYFUNCTION("""COMPUTED_VALUE"""),3161868.0)</f>
        <v>3161868</v>
      </c>
    </row>
    <row r="241">
      <c r="A241" s="3">
        <f>IFERROR(__xludf.DUMMYFUNCTION("""COMPUTED_VALUE"""),45274.66666666667)</f>
        <v>45274.66667</v>
      </c>
      <c r="B241" s="2">
        <f>IFERROR(__xludf.DUMMYFUNCTION("""COMPUTED_VALUE"""),364.05)</f>
        <v>364.05</v>
      </c>
      <c r="C241" s="2">
        <f>IFERROR(__xludf.DUMMYFUNCTION("""COMPUTED_VALUE"""),364.05)</f>
        <v>364.05</v>
      </c>
      <c r="D241" s="2">
        <f>IFERROR(__xludf.DUMMYFUNCTION("""COMPUTED_VALUE"""),356.38)</f>
        <v>356.38</v>
      </c>
      <c r="E241" s="2">
        <f>IFERROR(__xludf.DUMMYFUNCTION("""COMPUTED_VALUE"""),358.12)</f>
        <v>358.12</v>
      </c>
      <c r="F241" s="2">
        <f>IFERROR(__xludf.DUMMYFUNCTION("""COMPUTED_VALUE"""),5516384.0)</f>
        <v>5516384</v>
      </c>
    </row>
    <row r="242">
      <c r="A242" s="3">
        <f>IFERROR(__xludf.DUMMYFUNCTION("""COMPUTED_VALUE"""),45275.66666666667)</f>
        <v>45275.66667</v>
      </c>
      <c r="B242" s="2">
        <f>IFERROR(__xludf.DUMMYFUNCTION("""COMPUTED_VALUE"""),357.63)</f>
        <v>357.63</v>
      </c>
      <c r="C242" s="2">
        <f>IFERROR(__xludf.DUMMYFUNCTION("""COMPUTED_VALUE"""),358.0)</f>
        <v>358</v>
      </c>
      <c r="D242" s="2">
        <f>IFERROR(__xludf.DUMMYFUNCTION("""COMPUTED_VALUE"""),354.2)</f>
        <v>354.2</v>
      </c>
      <c r="E242" s="2">
        <f>IFERROR(__xludf.DUMMYFUNCTION("""COMPUTED_VALUE"""),356.5)</f>
        <v>356.5</v>
      </c>
      <c r="F242" s="2">
        <f>IFERROR(__xludf.DUMMYFUNCTION("""COMPUTED_VALUE"""),8579201.0)</f>
        <v>8579201</v>
      </c>
    </row>
    <row r="243">
      <c r="A243" s="3">
        <f>IFERROR(__xludf.DUMMYFUNCTION("""COMPUTED_VALUE"""),45278.66666666667)</f>
        <v>45278.66667</v>
      </c>
      <c r="B243" s="2">
        <f>IFERROR(__xludf.DUMMYFUNCTION("""COMPUTED_VALUE"""),357.42)</f>
        <v>357.42</v>
      </c>
      <c r="C243" s="2">
        <f>IFERROR(__xludf.DUMMYFUNCTION("""COMPUTED_VALUE"""),361.14)</f>
        <v>361.14</v>
      </c>
      <c r="D243" s="2">
        <f>IFERROR(__xludf.DUMMYFUNCTION("""COMPUTED_VALUE"""),357.0)</f>
        <v>357</v>
      </c>
      <c r="E243" s="2">
        <f>IFERROR(__xludf.DUMMYFUNCTION("""COMPUTED_VALUE"""),359.65)</f>
        <v>359.65</v>
      </c>
      <c r="F243" s="2">
        <f>IFERROR(__xludf.DUMMYFUNCTION("""COMPUTED_VALUE"""),4527792.0)</f>
        <v>4527792</v>
      </c>
    </row>
    <row r="244">
      <c r="A244" s="3">
        <f>IFERROR(__xludf.DUMMYFUNCTION("""COMPUTED_VALUE"""),45279.66666666667)</f>
        <v>45279.66667</v>
      </c>
      <c r="B244" s="2">
        <f>IFERROR(__xludf.DUMMYFUNCTION("""COMPUTED_VALUE"""),360.15)</f>
        <v>360.15</v>
      </c>
      <c r="C244" s="2">
        <f>IFERROR(__xludf.DUMMYFUNCTION("""COMPUTED_VALUE"""),362.55)</f>
        <v>362.55</v>
      </c>
      <c r="D244" s="2">
        <f>IFERROR(__xludf.DUMMYFUNCTION("""COMPUTED_VALUE"""),359.09)</f>
        <v>359.09</v>
      </c>
      <c r="E244" s="2">
        <f>IFERROR(__xludf.DUMMYFUNCTION("""COMPUTED_VALUE"""),361.8)</f>
        <v>361.8</v>
      </c>
      <c r="F244" s="2">
        <f>IFERROR(__xludf.DUMMYFUNCTION("""COMPUTED_VALUE"""),3085367.0)</f>
        <v>3085367</v>
      </c>
    </row>
    <row r="245">
      <c r="A245" s="3">
        <f>IFERROR(__xludf.DUMMYFUNCTION("""COMPUTED_VALUE"""),45280.66666666667)</f>
        <v>45280.66667</v>
      </c>
      <c r="B245" s="2">
        <f>IFERROR(__xludf.DUMMYFUNCTION("""COMPUTED_VALUE"""),361.52)</f>
        <v>361.52</v>
      </c>
      <c r="C245" s="2">
        <f>IFERROR(__xludf.DUMMYFUNCTION("""COMPUTED_VALUE"""),361.66)</f>
        <v>361.66</v>
      </c>
      <c r="D245" s="2">
        <f>IFERROR(__xludf.DUMMYFUNCTION("""COMPUTED_VALUE"""),355.12)</f>
        <v>355.12</v>
      </c>
      <c r="E245" s="2">
        <f>IFERROR(__xludf.DUMMYFUNCTION("""COMPUTED_VALUE"""),355.35)</f>
        <v>355.35</v>
      </c>
      <c r="F245" s="2">
        <f>IFERROR(__xludf.DUMMYFUNCTION("""COMPUTED_VALUE"""),3930397.0)</f>
        <v>3930397</v>
      </c>
    </row>
    <row r="246">
      <c r="A246" s="3">
        <f>IFERROR(__xludf.DUMMYFUNCTION("""COMPUTED_VALUE"""),45281.66666666667)</f>
        <v>45281.66667</v>
      </c>
      <c r="B246" s="2">
        <f>IFERROR(__xludf.DUMMYFUNCTION("""COMPUTED_VALUE"""),356.02)</f>
        <v>356.02</v>
      </c>
      <c r="C246" s="2">
        <f>IFERROR(__xludf.DUMMYFUNCTION("""COMPUTED_VALUE"""),357.2)</f>
        <v>357.2</v>
      </c>
      <c r="D246" s="2">
        <f>IFERROR(__xludf.DUMMYFUNCTION("""COMPUTED_VALUE"""),353.63)</f>
        <v>353.63</v>
      </c>
      <c r="E246" s="2">
        <f>IFERROR(__xludf.DUMMYFUNCTION("""COMPUTED_VALUE"""),356.14)</f>
        <v>356.14</v>
      </c>
      <c r="F246" s="2">
        <f>IFERROR(__xludf.DUMMYFUNCTION("""COMPUTED_VALUE"""),2852723.0)</f>
        <v>2852723</v>
      </c>
    </row>
    <row r="247">
      <c r="A247" s="3">
        <f>IFERROR(__xludf.DUMMYFUNCTION("""COMPUTED_VALUE"""),45282.66666666667)</f>
        <v>45282.66667</v>
      </c>
      <c r="B247" s="2">
        <f>IFERROR(__xludf.DUMMYFUNCTION("""COMPUTED_VALUE"""),356.5)</f>
        <v>356.5</v>
      </c>
      <c r="C247" s="2">
        <f>IFERROR(__xludf.DUMMYFUNCTION("""COMPUTED_VALUE"""),358.26)</f>
        <v>358.26</v>
      </c>
      <c r="D247" s="2">
        <f>IFERROR(__xludf.DUMMYFUNCTION("""COMPUTED_VALUE"""),355.41)</f>
        <v>355.41</v>
      </c>
      <c r="E247" s="2">
        <f>IFERROR(__xludf.DUMMYFUNCTION("""COMPUTED_VALUE"""),356.47)</f>
        <v>356.47</v>
      </c>
      <c r="F247" s="2">
        <f>IFERROR(__xludf.DUMMYFUNCTION("""COMPUTED_VALUE"""),2333775.0)</f>
        <v>2333775</v>
      </c>
    </row>
    <row r="248">
      <c r="A248" s="3">
        <f>IFERROR(__xludf.DUMMYFUNCTION("""COMPUTED_VALUE"""),45286.66666666667)</f>
        <v>45286.66667</v>
      </c>
      <c r="B248" s="2">
        <f>IFERROR(__xludf.DUMMYFUNCTION("""COMPUTED_VALUE"""),356.9)</f>
        <v>356.9</v>
      </c>
      <c r="C248" s="2">
        <f>IFERROR(__xludf.DUMMYFUNCTION("""COMPUTED_VALUE"""),357.77)</f>
        <v>357.77</v>
      </c>
      <c r="D248" s="2">
        <f>IFERROR(__xludf.DUMMYFUNCTION("""COMPUTED_VALUE"""),356.08)</f>
        <v>356.08</v>
      </c>
      <c r="E248" s="2">
        <f>IFERROR(__xludf.DUMMYFUNCTION("""COMPUTED_VALUE"""),356.83)</f>
        <v>356.83</v>
      </c>
      <c r="F248" s="2">
        <f>IFERROR(__xludf.DUMMYFUNCTION("""COMPUTED_VALUE"""),1965105.0)</f>
        <v>1965105</v>
      </c>
    </row>
    <row r="249">
      <c r="A249" s="3">
        <f>IFERROR(__xludf.DUMMYFUNCTION("""COMPUTED_VALUE"""),45287.66666666667)</f>
        <v>45287.66667</v>
      </c>
      <c r="B249" s="2">
        <f>IFERROR(__xludf.DUMMYFUNCTION("""COMPUTED_VALUE"""),355.93)</f>
        <v>355.93</v>
      </c>
      <c r="C249" s="2">
        <f>IFERROR(__xludf.DUMMYFUNCTION("""COMPUTED_VALUE"""),357.08)</f>
        <v>357.08</v>
      </c>
      <c r="D249" s="2">
        <f>IFERROR(__xludf.DUMMYFUNCTION("""COMPUTED_VALUE"""),355.5)</f>
        <v>355.5</v>
      </c>
      <c r="E249" s="2">
        <f>IFERROR(__xludf.DUMMYFUNCTION("""COMPUTED_VALUE"""),356.95)</f>
        <v>356.95</v>
      </c>
      <c r="F249" s="2">
        <f>IFERROR(__xludf.DUMMYFUNCTION("""COMPUTED_VALUE"""),2478787.0)</f>
        <v>2478787</v>
      </c>
    </row>
    <row r="250">
      <c r="A250" s="3">
        <f>IFERROR(__xludf.DUMMYFUNCTION("""COMPUTED_VALUE"""),45288.66666666667)</f>
        <v>45288.66667</v>
      </c>
      <c r="B250" s="2">
        <f>IFERROR(__xludf.DUMMYFUNCTION("""COMPUTED_VALUE"""),357.48)</f>
        <v>357.48</v>
      </c>
      <c r="C250" s="2">
        <f>IFERROR(__xludf.DUMMYFUNCTION("""COMPUTED_VALUE"""),358.68)</f>
        <v>358.68</v>
      </c>
      <c r="D250" s="2">
        <f>IFERROR(__xludf.DUMMYFUNCTION("""COMPUTED_VALUE"""),356.73)</f>
        <v>356.73</v>
      </c>
      <c r="E250" s="2">
        <f>IFERROR(__xludf.DUMMYFUNCTION("""COMPUTED_VALUE"""),357.57)</f>
        <v>357.57</v>
      </c>
      <c r="F250" s="2">
        <f>IFERROR(__xludf.DUMMYFUNCTION("""COMPUTED_VALUE"""),2742792.0)</f>
        <v>2742792</v>
      </c>
    </row>
    <row r="251">
      <c r="A251" s="3">
        <f>IFERROR(__xludf.DUMMYFUNCTION("""COMPUTED_VALUE"""),45289.66666666667)</f>
        <v>45289.66667</v>
      </c>
      <c r="B251" s="2">
        <f>IFERROR(__xludf.DUMMYFUNCTION("""COMPUTED_VALUE"""),357.56)</f>
        <v>357.56</v>
      </c>
      <c r="C251" s="2">
        <f>IFERROR(__xludf.DUMMYFUNCTION("""COMPUTED_VALUE"""),357.86)</f>
        <v>357.86</v>
      </c>
      <c r="D251" s="2">
        <f>IFERROR(__xludf.DUMMYFUNCTION("""COMPUTED_VALUE"""),355.31)</f>
        <v>355.31</v>
      </c>
      <c r="E251" s="2">
        <f>IFERROR(__xludf.DUMMYFUNCTION("""COMPUTED_VALUE"""),356.66)</f>
        <v>356.66</v>
      </c>
      <c r="F251" s="2">
        <f>IFERROR(__xludf.DUMMYFUNCTION("""COMPUTED_VALUE"""),3270014.0)</f>
        <v>3270014</v>
      </c>
    </row>
    <row r="252">
      <c r="A252" s="3">
        <f>IFERROR(__xludf.DUMMYFUNCTION("""COMPUTED_VALUE"""),45293.66666666667)</f>
        <v>45293.66667</v>
      </c>
      <c r="B252" s="2">
        <f>IFERROR(__xludf.DUMMYFUNCTION("""COMPUTED_VALUE"""),356.32)</f>
        <v>356.32</v>
      </c>
      <c r="C252" s="2">
        <f>IFERROR(__xludf.DUMMYFUNCTION("""COMPUTED_VALUE"""),362.57)</f>
        <v>362.57</v>
      </c>
      <c r="D252" s="2">
        <f>IFERROR(__xludf.DUMMYFUNCTION("""COMPUTED_VALUE"""),355.94)</f>
        <v>355.94</v>
      </c>
      <c r="E252" s="2">
        <f>IFERROR(__xludf.DUMMYFUNCTION("""COMPUTED_VALUE"""),362.46)</f>
        <v>362.46</v>
      </c>
      <c r="F252" s="2">
        <f>IFERROR(__xludf.DUMMYFUNCTION("""COMPUTED_VALUE"""),4740903.0)</f>
        <v>4740903</v>
      </c>
    </row>
    <row r="253">
      <c r="A253" s="3">
        <f>IFERROR(__xludf.DUMMYFUNCTION("""COMPUTED_VALUE"""),45294.66666666667)</f>
        <v>45294.66667</v>
      </c>
      <c r="B253" s="2">
        <f>IFERROR(__xludf.DUMMYFUNCTION("""COMPUTED_VALUE"""),362.08)</f>
        <v>362.08</v>
      </c>
      <c r="C253" s="2">
        <f>IFERROR(__xludf.DUMMYFUNCTION("""COMPUTED_VALUE"""),367.85)</f>
        <v>367.85</v>
      </c>
      <c r="D253" s="2">
        <f>IFERROR(__xludf.DUMMYFUNCTION("""COMPUTED_VALUE"""),361.07)</f>
        <v>361.07</v>
      </c>
      <c r="E253" s="2">
        <f>IFERROR(__xludf.DUMMYFUNCTION("""COMPUTED_VALUE"""),366.75)</f>
        <v>366.75</v>
      </c>
      <c r="F253" s="2">
        <f>IFERROR(__xludf.DUMMYFUNCTION("""COMPUTED_VALUE"""),4322822.0)</f>
        <v>4322822</v>
      </c>
    </row>
    <row r="254">
      <c r="A254" s="3">
        <f>IFERROR(__xludf.DUMMYFUNCTION("""COMPUTED_VALUE"""),45295.66666666667)</f>
        <v>45295.66667</v>
      </c>
      <c r="B254" s="2">
        <f>IFERROR(__xludf.DUMMYFUNCTION("""COMPUTED_VALUE"""),367.41)</f>
        <v>367.41</v>
      </c>
      <c r="C254" s="2">
        <f>IFERROR(__xludf.DUMMYFUNCTION("""COMPUTED_VALUE"""),369.37)</f>
        <v>369.37</v>
      </c>
      <c r="D254" s="2">
        <f>IFERROR(__xludf.DUMMYFUNCTION("""COMPUTED_VALUE"""),363.41)</f>
        <v>363.41</v>
      </c>
      <c r="E254" s="2">
        <f>IFERROR(__xludf.DUMMYFUNCTION("""COMPUTED_VALUE"""),363.68)</f>
        <v>363.68</v>
      </c>
      <c r="F254" s="2">
        <f>IFERROR(__xludf.DUMMYFUNCTION("""COMPUTED_VALUE"""),4144302.0)</f>
        <v>4144302</v>
      </c>
    </row>
    <row r="255">
      <c r="A255" s="3">
        <f>IFERROR(__xludf.DUMMYFUNCTION("""COMPUTED_VALUE"""),45296.66666666667)</f>
        <v>45296.66667</v>
      </c>
      <c r="B255" s="2">
        <f>IFERROR(__xludf.DUMMYFUNCTION("""COMPUTED_VALUE"""),364.83)</f>
        <v>364.83</v>
      </c>
      <c r="C255" s="2">
        <f>IFERROR(__xludf.DUMMYFUNCTION("""COMPUTED_VALUE"""),366.3)</f>
        <v>366.3</v>
      </c>
      <c r="D255" s="2">
        <f>IFERROR(__xludf.DUMMYFUNCTION("""COMPUTED_VALUE"""),364.19)</f>
        <v>364.19</v>
      </c>
      <c r="E255" s="2">
        <f>IFERROR(__xludf.DUMMYFUNCTION("""COMPUTED_VALUE"""),365.59)</f>
        <v>365.59</v>
      </c>
      <c r="F255" s="2">
        <f>IFERROR(__xludf.DUMMYFUNCTION("""COMPUTED_VALUE"""),2965666.0)</f>
        <v>2965666</v>
      </c>
    </row>
    <row r="256">
      <c r="A256" s="3">
        <f>IFERROR(__xludf.DUMMYFUNCTION("""COMPUTED_VALUE"""),45299.66666666667)</f>
        <v>45299.66667</v>
      </c>
      <c r="B256" s="2">
        <f>IFERROR(__xludf.DUMMYFUNCTION("""COMPUTED_VALUE"""),366.01)</f>
        <v>366.01</v>
      </c>
      <c r="C256" s="2">
        <f>IFERROR(__xludf.DUMMYFUNCTION("""COMPUTED_VALUE"""),368.3)</f>
        <v>368.3</v>
      </c>
      <c r="D256" s="2">
        <f>IFERROR(__xludf.DUMMYFUNCTION("""COMPUTED_VALUE"""),364.2)</f>
        <v>364.2</v>
      </c>
      <c r="E256" s="2">
        <f>IFERROR(__xludf.DUMMYFUNCTION("""COMPUTED_VALUE"""),368.18)</f>
        <v>368.18</v>
      </c>
      <c r="F256" s="2">
        <f>IFERROR(__xludf.DUMMYFUNCTION("""COMPUTED_VALUE"""),3454065.0)</f>
        <v>3454065</v>
      </c>
    </row>
    <row r="257">
      <c r="A257" s="3">
        <f>IFERROR(__xludf.DUMMYFUNCTION("""COMPUTED_VALUE"""),45300.66666666667)</f>
        <v>45300.66667</v>
      </c>
      <c r="B257" s="2">
        <f>IFERROR(__xludf.DUMMYFUNCTION("""COMPUTED_VALUE"""),368.0)</f>
        <v>368</v>
      </c>
      <c r="C257" s="2">
        <f>IFERROR(__xludf.DUMMYFUNCTION("""COMPUTED_VALUE"""),368.0)</f>
        <v>368</v>
      </c>
      <c r="D257" s="2">
        <f>IFERROR(__xludf.DUMMYFUNCTION("""COMPUTED_VALUE"""),364.77)</f>
        <v>364.77</v>
      </c>
      <c r="E257" s="2">
        <f>IFERROR(__xludf.DUMMYFUNCTION("""COMPUTED_VALUE"""),366.9)</f>
        <v>366.9</v>
      </c>
      <c r="F257" s="2">
        <f>IFERROR(__xludf.DUMMYFUNCTION("""COMPUTED_VALUE"""),2999607.0)</f>
        <v>2999607</v>
      </c>
    </row>
    <row r="258">
      <c r="A258" s="3">
        <f>IFERROR(__xludf.DUMMYFUNCTION("""COMPUTED_VALUE"""),45301.66666666667)</f>
        <v>45301.66667</v>
      </c>
      <c r="B258" s="2">
        <f>IFERROR(__xludf.DUMMYFUNCTION("""COMPUTED_VALUE"""),366.26)</f>
        <v>366.26</v>
      </c>
      <c r="C258" s="2">
        <f>IFERROR(__xludf.DUMMYFUNCTION("""COMPUTED_VALUE"""),368.83)</f>
        <v>368.83</v>
      </c>
      <c r="D258" s="2">
        <f>IFERROR(__xludf.DUMMYFUNCTION("""COMPUTED_VALUE"""),365.75)</f>
        <v>365.75</v>
      </c>
      <c r="E258" s="2">
        <f>IFERROR(__xludf.DUMMYFUNCTION("""COMPUTED_VALUE"""),367.92)</f>
        <v>367.92</v>
      </c>
      <c r="F258" s="2">
        <f>IFERROR(__xludf.DUMMYFUNCTION("""COMPUTED_VALUE"""),2448737.0)</f>
        <v>2448737</v>
      </c>
    </row>
    <row r="259">
      <c r="A259" s="3">
        <f>IFERROR(__xludf.DUMMYFUNCTION("""COMPUTED_VALUE"""),45302.66666666667)</f>
        <v>45302.66667</v>
      </c>
      <c r="B259" s="2">
        <f>IFERROR(__xludf.DUMMYFUNCTION("""COMPUTED_VALUE"""),367.81)</f>
        <v>367.81</v>
      </c>
      <c r="C259" s="2">
        <f>IFERROR(__xludf.DUMMYFUNCTION("""COMPUTED_VALUE"""),367.89)</f>
        <v>367.89</v>
      </c>
      <c r="D259" s="2">
        <f>IFERROR(__xludf.DUMMYFUNCTION("""COMPUTED_VALUE"""),362.13)</f>
        <v>362.13</v>
      </c>
      <c r="E259" s="2">
        <f>IFERROR(__xludf.DUMMYFUNCTION("""COMPUTED_VALUE"""),363.34)</f>
        <v>363.34</v>
      </c>
      <c r="F259" s="2">
        <f>IFERROR(__xludf.DUMMYFUNCTION("""COMPUTED_VALUE"""),3579713.0)</f>
        <v>3579713</v>
      </c>
    </row>
    <row r="260">
      <c r="A260" s="3">
        <f>IFERROR(__xludf.DUMMYFUNCTION("""COMPUTED_VALUE"""),45303.66666666667)</f>
        <v>45303.66667</v>
      </c>
      <c r="B260" s="2">
        <f>IFERROR(__xludf.DUMMYFUNCTION("""COMPUTED_VALUE"""),366.51)</f>
        <v>366.51</v>
      </c>
      <c r="C260" s="2">
        <f>IFERROR(__xludf.DUMMYFUNCTION("""COMPUTED_VALUE"""),366.85)</f>
        <v>366.85</v>
      </c>
      <c r="D260" s="2">
        <f>IFERROR(__xludf.DUMMYFUNCTION("""COMPUTED_VALUE"""),362.57)</f>
        <v>362.57</v>
      </c>
      <c r="E260" s="2">
        <f>IFERROR(__xludf.DUMMYFUNCTION("""COMPUTED_VALUE"""),363.62)</f>
        <v>363.62</v>
      </c>
      <c r="F260" s="2">
        <f>IFERROR(__xludf.DUMMYFUNCTION("""COMPUTED_VALUE"""),2623907.0)</f>
        <v>2623907</v>
      </c>
    </row>
    <row r="261">
      <c r="A261" s="3">
        <f>IFERROR(__xludf.DUMMYFUNCTION("""COMPUTED_VALUE"""),45307.66666666667)</f>
        <v>45307.66667</v>
      </c>
      <c r="B261" s="2">
        <f>IFERROR(__xludf.DUMMYFUNCTION("""COMPUTED_VALUE"""),362.94)</f>
        <v>362.94</v>
      </c>
      <c r="C261" s="2">
        <f>IFERROR(__xludf.DUMMYFUNCTION("""COMPUTED_VALUE"""),363.6)</f>
        <v>363.6</v>
      </c>
      <c r="D261" s="2">
        <f>IFERROR(__xludf.DUMMYFUNCTION("""COMPUTED_VALUE"""),359.89)</f>
        <v>359.89</v>
      </c>
      <c r="E261" s="2">
        <f>IFERROR(__xludf.DUMMYFUNCTION("""COMPUTED_VALUE"""),361.1)</f>
        <v>361.1</v>
      </c>
      <c r="F261" s="2">
        <f>IFERROR(__xludf.DUMMYFUNCTION("""COMPUTED_VALUE"""),3047780.0)</f>
        <v>3047780</v>
      </c>
    </row>
    <row r="262">
      <c r="A262" s="3">
        <f>IFERROR(__xludf.DUMMYFUNCTION("""COMPUTED_VALUE"""),45308.66666666667)</f>
        <v>45308.66667</v>
      </c>
      <c r="B262" s="2">
        <f>IFERROR(__xludf.DUMMYFUNCTION("""COMPUTED_VALUE"""),359.01)</f>
        <v>359.01</v>
      </c>
      <c r="C262" s="2">
        <f>IFERROR(__xludf.DUMMYFUNCTION("""COMPUTED_VALUE"""),362.53)</f>
        <v>362.53</v>
      </c>
      <c r="D262" s="2">
        <f>IFERROR(__xludf.DUMMYFUNCTION("""COMPUTED_VALUE"""),357.98)</f>
        <v>357.98</v>
      </c>
      <c r="E262" s="2">
        <f>IFERROR(__xludf.DUMMYFUNCTION("""COMPUTED_VALUE"""),359.29)</f>
        <v>359.29</v>
      </c>
      <c r="F262" s="2">
        <f>IFERROR(__xludf.DUMMYFUNCTION("""COMPUTED_VALUE"""),2551707.0)</f>
        <v>2551707</v>
      </c>
    </row>
    <row r="263">
      <c r="A263" s="3">
        <f>IFERROR(__xludf.DUMMYFUNCTION("""COMPUTED_VALUE"""),45309.66666666667)</f>
        <v>45309.66667</v>
      </c>
      <c r="B263" s="2">
        <f>IFERROR(__xludf.DUMMYFUNCTION("""COMPUTED_VALUE"""),359.25)</f>
        <v>359.25</v>
      </c>
      <c r="C263" s="2">
        <f>IFERROR(__xludf.DUMMYFUNCTION("""COMPUTED_VALUE"""),362.64)</f>
        <v>362.64</v>
      </c>
      <c r="D263" s="2">
        <f>IFERROR(__xludf.DUMMYFUNCTION("""COMPUTED_VALUE"""),358.3)</f>
        <v>358.3</v>
      </c>
      <c r="E263" s="2">
        <f>IFERROR(__xludf.DUMMYFUNCTION("""COMPUTED_VALUE"""),362.38)</f>
        <v>362.38</v>
      </c>
      <c r="F263" s="2">
        <f>IFERROR(__xludf.DUMMYFUNCTION("""COMPUTED_VALUE"""),3008442.0)</f>
        <v>3008442</v>
      </c>
    </row>
    <row r="264">
      <c r="A264" s="3">
        <f>IFERROR(__xludf.DUMMYFUNCTION("""COMPUTED_VALUE"""),45310.66666666667)</f>
        <v>45310.66667</v>
      </c>
      <c r="B264" s="2">
        <f>IFERROR(__xludf.DUMMYFUNCTION("""COMPUTED_VALUE"""),362.25)</f>
        <v>362.25</v>
      </c>
      <c r="C264" s="2">
        <f>IFERROR(__xludf.DUMMYFUNCTION("""COMPUTED_VALUE"""),368.31)</f>
        <v>368.31</v>
      </c>
      <c r="D264" s="2">
        <f>IFERROR(__xludf.DUMMYFUNCTION("""COMPUTED_VALUE"""),361.02)</f>
        <v>361.02</v>
      </c>
      <c r="E264" s="2">
        <f>IFERROR(__xludf.DUMMYFUNCTION("""COMPUTED_VALUE"""),366.99)</f>
        <v>366.99</v>
      </c>
      <c r="F264" s="2">
        <f>IFERROR(__xludf.DUMMYFUNCTION("""COMPUTED_VALUE"""),4092548.0)</f>
        <v>4092548</v>
      </c>
    </row>
    <row r="265">
      <c r="A265" s="3">
        <f>IFERROR(__xludf.DUMMYFUNCTION("""COMPUTED_VALUE"""),45313.66666666667)</f>
        <v>45313.66667</v>
      </c>
      <c r="B265" s="2">
        <f>IFERROR(__xludf.DUMMYFUNCTION("""COMPUTED_VALUE"""),368.05)</f>
        <v>368.05</v>
      </c>
      <c r="C265" s="2">
        <f>IFERROR(__xludf.DUMMYFUNCTION("""COMPUTED_VALUE"""),369.27)</f>
        <v>369.27</v>
      </c>
      <c r="D265" s="2">
        <f>IFERROR(__xludf.DUMMYFUNCTION("""COMPUTED_VALUE"""),366.53)</f>
        <v>366.53</v>
      </c>
      <c r="E265" s="2">
        <f>IFERROR(__xludf.DUMMYFUNCTION("""COMPUTED_VALUE"""),368.06)</f>
        <v>368.06</v>
      </c>
      <c r="F265" s="2">
        <f>IFERROR(__xludf.DUMMYFUNCTION("""COMPUTED_VALUE"""),3558313.0)</f>
        <v>3558313</v>
      </c>
    </row>
    <row r="266">
      <c r="A266" s="3">
        <f>IFERROR(__xludf.DUMMYFUNCTION("""COMPUTED_VALUE"""),45314.66666666667)</f>
        <v>45314.66667</v>
      </c>
      <c r="B266" s="2">
        <f>IFERROR(__xludf.DUMMYFUNCTION("""COMPUTED_VALUE"""),368.02)</f>
        <v>368.02</v>
      </c>
      <c r="C266" s="2">
        <f>IFERROR(__xludf.DUMMYFUNCTION("""COMPUTED_VALUE"""),372.42)</f>
        <v>372.42</v>
      </c>
      <c r="D266" s="2">
        <f>IFERROR(__xludf.DUMMYFUNCTION("""COMPUTED_VALUE"""),367.71)</f>
        <v>367.71</v>
      </c>
      <c r="E266" s="2">
        <f>IFERROR(__xludf.DUMMYFUNCTION("""COMPUTED_VALUE"""),372.14)</f>
        <v>372.14</v>
      </c>
      <c r="F266" s="2">
        <f>IFERROR(__xludf.DUMMYFUNCTION("""COMPUTED_VALUE"""),2900467.0)</f>
        <v>2900467</v>
      </c>
    </row>
    <row r="267">
      <c r="A267" s="3">
        <f>IFERROR(__xludf.DUMMYFUNCTION("""COMPUTED_VALUE"""),45315.66666666667)</f>
        <v>45315.66667</v>
      </c>
      <c r="B267" s="2">
        <f>IFERROR(__xludf.DUMMYFUNCTION("""COMPUTED_VALUE"""),372.53)</f>
        <v>372.53</v>
      </c>
      <c r="C267" s="2">
        <f>IFERROR(__xludf.DUMMYFUNCTION("""COMPUTED_VALUE"""),377.79)</f>
        <v>377.79</v>
      </c>
      <c r="D267" s="2">
        <f>IFERROR(__xludf.DUMMYFUNCTION("""COMPUTED_VALUE"""),372.03)</f>
        <v>372.03</v>
      </c>
      <c r="E267" s="2">
        <f>IFERROR(__xludf.DUMMYFUNCTION("""COMPUTED_VALUE"""),376.59)</f>
        <v>376.59</v>
      </c>
      <c r="F267" s="2">
        <f>IFERROR(__xludf.DUMMYFUNCTION("""COMPUTED_VALUE"""),4594038.0)</f>
        <v>4594038</v>
      </c>
    </row>
    <row r="268">
      <c r="A268" s="3">
        <f>IFERROR(__xludf.DUMMYFUNCTION("""COMPUTED_VALUE"""),45316.66666666667)</f>
        <v>45316.66667</v>
      </c>
      <c r="B268" s="2">
        <f>IFERROR(__xludf.DUMMYFUNCTION("""COMPUTED_VALUE"""),379.24)</f>
        <v>379.24</v>
      </c>
      <c r="C268" s="2">
        <f>IFERROR(__xludf.DUMMYFUNCTION("""COMPUTED_VALUE"""),380.99)</f>
        <v>380.99</v>
      </c>
      <c r="D268" s="2">
        <f>IFERROR(__xludf.DUMMYFUNCTION("""COMPUTED_VALUE"""),377.89)</f>
        <v>377.89</v>
      </c>
      <c r="E268" s="2">
        <f>IFERROR(__xludf.DUMMYFUNCTION("""COMPUTED_VALUE"""),380.85)</f>
        <v>380.85</v>
      </c>
      <c r="F268" s="2">
        <f>IFERROR(__xludf.DUMMYFUNCTION("""COMPUTED_VALUE"""),4059189.0)</f>
        <v>4059189</v>
      </c>
    </row>
    <row r="269">
      <c r="A269" s="3">
        <f>IFERROR(__xludf.DUMMYFUNCTION("""COMPUTED_VALUE"""),45317.66666666667)</f>
        <v>45317.66667</v>
      </c>
      <c r="B269" s="2">
        <f>IFERROR(__xludf.DUMMYFUNCTION("""COMPUTED_VALUE"""),381.05)</f>
        <v>381.05</v>
      </c>
      <c r="C269" s="2">
        <f>IFERROR(__xludf.DUMMYFUNCTION("""COMPUTED_VALUE"""),385.73)</f>
        <v>385.73</v>
      </c>
      <c r="D269" s="2">
        <f>IFERROR(__xludf.DUMMYFUNCTION("""COMPUTED_VALUE"""),380.0)</f>
        <v>380</v>
      </c>
      <c r="E269" s="2">
        <f>IFERROR(__xludf.DUMMYFUNCTION("""COMPUTED_VALUE"""),385.4)</f>
        <v>385.4</v>
      </c>
      <c r="F269" s="2">
        <f>IFERROR(__xludf.DUMMYFUNCTION("""COMPUTED_VALUE"""),3624361.0)</f>
        <v>3624361</v>
      </c>
    </row>
    <row r="270">
      <c r="A270" s="3">
        <f>IFERROR(__xludf.DUMMYFUNCTION("""COMPUTED_VALUE"""),45320.66666666667)</f>
        <v>45320.66667</v>
      </c>
      <c r="B270" s="2">
        <f>IFERROR(__xludf.DUMMYFUNCTION("""COMPUTED_VALUE"""),385.49)</f>
        <v>385.49</v>
      </c>
      <c r="C270" s="2">
        <f>IFERROR(__xludf.DUMMYFUNCTION("""COMPUTED_VALUE"""),385.7)</f>
        <v>385.7</v>
      </c>
      <c r="D270" s="2">
        <f>IFERROR(__xludf.DUMMYFUNCTION("""COMPUTED_VALUE"""),379.17)</f>
        <v>379.17</v>
      </c>
      <c r="E270" s="2">
        <f>IFERROR(__xludf.DUMMYFUNCTION("""COMPUTED_VALUE"""),383.18)</f>
        <v>383.18</v>
      </c>
      <c r="F270" s="2">
        <f>IFERROR(__xludf.DUMMYFUNCTION("""COMPUTED_VALUE"""),3799251.0)</f>
        <v>3799251</v>
      </c>
    </row>
    <row r="271">
      <c r="A271" s="3">
        <f>IFERROR(__xludf.DUMMYFUNCTION("""COMPUTED_VALUE"""),45321.66666666667)</f>
        <v>45321.66667</v>
      </c>
      <c r="B271" s="2">
        <f>IFERROR(__xludf.DUMMYFUNCTION("""COMPUTED_VALUE"""),383.24)</f>
        <v>383.24</v>
      </c>
      <c r="C271" s="2">
        <f>IFERROR(__xludf.DUMMYFUNCTION("""COMPUTED_VALUE"""),387.64)</f>
        <v>387.64</v>
      </c>
      <c r="D271" s="2">
        <f>IFERROR(__xludf.DUMMYFUNCTION("""COMPUTED_VALUE"""),380.08)</f>
        <v>380.08</v>
      </c>
      <c r="E271" s="2">
        <f>IFERROR(__xludf.DUMMYFUNCTION("""COMPUTED_VALUE"""),387.15)</f>
        <v>387.15</v>
      </c>
      <c r="F271" s="2">
        <f>IFERROR(__xludf.DUMMYFUNCTION("""COMPUTED_VALUE"""),3094226.0)</f>
        <v>3094226</v>
      </c>
    </row>
    <row r="272">
      <c r="A272" s="3">
        <f>IFERROR(__xludf.DUMMYFUNCTION("""COMPUTED_VALUE"""),45322.66666666667)</f>
        <v>45322.66667</v>
      </c>
      <c r="B272" s="2">
        <f>IFERROR(__xludf.DUMMYFUNCTION("""COMPUTED_VALUE"""),386.53)</f>
        <v>386.53</v>
      </c>
      <c r="C272" s="2">
        <f>IFERROR(__xludf.DUMMYFUNCTION("""COMPUTED_VALUE"""),387.92)</f>
        <v>387.92</v>
      </c>
      <c r="D272" s="2">
        <f>IFERROR(__xludf.DUMMYFUNCTION("""COMPUTED_VALUE"""),383.55)</f>
        <v>383.55</v>
      </c>
      <c r="E272" s="2">
        <f>IFERROR(__xludf.DUMMYFUNCTION("""COMPUTED_VALUE"""),383.74)</f>
        <v>383.74</v>
      </c>
      <c r="F272" s="2">
        <f>IFERROR(__xludf.DUMMYFUNCTION("""COMPUTED_VALUE"""),3857684.0)</f>
        <v>3857684</v>
      </c>
    </row>
    <row r="273">
      <c r="A273" s="3">
        <f>IFERROR(__xludf.DUMMYFUNCTION("""COMPUTED_VALUE"""),45323.66666666667)</f>
        <v>45323.66667</v>
      </c>
      <c r="B273" s="2">
        <f>IFERROR(__xludf.DUMMYFUNCTION("""COMPUTED_VALUE"""),384.0)</f>
        <v>384</v>
      </c>
      <c r="C273" s="2">
        <f>IFERROR(__xludf.DUMMYFUNCTION("""COMPUTED_VALUE"""),386.55)</f>
        <v>386.55</v>
      </c>
      <c r="D273" s="2">
        <f>IFERROR(__xludf.DUMMYFUNCTION("""COMPUTED_VALUE"""),381.48)</f>
        <v>381.48</v>
      </c>
      <c r="E273" s="2">
        <f>IFERROR(__xludf.DUMMYFUNCTION("""COMPUTED_VALUE"""),386.44)</f>
        <v>386.44</v>
      </c>
      <c r="F273" s="2">
        <f>IFERROR(__xludf.DUMMYFUNCTION("""COMPUTED_VALUE"""),2949959.0)</f>
        <v>2949959</v>
      </c>
    </row>
    <row r="274">
      <c r="A274" s="3">
        <f>IFERROR(__xludf.DUMMYFUNCTION("""COMPUTED_VALUE"""),45324.66666666667)</f>
        <v>45324.66667</v>
      </c>
      <c r="B274" s="2">
        <f>IFERROR(__xludf.DUMMYFUNCTION("""COMPUTED_VALUE"""),386.68)</f>
        <v>386.68</v>
      </c>
      <c r="C274" s="2">
        <f>IFERROR(__xludf.DUMMYFUNCTION("""COMPUTED_VALUE"""),392.07)</f>
        <v>392.07</v>
      </c>
      <c r="D274" s="2">
        <f>IFERROR(__xludf.DUMMYFUNCTION("""COMPUTED_VALUE"""),386.44)</f>
        <v>386.44</v>
      </c>
      <c r="E274" s="2">
        <f>IFERROR(__xludf.DUMMYFUNCTION("""COMPUTED_VALUE"""),390.75)</f>
        <v>390.75</v>
      </c>
      <c r="F274" s="2">
        <f>IFERROR(__xludf.DUMMYFUNCTION("""COMPUTED_VALUE"""),3808499.0)</f>
        <v>3808499</v>
      </c>
    </row>
    <row r="275">
      <c r="A275" s="3">
        <f>IFERROR(__xludf.DUMMYFUNCTION("""COMPUTED_VALUE"""),45327.66666666667)</f>
        <v>45327.66667</v>
      </c>
      <c r="B275" s="2">
        <f>IFERROR(__xludf.DUMMYFUNCTION("""COMPUTED_VALUE"""),389.95)</f>
        <v>389.95</v>
      </c>
      <c r="C275" s="2">
        <f>IFERROR(__xludf.DUMMYFUNCTION("""COMPUTED_VALUE"""),393.37)</f>
        <v>393.37</v>
      </c>
      <c r="D275" s="2">
        <f>IFERROR(__xludf.DUMMYFUNCTION("""COMPUTED_VALUE"""),389.29)</f>
        <v>389.29</v>
      </c>
      <c r="E275" s="2">
        <f>IFERROR(__xludf.DUMMYFUNCTION("""COMPUTED_VALUE"""),390.76)</f>
        <v>390.76</v>
      </c>
      <c r="F275" s="2">
        <f>IFERROR(__xludf.DUMMYFUNCTION("""COMPUTED_VALUE"""),3653265.0)</f>
        <v>3653265</v>
      </c>
    </row>
    <row r="276">
      <c r="A276" s="3">
        <f>IFERROR(__xludf.DUMMYFUNCTION("""COMPUTED_VALUE"""),45328.66666666667)</f>
        <v>45328.66667</v>
      </c>
      <c r="B276" s="2">
        <f>IFERROR(__xludf.DUMMYFUNCTION("""COMPUTED_VALUE"""),390.29)</f>
        <v>390.29</v>
      </c>
      <c r="C276" s="2">
        <f>IFERROR(__xludf.DUMMYFUNCTION("""COMPUTED_VALUE"""),393.93)</f>
        <v>393.93</v>
      </c>
      <c r="D276" s="2">
        <f>IFERROR(__xludf.DUMMYFUNCTION("""COMPUTED_VALUE"""),390.0)</f>
        <v>390</v>
      </c>
      <c r="E276" s="2">
        <f>IFERROR(__xludf.DUMMYFUNCTION("""COMPUTED_VALUE"""),393.74)</f>
        <v>393.74</v>
      </c>
      <c r="F276" s="2">
        <f>IFERROR(__xludf.DUMMYFUNCTION("""COMPUTED_VALUE"""),2574602.0)</f>
        <v>2574602</v>
      </c>
    </row>
    <row r="277">
      <c r="A277" s="3">
        <f>IFERROR(__xludf.DUMMYFUNCTION("""COMPUTED_VALUE"""),45329.66666666667)</f>
        <v>45329.66667</v>
      </c>
      <c r="B277" s="2">
        <f>IFERROR(__xludf.DUMMYFUNCTION("""COMPUTED_VALUE"""),394.6)</f>
        <v>394.6</v>
      </c>
      <c r="C277" s="2">
        <f>IFERROR(__xludf.DUMMYFUNCTION("""COMPUTED_VALUE"""),399.15)</f>
        <v>399.15</v>
      </c>
      <c r="D277" s="2">
        <f>IFERROR(__xludf.DUMMYFUNCTION("""COMPUTED_VALUE"""),394.36)</f>
        <v>394.36</v>
      </c>
      <c r="E277" s="2">
        <f>IFERROR(__xludf.DUMMYFUNCTION("""COMPUTED_VALUE"""),397.66)</f>
        <v>397.66</v>
      </c>
      <c r="F277" s="2">
        <f>IFERROR(__xludf.DUMMYFUNCTION("""COMPUTED_VALUE"""),3429024.0)</f>
        <v>3429024</v>
      </c>
    </row>
    <row r="278">
      <c r="A278" s="3">
        <f>IFERROR(__xludf.DUMMYFUNCTION("""COMPUTED_VALUE"""),45330.66666666667)</f>
        <v>45330.66667</v>
      </c>
      <c r="B278" s="2">
        <f>IFERROR(__xludf.DUMMYFUNCTION("""COMPUTED_VALUE"""),397.22)</f>
        <v>397.22</v>
      </c>
      <c r="C278" s="2">
        <f>IFERROR(__xludf.DUMMYFUNCTION("""COMPUTED_VALUE"""),398.65)</f>
        <v>398.65</v>
      </c>
      <c r="D278" s="2">
        <f>IFERROR(__xludf.DUMMYFUNCTION("""COMPUTED_VALUE"""),394.85)</f>
        <v>394.85</v>
      </c>
      <c r="E278" s="2">
        <f>IFERROR(__xludf.DUMMYFUNCTION("""COMPUTED_VALUE"""),397.49)</f>
        <v>397.49</v>
      </c>
      <c r="F278" s="2">
        <f>IFERROR(__xludf.DUMMYFUNCTION("""COMPUTED_VALUE"""),3359311.0)</f>
        <v>3359311</v>
      </c>
    </row>
    <row r="279">
      <c r="A279" s="3">
        <f>IFERROR(__xludf.DUMMYFUNCTION("""COMPUTED_VALUE"""),45331.66666666667)</f>
        <v>45331.66667</v>
      </c>
      <c r="B279" s="2">
        <f>IFERROR(__xludf.DUMMYFUNCTION("""COMPUTED_VALUE"""),397.31)</f>
        <v>397.31</v>
      </c>
      <c r="C279" s="2">
        <f>IFERROR(__xludf.DUMMYFUNCTION("""COMPUTED_VALUE"""),398.36)</f>
        <v>398.36</v>
      </c>
      <c r="D279" s="2">
        <f>IFERROR(__xludf.DUMMYFUNCTION("""COMPUTED_VALUE"""),395.82)</f>
        <v>395.82</v>
      </c>
      <c r="E279" s="2">
        <f>IFERROR(__xludf.DUMMYFUNCTION("""COMPUTED_VALUE"""),398.36)</f>
        <v>398.36</v>
      </c>
      <c r="F279" s="2">
        <f>IFERROR(__xludf.DUMMYFUNCTION("""COMPUTED_VALUE"""),2510146.0)</f>
        <v>2510146</v>
      </c>
    </row>
    <row r="280">
      <c r="A280" s="3">
        <f>IFERROR(__xludf.DUMMYFUNCTION("""COMPUTED_VALUE"""),45334.66666666667)</f>
        <v>45334.66667</v>
      </c>
      <c r="B280" s="2">
        <f>IFERROR(__xludf.DUMMYFUNCTION("""COMPUTED_VALUE"""),398.65)</f>
        <v>398.65</v>
      </c>
      <c r="C280" s="2">
        <f>IFERROR(__xludf.DUMMYFUNCTION("""COMPUTED_VALUE"""),399.48)</f>
        <v>399.48</v>
      </c>
      <c r="D280" s="2">
        <f>IFERROR(__xludf.DUMMYFUNCTION("""COMPUTED_VALUE"""),396.19)</f>
        <v>396.19</v>
      </c>
      <c r="E280" s="2">
        <f>IFERROR(__xludf.DUMMYFUNCTION("""COMPUTED_VALUE"""),397.71)</f>
        <v>397.71</v>
      </c>
      <c r="F280" s="2">
        <f>IFERROR(__xludf.DUMMYFUNCTION("""COMPUTED_VALUE"""),2820408.0)</f>
        <v>2820408</v>
      </c>
    </row>
    <row r="281">
      <c r="A281" s="3">
        <f>IFERROR(__xludf.DUMMYFUNCTION("""COMPUTED_VALUE"""),45335.66666666667)</f>
        <v>45335.66667</v>
      </c>
      <c r="B281" s="2">
        <f>IFERROR(__xludf.DUMMYFUNCTION("""COMPUTED_VALUE"""),397.18)</f>
        <v>397.18</v>
      </c>
      <c r="C281" s="2">
        <f>IFERROR(__xludf.DUMMYFUNCTION("""COMPUTED_VALUE"""),399.71)</f>
        <v>399.71</v>
      </c>
      <c r="D281" s="2">
        <f>IFERROR(__xludf.DUMMYFUNCTION("""COMPUTED_VALUE"""),392.1)</f>
        <v>392.1</v>
      </c>
      <c r="E281" s="2">
        <f>IFERROR(__xludf.DUMMYFUNCTION("""COMPUTED_VALUE"""),394.8)</f>
        <v>394.8</v>
      </c>
      <c r="F281" s="2">
        <f>IFERROR(__xludf.DUMMYFUNCTION("""COMPUTED_VALUE"""),3459672.0)</f>
        <v>3459672</v>
      </c>
    </row>
    <row r="282">
      <c r="A282" s="3">
        <f>IFERROR(__xludf.DUMMYFUNCTION("""COMPUTED_VALUE"""),45336.66666666667)</f>
        <v>45336.66667</v>
      </c>
      <c r="B282" s="2">
        <f>IFERROR(__xludf.DUMMYFUNCTION("""COMPUTED_VALUE"""),395.15)</f>
        <v>395.15</v>
      </c>
      <c r="C282" s="2">
        <f>IFERROR(__xludf.DUMMYFUNCTION("""COMPUTED_VALUE"""),398.86)</f>
        <v>398.86</v>
      </c>
      <c r="D282" s="2">
        <f>IFERROR(__xludf.DUMMYFUNCTION("""COMPUTED_VALUE"""),393.55)</f>
        <v>393.55</v>
      </c>
      <c r="E282" s="2">
        <f>IFERROR(__xludf.DUMMYFUNCTION("""COMPUTED_VALUE"""),398.68)</f>
        <v>398.68</v>
      </c>
      <c r="F282" s="2">
        <f>IFERROR(__xludf.DUMMYFUNCTION("""COMPUTED_VALUE"""),2670953.0)</f>
        <v>2670953</v>
      </c>
    </row>
    <row r="283">
      <c r="A283" s="3">
        <f>IFERROR(__xludf.DUMMYFUNCTION("""COMPUTED_VALUE"""),45337.66666666667)</f>
        <v>45337.66667</v>
      </c>
      <c r="B283" s="2">
        <f>IFERROR(__xludf.DUMMYFUNCTION("""COMPUTED_VALUE"""),399.14)</f>
        <v>399.14</v>
      </c>
      <c r="C283" s="2">
        <f>IFERROR(__xludf.DUMMYFUNCTION("""COMPUTED_VALUE"""),404.27)</f>
        <v>404.27</v>
      </c>
      <c r="D283" s="2">
        <f>IFERROR(__xludf.DUMMYFUNCTION("""COMPUTED_VALUE"""),398.3)</f>
        <v>398.3</v>
      </c>
      <c r="E283" s="2">
        <f>IFERROR(__xludf.DUMMYFUNCTION("""COMPUTED_VALUE"""),403.45)</f>
        <v>403.45</v>
      </c>
      <c r="F283" s="2">
        <f>IFERROR(__xludf.DUMMYFUNCTION("""COMPUTED_VALUE"""),3076698.0)</f>
        <v>3076698</v>
      </c>
    </row>
    <row r="284">
      <c r="A284" s="3">
        <f>IFERROR(__xludf.DUMMYFUNCTION("""COMPUTED_VALUE"""),45338.66666666667)</f>
        <v>45338.66667</v>
      </c>
      <c r="B284" s="2">
        <f>IFERROR(__xludf.DUMMYFUNCTION("""COMPUTED_VALUE"""),404.44)</f>
        <v>404.44</v>
      </c>
      <c r="C284" s="2">
        <f>IFERROR(__xludf.DUMMYFUNCTION("""COMPUTED_VALUE"""),406.74)</f>
        <v>406.74</v>
      </c>
      <c r="D284" s="2">
        <f>IFERROR(__xludf.DUMMYFUNCTION("""COMPUTED_VALUE"""),402.59)</f>
        <v>402.59</v>
      </c>
      <c r="E284" s="2">
        <f>IFERROR(__xludf.DUMMYFUNCTION("""COMPUTED_VALUE"""),405.99)</f>
        <v>405.99</v>
      </c>
      <c r="F284" s="2">
        <f>IFERROR(__xludf.DUMMYFUNCTION("""COMPUTED_VALUE"""),3533386.0)</f>
        <v>3533386</v>
      </c>
    </row>
    <row r="285">
      <c r="A285" s="3">
        <f>IFERROR(__xludf.DUMMYFUNCTION("""COMPUTED_VALUE"""),45342.66666666667)</f>
        <v>45342.66667</v>
      </c>
      <c r="B285" s="2">
        <f>IFERROR(__xludf.DUMMYFUNCTION("""COMPUTED_VALUE"""),406.47)</f>
        <v>406.47</v>
      </c>
      <c r="C285" s="2">
        <f>IFERROR(__xludf.DUMMYFUNCTION("""COMPUTED_VALUE"""),411.11)</f>
        <v>411.11</v>
      </c>
      <c r="D285" s="2">
        <f>IFERROR(__xludf.DUMMYFUNCTION("""COMPUTED_VALUE"""),406.06)</f>
        <v>406.06</v>
      </c>
      <c r="E285" s="2">
        <f>IFERROR(__xludf.DUMMYFUNCTION("""COMPUTED_VALUE"""),407.15)</f>
        <v>407.15</v>
      </c>
      <c r="F285" s="2">
        <f>IFERROR(__xludf.DUMMYFUNCTION("""COMPUTED_VALUE"""),3534163.0)</f>
        <v>3534163</v>
      </c>
    </row>
    <row r="286">
      <c r="A286" s="3">
        <f>IFERROR(__xludf.DUMMYFUNCTION("""COMPUTED_VALUE"""),45343.66666666667)</f>
        <v>45343.66667</v>
      </c>
      <c r="B286" s="2">
        <f>IFERROR(__xludf.DUMMYFUNCTION("""COMPUTED_VALUE"""),408.26)</f>
        <v>408.26</v>
      </c>
      <c r="C286" s="2">
        <f>IFERROR(__xludf.DUMMYFUNCTION("""COMPUTED_VALUE"""),409.48)</f>
        <v>409.48</v>
      </c>
      <c r="D286" s="2">
        <f>IFERROR(__xludf.DUMMYFUNCTION("""COMPUTED_VALUE"""),406.7)</f>
        <v>406.7</v>
      </c>
      <c r="E286" s="2">
        <f>IFERROR(__xludf.DUMMYFUNCTION("""COMPUTED_VALUE"""),409.25)</f>
        <v>409.25</v>
      </c>
      <c r="F286" s="2">
        <f>IFERROR(__xludf.DUMMYFUNCTION("""COMPUTED_VALUE"""),2720475.0)</f>
        <v>2720475</v>
      </c>
    </row>
    <row r="287">
      <c r="A287" s="3">
        <f>IFERROR(__xludf.DUMMYFUNCTION("""COMPUTED_VALUE"""),45344.66666666667)</f>
        <v>45344.66667</v>
      </c>
      <c r="B287" s="2">
        <f>IFERROR(__xludf.DUMMYFUNCTION("""COMPUTED_VALUE"""),411.3)</f>
        <v>411.3</v>
      </c>
      <c r="C287" s="2">
        <f>IFERROR(__xludf.DUMMYFUNCTION("""COMPUTED_VALUE"""),416.26)</f>
        <v>416.26</v>
      </c>
      <c r="D287" s="2">
        <f>IFERROR(__xludf.DUMMYFUNCTION("""COMPUTED_VALUE"""),411.0)</f>
        <v>411</v>
      </c>
      <c r="E287" s="2">
        <f>IFERROR(__xludf.DUMMYFUNCTION("""COMPUTED_VALUE"""),415.16)</f>
        <v>415.16</v>
      </c>
      <c r="F287" s="2">
        <f>IFERROR(__xludf.DUMMYFUNCTION("""COMPUTED_VALUE"""),3697494.0)</f>
        <v>3697494</v>
      </c>
    </row>
    <row r="288">
      <c r="A288" s="3">
        <f>IFERROR(__xludf.DUMMYFUNCTION("""COMPUTED_VALUE"""),45345.66666666667)</f>
        <v>45345.66667</v>
      </c>
      <c r="B288" s="2">
        <f>IFERROR(__xludf.DUMMYFUNCTION("""COMPUTED_VALUE"""),417.68)</f>
        <v>417.68</v>
      </c>
      <c r="C288" s="2">
        <f>IFERROR(__xludf.DUMMYFUNCTION("""COMPUTED_VALUE"""),420.56)</f>
        <v>420.56</v>
      </c>
      <c r="D288" s="2">
        <f>IFERROR(__xludf.DUMMYFUNCTION("""COMPUTED_VALUE"""),416.52)</f>
        <v>416.52</v>
      </c>
      <c r="E288" s="2">
        <f>IFERROR(__xludf.DUMMYFUNCTION("""COMPUTED_VALUE"""),417.22)</f>
        <v>417.22</v>
      </c>
      <c r="F288" s="2">
        <f>IFERROR(__xludf.DUMMYFUNCTION("""COMPUTED_VALUE"""),4025164.0)</f>
        <v>4025164</v>
      </c>
    </row>
    <row r="289">
      <c r="A289" s="3">
        <f>IFERROR(__xludf.DUMMYFUNCTION("""COMPUTED_VALUE"""),45348.66666666667)</f>
        <v>45348.66667</v>
      </c>
      <c r="B289" s="2">
        <f>IFERROR(__xludf.DUMMYFUNCTION("""COMPUTED_VALUE"""),422.0)</f>
        <v>422</v>
      </c>
      <c r="C289" s="2">
        <f>IFERROR(__xludf.DUMMYFUNCTION("""COMPUTED_VALUE"""),430.0)</f>
        <v>430</v>
      </c>
      <c r="D289" s="2">
        <f>IFERROR(__xludf.DUMMYFUNCTION("""COMPUTED_VALUE"""),408.85)</f>
        <v>408.85</v>
      </c>
      <c r="E289" s="2">
        <f>IFERROR(__xludf.DUMMYFUNCTION("""COMPUTED_VALUE"""),409.14)</f>
        <v>409.14</v>
      </c>
      <c r="F289" s="2">
        <f>IFERROR(__xludf.DUMMYFUNCTION("""COMPUTED_VALUE"""),7446190.0)</f>
        <v>7446190</v>
      </c>
    </row>
    <row r="290">
      <c r="A290" s="3">
        <f>IFERROR(__xludf.DUMMYFUNCTION("""COMPUTED_VALUE"""),45349.66666666667)</f>
        <v>45349.66667</v>
      </c>
      <c r="B290" s="2">
        <f>IFERROR(__xludf.DUMMYFUNCTION("""COMPUTED_VALUE"""),409.21)</f>
        <v>409.21</v>
      </c>
      <c r="C290" s="2">
        <f>IFERROR(__xludf.DUMMYFUNCTION("""COMPUTED_VALUE"""),409.96)</f>
        <v>409.96</v>
      </c>
      <c r="D290" s="2">
        <f>IFERROR(__xludf.DUMMYFUNCTION("""COMPUTED_VALUE"""),401.71)</f>
        <v>401.71</v>
      </c>
      <c r="E290" s="2">
        <f>IFERROR(__xludf.DUMMYFUNCTION("""COMPUTED_VALUE"""),408.91)</f>
        <v>408.91</v>
      </c>
      <c r="F290" s="2">
        <f>IFERROR(__xludf.DUMMYFUNCTION("""COMPUTED_VALUE"""),4610892.0)</f>
        <v>4610892</v>
      </c>
    </row>
    <row r="291">
      <c r="A291" s="3">
        <f>IFERROR(__xludf.DUMMYFUNCTION("""COMPUTED_VALUE"""),45350.66666666667)</f>
        <v>45350.66667</v>
      </c>
      <c r="B291" s="2">
        <f>IFERROR(__xludf.DUMMYFUNCTION("""COMPUTED_VALUE"""),408.5)</f>
        <v>408.5</v>
      </c>
      <c r="C291" s="2">
        <f>IFERROR(__xludf.DUMMYFUNCTION("""COMPUTED_VALUE"""),414.67)</f>
        <v>414.67</v>
      </c>
      <c r="D291" s="2">
        <f>IFERROR(__xludf.DUMMYFUNCTION("""COMPUTED_VALUE"""),407.71)</f>
        <v>407.71</v>
      </c>
      <c r="E291" s="2">
        <f>IFERROR(__xludf.DUMMYFUNCTION("""COMPUTED_VALUE"""),412.14)</f>
        <v>412.14</v>
      </c>
      <c r="F291" s="2">
        <f>IFERROR(__xludf.DUMMYFUNCTION("""COMPUTED_VALUE"""),4069203.0)</f>
        <v>4069203</v>
      </c>
    </row>
    <row r="292">
      <c r="A292" s="3">
        <f>IFERROR(__xludf.DUMMYFUNCTION("""COMPUTED_VALUE"""),45351.66666666667)</f>
        <v>45351.66667</v>
      </c>
      <c r="B292" s="2">
        <f>IFERROR(__xludf.DUMMYFUNCTION("""COMPUTED_VALUE"""),413.1)</f>
        <v>413.1</v>
      </c>
      <c r="C292" s="2">
        <f>IFERROR(__xludf.DUMMYFUNCTION("""COMPUTED_VALUE"""),413.79)</f>
        <v>413.79</v>
      </c>
      <c r="D292" s="2">
        <f>IFERROR(__xludf.DUMMYFUNCTION("""COMPUTED_VALUE"""),408.38)</f>
        <v>408.38</v>
      </c>
      <c r="E292" s="2">
        <f>IFERROR(__xludf.DUMMYFUNCTION("""COMPUTED_VALUE"""),409.4)</f>
        <v>409.4</v>
      </c>
      <c r="F292" s="2">
        <f>IFERROR(__xludf.DUMMYFUNCTION("""COMPUTED_VALUE"""),4849104.0)</f>
        <v>4849104</v>
      </c>
    </row>
    <row r="293">
      <c r="A293" s="3">
        <f>IFERROR(__xludf.DUMMYFUNCTION("""COMPUTED_VALUE"""),45352.66666666667)</f>
        <v>45352.66667</v>
      </c>
      <c r="B293" s="2">
        <f>IFERROR(__xludf.DUMMYFUNCTION("""COMPUTED_VALUE"""),409.48)</f>
        <v>409.48</v>
      </c>
      <c r="C293" s="2">
        <f>IFERROR(__xludf.DUMMYFUNCTION("""COMPUTED_VALUE"""),410.39)</f>
        <v>410.39</v>
      </c>
      <c r="D293" s="2">
        <f>IFERROR(__xludf.DUMMYFUNCTION("""COMPUTED_VALUE"""),405.45)</f>
        <v>405.45</v>
      </c>
      <c r="E293" s="2">
        <f>IFERROR(__xludf.DUMMYFUNCTION("""COMPUTED_VALUE"""),407.11)</f>
        <v>407.11</v>
      </c>
      <c r="F293" s="2">
        <f>IFERROR(__xludf.DUMMYFUNCTION("""COMPUTED_VALUE"""),3284244.0)</f>
        <v>3284244</v>
      </c>
    </row>
    <row r="294">
      <c r="A294" s="3">
        <f>IFERROR(__xludf.DUMMYFUNCTION("""COMPUTED_VALUE"""),45355.66666666667)</f>
        <v>45355.66667</v>
      </c>
      <c r="B294" s="2">
        <f>IFERROR(__xludf.DUMMYFUNCTION("""COMPUTED_VALUE"""),405.0)</f>
        <v>405</v>
      </c>
      <c r="C294" s="2">
        <f>IFERROR(__xludf.DUMMYFUNCTION("""COMPUTED_VALUE"""),405.95)</f>
        <v>405.95</v>
      </c>
      <c r="D294" s="2">
        <f>IFERROR(__xludf.DUMMYFUNCTION("""COMPUTED_VALUE"""),401.43)</f>
        <v>401.43</v>
      </c>
      <c r="E294" s="2">
        <f>IFERROR(__xludf.DUMMYFUNCTION("""COMPUTED_VALUE"""),403.39)</f>
        <v>403.39</v>
      </c>
      <c r="F294" s="2">
        <f>IFERROR(__xludf.DUMMYFUNCTION("""COMPUTED_VALUE"""),4183800.0)</f>
        <v>4183800</v>
      </c>
    </row>
    <row r="295">
      <c r="A295" s="3">
        <f>IFERROR(__xludf.DUMMYFUNCTION("""COMPUTED_VALUE"""),45356.66666666667)</f>
        <v>45356.66667</v>
      </c>
      <c r="B295" s="2">
        <f>IFERROR(__xludf.DUMMYFUNCTION("""COMPUTED_VALUE"""),402.55)</f>
        <v>402.55</v>
      </c>
      <c r="C295" s="2">
        <f>IFERROR(__xludf.DUMMYFUNCTION("""COMPUTED_VALUE"""),403.33)</f>
        <v>403.33</v>
      </c>
      <c r="D295" s="2">
        <f>IFERROR(__xludf.DUMMYFUNCTION("""COMPUTED_VALUE"""),398.78)</f>
        <v>398.78</v>
      </c>
      <c r="E295" s="2">
        <f>IFERROR(__xludf.DUMMYFUNCTION("""COMPUTED_VALUE"""),400.74)</f>
        <v>400.74</v>
      </c>
      <c r="F295" s="2">
        <f>IFERROR(__xludf.DUMMYFUNCTION("""COMPUTED_VALUE"""),4714395.0)</f>
        <v>4714395</v>
      </c>
    </row>
    <row r="296">
      <c r="A296" s="3">
        <f>IFERROR(__xludf.DUMMYFUNCTION("""COMPUTED_VALUE"""),45357.66666666667)</f>
        <v>45357.66667</v>
      </c>
      <c r="B296" s="2">
        <f>IFERROR(__xludf.DUMMYFUNCTION("""COMPUTED_VALUE"""),402.18)</f>
        <v>402.18</v>
      </c>
      <c r="C296" s="2">
        <f>IFERROR(__xludf.DUMMYFUNCTION("""COMPUTED_VALUE"""),407.44)</f>
        <v>407.44</v>
      </c>
      <c r="D296" s="2">
        <f>IFERROR(__xludf.DUMMYFUNCTION("""COMPUTED_VALUE"""),401.7)</f>
        <v>401.7</v>
      </c>
      <c r="E296" s="2">
        <f>IFERROR(__xludf.DUMMYFUNCTION("""COMPUTED_VALUE"""),403.96)</f>
        <v>403.96</v>
      </c>
      <c r="F296" s="2">
        <f>IFERROR(__xludf.DUMMYFUNCTION("""COMPUTED_VALUE"""),3842562.0)</f>
        <v>3842562</v>
      </c>
    </row>
    <row r="297">
      <c r="A297" s="3">
        <f>IFERROR(__xludf.DUMMYFUNCTION("""COMPUTED_VALUE"""),45358.66666666667)</f>
        <v>45358.66667</v>
      </c>
      <c r="B297" s="2">
        <f>IFERROR(__xludf.DUMMYFUNCTION("""COMPUTED_VALUE"""),406.11)</f>
        <v>406.11</v>
      </c>
      <c r="C297" s="2">
        <f>IFERROR(__xludf.DUMMYFUNCTION("""COMPUTED_VALUE"""),406.4)</f>
        <v>406.4</v>
      </c>
      <c r="D297" s="2">
        <f>IFERROR(__xludf.DUMMYFUNCTION("""COMPUTED_VALUE"""),399.57)</f>
        <v>399.57</v>
      </c>
      <c r="E297" s="2">
        <f>IFERROR(__xludf.DUMMYFUNCTION("""COMPUTED_VALUE"""),402.39)</f>
        <v>402.39</v>
      </c>
      <c r="F297" s="2">
        <f>IFERROR(__xludf.DUMMYFUNCTION("""COMPUTED_VALUE"""),4187608.0)</f>
        <v>4187608</v>
      </c>
    </row>
    <row r="298">
      <c r="A298" s="3">
        <f>IFERROR(__xludf.DUMMYFUNCTION("""COMPUTED_VALUE"""),45359.66666666667)</f>
        <v>45359.66667</v>
      </c>
      <c r="B298" s="2">
        <f>IFERROR(__xludf.DUMMYFUNCTION("""COMPUTED_VALUE"""),401.08)</f>
        <v>401.08</v>
      </c>
      <c r="C298" s="2">
        <f>IFERROR(__xludf.DUMMYFUNCTION("""COMPUTED_VALUE"""),403.36)</f>
        <v>403.36</v>
      </c>
      <c r="D298" s="2">
        <f>IFERROR(__xludf.DUMMYFUNCTION("""COMPUTED_VALUE"""),400.01)</f>
        <v>400.01</v>
      </c>
      <c r="E298" s="2">
        <f>IFERROR(__xludf.DUMMYFUNCTION("""COMPUTED_VALUE"""),403.15)</f>
        <v>403.15</v>
      </c>
      <c r="F298" s="2">
        <f>IFERROR(__xludf.DUMMYFUNCTION("""COMPUTED_VALUE"""),3417859.0)</f>
        <v>3417859</v>
      </c>
    </row>
    <row r="299">
      <c r="A299" s="3">
        <f>IFERROR(__xludf.DUMMYFUNCTION("""COMPUTED_VALUE"""),45362.66666666667)</f>
        <v>45362.66667</v>
      </c>
      <c r="B299" s="2">
        <f>IFERROR(__xludf.DUMMYFUNCTION("""COMPUTED_VALUE"""),403.3)</f>
        <v>403.3</v>
      </c>
      <c r="C299" s="2">
        <f>IFERROR(__xludf.DUMMYFUNCTION("""COMPUTED_VALUE"""),405.01)</f>
        <v>405.01</v>
      </c>
      <c r="D299" s="2">
        <f>IFERROR(__xludf.DUMMYFUNCTION("""COMPUTED_VALUE"""),402.74)</f>
        <v>402.74</v>
      </c>
      <c r="E299" s="2">
        <f>IFERROR(__xludf.DUMMYFUNCTION("""COMPUTED_VALUE"""),404.76)</f>
        <v>404.76</v>
      </c>
      <c r="F299" s="2">
        <f>IFERROR(__xludf.DUMMYFUNCTION("""COMPUTED_VALUE"""),2438383.0)</f>
        <v>2438383</v>
      </c>
    </row>
    <row r="300">
      <c r="A300" s="3">
        <f>IFERROR(__xludf.DUMMYFUNCTION("""COMPUTED_VALUE"""),45363.66666666667)</f>
        <v>45363.66667</v>
      </c>
      <c r="B300" s="2">
        <f>IFERROR(__xludf.DUMMYFUNCTION("""COMPUTED_VALUE"""),406.78)</f>
        <v>406.78</v>
      </c>
      <c r="C300" s="2">
        <f>IFERROR(__xludf.DUMMYFUNCTION("""COMPUTED_VALUE"""),407.2)</f>
        <v>407.2</v>
      </c>
      <c r="D300" s="2">
        <f>IFERROR(__xludf.DUMMYFUNCTION("""COMPUTED_VALUE"""),404.1)</f>
        <v>404.1</v>
      </c>
      <c r="E300" s="2">
        <f>IFERROR(__xludf.DUMMYFUNCTION("""COMPUTED_VALUE"""),404.98)</f>
        <v>404.98</v>
      </c>
      <c r="F300" s="2">
        <f>IFERROR(__xludf.DUMMYFUNCTION("""COMPUTED_VALUE"""),2620804.0)</f>
        <v>2620804</v>
      </c>
    </row>
    <row r="301">
      <c r="A301" s="3">
        <f>IFERROR(__xludf.DUMMYFUNCTION("""COMPUTED_VALUE"""),45364.66666666667)</f>
        <v>45364.66667</v>
      </c>
      <c r="B301" s="2">
        <f>IFERROR(__xludf.DUMMYFUNCTION("""COMPUTED_VALUE"""),405.3)</f>
        <v>405.3</v>
      </c>
      <c r="C301" s="2">
        <f>IFERROR(__xludf.DUMMYFUNCTION("""COMPUTED_VALUE"""),409.0)</f>
        <v>409</v>
      </c>
      <c r="D301" s="2">
        <f>IFERROR(__xludf.DUMMYFUNCTION("""COMPUTED_VALUE"""),404.15)</f>
        <v>404.15</v>
      </c>
      <c r="E301" s="2">
        <f>IFERROR(__xludf.DUMMYFUNCTION("""COMPUTED_VALUE"""),408.13)</f>
        <v>408.13</v>
      </c>
      <c r="F301" s="2">
        <f>IFERROR(__xludf.DUMMYFUNCTION("""COMPUTED_VALUE"""),3586358.0)</f>
        <v>3586358</v>
      </c>
    </row>
    <row r="302">
      <c r="A302" s="3">
        <f>IFERROR(__xludf.DUMMYFUNCTION("""COMPUTED_VALUE"""),45365.66666666667)</f>
        <v>45365.66667</v>
      </c>
      <c r="B302" s="2">
        <f>IFERROR(__xludf.DUMMYFUNCTION("""COMPUTED_VALUE"""),409.08)</f>
        <v>409.08</v>
      </c>
      <c r="C302" s="2">
        <f>IFERROR(__xludf.DUMMYFUNCTION("""COMPUTED_VALUE"""),409.08)</f>
        <v>409.08</v>
      </c>
      <c r="D302" s="2">
        <f>IFERROR(__xludf.DUMMYFUNCTION("""COMPUTED_VALUE"""),403.34)</f>
        <v>403.34</v>
      </c>
      <c r="E302" s="2">
        <f>IFERROR(__xludf.DUMMYFUNCTION("""COMPUTED_VALUE"""),406.73)</f>
        <v>406.73</v>
      </c>
      <c r="F302" s="2">
        <f>IFERROR(__xludf.DUMMYFUNCTION("""COMPUTED_VALUE"""),3739644.0)</f>
        <v>3739644</v>
      </c>
    </row>
    <row r="303">
      <c r="A303" s="3">
        <f>IFERROR(__xludf.DUMMYFUNCTION("""COMPUTED_VALUE"""),45366.66666666667)</f>
        <v>45366.66667</v>
      </c>
      <c r="B303" s="2">
        <f>IFERROR(__xludf.DUMMYFUNCTION("""COMPUTED_VALUE"""),404.27)</f>
        <v>404.27</v>
      </c>
      <c r="C303" s="2">
        <f>IFERROR(__xludf.DUMMYFUNCTION("""COMPUTED_VALUE"""),408.46)</f>
        <v>408.46</v>
      </c>
      <c r="D303" s="2">
        <f>IFERROR(__xludf.DUMMYFUNCTION("""COMPUTED_VALUE"""),402.5)</f>
        <v>402.5</v>
      </c>
      <c r="E303" s="2">
        <f>IFERROR(__xludf.DUMMYFUNCTION("""COMPUTED_VALUE"""),408.13)</f>
        <v>408.13</v>
      </c>
      <c r="F303" s="2">
        <f>IFERROR(__xludf.DUMMYFUNCTION("""COMPUTED_VALUE"""),7557843.0)</f>
        <v>7557843</v>
      </c>
    </row>
    <row r="304">
      <c r="A304" s="3">
        <f>IFERROR(__xludf.DUMMYFUNCTION("""COMPUTED_VALUE"""),45369.66666666667)</f>
        <v>45369.66667</v>
      </c>
      <c r="B304" s="2">
        <f>IFERROR(__xludf.DUMMYFUNCTION("""COMPUTED_VALUE"""),408.7)</f>
        <v>408.7</v>
      </c>
      <c r="C304" s="2">
        <f>IFERROR(__xludf.DUMMYFUNCTION("""COMPUTED_VALUE"""),410.6)</f>
        <v>410.6</v>
      </c>
      <c r="D304" s="2">
        <f>IFERROR(__xludf.DUMMYFUNCTION("""COMPUTED_VALUE"""),406.0)</f>
        <v>406</v>
      </c>
      <c r="E304" s="2">
        <f>IFERROR(__xludf.DUMMYFUNCTION("""COMPUTED_VALUE"""),408.41)</f>
        <v>408.41</v>
      </c>
      <c r="F304" s="2">
        <f>IFERROR(__xludf.DUMMYFUNCTION("""COMPUTED_VALUE"""),3778561.0)</f>
        <v>3778561</v>
      </c>
    </row>
    <row r="305">
      <c r="A305" s="3">
        <f>IFERROR(__xludf.DUMMYFUNCTION("""COMPUTED_VALUE"""),45370.66666666667)</f>
        <v>45370.66667</v>
      </c>
      <c r="B305" s="2">
        <f>IFERROR(__xludf.DUMMYFUNCTION("""COMPUTED_VALUE"""),409.08)</f>
        <v>409.08</v>
      </c>
      <c r="C305" s="2">
        <f>IFERROR(__xludf.DUMMYFUNCTION("""COMPUTED_VALUE"""),412.19)</f>
        <v>412.19</v>
      </c>
      <c r="D305" s="2">
        <f>IFERROR(__xludf.DUMMYFUNCTION("""COMPUTED_VALUE"""),408.09)</f>
        <v>408.09</v>
      </c>
      <c r="E305" s="2">
        <f>IFERROR(__xludf.DUMMYFUNCTION("""COMPUTED_VALUE"""),411.76)</f>
        <v>411.76</v>
      </c>
      <c r="F305" s="2">
        <f>IFERROR(__xludf.DUMMYFUNCTION("""COMPUTED_VALUE"""),2804025.0)</f>
        <v>2804025</v>
      </c>
    </row>
    <row r="306">
      <c r="A306" s="3">
        <f>IFERROR(__xludf.DUMMYFUNCTION("""COMPUTED_VALUE"""),45371.66666666667)</f>
        <v>45371.66667</v>
      </c>
      <c r="B306" s="2">
        <f>IFERROR(__xludf.DUMMYFUNCTION("""COMPUTED_VALUE"""),412.02)</f>
        <v>412.02</v>
      </c>
      <c r="C306" s="2">
        <f>IFERROR(__xludf.DUMMYFUNCTION("""COMPUTED_VALUE"""),416.31)</f>
        <v>416.31</v>
      </c>
      <c r="D306" s="2">
        <f>IFERROR(__xludf.DUMMYFUNCTION("""COMPUTED_VALUE"""),411.55)</f>
        <v>411.55</v>
      </c>
      <c r="E306" s="2">
        <f>IFERROR(__xludf.DUMMYFUNCTION("""COMPUTED_VALUE"""),416.11)</f>
        <v>416.11</v>
      </c>
      <c r="F306" s="2">
        <f>IFERROR(__xludf.DUMMYFUNCTION("""COMPUTED_VALUE"""),2935528.0)</f>
        <v>2935528</v>
      </c>
    </row>
    <row r="307">
      <c r="A307" s="3">
        <f>IFERROR(__xludf.DUMMYFUNCTION("""COMPUTED_VALUE"""),45372.66666666667)</f>
        <v>45372.66667</v>
      </c>
      <c r="B307" s="2">
        <f>IFERROR(__xludf.DUMMYFUNCTION("""COMPUTED_VALUE"""),416.7)</f>
        <v>416.7</v>
      </c>
      <c r="C307" s="2">
        <f>IFERROR(__xludf.DUMMYFUNCTION("""COMPUTED_VALUE"""),417.83)</f>
        <v>417.83</v>
      </c>
      <c r="D307" s="2">
        <f>IFERROR(__xludf.DUMMYFUNCTION("""COMPUTED_VALUE"""),413.51)</f>
        <v>413.51</v>
      </c>
      <c r="E307" s="2">
        <f>IFERROR(__xludf.DUMMYFUNCTION("""COMPUTED_VALUE"""),413.78)</f>
        <v>413.78</v>
      </c>
      <c r="F307" s="2">
        <f>IFERROR(__xludf.DUMMYFUNCTION("""COMPUTED_VALUE"""),3402874.0)</f>
        <v>3402874</v>
      </c>
    </row>
    <row r="308">
      <c r="A308" s="3">
        <f>IFERROR(__xludf.DUMMYFUNCTION("""COMPUTED_VALUE"""),45373.66666666667)</f>
        <v>45373.66667</v>
      </c>
      <c r="B308" s="2">
        <f>IFERROR(__xludf.DUMMYFUNCTION("""COMPUTED_VALUE"""),413.0)</f>
        <v>413</v>
      </c>
      <c r="C308" s="2">
        <f>IFERROR(__xludf.DUMMYFUNCTION("""COMPUTED_VALUE"""),414.35)</f>
        <v>414.35</v>
      </c>
      <c r="D308" s="2">
        <f>IFERROR(__xludf.DUMMYFUNCTION("""COMPUTED_VALUE"""),411.4)</f>
        <v>411.4</v>
      </c>
      <c r="E308" s="2">
        <f>IFERROR(__xludf.DUMMYFUNCTION("""COMPUTED_VALUE"""),411.6)</f>
        <v>411.6</v>
      </c>
      <c r="F308" s="2">
        <f>IFERROR(__xludf.DUMMYFUNCTION("""COMPUTED_VALUE"""),3000546.0)</f>
        <v>3000546</v>
      </c>
    </row>
    <row r="309">
      <c r="A309" s="3">
        <f>IFERROR(__xludf.DUMMYFUNCTION("""COMPUTED_VALUE"""),45376.66666666667)</f>
        <v>45376.66667</v>
      </c>
      <c r="B309" s="2">
        <f>IFERROR(__xludf.DUMMYFUNCTION("""COMPUTED_VALUE"""),410.67)</f>
        <v>410.67</v>
      </c>
      <c r="C309" s="2">
        <f>IFERROR(__xludf.DUMMYFUNCTION("""COMPUTED_VALUE"""),411.07)</f>
        <v>411.07</v>
      </c>
      <c r="D309" s="2">
        <f>IFERROR(__xludf.DUMMYFUNCTION("""COMPUTED_VALUE"""),408.92)</f>
        <v>408.92</v>
      </c>
      <c r="E309" s="2">
        <f>IFERROR(__xludf.DUMMYFUNCTION("""COMPUTED_VALUE"""),409.92)</f>
        <v>409.92</v>
      </c>
      <c r="F309" s="2">
        <f>IFERROR(__xludf.DUMMYFUNCTION("""COMPUTED_VALUE"""),2808910.0)</f>
        <v>2808910</v>
      </c>
    </row>
    <row r="310">
      <c r="A310" s="3">
        <f>IFERROR(__xludf.DUMMYFUNCTION("""COMPUTED_VALUE"""),45377.66666666667)</f>
        <v>45377.66667</v>
      </c>
      <c r="B310" s="2">
        <f>IFERROR(__xludf.DUMMYFUNCTION("""COMPUTED_VALUE"""),410.0)</f>
        <v>410</v>
      </c>
      <c r="C310" s="2">
        <f>IFERROR(__xludf.DUMMYFUNCTION("""COMPUTED_VALUE"""),412.66)</f>
        <v>412.66</v>
      </c>
      <c r="D310" s="2">
        <f>IFERROR(__xludf.DUMMYFUNCTION("""COMPUTED_VALUE"""),408.6)</f>
        <v>408.6</v>
      </c>
      <c r="E310" s="2">
        <f>IFERROR(__xludf.DUMMYFUNCTION("""COMPUTED_VALUE"""),411.57)</f>
        <v>411.57</v>
      </c>
      <c r="F310" s="2">
        <f>IFERROR(__xludf.DUMMYFUNCTION("""COMPUTED_VALUE"""),2936406.0)</f>
        <v>2936406</v>
      </c>
    </row>
    <row r="311">
      <c r="A311" s="3">
        <f>IFERROR(__xludf.DUMMYFUNCTION("""COMPUTED_VALUE"""),45378.66666666667)</f>
        <v>45378.66667</v>
      </c>
      <c r="B311" s="2">
        <f>IFERROR(__xludf.DUMMYFUNCTION("""COMPUTED_VALUE"""),413.65)</f>
        <v>413.65</v>
      </c>
      <c r="C311" s="2">
        <f>IFERROR(__xludf.DUMMYFUNCTION("""COMPUTED_VALUE"""),417.21)</f>
        <v>417.21</v>
      </c>
      <c r="D311" s="2">
        <f>IFERROR(__xludf.DUMMYFUNCTION("""COMPUTED_VALUE"""),413.4)</f>
        <v>413.4</v>
      </c>
      <c r="E311" s="2">
        <f>IFERROR(__xludf.DUMMYFUNCTION("""COMPUTED_VALUE"""),416.93)</f>
        <v>416.93</v>
      </c>
      <c r="F311" s="2">
        <f>IFERROR(__xludf.DUMMYFUNCTION("""COMPUTED_VALUE"""),2929158.0)</f>
        <v>2929158</v>
      </c>
    </row>
    <row r="312">
      <c r="A312" s="3">
        <f>IFERROR(__xludf.DUMMYFUNCTION("""COMPUTED_VALUE"""),45379.66666666667)</f>
        <v>45379.66667</v>
      </c>
      <c r="B312" s="2">
        <f>IFERROR(__xludf.DUMMYFUNCTION("""COMPUTED_VALUE"""),417.8)</f>
        <v>417.8</v>
      </c>
      <c r="C312" s="2">
        <f>IFERROR(__xludf.DUMMYFUNCTION("""COMPUTED_VALUE"""),421.44)</f>
        <v>421.44</v>
      </c>
      <c r="D312" s="2">
        <f>IFERROR(__xludf.DUMMYFUNCTION("""COMPUTED_VALUE"""),415.85)</f>
        <v>415.85</v>
      </c>
      <c r="E312" s="2">
        <f>IFERROR(__xludf.DUMMYFUNCTION("""COMPUTED_VALUE"""),420.52)</f>
        <v>420.52</v>
      </c>
      <c r="F312" s="2">
        <f>IFERROR(__xludf.DUMMYFUNCTION("""COMPUTED_VALUE"""),4378770.0)</f>
        <v>4378770</v>
      </c>
    </row>
    <row r="313">
      <c r="A313" s="3">
        <f>IFERROR(__xludf.DUMMYFUNCTION("""COMPUTED_VALUE"""),45383.66666666667)</f>
        <v>45383.66667</v>
      </c>
      <c r="B313" s="2">
        <f>IFERROR(__xludf.DUMMYFUNCTION("""COMPUTED_VALUE"""),421.49)</f>
        <v>421.49</v>
      </c>
      <c r="C313" s="2">
        <f>IFERROR(__xludf.DUMMYFUNCTION("""COMPUTED_VALUE"""),421.66)</f>
        <v>421.66</v>
      </c>
      <c r="D313" s="2">
        <f>IFERROR(__xludf.DUMMYFUNCTION("""COMPUTED_VALUE"""),417.81)</f>
        <v>417.81</v>
      </c>
      <c r="E313" s="2">
        <f>IFERROR(__xludf.DUMMYFUNCTION("""COMPUTED_VALUE"""),420.2)</f>
        <v>420.2</v>
      </c>
      <c r="F313" s="2">
        <f>IFERROR(__xludf.DUMMYFUNCTION("""COMPUTED_VALUE"""),2718872.0)</f>
        <v>2718872</v>
      </c>
    </row>
    <row r="314">
      <c r="A314" s="3">
        <f>IFERROR(__xludf.DUMMYFUNCTION("""COMPUTED_VALUE"""),45384.66666666667)</f>
        <v>45384.66667</v>
      </c>
      <c r="B314" s="2">
        <f>IFERROR(__xludf.DUMMYFUNCTION("""COMPUTED_VALUE"""),419.75)</f>
        <v>419.75</v>
      </c>
      <c r="C314" s="2">
        <f>IFERROR(__xludf.DUMMYFUNCTION("""COMPUTED_VALUE"""),421.01)</f>
        <v>421.01</v>
      </c>
      <c r="D314" s="2">
        <f>IFERROR(__xludf.DUMMYFUNCTION("""COMPUTED_VALUE"""),418.09)</f>
        <v>418.09</v>
      </c>
      <c r="E314" s="2">
        <f>IFERROR(__xludf.DUMMYFUNCTION("""COMPUTED_VALUE"""),418.92)</f>
        <v>418.92</v>
      </c>
      <c r="F314" s="2">
        <f>IFERROR(__xludf.DUMMYFUNCTION("""COMPUTED_VALUE"""),3175139.0)</f>
        <v>3175139</v>
      </c>
    </row>
    <row r="315">
      <c r="A315" s="3">
        <f>IFERROR(__xludf.DUMMYFUNCTION("""COMPUTED_VALUE"""),45385.66666666667)</f>
        <v>45385.66667</v>
      </c>
      <c r="B315" s="2">
        <f>IFERROR(__xludf.DUMMYFUNCTION("""COMPUTED_VALUE"""),419.0)</f>
        <v>419</v>
      </c>
      <c r="C315" s="2">
        <f>IFERROR(__xludf.DUMMYFUNCTION("""COMPUTED_VALUE"""),421.91)</f>
        <v>421.91</v>
      </c>
      <c r="D315" s="2">
        <f>IFERROR(__xludf.DUMMYFUNCTION("""COMPUTED_VALUE"""),418.52)</f>
        <v>418.52</v>
      </c>
      <c r="E315" s="2">
        <f>IFERROR(__xludf.DUMMYFUNCTION("""COMPUTED_VALUE"""),420.24)</f>
        <v>420.24</v>
      </c>
      <c r="F315" s="2">
        <f>IFERROR(__xludf.DUMMYFUNCTION("""COMPUTED_VALUE"""),2742174.0)</f>
        <v>2742174</v>
      </c>
    </row>
    <row r="316">
      <c r="A316" s="3">
        <f>IFERROR(__xludf.DUMMYFUNCTION("""COMPUTED_VALUE"""),45386.66666666667)</f>
        <v>45386.66667</v>
      </c>
      <c r="B316" s="2">
        <f>IFERROR(__xludf.DUMMYFUNCTION("""COMPUTED_VALUE"""),423.84)</f>
        <v>423.84</v>
      </c>
      <c r="C316" s="2">
        <f>IFERROR(__xludf.DUMMYFUNCTION("""COMPUTED_VALUE"""),424.52)</f>
        <v>424.52</v>
      </c>
      <c r="D316" s="2">
        <f>IFERROR(__xludf.DUMMYFUNCTION("""COMPUTED_VALUE"""),414.55)</f>
        <v>414.55</v>
      </c>
      <c r="E316" s="2">
        <f>IFERROR(__xludf.DUMMYFUNCTION("""COMPUTED_VALUE"""),415.32)</f>
        <v>415.32</v>
      </c>
      <c r="F316" s="2">
        <f>IFERROR(__xludf.DUMMYFUNCTION("""COMPUTED_VALUE"""),3802994.0)</f>
        <v>3802994</v>
      </c>
    </row>
    <row r="317">
      <c r="A317" s="3">
        <f>IFERROR(__xludf.DUMMYFUNCTION("""COMPUTED_VALUE"""),45387.66666666667)</f>
        <v>45387.66667</v>
      </c>
      <c r="B317" s="2">
        <f>IFERROR(__xludf.DUMMYFUNCTION("""COMPUTED_VALUE"""),416.56)</f>
        <v>416.56</v>
      </c>
      <c r="C317" s="2">
        <f>IFERROR(__xludf.DUMMYFUNCTION("""COMPUTED_VALUE"""),419.27)</f>
        <v>419.27</v>
      </c>
      <c r="D317" s="2">
        <f>IFERROR(__xludf.DUMMYFUNCTION("""COMPUTED_VALUE"""),415.41)</f>
        <v>415.41</v>
      </c>
      <c r="E317" s="2">
        <f>IFERROR(__xludf.DUMMYFUNCTION("""COMPUTED_VALUE"""),418.62)</f>
        <v>418.62</v>
      </c>
      <c r="F317" s="2">
        <f>IFERROR(__xludf.DUMMYFUNCTION("""COMPUTED_VALUE"""),2739587.0)</f>
        <v>2739587</v>
      </c>
    </row>
    <row r="318">
      <c r="A318" s="3">
        <f>IFERROR(__xludf.DUMMYFUNCTION("""COMPUTED_VALUE"""),45390.66666666667)</f>
        <v>45390.66667</v>
      </c>
      <c r="B318" s="2">
        <f>IFERROR(__xludf.DUMMYFUNCTION("""COMPUTED_VALUE"""),418.32)</f>
        <v>418.32</v>
      </c>
      <c r="C318" s="2">
        <f>IFERROR(__xludf.DUMMYFUNCTION("""COMPUTED_VALUE"""),418.57)</f>
        <v>418.57</v>
      </c>
      <c r="D318" s="2">
        <f>IFERROR(__xludf.DUMMYFUNCTION("""COMPUTED_VALUE"""),415.63)</f>
        <v>415.63</v>
      </c>
      <c r="E318" s="2">
        <f>IFERROR(__xludf.DUMMYFUNCTION("""COMPUTED_VALUE"""),415.97)</f>
        <v>415.97</v>
      </c>
      <c r="F318" s="2">
        <f>IFERROR(__xludf.DUMMYFUNCTION("""COMPUTED_VALUE"""),2486651.0)</f>
        <v>2486651</v>
      </c>
    </row>
    <row r="319">
      <c r="A319" s="3">
        <f>IFERROR(__xludf.DUMMYFUNCTION("""COMPUTED_VALUE"""),45391.66666666667)</f>
        <v>45391.66667</v>
      </c>
      <c r="B319" s="2">
        <f>IFERROR(__xludf.DUMMYFUNCTION("""COMPUTED_VALUE"""),416.58)</f>
        <v>416.58</v>
      </c>
      <c r="C319" s="2">
        <f>IFERROR(__xludf.DUMMYFUNCTION("""COMPUTED_VALUE"""),417.32)</f>
        <v>417.32</v>
      </c>
      <c r="D319" s="2">
        <f>IFERROR(__xludf.DUMMYFUNCTION("""COMPUTED_VALUE"""),412.12)</f>
        <v>412.12</v>
      </c>
      <c r="E319" s="2">
        <f>IFERROR(__xludf.DUMMYFUNCTION("""COMPUTED_VALUE"""),414.69)</f>
        <v>414.69</v>
      </c>
      <c r="F319" s="2">
        <f>IFERROR(__xludf.DUMMYFUNCTION("""COMPUTED_VALUE"""),2234137.0)</f>
        <v>2234137</v>
      </c>
    </row>
    <row r="320">
      <c r="A320" s="3">
        <f>IFERROR(__xludf.DUMMYFUNCTION("""COMPUTED_VALUE"""),45392.66666666667)</f>
        <v>45392.66667</v>
      </c>
      <c r="B320" s="2">
        <f>IFERROR(__xludf.DUMMYFUNCTION("""COMPUTED_VALUE"""),412.74)</f>
        <v>412.74</v>
      </c>
      <c r="C320" s="2">
        <f>IFERROR(__xludf.DUMMYFUNCTION("""COMPUTED_VALUE"""),413.56)</f>
        <v>413.56</v>
      </c>
      <c r="D320" s="2">
        <f>IFERROR(__xludf.DUMMYFUNCTION("""COMPUTED_VALUE"""),407.53)</f>
        <v>407.53</v>
      </c>
      <c r="E320" s="2">
        <f>IFERROR(__xludf.DUMMYFUNCTION("""COMPUTED_VALUE"""),409.11)</f>
        <v>409.11</v>
      </c>
      <c r="F320" s="2">
        <f>IFERROR(__xludf.DUMMYFUNCTION("""COMPUTED_VALUE"""),3125230.0)</f>
        <v>3125230</v>
      </c>
    </row>
    <row r="321">
      <c r="A321" s="3">
        <f>IFERROR(__xludf.DUMMYFUNCTION("""COMPUTED_VALUE"""),45393.66666666667)</f>
        <v>45393.66667</v>
      </c>
      <c r="B321" s="2">
        <f>IFERROR(__xludf.DUMMYFUNCTION("""COMPUTED_VALUE"""),408.4)</f>
        <v>408.4</v>
      </c>
      <c r="C321" s="2">
        <f>IFERROR(__xludf.DUMMYFUNCTION("""COMPUTED_VALUE"""),411.15)</f>
        <v>411.15</v>
      </c>
      <c r="D321" s="2">
        <f>IFERROR(__xludf.DUMMYFUNCTION("""COMPUTED_VALUE"""),404.05)</f>
        <v>404.05</v>
      </c>
      <c r="E321" s="2">
        <f>IFERROR(__xludf.DUMMYFUNCTION("""COMPUTED_VALUE"""),407.61)</f>
        <v>407.61</v>
      </c>
      <c r="F321" s="2">
        <f>IFERROR(__xludf.DUMMYFUNCTION("""COMPUTED_VALUE"""),2891952.0)</f>
        <v>2891952</v>
      </c>
    </row>
    <row r="322">
      <c r="A322" s="3">
        <f>IFERROR(__xludf.DUMMYFUNCTION("""COMPUTED_VALUE"""),45394.66666666667)</f>
        <v>45394.66667</v>
      </c>
      <c r="B322" s="2">
        <f>IFERROR(__xludf.DUMMYFUNCTION("""COMPUTED_VALUE"""),405.0)</f>
        <v>405</v>
      </c>
      <c r="C322" s="2">
        <f>IFERROR(__xludf.DUMMYFUNCTION("""COMPUTED_VALUE"""),407.21)</f>
        <v>407.21</v>
      </c>
      <c r="D322" s="2">
        <f>IFERROR(__xludf.DUMMYFUNCTION("""COMPUTED_VALUE"""),401.44)</f>
        <v>401.44</v>
      </c>
      <c r="E322" s="2">
        <f>IFERROR(__xludf.DUMMYFUNCTION("""COMPUTED_VALUE"""),403.26)</f>
        <v>403.26</v>
      </c>
      <c r="F322" s="2">
        <f>IFERROR(__xludf.DUMMYFUNCTION("""COMPUTED_VALUE"""),3469707.0)</f>
        <v>3469707</v>
      </c>
    </row>
    <row r="323">
      <c r="A323" s="3">
        <f>IFERROR(__xludf.DUMMYFUNCTION("""COMPUTED_VALUE"""),45397.66666666667)</f>
        <v>45397.66667</v>
      </c>
      <c r="B323" s="2">
        <f>IFERROR(__xludf.DUMMYFUNCTION("""COMPUTED_VALUE"""),406.99)</f>
        <v>406.99</v>
      </c>
      <c r="C323" s="2">
        <f>IFERROR(__xludf.DUMMYFUNCTION("""COMPUTED_VALUE"""),409.06)</f>
        <v>409.06</v>
      </c>
      <c r="D323" s="2">
        <f>IFERROR(__xludf.DUMMYFUNCTION("""COMPUTED_VALUE"""),399.86)</f>
        <v>399.86</v>
      </c>
      <c r="E323" s="2">
        <f>IFERROR(__xludf.DUMMYFUNCTION("""COMPUTED_VALUE"""),400.26)</f>
        <v>400.26</v>
      </c>
      <c r="F323" s="2">
        <f>IFERROR(__xludf.DUMMYFUNCTION("""COMPUTED_VALUE"""),3004477.0)</f>
        <v>3004477</v>
      </c>
    </row>
    <row r="324">
      <c r="A324" s="3">
        <f>IFERROR(__xludf.DUMMYFUNCTION("""COMPUTED_VALUE"""),45398.66666666667)</f>
        <v>45398.66667</v>
      </c>
      <c r="B324" s="2">
        <f>IFERROR(__xludf.DUMMYFUNCTION("""COMPUTED_VALUE"""),400.97)</f>
        <v>400.97</v>
      </c>
      <c r="C324" s="2">
        <f>IFERROR(__xludf.DUMMYFUNCTION("""COMPUTED_VALUE"""),401.25)</f>
        <v>401.25</v>
      </c>
      <c r="D324" s="2">
        <f>IFERROR(__xludf.DUMMYFUNCTION("""COMPUTED_VALUE"""),396.5)</f>
        <v>396.5</v>
      </c>
      <c r="E324" s="2">
        <f>IFERROR(__xludf.DUMMYFUNCTION("""COMPUTED_VALUE"""),396.92)</f>
        <v>396.92</v>
      </c>
      <c r="F324" s="2">
        <f>IFERROR(__xludf.DUMMYFUNCTION("""COMPUTED_VALUE"""),3438078.0)</f>
        <v>3438078</v>
      </c>
    </row>
    <row r="325">
      <c r="A325" s="3">
        <f>IFERROR(__xludf.DUMMYFUNCTION("""COMPUTED_VALUE"""),45399.66666666667)</f>
        <v>45399.66667</v>
      </c>
      <c r="B325" s="2">
        <f>IFERROR(__xludf.DUMMYFUNCTION("""COMPUTED_VALUE"""),398.94)</f>
        <v>398.94</v>
      </c>
      <c r="C325" s="2">
        <f>IFERROR(__xludf.DUMMYFUNCTION("""COMPUTED_VALUE"""),399.28)</f>
        <v>399.28</v>
      </c>
      <c r="D325" s="2">
        <f>IFERROR(__xludf.DUMMYFUNCTION("""COMPUTED_VALUE"""),395.66)</f>
        <v>395.66</v>
      </c>
      <c r="E325" s="2">
        <f>IFERROR(__xludf.DUMMYFUNCTION("""COMPUTED_VALUE"""),397.74)</f>
        <v>397.74</v>
      </c>
      <c r="F325" s="2">
        <f>IFERROR(__xludf.DUMMYFUNCTION("""COMPUTED_VALUE"""),2466391.0)</f>
        <v>2466391</v>
      </c>
    </row>
    <row r="326">
      <c r="A326" s="3">
        <f>IFERROR(__xludf.DUMMYFUNCTION("""COMPUTED_VALUE"""),45400.66666666667)</f>
        <v>45400.66667</v>
      </c>
      <c r="B326" s="2">
        <f>IFERROR(__xludf.DUMMYFUNCTION("""COMPUTED_VALUE"""),399.7)</f>
        <v>399.7</v>
      </c>
      <c r="C326" s="2">
        <f>IFERROR(__xludf.DUMMYFUNCTION("""COMPUTED_VALUE"""),402.99)</f>
        <v>402.99</v>
      </c>
      <c r="D326" s="2">
        <f>IFERROR(__xludf.DUMMYFUNCTION("""COMPUTED_VALUE"""),399.1)</f>
        <v>399.1</v>
      </c>
      <c r="E326" s="2">
        <f>IFERROR(__xludf.DUMMYFUNCTION("""COMPUTED_VALUE"""),399.89)</f>
        <v>399.89</v>
      </c>
      <c r="F326" s="2">
        <f>IFERROR(__xludf.DUMMYFUNCTION("""COMPUTED_VALUE"""),2672415.0)</f>
        <v>2672415</v>
      </c>
    </row>
    <row r="327">
      <c r="A327" s="3">
        <f>IFERROR(__xludf.DUMMYFUNCTION("""COMPUTED_VALUE"""),45401.66666666667)</f>
        <v>45401.66667</v>
      </c>
      <c r="B327" s="2">
        <f>IFERROR(__xludf.DUMMYFUNCTION("""COMPUTED_VALUE"""),401.04)</f>
        <v>401.04</v>
      </c>
      <c r="C327" s="2">
        <f>IFERROR(__xludf.DUMMYFUNCTION("""COMPUTED_VALUE"""),405.57)</f>
        <v>405.57</v>
      </c>
      <c r="D327" s="2">
        <f>IFERROR(__xludf.DUMMYFUNCTION("""COMPUTED_VALUE"""),400.17)</f>
        <v>400.17</v>
      </c>
      <c r="E327" s="2">
        <f>IFERROR(__xludf.DUMMYFUNCTION("""COMPUTED_VALUE"""),405.08)</f>
        <v>405.08</v>
      </c>
      <c r="F327" s="2">
        <f>IFERROR(__xludf.DUMMYFUNCTION("""COMPUTED_VALUE"""),3999913.0)</f>
        <v>3999913</v>
      </c>
    </row>
    <row r="328">
      <c r="A328" s="3">
        <f>IFERROR(__xludf.DUMMYFUNCTION("""COMPUTED_VALUE"""),45404.66666666667)</f>
        <v>45404.66667</v>
      </c>
      <c r="B328" s="2">
        <f>IFERROR(__xludf.DUMMYFUNCTION("""COMPUTED_VALUE"""),406.84)</f>
        <v>406.84</v>
      </c>
      <c r="C328" s="2">
        <f>IFERROR(__xludf.DUMMYFUNCTION("""COMPUTED_VALUE"""),411.35)</f>
        <v>411.35</v>
      </c>
      <c r="D328" s="2">
        <f>IFERROR(__xludf.DUMMYFUNCTION("""COMPUTED_VALUE"""),406.25)</f>
        <v>406.25</v>
      </c>
      <c r="E328" s="2">
        <f>IFERROR(__xludf.DUMMYFUNCTION("""COMPUTED_VALUE"""),408.78)</f>
        <v>408.78</v>
      </c>
      <c r="F328" s="2">
        <f>IFERROR(__xludf.DUMMYFUNCTION("""COMPUTED_VALUE"""),2981614.0)</f>
        <v>2981614</v>
      </c>
    </row>
    <row r="329">
      <c r="A329" s="3">
        <f>IFERROR(__xludf.DUMMYFUNCTION("""COMPUTED_VALUE"""),45405.66666666667)</f>
        <v>45405.66667</v>
      </c>
      <c r="B329" s="2">
        <f>IFERROR(__xludf.DUMMYFUNCTION("""COMPUTED_VALUE"""),410.25)</f>
        <v>410.25</v>
      </c>
      <c r="C329" s="2">
        <f>IFERROR(__xludf.DUMMYFUNCTION("""COMPUTED_VALUE"""),410.72)</f>
        <v>410.72</v>
      </c>
      <c r="D329" s="2">
        <f>IFERROR(__xludf.DUMMYFUNCTION("""COMPUTED_VALUE"""),405.64)</f>
        <v>405.64</v>
      </c>
      <c r="E329" s="2">
        <f>IFERROR(__xludf.DUMMYFUNCTION("""COMPUTED_VALUE"""),408.74)</f>
        <v>408.74</v>
      </c>
      <c r="F329" s="2">
        <f>IFERROR(__xludf.DUMMYFUNCTION("""COMPUTED_VALUE"""),2288595.0)</f>
        <v>2288595</v>
      </c>
    </row>
    <row r="330">
      <c r="A330" s="3">
        <f>IFERROR(__xludf.DUMMYFUNCTION("""COMPUTED_VALUE"""),45406.66666666667)</f>
        <v>45406.66667</v>
      </c>
      <c r="B330" s="2">
        <f>IFERROR(__xludf.DUMMYFUNCTION("""COMPUTED_VALUE"""),407.1)</f>
        <v>407.1</v>
      </c>
      <c r="C330" s="2">
        <f>IFERROR(__xludf.DUMMYFUNCTION("""COMPUTED_VALUE"""),407.62)</f>
        <v>407.62</v>
      </c>
      <c r="D330" s="2">
        <f>IFERROR(__xludf.DUMMYFUNCTION("""COMPUTED_VALUE"""),403.88)</f>
        <v>403.88</v>
      </c>
      <c r="E330" s="2">
        <f>IFERROR(__xludf.DUMMYFUNCTION("""COMPUTED_VALUE"""),405.95)</f>
        <v>405.95</v>
      </c>
      <c r="F330" s="2">
        <f>IFERROR(__xludf.DUMMYFUNCTION("""COMPUTED_VALUE"""),2508495.0)</f>
        <v>2508495</v>
      </c>
    </row>
    <row r="331">
      <c r="A331" s="3">
        <f>IFERROR(__xludf.DUMMYFUNCTION("""COMPUTED_VALUE"""),45407.66666666667)</f>
        <v>45407.66667</v>
      </c>
      <c r="B331" s="2">
        <f>IFERROR(__xludf.DUMMYFUNCTION("""COMPUTED_VALUE"""),404.85)</f>
        <v>404.85</v>
      </c>
      <c r="C331" s="2">
        <f>IFERROR(__xludf.DUMMYFUNCTION("""COMPUTED_VALUE"""),406.14)</f>
        <v>406.14</v>
      </c>
      <c r="D331" s="2">
        <f>IFERROR(__xludf.DUMMYFUNCTION("""COMPUTED_VALUE"""),400.35)</f>
        <v>400.35</v>
      </c>
      <c r="E331" s="2">
        <f>IFERROR(__xludf.DUMMYFUNCTION("""COMPUTED_VALUE"""),404.91)</f>
        <v>404.91</v>
      </c>
      <c r="F331" s="2">
        <f>IFERROR(__xludf.DUMMYFUNCTION("""COMPUTED_VALUE"""),2676009.0)</f>
        <v>2676009</v>
      </c>
    </row>
    <row r="332">
      <c r="A332" s="3">
        <f>IFERROR(__xludf.DUMMYFUNCTION("""COMPUTED_VALUE"""),45408.66666666667)</f>
        <v>45408.66667</v>
      </c>
      <c r="B332" s="2">
        <f>IFERROR(__xludf.DUMMYFUNCTION("""COMPUTED_VALUE"""),403.92)</f>
        <v>403.92</v>
      </c>
      <c r="C332" s="2">
        <f>IFERROR(__xludf.DUMMYFUNCTION("""COMPUTED_VALUE"""),404.75)</f>
        <v>404.75</v>
      </c>
      <c r="D332" s="2">
        <f>IFERROR(__xludf.DUMMYFUNCTION("""COMPUTED_VALUE"""),401.41)</f>
        <v>401.41</v>
      </c>
      <c r="E332" s="2">
        <f>IFERROR(__xludf.DUMMYFUNCTION("""COMPUTED_VALUE"""),402.1)</f>
        <v>402.1</v>
      </c>
      <c r="F332" s="2">
        <f>IFERROR(__xludf.DUMMYFUNCTION("""COMPUTED_VALUE"""),3025406.0)</f>
        <v>3025406</v>
      </c>
    </row>
    <row r="333">
      <c r="A333" s="3">
        <f>IFERROR(__xludf.DUMMYFUNCTION("""COMPUTED_VALUE"""),45411.66666666667)</f>
        <v>45411.66667</v>
      </c>
      <c r="B333" s="2">
        <f>IFERROR(__xludf.DUMMYFUNCTION("""COMPUTED_VALUE"""),402.66)</f>
        <v>402.66</v>
      </c>
      <c r="C333" s="2">
        <f>IFERROR(__xludf.DUMMYFUNCTION("""COMPUTED_VALUE"""),404.87)</f>
        <v>404.87</v>
      </c>
      <c r="D333" s="2">
        <f>IFERROR(__xludf.DUMMYFUNCTION("""COMPUTED_VALUE"""),400.08)</f>
        <v>400.08</v>
      </c>
      <c r="E333" s="2">
        <f>IFERROR(__xludf.DUMMYFUNCTION("""COMPUTED_VALUE"""),400.96)</f>
        <v>400.96</v>
      </c>
      <c r="F333" s="2">
        <f>IFERROR(__xludf.DUMMYFUNCTION("""COMPUTED_VALUE"""),2365421.0)</f>
        <v>2365421</v>
      </c>
    </row>
    <row r="334">
      <c r="A334" s="3">
        <f>IFERROR(__xludf.DUMMYFUNCTION("""COMPUTED_VALUE"""),45412.66666666667)</f>
        <v>45412.66667</v>
      </c>
      <c r="B334" s="2">
        <f>IFERROR(__xludf.DUMMYFUNCTION("""COMPUTED_VALUE"""),400.58)</f>
        <v>400.58</v>
      </c>
      <c r="C334" s="2">
        <f>IFERROR(__xludf.DUMMYFUNCTION("""COMPUTED_VALUE"""),400.6)</f>
        <v>400.6</v>
      </c>
      <c r="D334" s="2">
        <f>IFERROR(__xludf.DUMMYFUNCTION("""COMPUTED_VALUE"""),396.37)</f>
        <v>396.37</v>
      </c>
      <c r="E334" s="2">
        <f>IFERROR(__xludf.DUMMYFUNCTION("""COMPUTED_VALUE"""),396.73)</f>
        <v>396.73</v>
      </c>
      <c r="F334" s="2">
        <f>IFERROR(__xludf.DUMMYFUNCTION("""COMPUTED_VALUE"""),3074765.0)</f>
        <v>3074765</v>
      </c>
    </row>
    <row r="335">
      <c r="A335" s="3">
        <f>IFERROR(__xludf.DUMMYFUNCTION("""COMPUTED_VALUE"""),45413.66666666667)</f>
        <v>45413.66667</v>
      </c>
      <c r="B335" s="2">
        <f>IFERROR(__xludf.DUMMYFUNCTION("""COMPUTED_VALUE"""),396.61)</f>
        <v>396.61</v>
      </c>
      <c r="C335" s="2">
        <f>IFERROR(__xludf.DUMMYFUNCTION("""COMPUTED_VALUE"""),402.32)</f>
        <v>402.32</v>
      </c>
      <c r="D335" s="2">
        <f>IFERROR(__xludf.DUMMYFUNCTION("""COMPUTED_VALUE"""),396.35)</f>
        <v>396.35</v>
      </c>
      <c r="E335" s="2">
        <f>IFERROR(__xludf.DUMMYFUNCTION("""COMPUTED_VALUE"""),398.58)</f>
        <v>398.58</v>
      </c>
      <c r="F335" s="2">
        <f>IFERROR(__xludf.DUMMYFUNCTION("""COMPUTED_VALUE"""),2606198.0)</f>
        <v>2606198</v>
      </c>
    </row>
    <row r="336">
      <c r="A336" s="3">
        <f>IFERROR(__xludf.DUMMYFUNCTION("""COMPUTED_VALUE"""),45414.66666666667)</f>
        <v>45414.66667</v>
      </c>
      <c r="B336" s="2">
        <f>IFERROR(__xludf.DUMMYFUNCTION("""COMPUTED_VALUE"""),401.0)</f>
        <v>401</v>
      </c>
      <c r="C336" s="2">
        <f>IFERROR(__xludf.DUMMYFUNCTION("""COMPUTED_VALUE"""),401.56)</f>
        <v>401.56</v>
      </c>
      <c r="D336" s="2">
        <f>IFERROR(__xludf.DUMMYFUNCTION("""COMPUTED_VALUE"""),397.88)</f>
        <v>397.88</v>
      </c>
      <c r="E336" s="2">
        <f>IFERROR(__xludf.DUMMYFUNCTION("""COMPUTED_VALUE"""),400.6)</f>
        <v>400.6</v>
      </c>
      <c r="F336" s="2">
        <f>IFERROR(__xludf.DUMMYFUNCTION("""COMPUTED_VALUE"""),2679740.0)</f>
        <v>2679740</v>
      </c>
    </row>
    <row r="337">
      <c r="A337" s="3">
        <f>IFERROR(__xludf.DUMMYFUNCTION("""COMPUTED_VALUE"""),45415.66666666667)</f>
        <v>45415.66667</v>
      </c>
      <c r="B337" s="2">
        <f>IFERROR(__xludf.DUMMYFUNCTION("""COMPUTED_VALUE"""),404.5)</f>
        <v>404.5</v>
      </c>
      <c r="C337" s="2">
        <f>IFERROR(__xludf.DUMMYFUNCTION("""COMPUTED_VALUE"""),404.5)</f>
        <v>404.5</v>
      </c>
      <c r="D337" s="2">
        <f>IFERROR(__xludf.DUMMYFUNCTION("""COMPUTED_VALUE"""),399.21)</f>
        <v>399.21</v>
      </c>
      <c r="E337" s="2">
        <f>IFERROR(__xludf.DUMMYFUNCTION("""COMPUTED_VALUE"""),400.87)</f>
        <v>400.87</v>
      </c>
      <c r="F337" s="2">
        <f>IFERROR(__xludf.DUMMYFUNCTION("""COMPUTED_VALUE"""),4130994.0)</f>
        <v>4130994</v>
      </c>
    </row>
    <row r="338">
      <c r="A338" s="3">
        <f>IFERROR(__xludf.DUMMYFUNCTION("""COMPUTED_VALUE"""),45418.66666666667)</f>
        <v>45418.66667</v>
      </c>
      <c r="B338" s="2">
        <f>IFERROR(__xludf.DUMMYFUNCTION("""COMPUTED_VALUE"""),403.96)</f>
        <v>403.96</v>
      </c>
      <c r="C338" s="2">
        <f>IFERROR(__xludf.DUMMYFUNCTION("""COMPUTED_VALUE"""),405.15)</f>
        <v>405.15</v>
      </c>
      <c r="D338" s="2">
        <f>IFERROR(__xludf.DUMMYFUNCTION("""COMPUTED_VALUE"""),399.26)</f>
        <v>399.26</v>
      </c>
      <c r="E338" s="2">
        <f>IFERROR(__xludf.DUMMYFUNCTION("""COMPUTED_VALUE"""),404.92)</f>
        <v>404.92</v>
      </c>
      <c r="F338" s="2">
        <f>IFERROR(__xludf.DUMMYFUNCTION("""COMPUTED_VALUE"""),3920908.0)</f>
        <v>3920908</v>
      </c>
    </row>
    <row r="339">
      <c r="A339" s="3">
        <f>IFERROR(__xludf.DUMMYFUNCTION("""COMPUTED_VALUE"""),45419.66666666667)</f>
        <v>45419.66667</v>
      </c>
      <c r="B339" s="2">
        <f>IFERROR(__xludf.DUMMYFUNCTION("""COMPUTED_VALUE"""),406.93)</f>
        <v>406.93</v>
      </c>
      <c r="C339" s="2">
        <f>IFERROR(__xludf.DUMMYFUNCTION("""COMPUTED_VALUE"""),407.26)</f>
        <v>407.26</v>
      </c>
      <c r="D339" s="2">
        <f>IFERROR(__xludf.DUMMYFUNCTION("""COMPUTED_VALUE"""),403.61)</f>
        <v>403.61</v>
      </c>
      <c r="E339" s="2">
        <f>IFERROR(__xludf.DUMMYFUNCTION("""COMPUTED_VALUE"""),406.14)</f>
        <v>406.14</v>
      </c>
      <c r="F339" s="2">
        <f>IFERROR(__xludf.DUMMYFUNCTION("""COMPUTED_VALUE"""),3085702.0)</f>
        <v>3085702</v>
      </c>
    </row>
    <row r="340">
      <c r="A340" s="3">
        <f>IFERROR(__xludf.DUMMYFUNCTION("""COMPUTED_VALUE"""),45420.66666666667)</f>
        <v>45420.66667</v>
      </c>
      <c r="B340" s="2">
        <f>IFERROR(__xludf.DUMMYFUNCTION("""COMPUTED_VALUE"""),406.47)</f>
        <v>406.47</v>
      </c>
      <c r="C340" s="2">
        <f>IFERROR(__xludf.DUMMYFUNCTION("""COMPUTED_VALUE"""),407.23)</f>
        <v>407.23</v>
      </c>
      <c r="D340" s="2">
        <f>IFERROR(__xludf.DUMMYFUNCTION("""COMPUTED_VALUE"""),403.75)</f>
        <v>403.75</v>
      </c>
      <c r="E340" s="2">
        <f>IFERROR(__xludf.DUMMYFUNCTION("""COMPUTED_VALUE"""),406.37)</f>
        <v>406.37</v>
      </c>
      <c r="F340" s="2">
        <f>IFERROR(__xludf.DUMMYFUNCTION("""COMPUTED_VALUE"""),2399639.0)</f>
        <v>2399639</v>
      </c>
    </row>
    <row r="341">
      <c r="A341" s="3">
        <f>IFERROR(__xludf.DUMMYFUNCTION("""COMPUTED_VALUE"""),45421.66666666667)</f>
        <v>45421.66667</v>
      </c>
      <c r="B341" s="2">
        <f>IFERROR(__xludf.DUMMYFUNCTION("""COMPUTED_VALUE"""),406.25)</f>
        <v>406.25</v>
      </c>
      <c r="C341" s="2">
        <f>IFERROR(__xludf.DUMMYFUNCTION("""COMPUTED_VALUE"""),408.87)</f>
        <v>408.87</v>
      </c>
      <c r="D341" s="2">
        <f>IFERROR(__xludf.DUMMYFUNCTION("""COMPUTED_VALUE"""),405.46)</f>
        <v>405.46</v>
      </c>
      <c r="E341" s="2">
        <f>IFERROR(__xludf.DUMMYFUNCTION("""COMPUTED_VALUE"""),408.82)</f>
        <v>408.82</v>
      </c>
      <c r="F341" s="2">
        <f>IFERROR(__xludf.DUMMYFUNCTION("""COMPUTED_VALUE"""),2358862.0)</f>
        <v>2358862</v>
      </c>
    </row>
    <row r="342">
      <c r="A342" s="3">
        <f>IFERROR(__xludf.DUMMYFUNCTION("""COMPUTED_VALUE"""),45422.66666666667)</f>
        <v>45422.66667</v>
      </c>
      <c r="B342" s="2">
        <f>IFERROR(__xludf.DUMMYFUNCTION("""COMPUTED_VALUE"""),409.85)</f>
        <v>409.85</v>
      </c>
      <c r="C342" s="2">
        <f>IFERROR(__xludf.DUMMYFUNCTION("""COMPUTED_VALUE"""),412.38)</f>
        <v>412.38</v>
      </c>
      <c r="D342" s="2">
        <f>IFERROR(__xludf.DUMMYFUNCTION("""COMPUTED_VALUE"""),409.2)</f>
        <v>409.2</v>
      </c>
      <c r="E342" s="2">
        <f>IFERROR(__xludf.DUMMYFUNCTION("""COMPUTED_VALUE"""),412.05)</f>
        <v>412.05</v>
      </c>
      <c r="F342" s="2">
        <f>IFERROR(__xludf.DUMMYFUNCTION("""COMPUTED_VALUE"""),3087837.0)</f>
        <v>3087837</v>
      </c>
    </row>
    <row r="343">
      <c r="A343" s="3">
        <f>IFERROR(__xludf.DUMMYFUNCTION("""COMPUTED_VALUE"""),45425.66666666667)</f>
        <v>45425.66667</v>
      </c>
      <c r="B343" s="2">
        <f>IFERROR(__xludf.DUMMYFUNCTION("""COMPUTED_VALUE"""),414.06)</f>
        <v>414.06</v>
      </c>
      <c r="C343" s="2">
        <f>IFERROR(__xludf.DUMMYFUNCTION("""COMPUTED_VALUE"""),414.3)</f>
        <v>414.3</v>
      </c>
      <c r="D343" s="2">
        <f>IFERROR(__xludf.DUMMYFUNCTION("""COMPUTED_VALUE"""),410.19)</f>
        <v>410.19</v>
      </c>
      <c r="E343" s="2">
        <f>IFERROR(__xludf.DUMMYFUNCTION("""COMPUTED_VALUE"""),411.22)</f>
        <v>411.22</v>
      </c>
      <c r="F343" s="2">
        <f>IFERROR(__xludf.DUMMYFUNCTION("""COMPUTED_VALUE"""),2711154.0)</f>
        <v>2711154</v>
      </c>
    </row>
    <row r="344">
      <c r="A344" s="3">
        <f>IFERROR(__xludf.DUMMYFUNCTION("""COMPUTED_VALUE"""),45426.66666666667)</f>
        <v>45426.66667</v>
      </c>
      <c r="B344" s="2">
        <f>IFERROR(__xludf.DUMMYFUNCTION("""COMPUTED_VALUE"""),410.45)</f>
        <v>410.45</v>
      </c>
      <c r="C344" s="2">
        <f>IFERROR(__xludf.DUMMYFUNCTION("""COMPUTED_VALUE"""),411.56)</f>
        <v>411.56</v>
      </c>
      <c r="D344" s="2">
        <f>IFERROR(__xludf.DUMMYFUNCTION("""COMPUTED_VALUE"""),408.17)</f>
        <v>408.17</v>
      </c>
      <c r="E344" s="2">
        <f>IFERROR(__xludf.DUMMYFUNCTION("""COMPUTED_VALUE"""),410.24)</f>
        <v>410.24</v>
      </c>
      <c r="F344" s="2">
        <f>IFERROR(__xludf.DUMMYFUNCTION("""COMPUTED_VALUE"""),2674407.0)</f>
        <v>2674407</v>
      </c>
    </row>
    <row r="345">
      <c r="A345" s="3">
        <f>IFERROR(__xludf.DUMMYFUNCTION("""COMPUTED_VALUE"""),45427.66666666667)</f>
        <v>45427.66667</v>
      </c>
      <c r="B345" s="2">
        <f>IFERROR(__xludf.DUMMYFUNCTION("""COMPUTED_VALUE"""),410.51)</f>
        <v>410.51</v>
      </c>
      <c r="C345" s="2">
        <f>IFERROR(__xludf.DUMMYFUNCTION("""COMPUTED_VALUE"""),413.4)</f>
        <v>413.4</v>
      </c>
      <c r="D345" s="2">
        <f>IFERROR(__xludf.DUMMYFUNCTION("""COMPUTED_VALUE"""),410.1)</f>
        <v>410.1</v>
      </c>
      <c r="E345" s="2">
        <f>IFERROR(__xludf.DUMMYFUNCTION("""COMPUTED_VALUE"""),412.76)</f>
        <v>412.76</v>
      </c>
      <c r="F345" s="2">
        <f>IFERROR(__xludf.DUMMYFUNCTION("""COMPUTED_VALUE"""),2857594.0)</f>
        <v>2857594</v>
      </c>
    </row>
    <row r="346">
      <c r="A346" s="3">
        <f>IFERROR(__xludf.DUMMYFUNCTION("""COMPUTED_VALUE"""),45428.66666666667)</f>
        <v>45428.66667</v>
      </c>
      <c r="B346" s="2">
        <f>IFERROR(__xludf.DUMMYFUNCTION("""COMPUTED_VALUE"""),413.8)</f>
        <v>413.8</v>
      </c>
      <c r="C346" s="2">
        <f>IFERROR(__xludf.DUMMYFUNCTION("""COMPUTED_VALUE"""),416.34)</f>
        <v>416.34</v>
      </c>
      <c r="D346" s="2">
        <f>IFERROR(__xludf.DUMMYFUNCTION("""COMPUTED_VALUE"""),412.91)</f>
        <v>412.91</v>
      </c>
      <c r="E346" s="2">
        <f>IFERROR(__xludf.DUMMYFUNCTION("""COMPUTED_VALUE"""),413.12)</f>
        <v>413.12</v>
      </c>
      <c r="F346" s="2">
        <f>IFERROR(__xludf.DUMMYFUNCTION("""COMPUTED_VALUE"""),3550693.0)</f>
        <v>3550693</v>
      </c>
    </row>
    <row r="347">
      <c r="A347" s="3">
        <f>IFERROR(__xludf.DUMMYFUNCTION("""COMPUTED_VALUE"""),45429.66666666667)</f>
        <v>45429.66667</v>
      </c>
      <c r="B347" s="2">
        <f>IFERROR(__xludf.DUMMYFUNCTION("""COMPUTED_VALUE"""),413.98)</f>
        <v>413.98</v>
      </c>
      <c r="C347" s="2">
        <f>IFERROR(__xludf.DUMMYFUNCTION("""COMPUTED_VALUE"""),417.33)</f>
        <v>417.33</v>
      </c>
      <c r="D347" s="2">
        <f>IFERROR(__xludf.DUMMYFUNCTION("""COMPUTED_VALUE"""),413.7)</f>
        <v>413.7</v>
      </c>
      <c r="E347" s="2">
        <f>IFERROR(__xludf.DUMMYFUNCTION("""COMPUTED_VALUE"""),416.94)</f>
        <v>416.94</v>
      </c>
      <c r="F347" s="2">
        <f>IFERROR(__xludf.DUMMYFUNCTION("""COMPUTED_VALUE"""),2990028.0)</f>
        <v>2990028</v>
      </c>
    </row>
    <row r="348">
      <c r="A348" s="3">
        <f>IFERROR(__xludf.DUMMYFUNCTION("""COMPUTED_VALUE"""),45432.66666666667)</f>
        <v>45432.66667</v>
      </c>
      <c r="B348" s="2">
        <f>IFERROR(__xludf.DUMMYFUNCTION("""COMPUTED_VALUE"""),417.04)</f>
        <v>417.04</v>
      </c>
      <c r="C348" s="2">
        <f>IFERROR(__xludf.DUMMYFUNCTION("""COMPUTED_VALUE"""),417.28)</f>
        <v>417.28</v>
      </c>
      <c r="D348" s="2">
        <f>IFERROR(__xludf.DUMMYFUNCTION("""COMPUTED_VALUE"""),412.62)</f>
        <v>412.62</v>
      </c>
      <c r="E348" s="2">
        <f>IFERROR(__xludf.DUMMYFUNCTION("""COMPUTED_VALUE"""),413.0)</f>
        <v>413</v>
      </c>
      <c r="F348" s="2">
        <f>IFERROR(__xludf.DUMMYFUNCTION("""COMPUTED_VALUE"""),3292715.0)</f>
        <v>3292715</v>
      </c>
    </row>
    <row r="349">
      <c r="A349" s="3">
        <f>IFERROR(__xludf.DUMMYFUNCTION("""COMPUTED_VALUE"""),45433.66666666667)</f>
        <v>45433.66667</v>
      </c>
      <c r="B349" s="2">
        <f>IFERROR(__xludf.DUMMYFUNCTION("""COMPUTED_VALUE"""),413.59)</f>
        <v>413.59</v>
      </c>
      <c r="C349" s="2">
        <f>IFERROR(__xludf.DUMMYFUNCTION("""COMPUTED_VALUE"""),415.7)</f>
        <v>415.7</v>
      </c>
      <c r="D349" s="2">
        <f>IFERROR(__xludf.DUMMYFUNCTION("""COMPUTED_VALUE"""),412.56)</f>
        <v>412.56</v>
      </c>
      <c r="E349" s="2">
        <f>IFERROR(__xludf.DUMMYFUNCTION("""COMPUTED_VALUE"""),414.37)</f>
        <v>414.37</v>
      </c>
      <c r="F349" s="2">
        <f>IFERROR(__xludf.DUMMYFUNCTION("""COMPUTED_VALUE"""),2740759.0)</f>
        <v>2740759</v>
      </c>
    </row>
    <row r="350">
      <c r="A350" s="3">
        <f>IFERROR(__xludf.DUMMYFUNCTION("""COMPUTED_VALUE"""),45434.66666666667)</f>
        <v>45434.66667</v>
      </c>
      <c r="B350" s="2">
        <f>IFERROR(__xludf.DUMMYFUNCTION("""COMPUTED_VALUE"""),414.95)</f>
        <v>414.95</v>
      </c>
      <c r="C350" s="2">
        <f>IFERROR(__xludf.DUMMYFUNCTION("""COMPUTED_VALUE"""),417.26)</f>
        <v>417.26</v>
      </c>
      <c r="D350" s="2">
        <f>IFERROR(__xludf.DUMMYFUNCTION("""COMPUTED_VALUE"""),412.96)</f>
        <v>412.96</v>
      </c>
      <c r="E350" s="2">
        <f>IFERROR(__xludf.DUMMYFUNCTION("""COMPUTED_VALUE"""),413.99)</f>
        <v>413.99</v>
      </c>
      <c r="F350" s="2">
        <f>IFERROR(__xludf.DUMMYFUNCTION("""COMPUTED_VALUE"""),2673507.0)</f>
        <v>2673507</v>
      </c>
    </row>
    <row r="351">
      <c r="A351" s="3">
        <f>IFERROR(__xludf.DUMMYFUNCTION("""COMPUTED_VALUE"""),45435.66666666667)</f>
        <v>45435.66667</v>
      </c>
      <c r="B351" s="2">
        <f>IFERROR(__xludf.DUMMYFUNCTION("""COMPUTED_VALUE"""),413.25)</f>
        <v>413.25</v>
      </c>
      <c r="C351" s="2">
        <f>IFERROR(__xludf.DUMMYFUNCTION("""COMPUTED_VALUE"""),413.25)</f>
        <v>413.25</v>
      </c>
      <c r="D351" s="2">
        <f>IFERROR(__xludf.DUMMYFUNCTION("""COMPUTED_VALUE"""),404.87)</f>
        <v>404.87</v>
      </c>
      <c r="E351" s="2">
        <f>IFERROR(__xludf.DUMMYFUNCTION("""COMPUTED_VALUE"""),405.88)</f>
        <v>405.88</v>
      </c>
      <c r="F351" s="2">
        <f>IFERROR(__xludf.DUMMYFUNCTION("""COMPUTED_VALUE"""),3398121.0)</f>
        <v>3398121</v>
      </c>
    </row>
    <row r="352">
      <c r="A352" s="3">
        <f>IFERROR(__xludf.DUMMYFUNCTION("""COMPUTED_VALUE"""),45436.66666666667)</f>
        <v>45436.66667</v>
      </c>
      <c r="B352" s="2">
        <f>IFERROR(__xludf.DUMMYFUNCTION("""COMPUTED_VALUE"""),406.9)</f>
        <v>406.9</v>
      </c>
      <c r="C352" s="2">
        <f>IFERROR(__xludf.DUMMYFUNCTION("""COMPUTED_VALUE"""),407.96)</f>
        <v>407.96</v>
      </c>
      <c r="D352" s="2">
        <f>IFERROR(__xludf.DUMMYFUNCTION("""COMPUTED_VALUE"""),405.5)</f>
        <v>405.5</v>
      </c>
      <c r="E352" s="2">
        <f>IFERROR(__xludf.DUMMYFUNCTION("""COMPUTED_VALUE"""),407.41)</f>
        <v>407.41</v>
      </c>
      <c r="F352" s="2">
        <f>IFERROR(__xludf.DUMMYFUNCTION("""COMPUTED_VALUE"""),2068921.0)</f>
        <v>2068921</v>
      </c>
    </row>
    <row r="353">
      <c r="A353" s="3">
        <f>IFERROR(__xludf.DUMMYFUNCTION("""COMPUTED_VALUE"""),45440.66666666667)</f>
        <v>45440.66667</v>
      </c>
      <c r="B353" s="2">
        <f>IFERROR(__xludf.DUMMYFUNCTION("""COMPUTED_VALUE"""),408.24)</f>
        <v>408.24</v>
      </c>
      <c r="C353" s="2">
        <f>IFERROR(__xludf.DUMMYFUNCTION("""COMPUTED_VALUE"""),408.24)</f>
        <v>408.24</v>
      </c>
      <c r="D353" s="2">
        <f>IFERROR(__xludf.DUMMYFUNCTION("""COMPUTED_VALUE"""),401.87)</f>
        <v>401.87</v>
      </c>
      <c r="E353" s="2">
        <f>IFERROR(__xludf.DUMMYFUNCTION("""COMPUTED_VALUE"""),403.9)</f>
        <v>403.9</v>
      </c>
      <c r="F353" s="2">
        <f>IFERROR(__xludf.DUMMYFUNCTION("""COMPUTED_VALUE"""),3321863.0)</f>
        <v>3321863</v>
      </c>
    </row>
    <row r="354">
      <c r="A354" s="3">
        <f>IFERROR(__xludf.DUMMYFUNCTION("""COMPUTED_VALUE"""),45441.66666666667)</f>
        <v>45441.66667</v>
      </c>
      <c r="B354" s="2">
        <f>IFERROR(__xludf.DUMMYFUNCTION("""COMPUTED_VALUE"""),403.0)</f>
        <v>403</v>
      </c>
      <c r="C354" s="2">
        <f>IFERROR(__xludf.DUMMYFUNCTION("""COMPUTED_VALUE"""),405.87)</f>
        <v>405.87</v>
      </c>
      <c r="D354" s="2">
        <f>IFERROR(__xludf.DUMMYFUNCTION("""COMPUTED_VALUE"""),401.58)</f>
        <v>401.58</v>
      </c>
      <c r="E354" s="2">
        <f>IFERROR(__xludf.DUMMYFUNCTION("""COMPUTED_VALUE"""),404.09)</f>
        <v>404.09</v>
      </c>
      <c r="F354" s="2">
        <f>IFERROR(__xludf.DUMMYFUNCTION("""COMPUTED_VALUE"""),3428787.0)</f>
        <v>3428787</v>
      </c>
    </row>
    <row r="355">
      <c r="A355" s="3">
        <f>IFERROR(__xludf.DUMMYFUNCTION("""COMPUTED_VALUE"""),45442.66666666667)</f>
        <v>45442.66667</v>
      </c>
      <c r="B355" s="2">
        <f>IFERROR(__xludf.DUMMYFUNCTION("""COMPUTED_VALUE"""),403.77)</f>
        <v>403.77</v>
      </c>
      <c r="C355" s="2">
        <f>IFERROR(__xludf.DUMMYFUNCTION("""COMPUTED_VALUE"""),409.04)</f>
        <v>409.04</v>
      </c>
      <c r="D355" s="2">
        <f>IFERROR(__xludf.DUMMYFUNCTION("""COMPUTED_VALUE"""),402.77)</f>
        <v>402.77</v>
      </c>
      <c r="E355" s="2">
        <f>IFERROR(__xludf.DUMMYFUNCTION("""COMPUTED_VALUE"""),408.61)</f>
        <v>408.61</v>
      </c>
      <c r="F355" s="2">
        <f>IFERROR(__xludf.DUMMYFUNCTION("""COMPUTED_VALUE"""),2907090.0)</f>
        <v>2907090</v>
      </c>
    </row>
    <row r="356">
      <c r="A356" s="3">
        <f>IFERROR(__xludf.DUMMYFUNCTION("""COMPUTED_VALUE"""),45443.66666666667)</f>
        <v>45443.66667</v>
      </c>
      <c r="B356" s="2">
        <f>IFERROR(__xludf.DUMMYFUNCTION("""COMPUTED_VALUE"""),408.09)</f>
        <v>408.09</v>
      </c>
      <c r="C356" s="2">
        <f>IFERROR(__xludf.DUMMYFUNCTION("""COMPUTED_VALUE"""),415.4)</f>
        <v>415.4</v>
      </c>
      <c r="D356" s="2">
        <f>IFERROR(__xludf.DUMMYFUNCTION("""COMPUTED_VALUE"""),406.88)</f>
        <v>406.88</v>
      </c>
      <c r="E356" s="2">
        <f>IFERROR(__xludf.DUMMYFUNCTION("""COMPUTED_VALUE"""),414.4)</f>
        <v>414.4</v>
      </c>
      <c r="F356" s="2">
        <f>IFERROR(__xludf.DUMMYFUNCTION("""COMPUTED_VALUE"""),5197520.0)</f>
        <v>5197520</v>
      </c>
    </row>
    <row r="357">
      <c r="A357" s="3">
        <f>IFERROR(__xludf.DUMMYFUNCTION("""COMPUTED_VALUE"""),45446.66666666667)</f>
        <v>45446.66667</v>
      </c>
      <c r="B357" s="2">
        <f>IFERROR(__xludf.DUMMYFUNCTION("""COMPUTED_VALUE"""),414.89)</f>
        <v>414.89</v>
      </c>
      <c r="C357" s="2">
        <f>IFERROR(__xludf.DUMMYFUNCTION("""COMPUTED_VALUE"""),416.72)</f>
        <v>416.72</v>
      </c>
      <c r="D357" s="2">
        <f>IFERROR(__xludf.DUMMYFUNCTION("""COMPUTED_VALUE"""),408.78)</f>
        <v>408.78</v>
      </c>
      <c r="E357" s="2">
        <f>IFERROR(__xludf.DUMMYFUNCTION("""COMPUTED_VALUE"""),414.79)</f>
        <v>414.79</v>
      </c>
      <c r="F357" s="2">
        <f>IFERROR(__xludf.DUMMYFUNCTION("""COMPUTED_VALUE"""),4905810.0)</f>
        <v>4905810</v>
      </c>
    </row>
    <row r="358">
      <c r="A358" s="3">
        <f>IFERROR(__xludf.DUMMYFUNCTION("""COMPUTED_VALUE"""),45447.66666666667)</f>
        <v>45447.66667</v>
      </c>
      <c r="B358" s="2">
        <f>IFERROR(__xludf.DUMMYFUNCTION("""COMPUTED_VALUE"""),414.85)</f>
        <v>414.85</v>
      </c>
      <c r="C358" s="2">
        <f>IFERROR(__xludf.DUMMYFUNCTION("""COMPUTED_VALUE"""),415.89)</f>
        <v>415.89</v>
      </c>
      <c r="D358" s="2">
        <f>IFERROR(__xludf.DUMMYFUNCTION("""COMPUTED_VALUE"""),406.44)</f>
        <v>406.44</v>
      </c>
      <c r="E358" s="2">
        <f>IFERROR(__xludf.DUMMYFUNCTION("""COMPUTED_VALUE"""),409.53)</f>
        <v>409.53</v>
      </c>
      <c r="F358" s="2">
        <f>IFERROR(__xludf.DUMMYFUNCTION("""COMPUTED_VALUE"""),4157980.0)</f>
        <v>4157980</v>
      </c>
    </row>
    <row r="359">
      <c r="A359" s="3">
        <f>IFERROR(__xludf.DUMMYFUNCTION("""COMPUTED_VALUE"""),45448.66666666667)</f>
        <v>45448.66667</v>
      </c>
      <c r="B359" s="2">
        <f>IFERROR(__xludf.DUMMYFUNCTION("""COMPUTED_VALUE"""),410.1)</f>
        <v>410.1</v>
      </c>
      <c r="C359" s="2">
        <f>IFERROR(__xludf.DUMMYFUNCTION("""COMPUTED_VALUE"""),410.28)</f>
        <v>410.28</v>
      </c>
      <c r="D359" s="2">
        <f>IFERROR(__xludf.DUMMYFUNCTION("""COMPUTED_VALUE"""),405.77)</f>
        <v>405.77</v>
      </c>
      <c r="E359" s="2">
        <f>IFERROR(__xludf.DUMMYFUNCTION("""COMPUTED_VALUE"""),409.85)</f>
        <v>409.85</v>
      </c>
      <c r="F359" s="2">
        <f>IFERROR(__xludf.DUMMYFUNCTION("""COMPUTED_VALUE"""),2643906.0)</f>
        <v>2643906</v>
      </c>
    </row>
    <row r="360">
      <c r="A360" s="3">
        <f>IFERROR(__xludf.DUMMYFUNCTION("""COMPUTED_VALUE"""),45449.66666666667)</f>
        <v>45449.66667</v>
      </c>
      <c r="B360" s="2">
        <f>IFERROR(__xludf.DUMMYFUNCTION("""COMPUTED_VALUE"""),410.42)</f>
        <v>410.42</v>
      </c>
      <c r="C360" s="2">
        <f>IFERROR(__xludf.DUMMYFUNCTION("""COMPUTED_VALUE"""),411.24)</f>
        <v>411.24</v>
      </c>
      <c r="D360" s="2">
        <f>IFERROR(__xludf.DUMMYFUNCTION("""COMPUTED_VALUE"""),407.38)</f>
        <v>407.38</v>
      </c>
      <c r="E360" s="2">
        <f>IFERROR(__xludf.DUMMYFUNCTION("""COMPUTED_VALUE"""),411.08)</f>
        <v>411.08</v>
      </c>
      <c r="F360" s="2">
        <f>IFERROR(__xludf.DUMMYFUNCTION("""COMPUTED_VALUE"""),3447914.0)</f>
        <v>3447914</v>
      </c>
    </row>
    <row r="361">
      <c r="A361" s="3">
        <f>IFERROR(__xludf.DUMMYFUNCTION("""COMPUTED_VALUE"""),45450.66666666667)</f>
        <v>45450.66667</v>
      </c>
      <c r="B361" s="2">
        <f>IFERROR(__xludf.DUMMYFUNCTION("""COMPUTED_VALUE"""),411.28)</f>
        <v>411.28</v>
      </c>
      <c r="C361" s="2">
        <f>IFERROR(__xludf.DUMMYFUNCTION("""COMPUTED_VALUE"""),415.88)</f>
        <v>415.88</v>
      </c>
      <c r="D361" s="2">
        <f>IFERROR(__xludf.DUMMYFUNCTION("""COMPUTED_VALUE"""),409.85)</f>
        <v>409.85</v>
      </c>
      <c r="E361" s="2">
        <f>IFERROR(__xludf.DUMMYFUNCTION("""COMPUTED_VALUE"""),413.72)</f>
        <v>413.72</v>
      </c>
      <c r="F361" s="2">
        <f>IFERROR(__xludf.DUMMYFUNCTION("""COMPUTED_VALUE"""),2943072.0)</f>
        <v>2943072</v>
      </c>
    </row>
    <row r="362">
      <c r="A362" s="3">
        <f>IFERROR(__xludf.DUMMYFUNCTION("""COMPUTED_VALUE"""),45453.66666666667)</f>
        <v>45453.66667</v>
      </c>
      <c r="B362" s="2">
        <f>IFERROR(__xludf.DUMMYFUNCTION("""COMPUTED_VALUE"""),413.34)</f>
        <v>413.34</v>
      </c>
      <c r="C362" s="2">
        <f>IFERROR(__xludf.DUMMYFUNCTION("""COMPUTED_VALUE"""),413.94)</f>
        <v>413.94</v>
      </c>
      <c r="D362" s="2">
        <f>IFERROR(__xludf.DUMMYFUNCTION("""COMPUTED_VALUE"""),409.27)</f>
        <v>409.27</v>
      </c>
      <c r="E362" s="2">
        <f>IFERROR(__xludf.DUMMYFUNCTION("""COMPUTED_VALUE"""),410.81)</f>
        <v>410.81</v>
      </c>
      <c r="F362" s="2">
        <f>IFERROR(__xludf.DUMMYFUNCTION("""COMPUTED_VALUE"""),2668443.0)</f>
        <v>2668443</v>
      </c>
    </row>
    <row r="363">
      <c r="A363" s="3">
        <f>IFERROR(__xludf.DUMMYFUNCTION("""COMPUTED_VALUE"""),45454.66666666667)</f>
        <v>45454.66667</v>
      </c>
      <c r="B363" s="2">
        <f>IFERROR(__xludf.DUMMYFUNCTION("""COMPUTED_VALUE"""),408.88)</f>
        <v>408.88</v>
      </c>
      <c r="C363" s="2">
        <f>IFERROR(__xludf.DUMMYFUNCTION("""COMPUTED_VALUE"""),408.91)</f>
        <v>408.91</v>
      </c>
      <c r="D363" s="2">
        <f>IFERROR(__xludf.DUMMYFUNCTION("""COMPUTED_VALUE"""),406.11)</f>
        <v>406.11</v>
      </c>
      <c r="E363" s="2">
        <f>IFERROR(__xludf.DUMMYFUNCTION("""COMPUTED_VALUE"""),408.5)</f>
        <v>408.5</v>
      </c>
      <c r="F363" s="2">
        <f>IFERROR(__xludf.DUMMYFUNCTION("""COMPUTED_VALUE"""),3610600.0)</f>
        <v>3610600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tr">
        <f>IFERROR(__xludf.DUMMYFUNCTION("(GOOGLEFINANCE(""GOOG"", ""all"", DATE(2023, 1, 1), today()))"),"Date")</f>
        <v>Date</v>
      </c>
      <c r="B1" s="2" t="str">
        <f>IFERROR(__xludf.DUMMYFUNCTION("""COMPUTED_VALUE"""),"Open")</f>
        <v>Open</v>
      </c>
      <c r="C1" s="2" t="str">
        <f>IFERROR(__xludf.DUMMYFUNCTION("""COMPUTED_VALUE"""),"High")</f>
        <v>High</v>
      </c>
      <c r="D1" s="2" t="str">
        <f>IFERROR(__xludf.DUMMYFUNCTION("""COMPUTED_VALUE"""),"Low")</f>
        <v>Low</v>
      </c>
      <c r="E1" s="2" t="str">
        <f>IFERROR(__xludf.DUMMYFUNCTION("""COMPUTED_VALUE"""),"Close")</f>
        <v>Close</v>
      </c>
      <c r="F1" s="2" t="str">
        <f>IFERROR(__xludf.DUMMYFUNCTION("""COMPUTED_VALUE"""),"Volume")</f>
        <v>Volume</v>
      </c>
    </row>
    <row r="2">
      <c r="A2" s="3">
        <f>IFERROR(__xludf.DUMMYFUNCTION("""COMPUTED_VALUE"""),44929.66666666667)</f>
        <v>44929.66667</v>
      </c>
      <c r="B2" s="2">
        <f>IFERROR(__xludf.DUMMYFUNCTION("""COMPUTED_VALUE"""),89.83)</f>
        <v>89.83</v>
      </c>
      <c r="C2" s="2">
        <f>IFERROR(__xludf.DUMMYFUNCTION("""COMPUTED_VALUE"""),91.55)</f>
        <v>91.55</v>
      </c>
      <c r="D2" s="2">
        <f>IFERROR(__xludf.DUMMYFUNCTION("""COMPUTED_VALUE"""),89.02)</f>
        <v>89.02</v>
      </c>
      <c r="E2" s="2">
        <f>IFERROR(__xludf.DUMMYFUNCTION("""COMPUTED_VALUE"""),89.7)</f>
        <v>89.7</v>
      </c>
      <c r="F2" s="2">
        <f>IFERROR(__xludf.DUMMYFUNCTION("""COMPUTED_VALUE"""),2.0738457E7)</f>
        <v>20738457</v>
      </c>
    </row>
    <row r="3">
      <c r="A3" s="3">
        <f>IFERROR(__xludf.DUMMYFUNCTION("""COMPUTED_VALUE"""),44930.66666666667)</f>
        <v>44930.66667</v>
      </c>
      <c r="B3" s="2">
        <f>IFERROR(__xludf.DUMMYFUNCTION("""COMPUTED_VALUE"""),91.01)</f>
        <v>91.01</v>
      </c>
      <c r="C3" s="2">
        <f>IFERROR(__xludf.DUMMYFUNCTION("""COMPUTED_VALUE"""),91.24)</f>
        <v>91.24</v>
      </c>
      <c r="D3" s="2">
        <f>IFERROR(__xludf.DUMMYFUNCTION("""COMPUTED_VALUE"""),87.8)</f>
        <v>87.8</v>
      </c>
      <c r="E3" s="2">
        <f>IFERROR(__xludf.DUMMYFUNCTION("""COMPUTED_VALUE"""),88.71)</f>
        <v>88.71</v>
      </c>
      <c r="F3" s="2">
        <f>IFERROR(__xludf.DUMMYFUNCTION("""COMPUTED_VALUE"""),2.7046483E7)</f>
        <v>27046483</v>
      </c>
    </row>
    <row r="4">
      <c r="A4" s="3">
        <f>IFERROR(__xludf.DUMMYFUNCTION("""COMPUTED_VALUE"""),44931.66666666667)</f>
        <v>44931.66667</v>
      </c>
      <c r="B4" s="2">
        <f>IFERROR(__xludf.DUMMYFUNCTION("""COMPUTED_VALUE"""),88.07)</f>
        <v>88.07</v>
      </c>
      <c r="C4" s="2">
        <f>IFERROR(__xludf.DUMMYFUNCTION("""COMPUTED_VALUE"""),88.21)</f>
        <v>88.21</v>
      </c>
      <c r="D4" s="2">
        <f>IFERROR(__xludf.DUMMYFUNCTION("""COMPUTED_VALUE"""),86.56)</f>
        <v>86.56</v>
      </c>
      <c r="E4" s="2">
        <f>IFERROR(__xludf.DUMMYFUNCTION("""COMPUTED_VALUE"""),86.77)</f>
        <v>86.77</v>
      </c>
      <c r="F4" s="2">
        <f>IFERROR(__xludf.DUMMYFUNCTION("""COMPUTED_VALUE"""),2.3136084E7)</f>
        <v>23136084</v>
      </c>
    </row>
    <row r="5">
      <c r="A5" s="3">
        <f>IFERROR(__xludf.DUMMYFUNCTION("""COMPUTED_VALUE"""),44932.66666666667)</f>
        <v>44932.66667</v>
      </c>
      <c r="B5" s="2">
        <f>IFERROR(__xludf.DUMMYFUNCTION("""COMPUTED_VALUE"""),87.36)</f>
        <v>87.36</v>
      </c>
      <c r="C5" s="2">
        <f>IFERROR(__xludf.DUMMYFUNCTION("""COMPUTED_VALUE"""),88.47)</f>
        <v>88.47</v>
      </c>
      <c r="D5" s="2">
        <f>IFERROR(__xludf.DUMMYFUNCTION("""COMPUTED_VALUE"""),85.57)</f>
        <v>85.57</v>
      </c>
      <c r="E5" s="2">
        <f>IFERROR(__xludf.DUMMYFUNCTION("""COMPUTED_VALUE"""),88.16)</f>
        <v>88.16</v>
      </c>
      <c r="F5" s="2">
        <f>IFERROR(__xludf.DUMMYFUNCTION("""COMPUTED_VALUE"""),2.6612628E7)</f>
        <v>26612628</v>
      </c>
    </row>
    <row r="6">
      <c r="A6" s="3">
        <f>IFERROR(__xludf.DUMMYFUNCTION("""COMPUTED_VALUE"""),44935.66666666667)</f>
        <v>44935.66667</v>
      </c>
      <c r="B6" s="2">
        <f>IFERROR(__xludf.DUMMYFUNCTION("""COMPUTED_VALUE"""),89.2)</f>
        <v>89.2</v>
      </c>
      <c r="C6" s="2">
        <f>IFERROR(__xludf.DUMMYFUNCTION("""COMPUTED_VALUE"""),90.83)</f>
        <v>90.83</v>
      </c>
      <c r="D6" s="2">
        <f>IFERROR(__xludf.DUMMYFUNCTION("""COMPUTED_VALUE"""),88.58)</f>
        <v>88.58</v>
      </c>
      <c r="E6" s="2">
        <f>IFERROR(__xludf.DUMMYFUNCTION("""COMPUTED_VALUE"""),88.8)</f>
        <v>88.8</v>
      </c>
      <c r="F6" s="2">
        <f>IFERROR(__xludf.DUMMYFUNCTION("""COMPUTED_VALUE"""),2.2996681E7)</f>
        <v>22996681</v>
      </c>
    </row>
    <row r="7">
      <c r="A7" s="3">
        <f>IFERROR(__xludf.DUMMYFUNCTION("""COMPUTED_VALUE"""),44936.66666666667)</f>
        <v>44936.66667</v>
      </c>
      <c r="B7" s="2">
        <f>IFERROR(__xludf.DUMMYFUNCTION("""COMPUTED_VALUE"""),86.72)</f>
        <v>86.72</v>
      </c>
      <c r="C7" s="2">
        <f>IFERROR(__xludf.DUMMYFUNCTION("""COMPUTED_VALUE"""),89.48)</f>
        <v>89.48</v>
      </c>
      <c r="D7" s="2">
        <f>IFERROR(__xludf.DUMMYFUNCTION("""COMPUTED_VALUE"""),86.7)</f>
        <v>86.7</v>
      </c>
      <c r="E7" s="2">
        <f>IFERROR(__xludf.DUMMYFUNCTION("""COMPUTED_VALUE"""),89.24)</f>
        <v>89.24</v>
      </c>
      <c r="F7" s="2">
        <f>IFERROR(__xludf.DUMMYFUNCTION("""COMPUTED_VALUE"""),2.285559E7)</f>
        <v>22855590</v>
      </c>
    </row>
    <row r="8">
      <c r="A8" s="3">
        <f>IFERROR(__xludf.DUMMYFUNCTION("""COMPUTED_VALUE"""),44937.66666666667)</f>
        <v>44937.66667</v>
      </c>
      <c r="B8" s="2">
        <f>IFERROR(__xludf.DUMMYFUNCTION("""COMPUTED_VALUE"""),90.06)</f>
        <v>90.06</v>
      </c>
      <c r="C8" s="2">
        <f>IFERROR(__xludf.DUMMYFUNCTION("""COMPUTED_VALUE"""),92.45)</f>
        <v>92.45</v>
      </c>
      <c r="D8" s="2">
        <f>IFERROR(__xludf.DUMMYFUNCTION("""COMPUTED_VALUE"""),89.74)</f>
        <v>89.74</v>
      </c>
      <c r="E8" s="2">
        <f>IFERROR(__xludf.DUMMYFUNCTION("""COMPUTED_VALUE"""),92.26)</f>
        <v>92.26</v>
      </c>
      <c r="F8" s="2">
        <f>IFERROR(__xludf.DUMMYFUNCTION("""COMPUTED_VALUE"""),2.5998844E7)</f>
        <v>25998844</v>
      </c>
    </row>
    <row r="9">
      <c r="A9" s="3">
        <f>IFERROR(__xludf.DUMMYFUNCTION("""COMPUTED_VALUE"""),44938.66666666667)</f>
        <v>44938.66667</v>
      </c>
      <c r="B9" s="2">
        <f>IFERROR(__xludf.DUMMYFUNCTION("""COMPUTED_VALUE"""),92.4)</f>
        <v>92.4</v>
      </c>
      <c r="C9" s="2">
        <f>IFERROR(__xludf.DUMMYFUNCTION("""COMPUTED_VALUE"""),92.62)</f>
        <v>92.62</v>
      </c>
      <c r="D9" s="2">
        <f>IFERROR(__xludf.DUMMYFUNCTION("""COMPUTED_VALUE"""),90.57)</f>
        <v>90.57</v>
      </c>
      <c r="E9" s="2">
        <f>IFERROR(__xludf.DUMMYFUNCTION("""COMPUTED_VALUE"""),91.91)</f>
        <v>91.91</v>
      </c>
      <c r="F9" s="2">
        <f>IFERROR(__xludf.DUMMYFUNCTION("""COMPUTED_VALUE"""),2.2754216E7)</f>
        <v>22754216</v>
      </c>
    </row>
    <row r="10">
      <c r="A10" s="3">
        <f>IFERROR(__xludf.DUMMYFUNCTION("""COMPUTED_VALUE"""),44939.66666666667)</f>
        <v>44939.66667</v>
      </c>
      <c r="B10" s="2">
        <f>IFERROR(__xludf.DUMMYFUNCTION("""COMPUTED_VALUE"""),91.53)</f>
        <v>91.53</v>
      </c>
      <c r="C10" s="2">
        <f>IFERROR(__xludf.DUMMYFUNCTION("""COMPUTED_VALUE"""),92.98)</f>
        <v>92.98</v>
      </c>
      <c r="D10" s="2">
        <f>IFERROR(__xludf.DUMMYFUNCTION("""COMPUTED_VALUE"""),90.93)</f>
        <v>90.93</v>
      </c>
      <c r="E10" s="2">
        <f>IFERROR(__xludf.DUMMYFUNCTION("""COMPUTED_VALUE"""),92.8)</f>
        <v>92.8</v>
      </c>
      <c r="F10" s="2">
        <f>IFERROR(__xludf.DUMMYFUNCTION("""COMPUTED_VALUE"""),1.8630709E7)</f>
        <v>18630709</v>
      </c>
    </row>
    <row r="11">
      <c r="A11" s="3">
        <f>IFERROR(__xludf.DUMMYFUNCTION("""COMPUTED_VALUE"""),44943.66666666667)</f>
        <v>44943.66667</v>
      </c>
      <c r="B11" s="2">
        <f>IFERROR(__xludf.DUMMYFUNCTION("""COMPUTED_VALUE"""),92.78)</f>
        <v>92.78</v>
      </c>
      <c r="C11" s="2">
        <f>IFERROR(__xludf.DUMMYFUNCTION("""COMPUTED_VALUE"""),92.97)</f>
        <v>92.97</v>
      </c>
      <c r="D11" s="2">
        <f>IFERROR(__xludf.DUMMYFUNCTION("""COMPUTED_VALUE"""),90.84)</f>
        <v>90.84</v>
      </c>
      <c r="E11" s="2">
        <f>IFERROR(__xludf.DUMMYFUNCTION("""COMPUTED_VALUE"""),92.16)</f>
        <v>92.16</v>
      </c>
      <c r="F11" s="2">
        <f>IFERROR(__xludf.DUMMYFUNCTION("""COMPUTED_VALUE"""),2.2935823E7)</f>
        <v>22935823</v>
      </c>
    </row>
    <row r="12">
      <c r="A12" s="3">
        <f>IFERROR(__xludf.DUMMYFUNCTION("""COMPUTED_VALUE"""),44944.66666666667)</f>
        <v>44944.66667</v>
      </c>
      <c r="B12" s="2">
        <f>IFERROR(__xludf.DUMMYFUNCTION("""COMPUTED_VALUE"""),92.94)</f>
        <v>92.94</v>
      </c>
      <c r="C12" s="2">
        <f>IFERROR(__xludf.DUMMYFUNCTION("""COMPUTED_VALUE"""),93.59)</f>
        <v>93.59</v>
      </c>
      <c r="D12" s="2">
        <f>IFERROR(__xludf.DUMMYFUNCTION("""COMPUTED_VALUE"""),91.4)</f>
        <v>91.4</v>
      </c>
      <c r="E12" s="2">
        <f>IFERROR(__xludf.DUMMYFUNCTION("""COMPUTED_VALUE"""),91.78)</f>
        <v>91.78</v>
      </c>
      <c r="F12" s="2">
        <f>IFERROR(__xludf.DUMMYFUNCTION("""COMPUTED_VALUE"""),1.9641622E7)</f>
        <v>19641622</v>
      </c>
    </row>
    <row r="13">
      <c r="A13" s="3">
        <f>IFERROR(__xludf.DUMMYFUNCTION("""COMPUTED_VALUE"""),44945.66666666667)</f>
        <v>44945.66667</v>
      </c>
      <c r="B13" s="2">
        <f>IFERROR(__xludf.DUMMYFUNCTION("""COMPUTED_VALUE"""),91.39)</f>
        <v>91.39</v>
      </c>
      <c r="C13" s="2">
        <f>IFERROR(__xludf.DUMMYFUNCTION("""COMPUTED_VALUE"""),94.4)</f>
        <v>94.4</v>
      </c>
      <c r="D13" s="2">
        <f>IFERROR(__xludf.DUMMYFUNCTION("""COMPUTED_VALUE"""),91.38)</f>
        <v>91.38</v>
      </c>
      <c r="E13" s="2">
        <f>IFERROR(__xludf.DUMMYFUNCTION("""COMPUTED_VALUE"""),93.91)</f>
        <v>93.91</v>
      </c>
      <c r="F13" s="2">
        <f>IFERROR(__xludf.DUMMYFUNCTION("""COMPUTED_VALUE"""),2.8707653E7)</f>
        <v>28707653</v>
      </c>
    </row>
    <row r="14">
      <c r="A14" s="3">
        <f>IFERROR(__xludf.DUMMYFUNCTION("""COMPUTED_VALUE"""),44946.66666666667)</f>
        <v>44946.66667</v>
      </c>
      <c r="B14" s="2">
        <f>IFERROR(__xludf.DUMMYFUNCTION("""COMPUTED_VALUE"""),95.95)</f>
        <v>95.95</v>
      </c>
      <c r="C14" s="2">
        <f>IFERROR(__xludf.DUMMYFUNCTION("""COMPUTED_VALUE"""),99.42)</f>
        <v>99.42</v>
      </c>
      <c r="D14" s="2">
        <f>IFERROR(__xludf.DUMMYFUNCTION("""COMPUTED_VALUE"""),95.91)</f>
        <v>95.91</v>
      </c>
      <c r="E14" s="2">
        <f>IFERROR(__xludf.DUMMYFUNCTION("""COMPUTED_VALUE"""),99.28)</f>
        <v>99.28</v>
      </c>
      <c r="F14" s="2">
        <f>IFERROR(__xludf.DUMMYFUNCTION("""COMPUTED_VALUE"""),5.3704763E7)</f>
        <v>53704763</v>
      </c>
    </row>
    <row r="15">
      <c r="A15" s="3">
        <f>IFERROR(__xludf.DUMMYFUNCTION("""COMPUTED_VALUE"""),44949.66666666667)</f>
        <v>44949.66667</v>
      </c>
      <c r="B15" s="2">
        <f>IFERROR(__xludf.DUMMYFUNCTION("""COMPUTED_VALUE"""),99.13)</f>
        <v>99.13</v>
      </c>
      <c r="C15" s="2">
        <f>IFERROR(__xludf.DUMMYFUNCTION("""COMPUTED_VALUE"""),101.4)</f>
        <v>101.4</v>
      </c>
      <c r="D15" s="2">
        <f>IFERROR(__xludf.DUMMYFUNCTION("""COMPUTED_VALUE"""),98.75)</f>
        <v>98.75</v>
      </c>
      <c r="E15" s="2">
        <f>IFERROR(__xludf.DUMMYFUNCTION("""COMPUTED_VALUE"""),101.21)</f>
        <v>101.21</v>
      </c>
      <c r="F15" s="2">
        <f>IFERROR(__xludf.DUMMYFUNCTION("""COMPUTED_VALUE"""),3.1791782E7)</f>
        <v>31791782</v>
      </c>
    </row>
    <row r="16">
      <c r="A16" s="3">
        <f>IFERROR(__xludf.DUMMYFUNCTION("""COMPUTED_VALUE"""),44950.66666666667)</f>
        <v>44950.66667</v>
      </c>
      <c r="B16" s="2">
        <f>IFERROR(__xludf.DUMMYFUNCTION("""COMPUTED_VALUE"""),99.55)</f>
        <v>99.55</v>
      </c>
      <c r="C16" s="2">
        <f>IFERROR(__xludf.DUMMYFUNCTION("""COMPUTED_VALUE"""),101.09)</f>
        <v>101.09</v>
      </c>
      <c r="D16" s="2">
        <f>IFERROR(__xludf.DUMMYFUNCTION("""COMPUTED_VALUE"""),98.7)</f>
        <v>98.7</v>
      </c>
      <c r="E16" s="2">
        <f>IFERROR(__xludf.DUMMYFUNCTION("""COMPUTED_VALUE"""),99.21)</f>
        <v>99.21</v>
      </c>
      <c r="F16" s="2">
        <f>IFERROR(__xludf.DUMMYFUNCTION("""COMPUTED_VALUE"""),2.7391372E7)</f>
        <v>27391372</v>
      </c>
    </row>
    <row r="17">
      <c r="A17" s="3">
        <f>IFERROR(__xludf.DUMMYFUNCTION("""COMPUTED_VALUE"""),44951.66666666667)</f>
        <v>44951.66667</v>
      </c>
      <c r="B17" s="2">
        <f>IFERROR(__xludf.DUMMYFUNCTION("""COMPUTED_VALUE"""),97.2)</f>
        <v>97.2</v>
      </c>
      <c r="C17" s="2">
        <f>IFERROR(__xludf.DUMMYFUNCTION("""COMPUTED_VALUE"""),97.72)</f>
        <v>97.72</v>
      </c>
      <c r="D17" s="2">
        <f>IFERROR(__xludf.DUMMYFUNCTION("""COMPUTED_VALUE"""),95.26)</f>
        <v>95.26</v>
      </c>
      <c r="E17" s="2">
        <f>IFERROR(__xludf.DUMMYFUNCTION("""COMPUTED_VALUE"""),96.73)</f>
        <v>96.73</v>
      </c>
      <c r="F17" s="2">
        <f>IFERROR(__xludf.DUMMYFUNCTION("""COMPUTED_VALUE"""),3.100085E7)</f>
        <v>31000850</v>
      </c>
    </row>
    <row r="18">
      <c r="A18" s="3">
        <f>IFERROR(__xludf.DUMMYFUNCTION("""COMPUTED_VALUE"""),44952.66666666667)</f>
        <v>44952.66667</v>
      </c>
      <c r="B18" s="2">
        <f>IFERROR(__xludf.DUMMYFUNCTION("""COMPUTED_VALUE"""),98.28)</f>
        <v>98.28</v>
      </c>
      <c r="C18" s="2">
        <f>IFERROR(__xludf.DUMMYFUNCTION("""COMPUTED_VALUE"""),99.21)</f>
        <v>99.21</v>
      </c>
      <c r="D18" s="2">
        <f>IFERROR(__xludf.DUMMYFUNCTION("""COMPUTED_VALUE"""),96.82)</f>
        <v>96.82</v>
      </c>
      <c r="E18" s="2">
        <f>IFERROR(__xludf.DUMMYFUNCTION("""COMPUTED_VALUE"""),99.16)</f>
        <v>99.16</v>
      </c>
      <c r="F18" s="2">
        <f>IFERROR(__xludf.DUMMYFUNCTION("""COMPUTED_VALUE"""),2.454206E7)</f>
        <v>24542060</v>
      </c>
    </row>
    <row r="19">
      <c r="A19" s="3">
        <f>IFERROR(__xludf.DUMMYFUNCTION("""COMPUTED_VALUE"""),44953.66666666667)</f>
        <v>44953.66667</v>
      </c>
      <c r="B19" s="2">
        <f>IFERROR(__xludf.DUMMYFUNCTION("""COMPUTED_VALUE"""),99.05)</f>
        <v>99.05</v>
      </c>
      <c r="C19" s="2">
        <f>IFERROR(__xludf.DUMMYFUNCTION("""COMPUTED_VALUE"""),101.58)</f>
        <v>101.58</v>
      </c>
      <c r="D19" s="2">
        <f>IFERROR(__xludf.DUMMYFUNCTION("""COMPUTED_VALUE"""),98.97)</f>
        <v>98.97</v>
      </c>
      <c r="E19" s="2">
        <f>IFERROR(__xludf.DUMMYFUNCTION("""COMPUTED_VALUE"""),100.71)</f>
        <v>100.71</v>
      </c>
      <c r="F19" s="2">
        <f>IFERROR(__xludf.DUMMYFUNCTION("""COMPUTED_VALUE"""),2.9020354E7)</f>
        <v>29020354</v>
      </c>
    </row>
    <row r="20">
      <c r="A20" s="3">
        <f>IFERROR(__xludf.DUMMYFUNCTION("""COMPUTED_VALUE"""),44956.66666666667)</f>
        <v>44956.66667</v>
      </c>
      <c r="B20" s="2">
        <f>IFERROR(__xludf.DUMMYFUNCTION("""COMPUTED_VALUE"""),98.75)</f>
        <v>98.75</v>
      </c>
      <c r="C20" s="2">
        <f>IFERROR(__xludf.DUMMYFUNCTION("""COMPUTED_VALUE"""),99.41)</f>
        <v>99.41</v>
      </c>
      <c r="D20" s="2">
        <f>IFERROR(__xludf.DUMMYFUNCTION("""COMPUTED_VALUE"""),97.52)</f>
        <v>97.52</v>
      </c>
      <c r="E20" s="2">
        <f>IFERROR(__xludf.DUMMYFUNCTION("""COMPUTED_VALUE"""),97.95)</f>
        <v>97.95</v>
      </c>
      <c r="F20" s="2">
        <f>IFERROR(__xludf.DUMMYFUNCTION("""COMPUTED_VALUE"""),2.4365142E7)</f>
        <v>24365142</v>
      </c>
    </row>
    <row r="21">
      <c r="A21" s="3">
        <f>IFERROR(__xludf.DUMMYFUNCTION("""COMPUTED_VALUE"""),44957.66666666667)</f>
        <v>44957.66667</v>
      </c>
      <c r="B21" s="2">
        <f>IFERROR(__xludf.DUMMYFUNCTION("""COMPUTED_VALUE"""),97.86)</f>
        <v>97.86</v>
      </c>
      <c r="C21" s="2">
        <f>IFERROR(__xludf.DUMMYFUNCTION("""COMPUTED_VALUE"""),99.91)</f>
        <v>99.91</v>
      </c>
      <c r="D21" s="2">
        <f>IFERROR(__xludf.DUMMYFUNCTION("""COMPUTED_VALUE"""),97.79)</f>
        <v>97.79</v>
      </c>
      <c r="E21" s="2">
        <f>IFERROR(__xludf.DUMMYFUNCTION("""COMPUTED_VALUE"""),99.87)</f>
        <v>99.87</v>
      </c>
      <c r="F21" s="2">
        <f>IFERROR(__xludf.DUMMYFUNCTION("""COMPUTED_VALUE"""),2.2306778E7)</f>
        <v>22306778</v>
      </c>
    </row>
    <row r="22">
      <c r="A22" s="3">
        <f>IFERROR(__xludf.DUMMYFUNCTION("""COMPUTED_VALUE"""),44958.66666666667)</f>
        <v>44958.66667</v>
      </c>
      <c r="B22" s="2">
        <f>IFERROR(__xludf.DUMMYFUNCTION("""COMPUTED_VALUE"""),99.74)</f>
        <v>99.74</v>
      </c>
      <c r="C22" s="2">
        <f>IFERROR(__xludf.DUMMYFUNCTION("""COMPUTED_VALUE"""),102.19)</f>
        <v>102.19</v>
      </c>
      <c r="D22" s="2">
        <f>IFERROR(__xludf.DUMMYFUNCTION("""COMPUTED_VALUE"""),98.42)</f>
        <v>98.42</v>
      </c>
      <c r="E22" s="2">
        <f>IFERROR(__xludf.DUMMYFUNCTION("""COMPUTED_VALUE"""),101.43)</f>
        <v>101.43</v>
      </c>
      <c r="F22" s="2">
        <f>IFERROR(__xludf.DUMMYFUNCTION("""COMPUTED_VALUE"""),2.6392568E7)</f>
        <v>26392568</v>
      </c>
    </row>
    <row r="23">
      <c r="A23" s="3">
        <f>IFERROR(__xludf.DUMMYFUNCTION("""COMPUTED_VALUE"""),44959.66666666667)</f>
        <v>44959.66667</v>
      </c>
      <c r="B23" s="2">
        <f>IFERROR(__xludf.DUMMYFUNCTION("""COMPUTED_VALUE"""),106.79)</f>
        <v>106.79</v>
      </c>
      <c r="C23" s="2">
        <f>IFERROR(__xludf.DUMMYFUNCTION("""COMPUTED_VALUE"""),108.82)</f>
        <v>108.82</v>
      </c>
      <c r="D23" s="2">
        <f>IFERROR(__xludf.DUMMYFUNCTION("""COMPUTED_VALUE"""),106.54)</f>
        <v>106.54</v>
      </c>
      <c r="E23" s="2">
        <f>IFERROR(__xludf.DUMMYFUNCTION("""COMPUTED_VALUE"""),108.8)</f>
        <v>108.8</v>
      </c>
      <c r="F23" s="2">
        <f>IFERROR(__xludf.DUMMYFUNCTION("""COMPUTED_VALUE"""),4.6622627E7)</f>
        <v>46622627</v>
      </c>
    </row>
    <row r="24">
      <c r="A24" s="3">
        <f>IFERROR(__xludf.DUMMYFUNCTION("""COMPUTED_VALUE"""),44960.66666666667)</f>
        <v>44960.66667</v>
      </c>
      <c r="B24" s="2">
        <f>IFERROR(__xludf.DUMMYFUNCTION("""COMPUTED_VALUE"""),103.51)</f>
        <v>103.51</v>
      </c>
      <c r="C24" s="2">
        <f>IFERROR(__xludf.DUMMYFUNCTION("""COMPUTED_VALUE"""),108.02)</f>
        <v>108.02</v>
      </c>
      <c r="D24" s="2">
        <f>IFERROR(__xludf.DUMMYFUNCTION("""COMPUTED_VALUE"""),103.3)</f>
        <v>103.3</v>
      </c>
      <c r="E24" s="2">
        <f>IFERROR(__xludf.DUMMYFUNCTION("""COMPUTED_VALUE"""),105.22)</f>
        <v>105.22</v>
      </c>
      <c r="F24" s="2">
        <f>IFERROR(__xludf.DUMMYFUNCTION("""COMPUTED_VALUE"""),3.6823421E7)</f>
        <v>36823421</v>
      </c>
    </row>
    <row r="25">
      <c r="A25" s="3">
        <f>IFERROR(__xludf.DUMMYFUNCTION("""COMPUTED_VALUE"""),44963.66666666667)</f>
        <v>44963.66667</v>
      </c>
      <c r="B25" s="2">
        <f>IFERROR(__xludf.DUMMYFUNCTION("""COMPUTED_VALUE"""),102.69)</f>
        <v>102.69</v>
      </c>
      <c r="C25" s="2">
        <f>IFERROR(__xludf.DUMMYFUNCTION("""COMPUTED_VALUE"""),104.7)</f>
        <v>104.7</v>
      </c>
      <c r="D25" s="2">
        <f>IFERROR(__xludf.DUMMYFUNCTION("""COMPUTED_VALUE"""),102.21)</f>
        <v>102.21</v>
      </c>
      <c r="E25" s="2">
        <f>IFERROR(__xludf.DUMMYFUNCTION("""COMPUTED_VALUE"""),103.47)</f>
        <v>103.47</v>
      </c>
      <c r="F25" s="2">
        <f>IFERROR(__xludf.DUMMYFUNCTION("""COMPUTED_VALUE"""),2.5573046E7)</f>
        <v>25573046</v>
      </c>
    </row>
    <row r="26">
      <c r="A26" s="3">
        <f>IFERROR(__xludf.DUMMYFUNCTION("""COMPUTED_VALUE"""),44964.66666666667)</f>
        <v>44964.66667</v>
      </c>
      <c r="B26" s="2">
        <f>IFERROR(__xludf.DUMMYFUNCTION("""COMPUTED_VALUE"""),103.63)</f>
        <v>103.63</v>
      </c>
      <c r="C26" s="2">
        <f>IFERROR(__xludf.DUMMYFUNCTION("""COMPUTED_VALUE"""),108.67)</f>
        <v>108.67</v>
      </c>
      <c r="D26" s="2">
        <f>IFERROR(__xludf.DUMMYFUNCTION("""COMPUTED_VALUE"""),103.55)</f>
        <v>103.55</v>
      </c>
      <c r="E26" s="2">
        <f>IFERROR(__xludf.DUMMYFUNCTION("""COMPUTED_VALUE"""),108.04)</f>
        <v>108.04</v>
      </c>
      <c r="F26" s="2">
        <f>IFERROR(__xludf.DUMMYFUNCTION("""COMPUTED_VALUE"""),3.3738828E7)</f>
        <v>33738828</v>
      </c>
    </row>
    <row r="27">
      <c r="A27" s="3">
        <f>IFERROR(__xludf.DUMMYFUNCTION("""COMPUTED_VALUE"""),44965.66666666667)</f>
        <v>44965.66667</v>
      </c>
      <c r="B27" s="2">
        <f>IFERROR(__xludf.DUMMYFUNCTION("""COMPUTED_VALUE"""),102.69)</f>
        <v>102.69</v>
      </c>
      <c r="C27" s="2">
        <f>IFERROR(__xludf.DUMMYFUNCTION("""COMPUTED_VALUE"""),103.58)</f>
        <v>103.58</v>
      </c>
      <c r="D27" s="2">
        <f>IFERROR(__xludf.DUMMYFUNCTION("""COMPUTED_VALUE"""),98.46)</f>
        <v>98.46</v>
      </c>
      <c r="E27" s="2">
        <f>IFERROR(__xludf.DUMMYFUNCTION("""COMPUTED_VALUE"""),100.0)</f>
        <v>100</v>
      </c>
      <c r="F27" s="2">
        <f>IFERROR(__xludf.DUMMYFUNCTION("""COMPUTED_VALUE"""),7.3546029E7)</f>
        <v>73546029</v>
      </c>
    </row>
    <row r="28">
      <c r="A28" s="3">
        <f>IFERROR(__xludf.DUMMYFUNCTION("""COMPUTED_VALUE"""),44966.66666666667)</f>
        <v>44966.66667</v>
      </c>
      <c r="B28" s="2">
        <f>IFERROR(__xludf.DUMMYFUNCTION("""COMPUTED_VALUE"""),100.54)</f>
        <v>100.54</v>
      </c>
      <c r="C28" s="2">
        <f>IFERROR(__xludf.DUMMYFUNCTION("""COMPUTED_VALUE"""),100.61)</f>
        <v>100.61</v>
      </c>
      <c r="D28" s="2">
        <f>IFERROR(__xludf.DUMMYFUNCTION("""COMPUTED_VALUE"""),93.86)</f>
        <v>93.86</v>
      </c>
      <c r="E28" s="2">
        <f>IFERROR(__xludf.DUMMYFUNCTION("""COMPUTED_VALUE"""),95.46)</f>
        <v>95.46</v>
      </c>
      <c r="F28" s="2">
        <f>IFERROR(__xludf.DUMMYFUNCTION("""COMPUTED_VALUE"""),9.7798573E7)</f>
        <v>97798573</v>
      </c>
    </row>
    <row r="29">
      <c r="A29" s="3">
        <f>IFERROR(__xludf.DUMMYFUNCTION("""COMPUTED_VALUE"""),44967.66666666667)</f>
        <v>44967.66667</v>
      </c>
      <c r="B29" s="2">
        <f>IFERROR(__xludf.DUMMYFUNCTION("""COMPUTED_VALUE"""),95.74)</f>
        <v>95.74</v>
      </c>
      <c r="C29" s="2">
        <f>IFERROR(__xludf.DUMMYFUNCTION("""COMPUTED_VALUE"""),97.02)</f>
        <v>97.02</v>
      </c>
      <c r="D29" s="2">
        <f>IFERROR(__xludf.DUMMYFUNCTION("""COMPUTED_VALUE"""),94.53)</f>
        <v>94.53</v>
      </c>
      <c r="E29" s="2">
        <f>IFERROR(__xludf.DUMMYFUNCTION("""COMPUTED_VALUE"""),94.86)</f>
        <v>94.86</v>
      </c>
      <c r="F29" s="2">
        <f>IFERROR(__xludf.DUMMYFUNCTION("""COMPUTED_VALUE"""),4.9325275E7)</f>
        <v>49325275</v>
      </c>
    </row>
    <row r="30">
      <c r="A30" s="3">
        <f>IFERROR(__xludf.DUMMYFUNCTION("""COMPUTED_VALUE"""),44970.66666666667)</f>
        <v>44970.66667</v>
      </c>
      <c r="B30" s="2">
        <f>IFERROR(__xludf.DUMMYFUNCTION("""COMPUTED_VALUE"""),95.01)</f>
        <v>95.01</v>
      </c>
      <c r="C30" s="2">
        <f>IFERROR(__xludf.DUMMYFUNCTION("""COMPUTED_VALUE"""),95.35)</f>
        <v>95.35</v>
      </c>
      <c r="D30" s="2">
        <f>IFERROR(__xludf.DUMMYFUNCTION("""COMPUTED_VALUE"""),94.05)</f>
        <v>94.05</v>
      </c>
      <c r="E30" s="2">
        <f>IFERROR(__xludf.DUMMYFUNCTION("""COMPUTED_VALUE"""),95.0)</f>
        <v>95</v>
      </c>
      <c r="F30" s="2">
        <f>IFERROR(__xludf.DUMMYFUNCTION("""COMPUTED_VALUE"""),4.3116559E7)</f>
        <v>43116559</v>
      </c>
    </row>
    <row r="31">
      <c r="A31" s="3">
        <f>IFERROR(__xludf.DUMMYFUNCTION("""COMPUTED_VALUE"""),44971.66666666667)</f>
        <v>44971.66667</v>
      </c>
      <c r="B31" s="2">
        <f>IFERROR(__xludf.DUMMYFUNCTION("""COMPUTED_VALUE"""),94.66)</f>
        <v>94.66</v>
      </c>
      <c r="C31" s="2">
        <f>IFERROR(__xludf.DUMMYFUNCTION("""COMPUTED_VALUE"""),95.18)</f>
        <v>95.18</v>
      </c>
      <c r="D31" s="2">
        <f>IFERROR(__xludf.DUMMYFUNCTION("""COMPUTED_VALUE"""),92.65)</f>
        <v>92.65</v>
      </c>
      <c r="E31" s="2">
        <f>IFERROR(__xludf.DUMMYFUNCTION("""COMPUTED_VALUE"""),94.95)</f>
        <v>94.95</v>
      </c>
      <c r="F31" s="2">
        <f>IFERROR(__xludf.DUMMYFUNCTION("""COMPUTED_VALUE"""),4.2513079E7)</f>
        <v>42513079</v>
      </c>
    </row>
    <row r="32">
      <c r="A32" s="3">
        <f>IFERROR(__xludf.DUMMYFUNCTION("""COMPUTED_VALUE"""),44972.66666666667)</f>
        <v>44972.66667</v>
      </c>
      <c r="B32" s="2">
        <f>IFERROR(__xludf.DUMMYFUNCTION("""COMPUTED_VALUE"""),94.74)</f>
        <v>94.74</v>
      </c>
      <c r="C32" s="2">
        <f>IFERROR(__xludf.DUMMYFUNCTION("""COMPUTED_VALUE"""),97.34)</f>
        <v>97.34</v>
      </c>
      <c r="D32" s="2">
        <f>IFERROR(__xludf.DUMMYFUNCTION("""COMPUTED_VALUE"""),94.36)</f>
        <v>94.36</v>
      </c>
      <c r="E32" s="2">
        <f>IFERROR(__xludf.DUMMYFUNCTION("""COMPUTED_VALUE"""),97.1)</f>
        <v>97.1</v>
      </c>
      <c r="F32" s="2">
        <f>IFERROR(__xludf.DUMMYFUNCTION("""COMPUTED_VALUE"""),3.7029885E7)</f>
        <v>37029885</v>
      </c>
    </row>
    <row r="33">
      <c r="A33" s="3">
        <f>IFERROR(__xludf.DUMMYFUNCTION("""COMPUTED_VALUE"""),44973.66666666667)</f>
        <v>44973.66667</v>
      </c>
      <c r="B33" s="2">
        <f>IFERROR(__xludf.DUMMYFUNCTION("""COMPUTED_VALUE"""),95.54)</f>
        <v>95.54</v>
      </c>
      <c r="C33" s="2">
        <f>IFERROR(__xludf.DUMMYFUNCTION("""COMPUTED_VALUE"""),97.88)</f>
        <v>97.88</v>
      </c>
      <c r="D33" s="2">
        <f>IFERROR(__xludf.DUMMYFUNCTION("""COMPUTED_VALUE"""),94.97)</f>
        <v>94.97</v>
      </c>
      <c r="E33" s="2">
        <f>IFERROR(__xludf.DUMMYFUNCTION("""COMPUTED_VALUE"""),95.78)</f>
        <v>95.78</v>
      </c>
      <c r="F33" s="2">
        <f>IFERROR(__xludf.DUMMYFUNCTION("""COMPUTED_VALUE"""),3.5642106E7)</f>
        <v>35642106</v>
      </c>
    </row>
    <row r="34">
      <c r="A34" s="3">
        <f>IFERROR(__xludf.DUMMYFUNCTION("""COMPUTED_VALUE"""),44974.66666666667)</f>
        <v>44974.66667</v>
      </c>
      <c r="B34" s="2">
        <f>IFERROR(__xludf.DUMMYFUNCTION("""COMPUTED_VALUE"""),95.07)</f>
        <v>95.07</v>
      </c>
      <c r="C34" s="2">
        <f>IFERROR(__xludf.DUMMYFUNCTION("""COMPUTED_VALUE"""),95.75)</f>
        <v>95.75</v>
      </c>
      <c r="D34" s="2">
        <f>IFERROR(__xludf.DUMMYFUNCTION("""COMPUTED_VALUE"""),93.45)</f>
        <v>93.45</v>
      </c>
      <c r="E34" s="2">
        <f>IFERROR(__xludf.DUMMYFUNCTION("""COMPUTED_VALUE"""),94.59)</f>
        <v>94.59</v>
      </c>
      <c r="F34" s="2">
        <f>IFERROR(__xludf.DUMMYFUNCTION("""COMPUTED_VALUE"""),3.1095067E7)</f>
        <v>31095067</v>
      </c>
    </row>
    <row r="35">
      <c r="A35" s="3">
        <f>IFERROR(__xludf.DUMMYFUNCTION("""COMPUTED_VALUE"""),44978.66666666667)</f>
        <v>44978.66667</v>
      </c>
      <c r="B35" s="2">
        <f>IFERROR(__xludf.DUMMYFUNCTION("""COMPUTED_VALUE"""),93.24)</f>
        <v>93.24</v>
      </c>
      <c r="C35" s="2">
        <f>IFERROR(__xludf.DUMMYFUNCTION("""COMPUTED_VALUE"""),93.41)</f>
        <v>93.41</v>
      </c>
      <c r="D35" s="2">
        <f>IFERROR(__xludf.DUMMYFUNCTION("""COMPUTED_VALUE"""),92.0)</f>
        <v>92</v>
      </c>
      <c r="E35" s="2">
        <f>IFERROR(__xludf.DUMMYFUNCTION("""COMPUTED_VALUE"""),92.05)</f>
        <v>92.05</v>
      </c>
      <c r="F35" s="2">
        <f>IFERROR(__xludf.DUMMYFUNCTION("""COMPUTED_VALUE"""),2.8367198E7)</f>
        <v>28367198</v>
      </c>
    </row>
    <row r="36">
      <c r="A36" s="3">
        <f>IFERROR(__xludf.DUMMYFUNCTION("""COMPUTED_VALUE"""),44979.66666666667)</f>
        <v>44979.66667</v>
      </c>
      <c r="B36" s="2">
        <f>IFERROR(__xludf.DUMMYFUNCTION("""COMPUTED_VALUE"""),91.93)</f>
        <v>91.93</v>
      </c>
      <c r="C36" s="2">
        <f>IFERROR(__xludf.DUMMYFUNCTION("""COMPUTED_VALUE"""),92.36)</f>
        <v>92.36</v>
      </c>
      <c r="D36" s="2">
        <f>IFERROR(__xludf.DUMMYFUNCTION("""COMPUTED_VALUE"""),90.87)</f>
        <v>90.87</v>
      </c>
      <c r="E36" s="2">
        <f>IFERROR(__xludf.DUMMYFUNCTION("""COMPUTED_VALUE"""),91.8)</f>
        <v>91.8</v>
      </c>
      <c r="F36" s="2">
        <f>IFERROR(__xludf.DUMMYFUNCTION("""COMPUTED_VALUE"""),2.9891135E7)</f>
        <v>29891135</v>
      </c>
    </row>
    <row r="37">
      <c r="A37" s="3">
        <f>IFERROR(__xludf.DUMMYFUNCTION("""COMPUTED_VALUE"""),44980.66666666667)</f>
        <v>44980.66667</v>
      </c>
      <c r="B37" s="2">
        <f>IFERROR(__xludf.DUMMYFUNCTION("""COMPUTED_VALUE"""),92.13)</f>
        <v>92.13</v>
      </c>
      <c r="C37" s="2">
        <f>IFERROR(__xludf.DUMMYFUNCTION("""COMPUTED_VALUE"""),92.13)</f>
        <v>92.13</v>
      </c>
      <c r="D37" s="2">
        <f>IFERROR(__xludf.DUMMYFUNCTION("""COMPUTED_VALUE"""),90.01)</f>
        <v>90.01</v>
      </c>
      <c r="E37" s="2">
        <f>IFERROR(__xludf.DUMMYFUNCTION("""COMPUTED_VALUE"""),91.07)</f>
        <v>91.07</v>
      </c>
      <c r="F37" s="2">
        <f>IFERROR(__xludf.DUMMYFUNCTION("""COMPUTED_VALUE"""),3.242372E7)</f>
        <v>32423720</v>
      </c>
    </row>
    <row r="38">
      <c r="A38" s="3">
        <f>IFERROR(__xludf.DUMMYFUNCTION("""COMPUTED_VALUE"""),44981.66666666667)</f>
        <v>44981.66667</v>
      </c>
      <c r="B38" s="2">
        <f>IFERROR(__xludf.DUMMYFUNCTION("""COMPUTED_VALUE"""),89.63)</f>
        <v>89.63</v>
      </c>
      <c r="C38" s="2">
        <f>IFERROR(__xludf.DUMMYFUNCTION("""COMPUTED_VALUE"""),90.13)</f>
        <v>90.13</v>
      </c>
      <c r="D38" s="2">
        <f>IFERROR(__xludf.DUMMYFUNCTION("""COMPUTED_VALUE"""),88.86)</f>
        <v>88.86</v>
      </c>
      <c r="E38" s="2">
        <f>IFERROR(__xludf.DUMMYFUNCTION("""COMPUTED_VALUE"""),89.35)</f>
        <v>89.35</v>
      </c>
      <c r="F38" s="2">
        <f>IFERROR(__xludf.DUMMYFUNCTION("""COMPUTED_VALUE"""),3.1295619E7)</f>
        <v>31295619</v>
      </c>
    </row>
    <row r="39">
      <c r="A39" s="3">
        <f>IFERROR(__xludf.DUMMYFUNCTION("""COMPUTED_VALUE"""),44984.66666666667)</f>
        <v>44984.66667</v>
      </c>
      <c r="B39" s="2">
        <f>IFERROR(__xludf.DUMMYFUNCTION("""COMPUTED_VALUE"""),90.09)</f>
        <v>90.09</v>
      </c>
      <c r="C39" s="2">
        <f>IFERROR(__xludf.DUMMYFUNCTION("""COMPUTED_VALUE"""),90.45)</f>
        <v>90.45</v>
      </c>
      <c r="D39" s="2">
        <f>IFERROR(__xludf.DUMMYFUNCTION("""COMPUTED_VALUE"""),89.61)</f>
        <v>89.61</v>
      </c>
      <c r="E39" s="2">
        <f>IFERROR(__xludf.DUMMYFUNCTION("""COMPUTED_VALUE"""),90.1)</f>
        <v>90.1</v>
      </c>
      <c r="F39" s="2">
        <f>IFERROR(__xludf.DUMMYFUNCTION("""COMPUTED_VALUE"""),2.2724262E7)</f>
        <v>22724262</v>
      </c>
    </row>
    <row r="40">
      <c r="A40" s="3">
        <f>IFERROR(__xludf.DUMMYFUNCTION("""COMPUTED_VALUE"""),44985.66666666667)</f>
        <v>44985.66667</v>
      </c>
      <c r="B40" s="2">
        <f>IFERROR(__xludf.DUMMYFUNCTION("""COMPUTED_VALUE"""),89.54)</f>
        <v>89.54</v>
      </c>
      <c r="C40" s="2">
        <f>IFERROR(__xludf.DUMMYFUNCTION("""COMPUTED_VALUE"""),91.45)</f>
        <v>91.45</v>
      </c>
      <c r="D40" s="2">
        <f>IFERROR(__xludf.DUMMYFUNCTION("""COMPUTED_VALUE"""),89.52)</f>
        <v>89.52</v>
      </c>
      <c r="E40" s="2">
        <f>IFERROR(__xludf.DUMMYFUNCTION("""COMPUTED_VALUE"""),90.3)</f>
        <v>90.3</v>
      </c>
      <c r="F40" s="2">
        <f>IFERROR(__xludf.DUMMYFUNCTION("""COMPUTED_VALUE"""),3.0546912E7)</f>
        <v>30546912</v>
      </c>
    </row>
    <row r="41">
      <c r="A41" s="3">
        <f>IFERROR(__xludf.DUMMYFUNCTION("""COMPUTED_VALUE"""),44986.66666666667)</f>
        <v>44986.66667</v>
      </c>
      <c r="B41" s="2">
        <f>IFERROR(__xludf.DUMMYFUNCTION("""COMPUTED_VALUE"""),90.16)</f>
        <v>90.16</v>
      </c>
      <c r="C41" s="2">
        <f>IFERROR(__xludf.DUMMYFUNCTION("""COMPUTED_VALUE"""),91.2)</f>
        <v>91.2</v>
      </c>
      <c r="D41" s="2">
        <f>IFERROR(__xludf.DUMMYFUNCTION("""COMPUTED_VALUE"""),89.85)</f>
        <v>89.85</v>
      </c>
      <c r="E41" s="2">
        <f>IFERROR(__xludf.DUMMYFUNCTION("""COMPUTED_VALUE"""),90.51)</f>
        <v>90.51</v>
      </c>
      <c r="F41" s="2">
        <f>IFERROR(__xludf.DUMMYFUNCTION("""COMPUTED_VALUE"""),2.6323876E7)</f>
        <v>26323876</v>
      </c>
    </row>
    <row r="42">
      <c r="A42" s="3">
        <f>IFERROR(__xludf.DUMMYFUNCTION("""COMPUTED_VALUE"""),44987.66666666667)</f>
        <v>44987.66667</v>
      </c>
      <c r="B42" s="2">
        <f>IFERROR(__xludf.DUMMYFUNCTION("""COMPUTED_VALUE"""),89.86)</f>
        <v>89.86</v>
      </c>
      <c r="C42" s="2">
        <f>IFERROR(__xludf.DUMMYFUNCTION("""COMPUTED_VALUE"""),92.48)</f>
        <v>92.48</v>
      </c>
      <c r="D42" s="2">
        <f>IFERROR(__xludf.DUMMYFUNCTION("""COMPUTED_VALUE"""),89.77)</f>
        <v>89.77</v>
      </c>
      <c r="E42" s="2">
        <f>IFERROR(__xludf.DUMMYFUNCTION("""COMPUTED_VALUE"""),92.31)</f>
        <v>92.31</v>
      </c>
      <c r="F42" s="2">
        <f>IFERROR(__xludf.DUMMYFUNCTION("""COMPUTED_VALUE"""),2.3344562E7)</f>
        <v>23344562</v>
      </c>
    </row>
    <row r="43">
      <c r="A43" s="3">
        <f>IFERROR(__xludf.DUMMYFUNCTION("""COMPUTED_VALUE"""),44988.66666666667)</f>
        <v>44988.66667</v>
      </c>
      <c r="B43" s="2">
        <f>IFERROR(__xludf.DUMMYFUNCTION("""COMPUTED_VALUE"""),92.74)</f>
        <v>92.74</v>
      </c>
      <c r="C43" s="2">
        <f>IFERROR(__xludf.DUMMYFUNCTION("""COMPUTED_VALUE"""),94.11)</f>
        <v>94.11</v>
      </c>
      <c r="D43" s="2">
        <f>IFERROR(__xludf.DUMMYFUNCTION("""COMPUTED_VALUE"""),92.66)</f>
        <v>92.66</v>
      </c>
      <c r="E43" s="2">
        <f>IFERROR(__xludf.DUMMYFUNCTION("""COMPUTED_VALUE"""),94.02)</f>
        <v>94.02</v>
      </c>
      <c r="F43" s="2">
        <f>IFERROR(__xludf.DUMMYFUNCTION("""COMPUTED_VALUE"""),3.0242538E7)</f>
        <v>30242538</v>
      </c>
    </row>
    <row r="44">
      <c r="A44" s="3">
        <f>IFERROR(__xludf.DUMMYFUNCTION("""COMPUTED_VALUE"""),44991.66666666667)</f>
        <v>44991.66667</v>
      </c>
      <c r="B44" s="2">
        <f>IFERROR(__xludf.DUMMYFUNCTION("""COMPUTED_VALUE"""),94.36)</f>
        <v>94.36</v>
      </c>
      <c r="C44" s="2">
        <f>IFERROR(__xludf.DUMMYFUNCTION("""COMPUTED_VALUE"""),96.3)</f>
        <v>96.3</v>
      </c>
      <c r="D44" s="2">
        <f>IFERROR(__xludf.DUMMYFUNCTION("""COMPUTED_VALUE"""),94.3)</f>
        <v>94.3</v>
      </c>
      <c r="E44" s="2">
        <f>IFERROR(__xludf.DUMMYFUNCTION("""COMPUTED_VALUE"""),95.58)</f>
        <v>95.58</v>
      </c>
      <c r="F44" s="2">
        <f>IFERROR(__xludf.DUMMYFUNCTION("""COMPUTED_VALUE"""),2.8288206E7)</f>
        <v>28288206</v>
      </c>
    </row>
    <row r="45">
      <c r="A45" s="3">
        <f>IFERROR(__xludf.DUMMYFUNCTION("""COMPUTED_VALUE"""),44992.66666666667)</f>
        <v>44992.66667</v>
      </c>
      <c r="B45" s="2">
        <f>IFERROR(__xludf.DUMMYFUNCTION("""COMPUTED_VALUE"""),95.42)</f>
        <v>95.42</v>
      </c>
      <c r="C45" s="2">
        <f>IFERROR(__xludf.DUMMYFUNCTION("""COMPUTED_VALUE"""),96.09)</f>
        <v>96.09</v>
      </c>
      <c r="D45" s="2">
        <f>IFERROR(__xludf.DUMMYFUNCTION("""COMPUTED_VALUE"""),93.84)</f>
        <v>93.84</v>
      </c>
      <c r="E45" s="2">
        <f>IFERROR(__xludf.DUMMYFUNCTION("""COMPUTED_VALUE"""),94.17)</f>
        <v>94.17</v>
      </c>
      <c r="F45" s="2">
        <f>IFERROR(__xludf.DUMMYFUNCTION("""COMPUTED_VALUE"""),2.4101536E7)</f>
        <v>24101536</v>
      </c>
    </row>
    <row r="46">
      <c r="A46" s="3">
        <f>IFERROR(__xludf.DUMMYFUNCTION("""COMPUTED_VALUE"""),44993.66666666667)</f>
        <v>44993.66667</v>
      </c>
      <c r="B46" s="2">
        <f>IFERROR(__xludf.DUMMYFUNCTION("""COMPUTED_VALUE"""),94.41)</f>
        <v>94.41</v>
      </c>
      <c r="C46" s="2">
        <f>IFERROR(__xludf.DUMMYFUNCTION("""COMPUTED_VALUE"""),96.24)</f>
        <v>96.24</v>
      </c>
      <c r="D46" s="2">
        <f>IFERROR(__xludf.DUMMYFUNCTION("""COMPUTED_VALUE"""),94.41)</f>
        <v>94.41</v>
      </c>
      <c r="E46" s="2">
        <f>IFERROR(__xludf.DUMMYFUNCTION("""COMPUTED_VALUE"""),94.65)</f>
        <v>94.65</v>
      </c>
      <c r="F46" s="2">
        <f>IFERROR(__xludf.DUMMYFUNCTION("""COMPUTED_VALUE"""),2.53952E7)</f>
        <v>25395200</v>
      </c>
    </row>
    <row r="47">
      <c r="A47" s="3">
        <f>IFERROR(__xludf.DUMMYFUNCTION("""COMPUTED_VALUE"""),44994.66666666667)</f>
        <v>44994.66667</v>
      </c>
      <c r="B47" s="2">
        <f>IFERROR(__xludf.DUMMYFUNCTION("""COMPUTED_VALUE"""),94.49)</f>
        <v>94.49</v>
      </c>
      <c r="C47" s="2">
        <f>IFERROR(__xludf.DUMMYFUNCTION("""COMPUTED_VALUE"""),95.92)</f>
        <v>95.92</v>
      </c>
      <c r="D47" s="2">
        <f>IFERROR(__xludf.DUMMYFUNCTION("""COMPUTED_VALUE"""),92.36)</f>
        <v>92.36</v>
      </c>
      <c r="E47" s="2">
        <f>IFERROR(__xludf.DUMMYFUNCTION("""COMPUTED_VALUE"""),92.66)</f>
        <v>92.66</v>
      </c>
      <c r="F47" s="2">
        <f>IFERROR(__xludf.DUMMYFUNCTION("""COMPUTED_VALUE"""),2.443889E7)</f>
        <v>24438890</v>
      </c>
    </row>
    <row r="48">
      <c r="A48" s="3">
        <f>IFERROR(__xludf.DUMMYFUNCTION("""COMPUTED_VALUE"""),44995.66666666667)</f>
        <v>44995.66667</v>
      </c>
      <c r="B48" s="2">
        <f>IFERROR(__xludf.DUMMYFUNCTION("""COMPUTED_VALUE"""),92.5)</f>
        <v>92.5</v>
      </c>
      <c r="C48" s="2">
        <f>IFERROR(__xludf.DUMMYFUNCTION("""COMPUTED_VALUE"""),93.18)</f>
        <v>93.18</v>
      </c>
      <c r="D48" s="2">
        <f>IFERROR(__xludf.DUMMYFUNCTION("""COMPUTED_VALUE"""),90.8)</f>
        <v>90.8</v>
      </c>
      <c r="E48" s="2">
        <f>IFERROR(__xludf.DUMMYFUNCTION("""COMPUTED_VALUE"""),91.01)</f>
        <v>91.01</v>
      </c>
      <c r="F48" s="2">
        <f>IFERROR(__xludf.DUMMYFUNCTION("""COMPUTED_VALUE"""),3.2850092E7)</f>
        <v>32850092</v>
      </c>
    </row>
    <row r="49">
      <c r="A49" s="3">
        <f>IFERROR(__xludf.DUMMYFUNCTION("""COMPUTED_VALUE"""),44998.66666666667)</f>
        <v>44998.66667</v>
      </c>
      <c r="B49" s="2">
        <f>IFERROR(__xludf.DUMMYFUNCTION("""COMPUTED_VALUE"""),90.57)</f>
        <v>90.57</v>
      </c>
      <c r="C49" s="2">
        <f>IFERROR(__xludf.DUMMYFUNCTION("""COMPUTED_VALUE"""),93.08)</f>
        <v>93.08</v>
      </c>
      <c r="D49" s="2">
        <f>IFERROR(__xludf.DUMMYFUNCTION("""COMPUTED_VALUE"""),89.94)</f>
        <v>89.94</v>
      </c>
      <c r="E49" s="2">
        <f>IFERROR(__xludf.DUMMYFUNCTION("""COMPUTED_VALUE"""),91.66)</f>
        <v>91.66</v>
      </c>
      <c r="F49" s="2">
        <f>IFERROR(__xludf.DUMMYFUNCTION("""COMPUTED_VALUE"""),3.150857E7)</f>
        <v>31508570</v>
      </c>
    </row>
    <row r="50">
      <c r="A50" s="3">
        <f>IFERROR(__xludf.DUMMYFUNCTION("""COMPUTED_VALUE"""),44999.66666666667)</f>
        <v>44999.66667</v>
      </c>
      <c r="B50" s="2">
        <f>IFERROR(__xludf.DUMMYFUNCTION("""COMPUTED_VALUE"""),93.07)</f>
        <v>93.07</v>
      </c>
      <c r="C50" s="2">
        <f>IFERROR(__xludf.DUMMYFUNCTION("""COMPUTED_VALUE"""),94.83)</f>
        <v>94.83</v>
      </c>
      <c r="D50" s="2">
        <f>IFERROR(__xludf.DUMMYFUNCTION("""COMPUTED_VALUE"""),92.78)</f>
        <v>92.78</v>
      </c>
      <c r="E50" s="2">
        <f>IFERROR(__xludf.DUMMYFUNCTION("""COMPUTED_VALUE"""),94.25)</f>
        <v>94.25</v>
      </c>
      <c r="F50" s="2">
        <f>IFERROR(__xludf.DUMMYFUNCTION("""COMPUTED_VALUE"""),3.2303881E7)</f>
        <v>32303881</v>
      </c>
    </row>
    <row r="51">
      <c r="A51" s="3">
        <f>IFERROR(__xludf.DUMMYFUNCTION("""COMPUTED_VALUE"""),45000.66666666667)</f>
        <v>45000.66667</v>
      </c>
      <c r="B51" s="2">
        <f>IFERROR(__xludf.DUMMYFUNCTION("""COMPUTED_VALUE"""),93.54)</f>
        <v>93.54</v>
      </c>
      <c r="C51" s="2">
        <f>IFERROR(__xludf.DUMMYFUNCTION("""COMPUTED_VALUE"""),97.25)</f>
        <v>97.25</v>
      </c>
      <c r="D51" s="2">
        <f>IFERROR(__xludf.DUMMYFUNCTION("""COMPUTED_VALUE"""),93.04)</f>
        <v>93.04</v>
      </c>
      <c r="E51" s="2">
        <f>IFERROR(__xludf.DUMMYFUNCTION("""COMPUTED_VALUE"""),96.55)</f>
        <v>96.55</v>
      </c>
      <c r="F51" s="2">
        <f>IFERROR(__xludf.DUMMYFUNCTION("""COMPUTED_VALUE"""),3.8367334E7)</f>
        <v>38367334</v>
      </c>
    </row>
    <row r="52">
      <c r="A52" s="3">
        <f>IFERROR(__xludf.DUMMYFUNCTION("""COMPUTED_VALUE"""),45001.66666666667)</f>
        <v>45001.66667</v>
      </c>
      <c r="B52" s="2">
        <f>IFERROR(__xludf.DUMMYFUNCTION("""COMPUTED_VALUE"""),96.57)</f>
        <v>96.57</v>
      </c>
      <c r="C52" s="2">
        <f>IFERROR(__xludf.DUMMYFUNCTION("""COMPUTED_VALUE"""),101.97)</f>
        <v>101.97</v>
      </c>
      <c r="D52" s="2">
        <f>IFERROR(__xludf.DUMMYFUNCTION("""COMPUTED_VALUE"""),95.87)</f>
        <v>95.87</v>
      </c>
      <c r="E52" s="2">
        <f>IFERROR(__xludf.DUMMYFUNCTION("""COMPUTED_VALUE"""),101.07)</f>
        <v>101.07</v>
      </c>
      <c r="F52" s="2">
        <f>IFERROR(__xludf.DUMMYFUNCTION("""COMPUTED_VALUE"""),5.45882E7)</f>
        <v>54588200</v>
      </c>
    </row>
    <row r="53">
      <c r="A53" s="3">
        <f>IFERROR(__xludf.DUMMYFUNCTION("""COMPUTED_VALUE"""),45002.66666666667)</f>
        <v>45002.66667</v>
      </c>
      <c r="B53" s="2">
        <f>IFERROR(__xludf.DUMMYFUNCTION("""COMPUTED_VALUE"""),100.84)</f>
        <v>100.84</v>
      </c>
      <c r="C53" s="2">
        <f>IFERROR(__xludf.DUMMYFUNCTION("""COMPUTED_VALUE"""),103.49)</f>
        <v>103.49</v>
      </c>
      <c r="D53" s="2">
        <f>IFERROR(__xludf.DUMMYFUNCTION("""COMPUTED_VALUE"""),100.75)</f>
        <v>100.75</v>
      </c>
      <c r="E53" s="2">
        <f>IFERROR(__xludf.DUMMYFUNCTION("""COMPUTED_VALUE"""),102.46)</f>
        <v>102.46</v>
      </c>
      <c r="F53" s="2">
        <f>IFERROR(__xludf.DUMMYFUNCTION("""COMPUTED_VALUE"""),7.614031E7)</f>
        <v>76140310</v>
      </c>
    </row>
    <row r="54">
      <c r="A54" s="3">
        <f>IFERROR(__xludf.DUMMYFUNCTION("""COMPUTED_VALUE"""),45005.66666666667)</f>
        <v>45005.66667</v>
      </c>
      <c r="B54" s="2">
        <f>IFERROR(__xludf.DUMMYFUNCTION("""COMPUTED_VALUE"""),101.06)</f>
        <v>101.06</v>
      </c>
      <c r="C54" s="2">
        <f>IFERROR(__xludf.DUMMYFUNCTION("""COMPUTED_VALUE"""),102.58)</f>
        <v>102.58</v>
      </c>
      <c r="D54" s="2">
        <f>IFERROR(__xludf.DUMMYFUNCTION("""COMPUTED_VALUE"""),100.79)</f>
        <v>100.79</v>
      </c>
      <c r="E54" s="2">
        <f>IFERROR(__xludf.DUMMYFUNCTION("""COMPUTED_VALUE"""),101.93)</f>
        <v>101.93</v>
      </c>
      <c r="F54" s="2">
        <f>IFERROR(__xludf.DUMMYFUNCTION("""COMPUTED_VALUE"""),2.6033916E7)</f>
        <v>26033916</v>
      </c>
    </row>
    <row r="55">
      <c r="A55" s="3">
        <f>IFERROR(__xludf.DUMMYFUNCTION("""COMPUTED_VALUE"""),45006.66666666667)</f>
        <v>45006.66667</v>
      </c>
      <c r="B55" s="2">
        <f>IFERROR(__xludf.DUMMYFUNCTION("""COMPUTED_VALUE"""),101.98)</f>
        <v>101.98</v>
      </c>
      <c r="C55" s="2">
        <f>IFERROR(__xludf.DUMMYFUNCTION("""COMPUTED_VALUE"""),105.96)</f>
        <v>105.96</v>
      </c>
      <c r="D55" s="2">
        <f>IFERROR(__xludf.DUMMYFUNCTION("""COMPUTED_VALUE"""),101.86)</f>
        <v>101.86</v>
      </c>
      <c r="E55" s="2">
        <f>IFERROR(__xludf.DUMMYFUNCTION("""COMPUTED_VALUE"""),105.84)</f>
        <v>105.84</v>
      </c>
      <c r="F55" s="2">
        <f>IFERROR(__xludf.DUMMYFUNCTION("""COMPUTED_VALUE"""),3.31228E7)</f>
        <v>33122800</v>
      </c>
    </row>
    <row r="56">
      <c r="A56" s="3">
        <f>IFERROR(__xludf.DUMMYFUNCTION("""COMPUTED_VALUE"""),45007.66666666667)</f>
        <v>45007.66667</v>
      </c>
      <c r="B56" s="2">
        <f>IFERROR(__xludf.DUMMYFUNCTION("""COMPUTED_VALUE"""),105.14)</f>
        <v>105.14</v>
      </c>
      <c r="C56" s="2">
        <f>IFERROR(__xludf.DUMMYFUNCTION("""COMPUTED_VALUE"""),107.51)</f>
        <v>107.51</v>
      </c>
      <c r="D56" s="2">
        <f>IFERROR(__xludf.DUMMYFUNCTION("""COMPUTED_VALUE"""),104.21)</f>
        <v>104.21</v>
      </c>
      <c r="E56" s="2">
        <f>IFERROR(__xludf.DUMMYFUNCTION("""COMPUTED_VALUE"""),104.22)</f>
        <v>104.22</v>
      </c>
      <c r="F56" s="2">
        <f>IFERROR(__xludf.DUMMYFUNCTION("""COMPUTED_VALUE"""),3.2336877E7)</f>
        <v>32336877</v>
      </c>
    </row>
    <row r="57">
      <c r="A57" s="3">
        <f>IFERROR(__xludf.DUMMYFUNCTION("""COMPUTED_VALUE"""),45008.66666666667)</f>
        <v>45008.66667</v>
      </c>
      <c r="B57" s="2">
        <f>IFERROR(__xludf.DUMMYFUNCTION("""COMPUTED_VALUE"""),105.89)</f>
        <v>105.89</v>
      </c>
      <c r="C57" s="2">
        <f>IFERROR(__xludf.DUMMYFUNCTION("""COMPUTED_VALUE"""),107.1)</f>
        <v>107.1</v>
      </c>
      <c r="D57" s="2">
        <f>IFERROR(__xludf.DUMMYFUNCTION("""COMPUTED_VALUE"""),105.41)</f>
        <v>105.41</v>
      </c>
      <c r="E57" s="2">
        <f>IFERROR(__xludf.DUMMYFUNCTION("""COMPUTED_VALUE"""),106.26)</f>
        <v>106.26</v>
      </c>
      <c r="F57" s="2">
        <f>IFERROR(__xludf.DUMMYFUNCTION("""COMPUTED_VALUE"""),3.1385817E7)</f>
        <v>31385817</v>
      </c>
    </row>
    <row r="58">
      <c r="A58" s="3">
        <f>IFERROR(__xludf.DUMMYFUNCTION("""COMPUTED_VALUE"""),45009.66666666667)</f>
        <v>45009.66667</v>
      </c>
      <c r="B58" s="2">
        <f>IFERROR(__xludf.DUMMYFUNCTION("""COMPUTED_VALUE"""),105.74)</f>
        <v>105.74</v>
      </c>
      <c r="C58" s="2">
        <f>IFERROR(__xludf.DUMMYFUNCTION("""COMPUTED_VALUE"""),106.16)</f>
        <v>106.16</v>
      </c>
      <c r="D58" s="2">
        <f>IFERROR(__xludf.DUMMYFUNCTION("""COMPUTED_VALUE"""),104.74)</f>
        <v>104.74</v>
      </c>
      <c r="E58" s="2">
        <f>IFERROR(__xludf.DUMMYFUNCTION("""COMPUTED_VALUE"""),106.06)</f>
        <v>106.06</v>
      </c>
      <c r="F58" s="2">
        <f>IFERROR(__xludf.DUMMYFUNCTION("""COMPUTED_VALUE"""),2.524501E7)</f>
        <v>25245010</v>
      </c>
    </row>
    <row r="59">
      <c r="A59" s="3">
        <f>IFERROR(__xludf.DUMMYFUNCTION("""COMPUTED_VALUE"""),45012.66666666667)</f>
        <v>45012.66667</v>
      </c>
      <c r="B59" s="2">
        <f>IFERROR(__xludf.DUMMYFUNCTION("""COMPUTED_VALUE"""),105.32)</f>
        <v>105.32</v>
      </c>
      <c r="C59" s="2">
        <f>IFERROR(__xludf.DUMMYFUNCTION("""COMPUTED_VALUE"""),105.4)</f>
        <v>105.4</v>
      </c>
      <c r="D59" s="2">
        <f>IFERROR(__xludf.DUMMYFUNCTION("""COMPUTED_VALUE"""),102.63)</f>
        <v>102.63</v>
      </c>
      <c r="E59" s="2">
        <f>IFERROR(__xludf.DUMMYFUNCTION("""COMPUTED_VALUE"""),103.06)</f>
        <v>103.06</v>
      </c>
      <c r="F59" s="2">
        <f>IFERROR(__xludf.DUMMYFUNCTION("""COMPUTED_VALUE"""),2.5393417E7)</f>
        <v>25393417</v>
      </c>
    </row>
    <row r="60">
      <c r="A60" s="3">
        <f>IFERROR(__xludf.DUMMYFUNCTION("""COMPUTED_VALUE"""),45013.66666666667)</f>
        <v>45013.66667</v>
      </c>
      <c r="B60" s="2">
        <f>IFERROR(__xludf.DUMMYFUNCTION("""COMPUTED_VALUE"""),103.0)</f>
        <v>103</v>
      </c>
      <c r="C60" s="2">
        <f>IFERROR(__xludf.DUMMYFUNCTION("""COMPUTED_VALUE"""),103.0)</f>
        <v>103</v>
      </c>
      <c r="D60" s="2">
        <f>IFERROR(__xludf.DUMMYFUNCTION("""COMPUTED_VALUE"""),100.28)</f>
        <v>100.28</v>
      </c>
      <c r="E60" s="2">
        <f>IFERROR(__xludf.DUMMYFUNCTION("""COMPUTED_VALUE"""),101.36)</f>
        <v>101.36</v>
      </c>
      <c r="F60" s="2">
        <f>IFERROR(__xludf.DUMMYFUNCTION("""COMPUTED_VALUE"""),2.491348E7)</f>
        <v>24913480</v>
      </c>
    </row>
    <row r="61">
      <c r="A61" s="3">
        <f>IFERROR(__xludf.DUMMYFUNCTION("""COMPUTED_VALUE"""),45014.66666666667)</f>
        <v>45014.66667</v>
      </c>
      <c r="B61" s="2">
        <f>IFERROR(__xludf.DUMMYFUNCTION("""COMPUTED_VALUE"""),102.72)</f>
        <v>102.72</v>
      </c>
      <c r="C61" s="2">
        <f>IFERROR(__xludf.DUMMYFUNCTION("""COMPUTED_VALUE"""),102.82)</f>
        <v>102.82</v>
      </c>
      <c r="D61" s="2">
        <f>IFERROR(__xludf.DUMMYFUNCTION("""COMPUTED_VALUE"""),101.03)</f>
        <v>101.03</v>
      </c>
      <c r="E61" s="2">
        <f>IFERROR(__xludf.DUMMYFUNCTION("""COMPUTED_VALUE"""),101.9)</f>
        <v>101.9</v>
      </c>
      <c r="F61" s="2">
        <f>IFERROR(__xludf.DUMMYFUNCTION("""COMPUTED_VALUE"""),2.61483E7)</f>
        <v>26148300</v>
      </c>
    </row>
    <row r="62">
      <c r="A62" s="3">
        <f>IFERROR(__xludf.DUMMYFUNCTION("""COMPUTED_VALUE"""),45015.66666666667)</f>
        <v>45015.66667</v>
      </c>
      <c r="B62" s="2">
        <f>IFERROR(__xludf.DUMMYFUNCTION("""COMPUTED_VALUE"""),101.44)</f>
        <v>101.44</v>
      </c>
      <c r="C62" s="2">
        <f>IFERROR(__xludf.DUMMYFUNCTION("""COMPUTED_VALUE"""),101.61)</f>
        <v>101.61</v>
      </c>
      <c r="D62" s="2">
        <f>IFERROR(__xludf.DUMMYFUNCTION("""COMPUTED_VALUE"""),100.29)</f>
        <v>100.29</v>
      </c>
      <c r="E62" s="2">
        <f>IFERROR(__xludf.DUMMYFUNCTION("""COMPUTED_VALUE"""),101.32)</f>
        <v>101.32</v>
      </c>
      <c r="F62" s="2">
        <f>IFERROR(__xludf.DUMMYFUNCTION("""COMPUTED_VALUE"""),2.5009829E7)</f>
        <v>25009829</v>
      </c>
    </row>
    <row r="63">
      <c r="A63" s="3">
        <f>IFERROR(__xludf.DUMMYFUNCTION("""COMPUTED_VALUE"""),45016.66666666667)</f>
        <v>45016.66667</v>
      </c>
      <c r="B63" s="2">
        <f>IFERROR(__xludf.DUMMYFUNCTION("""COMPUTED_VALUE"""),101.71)</f>
        <v>101.71</v>
      </c>
      <c r="C63" s="2">
        <f>IFERROR(__xludf.DUMMYFUNCTION("""COMPUTED_VALUE"""),104.19)</f>
        <v>104.19</v>
      </c>
      <c r="D63" s="2">
        <f>IFERROR(__xludf.DUMMYFUNCTION("""COMPUTED_VALUE"""),101.44)</f>
        <v>101.44</v>
      </c>
      <c r="E63" s="2">
        <f>IFERROR(__xludf.DUMMYFUNCTION("""COMPUTED_VALUE"""),104.0)</f>
        <v>104</v>
      </c>
      <c r="F63" s="2">
        <f>IFERROR(__xludf.DUMMYFUNCTION("""COMPUTED_VALUE"""),2.8107953E7)</f>
        <v>28107953</v>
      </c>
    </row>
    <row r="64">
      <c r="A64" s="3">
        <f>IFERROR(__xludf.DUMMYFUNCTION("""COMPUTED_VALUE"""),45019.66666666667)</f>
        <v>45019.66667</v>
      </c>
      <c r="B64" s="2">
        <f>IFERROR(__xludf.DUMMYFUNCTION("""COMPUTED_VALUE"""),102.67)</f>
        <v>102.67</v>
      </c>
      <c r="C64" s="2">
        <f>IFERROR(__xludf.DUMMYFUNCTION("""COMPUTED_VALUE"""),104.95)</f>
        <v>104.95</v>
      </c>
      <c r="D64" s="2">
        <f>IFERROR(__xludf.DUMMYFUNCTION("""COMPUTED_VALUE"""),102.38)</f>
        <v>102.38</v>
      </c>
      <c r="E64" s="2">
        <f>IFERROR(__xludf.DUMMYFUNCTION("""COMPUTED_VALUE"""),104.91)</f>
        <v>104.91</v>
      </c>
      <c r="F64" s="2">
        <f>IFERROR(__xludf.DUMMYFUNCTION("""COMPUTED_VALUE"""),2.0719861E7)</f>
        <v>20719861</v>
      </c>
    </row>
    <row r="65">
      <c r="A65" s="3">
        <f>IFERROR(__xludf.DUMMYFUNCTION("""COMPUTED_VALUE"""),45020.66666666667)</f>
        <v>45020.66667</v>
      </c>
      <c r="B65" s="2">
        <f>IFERROR(__xludf.DUMMYFUNCTION("""COMPUTED_VALUE"""),104.84)</f>
        <v>104.84</v>
      </c>
      <c r="C65" s="2">
        <f>IFERROR(__xludf.DUMMYFUNCTION("""COMPUTED_VALUE"""),106.1)</f>
        <v>106.1</v>
      </c>
      <c r="D65" s="2">
        <f>IFERROR(__xludf.DUMMYFUNCTION("""COMPUTED_VALUE"""),104.6)</f>
        <v>104.6</v>
      </c>
      <c r="E65" s="2">
        <f>IFERROR(__xludf.DUMMYFUNCTION("""COMPUTED_VALUE"""),105.12)</f>
        <v>105.12</v>
      </c>
      <c r="F65" s="2">
        <f>IFERROR(__xludf.DUMMYFUNCTION("""COMPUTED_VALUE"""),2.0377231E7)</f>
        <v>20377231</v>
      </c>
    </row>
    <row r="66">
      <c r="A66" s="3">
        <f>IFERROR(__xludf.DUMMYFUNCTION("""COMPUTED_VALUE"""),45021.66666666667)</f>
        <v>45021.66667</v>
      </c>
      <c r="B66" s="2">
        <f>IFERROR(__xludf.DUMMYFUNCTION("""COMPUTED_VALUE"""),106.12)</f>
        <v>106.12</v>
      </c>
      <c r="C66" s="2">
        <f>IFERROR(__xludf.DUMMYFUNCTION("""COMPUTED_VALUE"""),106.54)</f>
        <v>106.54</v>
      </c>
      <c r="D66" s="2">
        <f>IFERROR(__xludf.DUMMYFUNCTION("""COMPUTED_VALUE"""),104.1)</f>
        <v>104.1</v>
      </c>
      <c r="E66" s="2">
        <f>IFERROR(__xludf.DUMMYFUNCTION("""COMPUTED_VALUE"""),104.95)</f>
        <v>104.95</v>
      </c>
      <c r="F66" s="2">
        <f>IFERROR(__xludf.DUMMYFUNCTION("""COMPUTED_VALUE"""),2.18642E7)</f>
        <v>21864200</v>
      </c>
    </row>
    <row r="67">
      <c r="A67" s="3">
        <f>IFERROR(__xludf.DUMMYFUNCTION("""COMPUTED_VALUE"""),45022.66666666667)</f>
        <v>45022.66667</v>
      </c>
      <c r="B67" s="2">
        <f>IFERROR(__xludf.DUMMYFUNCTION("""COMPUTED_VALUE"""),105.77)</f>
        <v>105.77</v>
      </c>
      <c r="C67" s="2">
        <f>IFERROR(__xludf.DUMMYFUNCTION("""COMPUTED_VALUE"""),109.63)</f>
        <v>109.63</v>
      </c>
      <c r="D67" s="2">
        <f>IFERROR(__xludf.DUMMYFUNCTION("""COMPUTED_VALUE"""),104.82)</f>
        <v>104.82</v>
      </c>
      <c r="E67" s="2">
        <f>IFERROR(__xludf.DUMMYFUNCTION("""COMPUTED_VALUE"""),108.9)</f>
        <v>108.9</v>
      </c>
      <c r="F67" s="2">
        <f>IFERROR(__xludf.DUMMYFUNCTION("""COMPUTED_VALUE"""),3.468415E7)</f>
        <v>34684150</v>
      </c>
    </row>
    <row r="68">
      <c r="A68" s="3">
        <f>IFERROR(__xludf.DUMMYFUNCTION("""COMPUTED_VALUE"""),45026.66666666667)</f>
        <v>45026.66667</v>
      </c>
      <c r="B68" s="2">
        <f>IFERROR(__xludf.DUMMYFUNCTION("""COMPUTED_VALUE"""),107.39)</f>
        <v>107.39</v>
      </c>
      <c r="C68" s="2">
        <f>IFERROR(__xludf.DUMMYFUNCTION("""COMPUTED_VALUE"""),107.97)</f>
        <v>107.97</v>
      </c>
      <c r="D68" s="2">
        <f>IFERROR(__xludf.DUMMYFUNCTION("""COMPUTED_VALUE"""),105.6)</f>
        <v>105.6</v>
      </c>
      <c r="E68" s="2">
        <f>IFERROR(__xludf.DUMMYFUNCTION("""COMPUTED_VALUE"""),106.95)</f>
        <v>106.95</v>
      </c>
      <c r="F68" s="2">
        <f>IFERROR(__xludf.DUMMYFUNCTION("""COMPUTED_VALUE"""),1.9741517E7)</f>
        <v>19741517</v>
      </c>
    </row>
    <row r="69">
      <c r="A69" s="3">
        <f>IFERROR(__xludf.DUMMYFUNCTION("""COMPUTED_VALUE"""),45027.66666666667)</f>
        <v>45027.66667</v>
      </c>
      <c r="B69" s="2">
        <f>IFERROR(__xludf.DUMMYFUNCTION("""COMPUTED_VALUE"""),106.92)</f>
        <v>106.92</v>
      </c>
      <c r="C69" s="2">
        <f>IFERROR(__xludf.DUMMYFUNCTION("""COMPUTED_VALUE"""),107.22)</f>
        <v>107.22</v>
      </c>
      <c r="D69" s="2">
        <f>IFERROR(__xludf.DUMMYFUNCTION("""COMPUTED_VALUE"""),105.28)</f>
        <v>105.28</v>
      </c>
      <c r="E69" s="2">
        <f>IFERROR(__xludf.DUMMYFUNCTION("""COMPUTED_VALUE"""),106.12)</f>
        <v>106.12</v>
      </c>
      <c r="F69" s="2">
        <f>IFERROR(__xludf.DUMMYFUNCTION("""COMPUTED_VALUE"""),1.8721278E7)</f>
        <v>18721278</v>
      </c>
    </row>
    <row r="70">
      <c r="A70" s="3">
        <f>IFERROR(__xludf.DUMMYFUNCTION("""COMPUTED_VALUE"""),45028.66666666667)</f>
        <v>45028.66667</v>
      </c>
      <c r="B70" s="2">
        <f>IFERROR(__xludf.DUMMYFUNCTION("""COMPUTED_VALUE"""),107.39)</f>
        <v>107.39</v>
      </c>
      <c r="C70" s="2">
        <f>IFERROR(__xludf.DUMMYFUNCTION("""COMPUTED_VALUE"""),107.59)</f>
        <v>107.59</v>
      </c>
      <c r="D70" s="2">
        <f>IFERROR(__xludf.DUMMYFUNCTION("""COMPUTED_VALUE"""),104.97)</f>
        <v>104.97</v>
      </c>
      <c r="E70" s="2">
        <f>IFERROR(__xludf.DUMMYFUNCTION("""COMPUTED_VALUE"""),105.22)</f>
        <v>105.22</v>
      </c>
      <c r="F70" s="2">
        <f>IFERROR(__xludf.DUMMYFUNCTION("""COMPUTED_VALUE"""),2.2761569E7)</f>
        <v>22761569</v>
      </c>
    </row>
    <row r="71">
      <c r="A71" s="3">
        <f>IFERROR(__xludf.DUMMYFUNCTION("""COMPUTED_VALUE"""),45029.66666666667)</f>
        <v>45029.66667</v>
      </c>
      <c r="B71" s="2">
        <f>IFERROR(__xludf.DUMMYFUNCTION("""COMPUTED_VALUE"""),106.47)</f>
        <v>106.47</v>
      </c>
      <c r="C71" s="2">
        <f>IFERROR(__xludf.DUMMYFUNCTION("""COMPUTED_VALUE"""),108.27)</f>
        <v>108.27</v>
      </c>
      <c r="D71" s="2">
        <f>IFERROR(__xludf.DUMMYFUNCTION("""COMPUTED_VALUE"""),106.44)</f>
        <v>106.44</v>
      </c>
      <c r="E71" s="2">
        <f>IFERROR(__xludf.DUMMYFUNCTION("""COMPUTED_VALUE"""),108.19)</f>
        <v>108.19</v>
      </c>
      <c r="F71" s="2">
        <f>IFERROR(__xludf.DUMMYFUNCTION("""COMPUTED_VALUE"""),2.1650747E7)</f>
        <v>21650747</v>
      </c>
    </row>
    <row r="72">
      <c r="A72" s="3">
        <f>IFERROR(__xludf.DUMMYFUNCTION("""COMPUTED_VALUE"""),45030.66666666667)</f>
        <v>45030.66667</v>
      </c>
      <c r="B72" s="2">
        <f>IFERROR(__xludf.DUMMYFUNCTION("""COMPUTED_VALUE"""),107.69)</f>
        <v>107.69</v>
      </c>
      <c r="C72" s="2">
        <f>IFERROR(__xludf.DUMMYFUNCTION("""COMPUTED_VALUE"""),109.58)</f>
        <v>109.58</v>
      </c>
      <c r="D72" s="2">
        <f>IFERROR(__xludf.DUMMYFUNCTION("""COMPUTED_VALUE"""),107.59)</f>
        <v>107.59</v>
      </c>
      <c r="E72" s="2">
        <f>IFERROR(__xludf.DUMMYFUNCTION("""COMPUTED_VALUE"""),109.46)</f>
        <v>109.46</v>
      </c>
      <c r="F72" s="2">
        <f>IFERROR(__xludf.DUMMYFUNCTION("""COMPUTED_VALUE"""),2.0758686E7)</f>
        <v>20758686</v>
      </c>
    </row>
    <row r="73">
      <c r="A73" s="3">
        <f>IFERROR(__xludf.DUMMYFUNCTION("""COMPUTED_VALUE"""),45033.66666666667)</f>
        <v>45033.66667</v>
      </c>
      <c r="B73" s="2">
        <f>IFERROR(__xludf.DUMMYFUNCTION("""COMPUTED_VALUE"""),105.43)</f>
        <v>105.43</v>
      </c>
      <c r="C73" s="2">
        <f>IFERROR(__xludf.DUMMYFUNCTION("""COMPUTED_VALUE"""),106.71)</f>
        <v>106.71</v>
      </c>
      <c r="D73" s="2">
        <f>IFERROR(__xludf.DUMMYFUNCTION("""COMPUTED_VALUE"""),105.32)</f>
        <v>105.32</v>
      </c>
      <c r="E73" s="2">
        <f>IFERROR(__xludf.DUMMYFUNCTION("""COMPUTED_VALUE"""),106.42)</f>
        <v>106.42</v>
      </c>
      <c r="F73" s="2">
        <f>IFERROR(__xludf.DUMMYFUNCTION("""COMPUTED_VALUE"""),2.9043443E7)</f>
        <v>29043443</v>
      </c>
    </row>
    <row r="74">
      <c r="A74" s="3">
        <f>IFERROR(__xludf.DUMMYFUNCTION("""COMPUTED_VALUE"""),45034.66666666667)</f>
        <v>45034.66667</v>
      </c>
      <c r="B74" s="2">
        <f>IFERROR(__xludf.DUMMYFUNCTION("""COMPUTED_VALUE"""),107.0)</f>
        <v>107</v>
      </c>
      <c r="C74" s="2">
        <f>IFERROR(__xludf.DUMMYFUNCTION("""COMPUTED_VALUE"""),107.05)</f>
        <v>107.05</v>
      </c>
      <c r="D74" s="2">
        <f>IFERROR(__xludf.DUMMYFUNCTION("""COMPUTED_VALUE"""),104.78)</f>
        <v>104.78</v>
      </c>
      <c r="E74" s="2">
        <f>IFERROR(__xludf.DUMMYFUNCTION("""COMPUTED_VALUE"""),105.12)</f>
        <v>105.12</v>
      </c>
      <c r="F74" s="2">
        <f>IFERROR(__xludf.DUMMYFUNCTION("""COMPUTED_VALUE"""),1.7641369E7)</f>
        <v>17641369</v>
      </c>
    </row>
    <row r="75">
      <c r="A75" s="3">
        <f>IFERROR(__xludf.DUMMYFUNCTION("""COMPUTED_VALUE"""),45035.66666666667)</f>
        <v>45035.66667</v>
      </c>
      <c r="B75" s="2">
        <f>IFERROR(__xludf.DUMMYFUNCTION("""COMPUTED_VALUE"""),104.22)</f>
        <v>104.22</v>
      </c>
      <c r="C75" s="2">
        <f>IFERROR(__xludf.DUMMYFUNCTION("""COMPUTED_VALUE"""),105.73)</f>
        <v>105.73</v>
      </c>
      <c r="D75" s="2">
        <f>IFERROR(__xludf.DUMMYFUNCTION("""COMPUTED_VALUE"""),103.8)</f>
        <v>103.8</v>
      </c>
      <c r="E75" s="2">
        <f>IFERROR(__xludf.DUMMYFUNCTION("""COMPUTED_VALUE"""),105.02)</f>
        <v>105.02</v>
      </c>
      <c r="F75" s="2">
        <f>IFERROR(__xludf.DUMMYFUNCTION("""COMPUTED_VALUE"""),1.6732016E7)</f>
        <v>16732016</v>
      </c>
    </row>
    <row r="76">
      <c r="A76" s="3">
        <f>IFERROR(__xludf.DUMMYFUNCTION("""COMPUTED_VALUE"""),45036.66666666667)</f>
        <v>45036.66667</v>
      </c>
      <c r="B76" s="2">
        <f>IFERROR(__xludf.DUMMYFUNCTION("""COMPUTED_VALUE"""),104.65)</f>
        <v>104.65</v>
      </c>
      <c r="C76" s="2">
        <f>IFERROR(__xludf.DUMMYFUNCTION("""COMPUTED_VALUE"""),106.89)</f>
        <v>106.89</v>
      </c>
      <c r="D76" s="2">
        <f>IFERROR(__xludf.DUMMYFUNCTION("""COMPUTED_VALUE"""),104.64)</f>
        <v>104.64</v>
      </c>
      <c r="E76" s="2">
        <f>IFERROR(__xludf.DUMMYFUNCTION("""COMPUTED_VALUE"""),105.9)</f>
        <v>105.9</v>
      </c>
      <c r="F76" s="2">
        <f>IFERROR(__xludf.DUMMYFUNCTION("""COMPUTED_VALUE"""),2.2515331E7)</f>
        <v>22515331</v>
      </c>
    </row>
    <row r="77">
      <c r="A77" s="3">
        <f>IFERROR(__xludf.DUMMYFUNCTION("""COMPUTED_VALUE"""),45037.66666666667)</f>
        <v>45037.66667</v>
      </c>
      <c r="B77" s="2">
        <f>IFERROR(__xludf.DUMMYFUNCTION("""COMPUTED_VALUE"""),106.09)</f>
        <v>106.09</v>
      </c>
      <c r="C77" s="2">
        <f>IFERROR(__xludf.DUMMYFUNCTION("""COMPUTED_VALUE"""),106.64)</f>
        <v>106.64</v>
      </c>
      <c r="D77" s="2">
        <f>IFERROR(__xludf.DUMMYFUNCTION("""COMPUTED_VALUE"""),105.49)</f>
        <v>105.49</v>
      </c>
      <c r="E77" s="2">
        <f>IFERROR(__xludf.DUMMYFUNCTION("""COMPUTED_VALUE"""),105.91)</f>
        <v>105.91</v>
      </c>
      <c r="F77" s="2">
        <f>IFERROR(__xludf.DUMMYFUNCTION("""COMPUTED_VALUE"""),2.2379018E7)</f>
        <v>22379018</v>
      </c>
    </row>
    <row r="78">
      <c r="A78" s="3">
        <f>IFERROR(__xludf.DUMMYFUNCTION("""COMPUTED_VALUE"""),45040.66666666667)</f>
        <v>45040.66667</v>
      </c>
      <c r="B78" s="2">
        <f>IFERROR(__xludf.DUMMYFUNCTION("""COMPUTED_VALUE"""),106.05)</f>
        <v>106.05</v>
      </c>
      <c r="C78" s="2">
        <f>IFERROR(__xludf.DUMMYFUNCTION("""COMPUTED_VALUE"""),107.32)</f>
        <v>107.32</v>
      </c>
      <c r="D78" s="2">
        <f>IFERROR(__xludf.DUMMYFUNCTION("""COMPUTED_VALUE"""),105.36)</f>
        <v>105.36</v>
      </c>
      <c r="E78" s="2">
        <f>IFERROR(__xludf.DUMMYFUNCTION("""COMPUTED_VALUE"""),106.78)</f>
        <v>106.78</v>
      </c>
      <c r="F78" s="2">
        <f>IFERROR(__xludf.DUMMYFUNCTION("""COMPUTED_VALUE"""),2.1410908E7)</f>
        <v>21410908</v>
      </c>
    </row>
    <row r="79">
      <c r="A79" s="3">
        <f>IFERROR(__xludf.DUMMYFUNCTION("""COMPUTED_VALUE"""),45041.66666666667)</f>
        <v>45041.66667</v>
      </c>
      <c r="B79" s="2">
        <f>IFERROR(__xludf.DUMMYFUNCTION("""COMPUTED_VALUE"""),106.61)</f>
        <v>106.61</v>
      </c>
      <c r="C79" s="2">
        <f>IFERROR(__xludf.DUMMYFUNCTION("""COMPUTED_VALUE"""),107.44)</f>
        <v>107.44</v>
      </c>
      <c r="D79" s="2">
        <f>IFERROR(__xludf.DUMMYFUNCTION("""COMPUTED_VALUE"""),104.56)</f>
        <v>104.56</v>
      </c>
      <c r="E79" s="2">
        <f>IFERROR(__xludf.DUMMYFUNCTION("""COMPUTED_VALUE"""),104.61)</f>
        <v>104.61</v>
      </c>
      <c r="F79" s="2">
        <f>IFERROR(__xludf.DUMMYFUNCTION("""COMPUTED_VALUE"""),3.1408119E7)</f>
        <v>31408119</v>
      </c>
    </row>
    <row r="80">
      <c r="A80" s="3">
        <f>IFERROR(__xludf.DUMMYFUNCTION("""COMPUTED_VALUE"""),45042.66666666667)</f>
        <v>45042.66667</v>
      </c>
      <c r="B80" s="2">
        <f>IFERROR(__xludf.DUMMYFUNCTION("""COMPUTED_VALUE"""),105.56)</f>
        <v>105.56</v>
      </c>
      <c r="C80" s="2">
        <f>IFERROR(__xludf.DUMMYFUNCTION("""COMPUTED_VALUE"""),107.02)</f>
        <v>107.02</v>
      </c>
      <c r="D80" s="2">
        <f>IFERROR(__xludf.DUMMYFUNCTION("""COMPUTED_VALUE"""),103.27)</f>
        <v>103.27</v>
      </c>
      <c r="E80" s="2">
        <f>IFERROR(__xludf.DUMMYFUNCTION("""COMPUTED_VALUE"""),104.45)</f>
        <v>104.45</v>
      </c>
      <c r="F80" s="2">
        <f>IFERROR(__xludf.DUMMYFUNCTION("""COMPUTED_VALUE"""),3.7068168E7)</f>
        <v>37068168</v>
      </c>
    </row>
    <row r="81">
      <c r="A81" s="3">
        <f>IFERROR(__xludf.DUMMYFUNCTION("""COMPUTED_VALUE"""),45043.66666666667)</f>
        <v>45043.66667</v>
      </c>
      <c r="B81" s="2">
        <f>IFERROR(__xludf.DUMMYFUNCTION("""COMPUTED_VALUE"""),105.23)</f>
        <v>105.23</v>
      </c>
      <c r="C81" s="2">
        <f>IFERROR(__xludf.DUMMYFUNCTION("""COMPUTED_VALUE"""),109.15)</f>
        <v>109.15</v>
      </c>
      <c r="D81" s="2">
        <f>IFERROR(__xludf.DUMMYFUNCTION("""COMPUTED_VALUE"""),104.42)</f>
        <v>104.42</v>
      </c>
      <c r="E81" s="2">
        <f>IFERROR(__xludf.DUMMYFUNCTION("""COMPUTED_VALUE"""),108.37)</f>
        <v>108.37</v>
      </c>
      <c r="F81" s="2">
        <f>IFERROR(__xludf.DUMMYFUNCTION("""COMPUTED_VALUE"""),3.823522E7)</f>
        <v>38235220</v>
      </c>
    </row>
    <row r="82">
      <c r="A82" s="3">
        <f>IFERROR(__xludf.DUMMYFUNCTION("""COMPUTED_VALUE"""),45044.66666666667)</f>
        <v>45044.66667</v>
      </c>
      <c r="B82" s="2">
        <f>IFERROR(__xludf.DUMMYFUNCTION("""COMPUTED_VALUE"""),107.8)</f>
        <v>107.8</v>
      </c>
      <c r="C82" s="2">
        <f>IFERROR(__xludf.DUMMYFUNCTION("""COMPUTED_VALUE"""),108.29)</f>
        <v>108.29</v>
      </c>
      <c r="D82" s="2">
        <f>IFERROR(__xludf.DUMMYFUNCTION("""COMPUTED_VALUE"""),106.04)</f>
        <v>106.04</v>
      </c>
      <c r="E82" s="2">
        <f>IFERROR(__xludf.DUMMYFUNCTION("""COMPUTED_VALUE"""),108.22)</f>
        <v>108.22</v>
      </c>
      <c r="F82" s="2">
        <f>IFERROR(__xludf.DUMMYFUNCTION("""COMPUTED_VALUE"""),2.3957872E7)</f>
        <v>23957872</v>
      </c>
    </row>
    <row r="83">
      <c r="A83" s="3">
        <f>IFERROR(__xludf.DUMMYFUNCTION("""COMPUTED_VALUE"""),45047.66666666667)</f>
        <v>45047.66667</v>
      </c>
      <c r="B83" s="2">
        <f>IFERROR(__xludf.DUMMYFUNCTION("""COMPUTED_VALUE"""),107.72)</f>
        <v>107.72</v>
      </c>
      <c r="C83" s="2">
        <f>IFERROR(__xludf.DUMMYFUNCTION("""COMPUTED_VALUE"""),108.68)</f>
        <v>108.68</v>
      </c>
      <c r="D83" s="2">
        <f>IFERROR(__xludf.DUMMYFUNCTION("""COMPUTED_VALUE"""),107.5)</f>
        <v>107.5</v>
      </c>
      <c r="E83" s="2">
        <f>IFERROR(__xludf.DUMMYFUNCTION("""COMPUTED_VALUE"""),107.71)</f>
        <v>107.71</v>
      </c>
      <c r="F83" s="2">
        <f>IFERROR(__xludf.DUMMYFUNCTION("""COMPUTED_VALUE"""),2.0926259E7)</f>
        <v>20926259</v>
      </c>
    </row>
    <row r="84">
      <c r="A84" s="3">
        <f>IFERROR(__xludf.DUMMYFUNCTION("""COMPUTED_VALUE"""),45048.66666666667)</f>
        <v>45048.66667</v>
      </c>
      <c r="B84" s="2">
        <f>IFERROR(__xludf.DUMMYFUNCTION("""COMPUTED_VALUE"""),107.66)</f>
        <v>107.66</v>
      </c>
      <c r="C84" s="2">
        <f>IFERROR(__xludf.DUMMYFUNCTION("""COMPUTED_VALUE"""),107.73)</f>
        <v>107.73</v>
      </c>
      <c r="D84" s="2">
        <f>IFERROR(__xludf.DUMMYFUNCTION("""COMPUTED_VALUE"""),104.5)</f>
        <v>104.5</v>
      </c>
      <c r="E84" s="2">
        <f>IFERROR(__xludf.DUMMYFUNCTION("""COMPUTED_VALUE"""),105.98)</f>
        <v>105.98</v>
      </c>
      <c r="F84" s="2">
        <f>IFERROR(__xludf.DUMMYFUNCTION("""COMPUTED_VALUE"""),2.0343116E7)</f>
        <v>20343116</v>
      </c>
    </row>
    <row r="85">
      <c r="A85" s="3">
        <f>IFERROR(__xludf.DUMMYFUNCTION("""COMPUTED_VALUE"""),45049.66666666667)</f>
        <v>45049.66667</v>
      </c>
      <c r="B85" s="2">
        <f>IFERROR(__xludf.DUMMYFUNCTION("""COMPUTED_VALUE"""),106.22)</f>
        <v>106.22</v>
      </c>
      <c r="C85" s="2">
        <f>IFERROR(__xludf.DUMMYFUNCTION("""COMPUTED_VALUE"""),108.13)</f>
        <v>108.13</v>
      </c>
      <c r="D85" s="2">
        <f>IFERROR(__xludf.DUMMYFUNCTION("""COMPUTED_VALUE"""),105.62)</f>
        <v>105.62</v>
      </c>
      <c r="E85" s="2">
        <f>IFERROR(__xludf.DUMMYFUNCTION("""COMPUTED_VALUE"""),106.12)</f>
        <v>106.12</v>
      </c>
      <c r="F85" s="2">
        <f>IFERROR(__xludf.DUMMYFUNCTION("""COMPUTED_VALUE"""),1.7116333E7)</f>
        <v>17116333</v>
      </c>
    </row>
    <row r="86">
      <c r="A86" s="3">
        <f>IFERROR(__xludf.DUMMYFUNCTION("""COMPUTED_VALUE"""),45050.66666666667)</f>
        <v>45050.66667</v>
      </c>
      <c r="B86" s="2">
        <f>IFERROR(__xludf.DUMMYFUNCTION("""COMPUTED_VALUE"""),106.16)</f>
        <v>106.16</v>
      </c>
      <c r="C86" s="2">
        <f>IFERROR(__xludf.DUMMYFUNCTION("""COMPUTED_VALUE"""),106.3)</f>
        <v>106.3</v>
      </c>
      <c r="D86" s="2">
        <f>IFERROR(__xludf.DUMMYFUNCTION("""COMPUTED_VALUE"""),104.7)</f>
        <v>104.7</v>
      </c>
      <c r="E86" s="2">
        <f>IFERROR(__xludf.DUMMYFUNCTION("""COMPUTED_VALUE"""),105.21)</f>
        <v>105.21</v>
      </c>
      <c r="F86" s="2">
        <f>IFERROR(__xludf.DUMMYFUNCTION("""COMPUTED_VALUE"""),1.9780637E7)</f>
        <v>19780637</v>
      </c>
    </row>
    <row r="87">
      <c r="A87" s="3">
        <f>IFERROR(__xludf.DUMMYFUNCTION("""COMPUTED_VALUE"""),45051.66666666667)</f>
        <v>45051.66667</v>
      </c>
      <c r="B87" s="2">
        <f>IFERROR(__xludf.DUMMYFUNCTION("""COMPUTED_VALUE"""),105.32)</f>
        <v>105.32</v>
      </c>
      <c r="C87" s="2">
        <f>IFERROR(__xludf.DUMMYFUNCTION("""COMPUTED_VALUE"""),106.44)</f>
        <v>106.44</v>
      </c>
      <c r="D87" s="2">
        <f>IFERROR(__xludf.DUMMYFUNCTION("""COMPUTED_VALUE"""),104.74)</f>
        <v>104.74</v>
      </c>
      <c r="E87" s="2">
        <f>IFERROR(__xludf.DUMMYFUNCTION("""COMPUTED_VALUE"""),106.22)</f>
        <v>106.22</v>
      </c>
      <c r="F87" s="2">
        <f>IFERROR(__xludf.DUMMYFUNCTION("""COMPUTED_VALUE"""),2.0710627E7)</f>
        <v>20710627</v>
      </c>
    </row>
    <row r="88">
      <c r="A88" s="3">
        <f>IFERROR(__xludf.DUMMYFUNCTION("""COMPUTED_VALUE"""),45054.66666666667)</f>
        <v>45054.66667</v>
      </c>
      <c r="B88" s="2">
        <f>IFERROR(__xludf.DUMMYFUNCTION("""COMPUTED_VALUE"""),105.8)</f>
        <v>105.8</v>
      </c>
      <c r="C88" s="2">
        <f>IFERROR(__xludf.DUMMYFUNCTION("""COMPUTED_VALUE"""),108.42)</f>
        <v>108.42</v>
      </c>
      <c r="D88" s="2">
        <f>IFERROR(__xludf.DUMMYFUNCTION("""COMPUTED_VALUE"""),105.79)</f>
        <v>105.79</v>
      </c>
      <c r="E88" s="2">
        <f>IFERROR(__xludf.DUMMYFUNCTION("""COMPUTED_VALUE"""),108.24)</f>
        <v>108.24</v>
      </c>
      <c r="F88" s="2">
        <f>IFERROR(__xludf.DUMMYFUNCTION("""COMPUTED_VALUE"""),1.7266021E7)</f>
        <v>17266021</v>
      </c>
    </row>
    <row r="89">
      <c r="A89" s="3">
        <f>IFERROR(__xludf.DUMMYFUNCTION("""COMPUTED_VALUE"""),45055.66666666667)</f>
        <v>45055.66667</v>
      </c>
      <c r="B89" s="2">
        <f>IFERROR(__xludf.DUMMYFUNCTION("""COMPUTED_VALUE"""),108.78)</f>
        <v>108.78</v>
      </c>
      <c r="C89" s="2">
        <f>IFERROR(__xludf.DUMMYFUNCTION("""COMPUTED_VALUE"""),110.6)</f>
        <v>110.6</v>
      </c>
      <c r="D89" s="2">
        <f>IFERROR(__xludf.DUMMYFUNCTION("""COMPUTED_VALUE"""),107.73)</f>
        <v>107.73</v>
      </c>
      <c r="E89" s="2">
        <f>IFERROR(__xludf.DUMMYFUNCTION("""COMPUTED_VALUE"""),107.94)</f>
        <v>107.94</v>
      </c>
      <c r="F89" s="2">
        <f>IFERROR(__xludf.DUMMYFUNCTION("""COMPUTED_VALUE"""),2.4782442E7)</f>
        <v>24782442</v>
      </c>
    </row>
    <row r="90">
      <c r="A90" s="3">
        <f>IFERROR(__xludf.DUMMYFUNCTION("""COMPUTED_VALUE"""),45056.66666666667)</f>
        <v>45056.66667</v>
      </c>
      <c r="B90" s="2">
        <f>IFERROR(__xludf.DUMMYFUNCTION("""COMPUTED_VALUE"""),108.55)</f>
        <v>108.55</v>
      </c>
      <c r="C90" s="2">
        <f>IFERROR(__xludf.DUMMYFUNCTION("""COMPUTED_VALUE"""),113.51)</f>
        <v>113.51</v>
      </c>
      <c r="D90" s="2">
        <f>IFERROR(__xludf.DUMMYFUNCTION("""COMPUTED_VALUE"""),108.48)</f>
        <v>108.48</v>
      </c>
      <c r="E90" s="2">
        <f>IFERROR(__xludf.DUMMYFUNCTION("""COMPUTED_VALUE"""),112.28)</f>
        <v>112.28</v>
      </c>
      <c r="F90" s="2">
        <f>IFERROR(__xludf.DUMMYFUNCTION("""COMPUTED_VALUE"""),4.7533463E7)</f>
        <v>47533463</v>
      </c>
    </row>
    <row r="91">
      <c r="A91" s="3">
        <f>IFERROR(__xludf.DUMMYFUNCTION("""COMPUTED_VALUE"""),45057.66666666667)</f>
        <v>45057.66667</v>
      </c>
      <c r="B91" s="2">
        <f>IFERROR(__xludf.DUMMYFUNCTION("""COMPUTED_VALUE"""),115.86)</f>
        <v>115.86</v>
      </c>
      <c r="C91" s="2">
        <f>IFERROR(__xludf.DUMMYFUNCTION("""COMPUTED_VALUE"""),118.44)</f>
        <v>118.44</v>
      </c>
      <c r="D91" s="2">
        <f>IFERROR(__xludf.DUMMYFUNCTION("""COMPUTED_VALUE"""),114.93)</f>
        <v>114.93</v>
      </c>
      <c r="E91" s="2">
        <f>IFERROR(__xludf.DUMMYFUNCTION("""COMPUTED_VALUE"""),116.9)</f>
        <v>116.9</v>
      </c>
      <c r="F91" s="2">
        <f>IFERROR(__xludf.DUMMYFUNCTION("""COMPUTED_VALUE"""),5.7115075E7)</f>
        <v>57115075</v>
      </c>
    </row>
    <row r="92">
      <c r="A92" s="3">
        <f>IFERROR(__xludf.DUMMYFUNCTION("""COMPUTED_VALUE"""),45058.66666666667)</f>
        <v>45058.66667</v>
      </c>
      <c r="B92" s="2">
        <f>IFERROR(__xludf.DUMMYFUNCTION("""COMPUTED_VALUE"""),117.0)</f>
        <v>117</v>
      </c>
      <c r="C92" s="2">
        <f>IFERROR(__xludf.DUMMYFUNCTION("""COMPUTED_VALUE"""),118.26)</f>
        <v>118.26</v>
      </c>
      <c r="D92" s="2">
        <f>IFERROR(__xludf.DUMMYFUNCTION("""COMPUTED_VALUE"""),116.55)</f>
        <v>116.55</v>
      </c>
      <c r="E92" s="2">
        <f>IFERROR(__xludf.DUMMYFUNCTION("""COMPUTED_VALUE"""),117.92)</f>
        <v>117.92</v>
      </c>
      <c r="F92" s="2">
        <f>IFERROR(__xludf.DUMMYFUNCTION("""COMPUTED_VALUE"""),3.1293778E7)</f>
        <v>31293778</v>
      </c>
    </row>
    <row r="93">
      <c r="A93" s="3">
        <f>IFERROR(__xludf.DUMMYFUNCTION("""COMPUTED_VALUE"""),45061.66666666667)</f>
        <v>45061.66667</v>
      </c>
      <c r="B93" s="2">
        <f>IFERROR(__xludf.DUMMYFUNCTION("""COMPUTED_VALUE"""),116.49)</f>
        <v>116.49</v>
      </c>
      <c r="C93" s="2">
        <f>IFERROR(__xludf.DUMMYFUNCTION("""COMPUTED_VALUE"""),118.8)</f>
        <v>118.8</v>
      </c>
      <c r="D93" s="2">
        <f>IFERROR(__xludf.DUMMYFUNCTION("""COMPUTED_VALUE"""),116.48)</f>
        <v>116.48</v>
      </c>
      <c r="E93" s="2">
        <f>IFERROR(__xludf.DUMMYFUNCTION("""COMPUTED_VALUE"""),116.96)</f>
        <v>116.96</v>
      </c>
      <c r="F93" s="2">
        <f>IFERROR(__xludf.DUMMYFUNCTION("""COMPUTED_VALUE"""),2.2107865E7)</f>
        <v>22107865</v>
      </c>
    </row>
    <row r="94">
      <c r="A94" s="3">
        <f>IFERROR(__xludf.DUMMYFUNCTION("""COMPUTED_VALUE"""),45062.66666666667)</f>
        <v>45062.66667</v>
      </c>
      <c r="B94" s="2">
        <f>IFERROR(__xludf.DUMMYFUNCTION("""COMPUTED_VALUE"""),116.83)</f>
        <v>116.83</v>
      </c>
      <c r="C94" s="2">
        <f>IFERROR(__xludf.DUMMYFUNCTION("""COMPUTED_VALUE"""),121.2)</f>
        <v>121.2</v>
      </c>
      <c r="D94" s="2">
        <f>IFERROR(__xludf.DUMMYFUNCTION("""COMPUTED_VALUE"""),116.83)</f>
        <v>116.83</v>
      </c>
      <c r="E94" s="2">
        <f>IFERROR(__xludf.DUMMYFUNCTION("""COMPUTED_VALUE"""),120.09)</f>
        <v>120.09</v>
      </c>
      <c r="F94" s="2">
        <f>IFERROR(__xludf.DUMMYFUNCTION("""COMPUTED_VALUE"""),3.2370113E7)</f>
        <v>32370113</v>
      </c>
    </row>
    <row r="95">
      <c r="A95" s="3">
        <f>IFERROR(__xludf.DUMMYFUNCTION("""COMPUTED_VALUE"""),45063.66666666667)</f>
        <v>45063.66667</v>
      </c>
      <c r="B95" s="2">
        <f>IFERROR(__xludf.DUMMYFUNCTION("""COMPUTED_VALUE"""),120.18)</f>
        <v>120.18</v>
      </c>
      <c r="C95" s="2">
        <f>IFERROR(__xludf.DUMMYFUNCTION("""COMPUTED_VALUE"""),122.28)</f>
        <v>122.28</v>
      </c>
      <c r="D95" s="2">
        <f>IFERROR(__xludf.DUMMYFUNCTION("""COMPUTED_VALUE"""),119.46)</f>
        <v>119.46</v>
      </c>
      <c r="E95" s="2">
        <f>IFERROR(__xludf.DUMMYFUNCTION("""COMPUTED_VALUE"""),121.48)</f>
        <v>121.48</v>
      </c>
      <c r="F95" s="2">
        <f>IFERROR(__xludf.DUMMYFUNCTION("""COMPUTED_VALUE"""),2.6659564E7)</f>
        <v>26659564</v>
      </c>
    </row>
    <row r="96">
      <c r="A96" s="3">
        <f>IFERROR(__xludf.DUMMYFUNCTION("""COMPUTED_VALUE"""),45064.66666666667)</f>
        <v>45064.66667</v>
      </c>
      <c r="B96" s="2">
        <f>IFERROR(__xludf.DUMMYFUNCTION("""COMPUTED_VALUE"""),121.56)</f>
        <v>121.56</v>
      </c>
      <c r="C96" s="2">
        <f>IFERROR(__xludf.DUMMYFUNCTION("""COMPUTED_VALUE"""),123.9)</f>
        <v>123.9</v>
      </c>
      <c r="D96" s="2">
        <f>IFERROR(__xludf.DUMMYFUNCTION("""COMPUTED_VALUE"""),121.49)</f>
        <v>121.49</v>
      </c>
      <c r="E96" s="2">
        <f>IFERROR(__xludf.DUMMYFUNCTION("""COMPUTED_VALUE"""),123.52)</f>
        <v>123.52</v>
      </c>
      <c r="F96" s="2">
        <f>IFERROR(__xludf.DUMMYFUNCTION("""COMPUTED_VALUE"""),2.7014468E7)</f>
        <v>27014468</v>
      </c>
    </row>
    <row r="97">
      <c r="A97" s="3">
        <f>IFERROR(__xludf.DUMMYFUNCTION("""COMPUTED_VALUE"""),45065.66666666667)</f>
        <v>45065.66667</v>
      </c>
      <c r="B97" s="2">
        <f>IFERROR(__xludf.DUMMYFUNCTION("""COMPUTED_VALUE"""),124.2)</f>
        <v>124.2</v>
      </c>
      <c r="C97" s="2">
        <f>IFERROR(__xludf.DUMMYFUNCTION("""COMPUTED_VALUE"""),126.48)</f>
        <v>126.48</v>
      </c>
      <c r="D97" s="2">
        <f>IFERROR(__xludf.DUMMYFUNCTION("""COMPUTED_VALUE"""),122.72)</f>
        <v>122.72</v>
      </c>
      <c r="E97" s="2">
        <f>IFERROR(__xludf.DUMMYFUNCTION("""COMPUTED_VALUE"""),123.25)</f>
        <v>123.25</v>
      </c>
      <c r="F97" s="2">
        <f>IFERROR(__xludf.DUMMYFUNCTION("""COMPUTED_VALUE"""),3.0268864E7)</f>
        <v>30268864</v>
      </c>
    </row>
    <row r="98">
      <c r="A98" s="3">
        <f>IFERROR(__xludf.DUMMYFUNCTION("""COMPUTED_VALUE"""),45068.66666666667)</f>
        <v>45068.66667</v>
      </c>
      <c r="B98" s="2">
        <f>IFERROR(__xludf.DUMMYFUNCTION("""COMPUTED_VALUE"""),123.51)</f>
        <v>123.51</v>
      </c>
      <c r="C98" s="2">
        <f>IFERROR(__xludf.DUMMYFUNCTION("""COMPUTED_VALUE"""),127.05)</f>
        <v>127.05</v>
      </c>
      <c r="D98" s="2">
        <f>IFERROR(__xludf.DUMMYFUNCTION("""COMPUTED_VALUE"""),123.45)</f>
        <v>123.45</v>
      </c>
      <c r="E98" s="2">
        <f>IFERROR(__xludf.DUMMYFUNCTION("""COMPUTED_VALUE"""),125.87)</f>
        <v>125.87</v>
      </c>
      <c r="F98" s="2">
        <f>IFERROR(__xludf.DUMMYFUNCTION("""COMPUTED_VALUE"""),2.9760236E7)</f>
        <v>29760236</v>
      </c>
    </row>
    <row r="99">
      <c r="A99" s="3">
        <f>IFERROR(__xludf.DUMMYFUNCTION("""COMPUTED_VALUE"""),45069.66666666667)</f>
        <v>45069.66667</v>
      </c>
      <c r="B99" s="2">
        <f>IFERROR(__xludf.DUMMYFUNCTION("""COMPUTED_VALUE"""),124.93)</f>
        <v>124.93</v>
      </c>
      <c r="C99" s="2">
        <f>IFERROR(__xludf.DUMMYFUNCTION("""COMPUTED_VALUE"""),125.42)</f>
        <v>125.42</v>
      </c>
      <c r="D99" s="2">
        <f>IFERROR(__xludf.DUMMYFUNCTION("""COMPUTED_VALUE"""),123.05)</f>
        <v>123.05</v>
      </c>
      <c r="E99" s="2">
        <f>IFERROR(__xludf.DUMMYFUNCTION("""COMPUTED_VALUE"""),123.29)</f>
        <v>123.29</v>
      </c>
      <c r="F99" s="2">
        <f>IFERROR(__xludf.DUMMYFUNCTION("""COMPUTED_VALUE"""),2.4477945E7)</f>
        <v>24477945</v>
      </c>
    </row>
    <row r="100">
      <c r="A100" s="3">
        <f>IFERROR(__xludf.DUMMYFUNCTION("""COMPUTED_VALUE"""),45070.66666666667)</f>
        <v>45070.66667</v>
      </c>
      <c r="B100" s="2">
        <f>IFERROR(__xludf.DUMMYFUNCTION("""COMPUTED_VALUE"""),121.88)</f>
        <v>121.88</v>
      </c>
      <c r="C100" s="2">
        <f>IFERROR(__xludf.DUMMYFUNCTION("""COMPUTED_VALUE"""),122.75)</f>
        <v>122.75</v>
      </c>
      <c r="D100" s="2">
        <f>IFERROR(__xludf.DUMMYFUNCTION("""COMPUTED_VALUE"""),120.75)</f>
        <v>120.75</v>
      </c>
      <c r="E100" s="2">
        <f>IFERROR(__xludf.DUMMYFUNCTION("""COMPUTED_VALUE"""),121.64)</f>
        <v>121.64</v>
      </c>
      <c r="F100" s="2">
        <f>IFERROR(__xludf.DUMMYFUNCTION("""COMPUTED_VALUE"""),2.3087925E7)</f>
        <v>23087925</v>
      </c>
    </row>
    <row r="101">
      <c r="A101" s="3">
        <f>IFERROR(__xludf.DUMMYFUNCTION("""COMPUTED_VALUE"""),45071.66666666667)</f>
        <v>45071.66667</v>
      </c>
      <c r="B101" s="2">
        <f>IFERROR(__xludf.DUMMYFUNCTION("""COMPUTED_VALUE"""),125.21)</f>
        <v>125.21</v>
      </c>
      <c r="C101" s="2">
        <f>IFERROR(__xludf.DUMMYFUNCTION("""COMPUTED_VALUE"""),125.98)</f>
        <v>125.98</v>
      </c>
      <c r="D101" s="2">
        <f>IFERROR(__xludf.DUMMYFUNCTION("""COMPUTED_VALUE"""),122.9)</f>
        <v>122.9</v>
      </c>
      <c r="E101" s="2">
        <f>IFERROR(__xludf.DUMMYFUNCTION("""COMPUTED_VALUE"""),124.35)</f>
        <v>124.35</v>
      </c>
      <c r="F101" s="2">
        <f>IFERROR(__xludf.DUMMYFUNCTION("""COMPUTED_VALUE"""),3.381273E7)</f>
        <v>33812730</v>
      </c>
    </row>
    <row r="102">
      <c r="A102" s="3">
        <f>IFERROR(__xludf.DUMMYFUNCTION("""COMPUTED_VALUE"""),45072.66666666667)</f>
        <v>45072.66667</v>
      </c>
      <c r="B102" s="2">
        <f>IFERROR(__xludf.DUMMYFUNCTION("""COMPUTED_VALUE"""),124.07)</f>
        <v>124.07</v>
      </c>
      <c r="C102" s="2">
        <f>IFERROR(__xludf.DUMMYFUNCTION("""COMPUTED_VALUE"""),126.0)</f>
        <v>126</v>
      </c>
      <c r="D102" s="2">
        <f>IFERROR(__xludf.DUMMYFUNCTION("""COMPUTED_VALUE"""),123.29)</f>
        <v>123.29</v>
      </c>
      <c r="E102" s="2">
        <f>IFERROR(__xludf.DUMMYFUNCTION("""COMPUTED_VALUE"""),125.43)</f>
        <v>125.43</v>
      </c>
      <c r="F102" s="2">
        <f>IFERROR(__xludf.DUMMYFUNCTION("""COMPUTED_VALUE"""),2.5169036E7)</f>
        <v>25169036</v>
      </c>
    </row>
    <row r="103">
      <c r="A103" s="3">
        <f>IFERROR(__xludf.DUMMYFUNCTION("""COMPUTED_VALUE"""),45076.66666666667)</f>
        <v>45076.66667</v>
      </c>
      <c r="B103" s="2">
        <f>IFERROR(__xludf.DUMMYFUNCTION("""COMPUTED_VALUE"""),126.29)</f>
        <v>126.29</v>
      </c>
      <c r="C103" s="2">
        <f>IFERROR(__xludf.DUMMYFUNCTION("""COMPUTED_VALUE"""),126.38)</f>
        <v>126.38</v>
      </c>
      <c r="D103" s="2">
        <f>IFERROR(__xludf.DUMMYFUNCTION("""COMPUTED_VALUE"""),122.89)</f>
        <v>122.89</v>
      </c>
      <c r="E103" s="2">
        <f>IFERROR(__xludf.DUMMYFUNCTION("""COMPUTED_VALUE"""),124.64)</f>
        <v>124.64</v>
      </c>
      <c r="F103" s="2">
        <f>IFERROR(__xludf.DUMMYFUNCTION("""COMPUTED_VALUE"""),2.7230726E7)</f>
        <v>27230726</v>
      </c>
    </row>
    <row r="104">
      <c r="A104" s="3">
        <f>IFERROR(__xludf.DUMMYFUNCTION("""COMPUTED_VALUE"""),45077.66666666667)</f>
        <v>45077.66667</v>
      </c>
      <c r="B104" s="2">
        <f>IFERROR(__xludf.DUMMYFUNCTION("""COMPUTED_VALUE"""),123.7)</f>
        <v>123.7</v>
      </c>
      <c r="C104" s="2">
        <f>IFERROR(__xludf.DUMMYFUNCTION("""COMPUTED_VALUE"""),124.9)</f>
        <v>124.9</v>
      </c>
      <c r="D104" s="2">
        <f>IFERROR(__xludf.DUMMYFUNCTION("""COMPUTED_VALUE"""),123.1)</f>
        <v>123.1</v>
      </c>
      <c r="E104" s="2">
        <f>IFERROR(__xludf.DUMMYFUNCTION("""COMPUTED_VALUE"""),123.37)</f>
        <v>123.37</v>
      </c>
      <c r="F104" s="2">
        <f>IFERROR(__xludf.DUMMYFUNCTION("""COMPUTED_VALUE"""),4.1548759E7)</f>
        <v>41548759</v>
      </c>
    </row>
    <row r="105">
      <c r="A105" s="3">
        <f>IFERROR(__xludf.DUMMYFUNCTION("""COMPUTED_VALUE"""),45078.66666666667)</f>
        <v>45078.66667</v>
      </c>
      <c r="B105" s="2">
        <f>IFERROR(__xludf.DUMMYFUNCTION("""COMPUTED_VALUE"""),123.5)</f>
        <v>123.5</v>
      </c>
      <c r="C105" s="2">
        <f>IFERROR(__xludf.DUMMYFUNCTION("""COMPUTED_VALUE"""),125.04)</f>
        <v>125.04</v>
      </c>
      <c r="D105" s="2">
        <f>IFERROR(__xludf.DUMMYFUNCTION("""COMPUTED_VALUE"""),123.3)</f>
        <v>123.3</v>
      </c>
      <c r="E105" s="2">
        <f>IFERROR(__xludf.DUMMYFUNCTION("""COMPUTED_VALUE"""),124.37)</f>
        <v>124.37</v>
      </c>
      <c r="F105" s="2">
        <f>IFERROR(__xludf.DUMMYFUNCTION("""COMPUTED_VALUE"""),2.5017674E7)</f>
        <v>25017674</v>
      </c>
    </row>
    <row r="106">
      <c r="A106" s="3">
        <f>IFERROR(__xludf.DUMMYFUNCTION("""COMPUTED_VALUE"""),45079.66666666667)</f>
        <v>45079.66667</v>
      </c>
      <c r="B106" s="2">
        <f>IFERROR(__xludf.DUMMYFUNCTION("""COMPUTED_VALUE"""),124.49)</f>
        <v>124.49</v>
      </c>
      <c r="C106" s="2">
        <f>IFERROR(__xludf.DUMMYFUNCTION("""COMPUTED_VALUE"""),126.75)</f>
        <v>126.75</v>
      </c>
      <c r="D106" s="2">
        <f>IFERROR(__xludf.DUMMYFUNCTION("""COMPUTED_VALUE"""),124.35)</f>
        <v>124.35</v>
      </c>
      <c r="E106" s="2">
        <f>IFERROR(__xludf.DUMMYFUNCTION("""COMPUTED_VALUE"""),125.23)</f>
        <v>125.23</v>
      </c>
      <c r="F106" s="2">
        <f>IFERROR(__xludf.DUMMYFUNCTION("""COMPUTED_VALUE"""),1.9367453E7)</f>
        <v>19367453</v>
      </c>
    </row>
    <row r="107">
      <c r="A107" s="3">
        <f>IFERROR(__xludf.DUMMYFUNCTION("""COMPUTED_VALUE"""),45082.66666666667)</f>
        <v>45082.66667</v>
      </c>
      <c r="B107" s="2">
        <f>IFERROR(__xludf.DUMMYFUNCTION("""COMPUTED_VALUE"""),124.61)</f>
        <v>124.61</v>
      </c>
      <c r="C107" s="2">
        <f>IFERROR(__xludf.DUMMYFUNCTION("""COMPUTED_VALUE"""),127.99)</f>
        <v>127.99</v>
      </c>
      <c r="D107" s="2">
        <f>IFERROR(__xludf.DUMMYFUNCTION("""COMPUTED_VALUE"""),124.38)</f>
        <v>124.38</v>
      </c>
      <c r="E107" s="2">
        <f>IFERROR(__xludf.DUMMYFUNCTION("""COMPUTED_VALUE"""),126.63)</f>
        <v>126.63</v>
      </c>
      <c r="F107" s="2">
        <f>IFERROR(__xludf.DUMMYFUNCTION("""COMPUTED_VALUE"""),2.2672516E7)</f>
        <v>22672516</v>
      </c>
    </row>
    <row r="108">
      <c r="A108" s="3">
        <f>IFERROR(__xludf.DUMMYFUNCTION("""COMPUTED_VALUE"""),45083.66666666667)</f>
        <v>45083.66667</v>
      </c>
      <c r="B108" s="2">
        <f>IFERROR(__xludf.DUMMYFUNCTION("""COMPUTED_VALUE"""),126.6)</f>
        <v>126.6</v>
      </c>
      <c r="C108" s="2">
        <f>IFERROR(__xludf.DUMMYFUNCTION("""COMPUTED_VALUE"""),128.88)</f>
        <v>128.88</v>
      </c>
      <c r="D108" s="2">
        <f>IFERROR(__xludf.DUMMYFUNCTION("""COMPUTED_VALUE"""),125.97)</f>
        <v>125.97</v>
      </c>
      <c r="E108" s="2">
        <f>IFERROR(__xludf.DUMMYFUNCTION("""COMPUTED_VALUE"""),127.91)</f>
        <v>127.91</v>
      </c>
      <c r="F108" s="2">
        <f>IFERROR(__xludf.DUMMYFUNCTION("""COMPUTED_VALUE"""),1.9450128E7)</f>
        <v>19450128</v>
      </c>
    </row>
    <row r="109">
      <c r="A109" s="3">
        <f>IFERROR(__xludf.DUMMYFUNCTION("""COMPUTED_VALUE"""),45084.66666666667)</f>
        <v>45084.66667</v>
      </c>
      <c r="B109" s="2">
        <f>IFERROR(__xludf.DUMMYFUNCTION("""COMPUTED_VALUE"""),127.58)</f>
        <v>127.58</v>
      </c>
      <c r="C109" s="2">
        <f>IFERROR(__xludf.DUMMYFUNCTION("""COMPUTED_VALUE"""),129.55)</f>
        <v>129.55</v>
      </c>
      <c r="D109" s="2">
        <f>IFERROR(__xludf.DUMMYFUNCTION("""COMPUTED_VALUE"""),122.63)</f>
        <v>122.63</v>
      </c>
      <c r="E109" s="2">
        <f>IFERROR(__xludf.DUMMYFUNCTION("""COMPUTED_VALUE"""),122.94)</f>
        <v>122.94</v>
      </c>
      <c r="F109" s="2">
        <f>IFERROR(__xludf.DUMMYFUNCTION("""COMPUTED_VALUE"""),3.4179348E7)</f>
        <v>34179348</v>
      </c>
    </row>
    <row r="110">
      <c r="A110" s="3">
        <f>IFERROR(__xludf.DUMMYFUNCTION("""COMPUTED_VALUE"""),45085.66666666667)</f>
        <v>45085.66667</v>
      </c>
      <c r="B110" s="2">
        <f>IFERROR(__xludf.DUMMYFUNCTION("""COMPUTED_VALUE"""),122.59)</f>
        <v>122.59</v>
      </c>
      <c r="C110" s="2">
        <f>IFERROR(__xludf.DUMMYFUNCTION("""COMPUTED_VALUE"""),123.73)</f>
        <v>123.73</v>
      </c>
      <c r="D110" s="2">
        <f>IFERROR(__xludf.DUMMYFUNCTION("""COMPUTED_VALUE"""),122.01)</f>
        <v>122.01</v>
      </c>
      <c r="E110" s="2">
        <f>IFERROR(__xludf.DUMMYFUNCTION("""COMPUTED_VALUE"""),122.67)</f>
        <v>122.67</v>
      </c>
      <c r="F110" s="2">
        <f>IFERROR(__xludf.DUMMYFUNCTION("""COMPUTED_VALUE"""),2.4814996E7)</f>
        <v>24814996</v>
      </c>
    </row>
    <row r="111">
      <c r="A111" s="3">
        <f>IFERROR(__xludf.DUMMYFUNCTION("""COMPUTED_VALUE"""),45086.66666666667)</f>
        <v>45086.66667</v>
      </c>
      <c r="B111" s="2">
        <f>IFERROR(__xludf.DUMMYFUNCTION("""COMPUTED_VALUE"""),122.56)</f>
        <v>122.56</v>
      </c>
      <c r="C111" s="2">
        <f>IFERROR(__xludf.DUMMYFUNCTION("""COMPUTED_VALUE"""),124.29)</f>
        <v>124.29</v>
      </c>
      <c r="D111" s="2">
        <f>IFERROR(__xludf.DUMMYFUNCTION("""COMPUTED_VALUE"""),122.42)</f>
        <v>122.42</v>
      </c>
      <c r="E111" s="2">
        <f>IFERROR(__xludf.DUMMYFUNCTION("""COMPUTED_VALUE"""),122.87)</f>
        <v>122.87</v>
      </c>
      <c r="F111" s="2">
        <f>IFERROR(__xludf.DUMMYFUNCTION("""COMPUTED_VALUE"""),2.0313676E7)</f>
        <v>20313676</v>
      </c>
    </row>
    <row r="112">
      <c r="A112" s="3">
        <f>IFERROR(__xludf.DUMMYFUNCTION("""COMPUTED_VALUE"""),45089.66666666667)</f>
        <v>45089.66667</v>
      </c>
      <c r="B112" s="2">
        <f>IFERROR(__xludf.DUMMYFUNCTION("""COMPUTED_VALUE"""),123.4)</f>
        <v>123.4</v>
      </c>
      <c r="C112" s="2">
        <f>IFERROR(__xludf.DUMMYFUNCTION("""COMPUTED_VALUE"""),124.75)</f>
        <v>124.75</v>
      </c>
      <c r="D112" s="2">
        <f>IFERROR(__xludf.DUMMYFUNCTION("""COMPUTED_VALUE"""),122.35)</f>
        <v>122.35</v>
      </c>
      <c r="E112" s="2">
        <f>IFERROR(__xludf.DUMMYFUNCTION("""COMPUTED_VALUE"""),124.35)</f>
        <v>124.35</v>
      </c>
      <c r="F112" s="2">
        <f>IFERROR(__xludf.DUMMYFUNCTION("""COMPUTED_VALUE"""),2.2289632E7)</f>
        <v>22289632</v>
      </c>
    </row>
    <row r="113">
      <c r="A113" s="3">
        <f>IFERROR(__xludf.DUMMYFUNCTION("""COMPUTED_VALUE"""),45090.66666666667)</f>
        <v>45090.66667</v>
      </c>
      <c r="B113" s="2">
        <f>IFERROR(__xludf.DUMMYFUNCTION("""COMPUTED_VALUE"""),125.65)</f>
        <v>125.65</v>
      </c>
      <c r="C113" s="2">
        <f>IFERROR(__xludf.DUMMYFUNCTION("""COMPUTED_VALUE"""),125.86)</f>
        <v>125.86</v>
      </c>
      <c r="D113" s="2">
        <f>IFERROR(__xludf.DUMMYFUNCTION("""COMPUTED_VALUE"""),123.85)</f>
        <v>123.85</v>
      </c>
      <c r="E113" s="2">
        <f>IFERROR(__xludf.DUMMYFUNCTION("""COMPUTED_VALUE"""),124.43)</f>
        <v>124.43</v>
      </c>
      <c r="F113" s="2">
        <f>IFERROR(__xludf.DUMMYFUNCTION("""COMPUTED_VALUE"""),1.928765E7)</f>
        <v>19287650</v>
      </c>
    </row>
    <row r="114">
      <c r="A114" s="3">
        <f>IFERROR(__xludf.DUMMYFUNCTION("""COMPUTED_VALUE"""),45091.66666666667)</f>
        <v>45091.66667</v>
      </c>
      <c r="B114" s="2">
        <f>IFERROR(__xludf.DUMMYFUNCTION("""COMPUTED_VALUE"""),123.8)</f>
        <v>123.8</v>
      </c>
      <c r="C114" s="2">
        <f>IFERROR(__xludf.DUMMYFUNCTION("""COMPUTED_VALUE"""),124.79)</f>
        <v>124.79</v>
      </c>
      <c r="D114" s="2">
        <f>IFERROR(__xludf.DUMMYFUNCTION("""COMPUTED_VALUE"""),122.16)</f>
        <v>122.16</v>
      </c>
      <c r="E114" s="2">
        <f>IFERROR(__xludf.DUMMYFUNCTION("""COMPUTED_VALUE"""),124.38)</f>
        <v>124.38</v>
      </c>
      <c r="F114" s="2">
        <f>IFERROR(__xludf.DUMMYFUNCTION("""COMPUTED_VALUE"""),2.465962E7)</f>
        <v>24659620</v>
      </c>
    </row>
    <row r="115">
      <c r="A115" s="3">
        <f>IFERROR(__xludf.DUMMYFUNCTION("""COMPUTED_VALUE"""),45092.66666666667)</f>
        <v>45092.66667</v>
      </c>
      <c r="B115" s="2">
        <f>IFERROR(__xludf.DUMMYFUNCTION("""COMPUTED_VALUE"""),123.88)</f>
        <v>123.88</v>
      </c>
      <c r="C115" s="2">
        <f>IFERROR(__xludf.DUMMYFUNCTION("""COMPUTED_VALUE"""),126.16)</f>
        <v>126.16</v>
      </c>
      <c r="D115" s="2">
        <f>IFERROR(__xludf.DUMMYFUNCTION("""COMPUTED_VALUE"""),123.14)</f>
        <v>123.14</v>
      </c>
      <c r="E115" s="2">
        <f>IFERROR(__xludf.DUMMYFUNCTION("""COMPUTED_VALUE"""),125.79)</f>
        <v>125.79</v>
      </c>
      <c r="F115" s="2">
        <f>IFERROR(__xludf.DUMMYFUNCTION("""COMPUTED_VALUE"""),2.4517071E7)</f>
        <v>24517071</v>
      </c>
    </row>
    <row r="116">
      <c r="A116" s="3">
        <f>IFERROR(__xludf.DUMMYFUNCTION("""COMPUTED_VALUE"""),45093.66666666667)</f>
        <v>45093.66667</v>
      </c>
      <c r="B116" s="2">
        <f>IFERROR(__xludf.DUMMYFUNCTION("""COMPUTED_VALUE"""),126.7)</f>
        <v>126.7</v>
      </c>
      <c r="C116" s="2">
        <f>IFERROR(__xludf.DUMMYFUNCTION("""COMPUTED_VALUE"""),126.7)</f>
        <v>126.7</v>
      </c>
      <c r="D116" s="2">
        <f>IFERROR(__xludf.DUMMYFUNCTION("""COMPUTED_VALUE"""),123.79)</f>
        <v>123.79</v>
      </c>
      <c r="E116" s="2">
        <f>IFERROR(__xludf.DUMMYFUNCTION("""COMPUTED_VALUE"""),124.06)</f>
        <v>124.06</v>
      </c>
      <c r="F116" s="2">
        <f>IFERROR(__xludf.DUMMYFUNCTION("""COMPUTED_VALUE"""),5.66992E7)</f>
        <v>56699200</v>
      </c>
    </row>
    <row r="117">
      <c r="A117" s="3">
        <f>IFERROR(__xludf.DUMMYFUNCTION("""COMPUTED_VALUE"""),45097.66666666667)</f>
        <v>45097.66667</v>
      </c>
      <c r="B117" s="2">
        <f>IFERROR(__xludf.DUMMYFUNCTION("""COMPUTED_VALUE"""),123.54)</f>
        <v>123.54</v>
      </c>
      <c r="C117" s="2">
        <f>IFERROR(__xludf.DUMMYFUNCTION("""COMPUTED_VALUE"""),125.18)</f>
        <v>125.18</v>
      </c>
      <c r="D117" s="2">
        <f>IFERROR(__xludf.DUMMYFUNCTION("""COMPUTED_VALUE"""),122.83)</f>
        <v>122.83</v>
      </c>
      <c r="E117" s="2">
        <f>IFERROR(__xludf.DUMMYFUNCTION("""COMPUTED_VALUE"""),123.85)</f>
        <v>123.85</v>
      </c>
      <c r="F117" s="2">
        <f>IFERROR(__xludf.DUMMYFUNCTION("""COMPUTED_VALUE"""),2.2698028E7)</f>
        <v>22698028</v>
      </c>
    </row>
    <row r="118">
      <c r="A118" s="3">
        <f>IFERROR(__xludf.DUMMYFUNCTION("""COMPUTED_VALUE"""),45098.66666666667)</f>
        <v>45098.66667</v>
      </c>
      <c r="B118" s="2">
        <f>IFERROR(__xludf.DUMMYFUNCTION("""COMPUTED_VALUE"""),123.24)</f>
        <v>123.24</v>
      </c>
      <c r="C118" s="2">
        <f>IFERROR(__xludf.DUMMYFUNCTION("""COMPUTED_VALUE"""),123.41)</f>
        <v>123.41</v>
      </c>
      <c r="D118" s="2">
        <f>IFERROR(__xludf.DUMMYFUNCTION("""COMPUTED_VALUE"""),120.86)</f>
        <v>120.86</v>
      </c>
      <c r="E118" s="2">
        <f>IFERROR(__xludf.DUMMYFUNCTION("""COMPUTED_VALUE"""),121.26)</f>
        <v>121.26</v>
      </c>
      <c r="F118" s="2">
        <f>IFERROR(__xludf.DUMMYFUNCTION("""COMPUTED_VALUE"""),2.2612002E7)</f>
        <v>22612002</v>
      </c>
    </row>
    <row r="119">
      <c r="A119" s="3">
        <f>IFERROR(__xludf.DUMMYFUNCTION("""COMPUTED_VALUE"""),45099.66666666667)</f>
        <v>45099.66667</v>
      </c>
      <c r="B119" s="2">
        <f>IFERROR(__xludf.DUMMYFUNCTION("""COMPUTED_VALUE"""),120.66)</f>
        <v>120.66</v>
      </c>
      <c r="C119" s="2">
        <f>IFERROR(__xludf.DUMMYFUNCTION("""COMPUTED_VALUE"""),123.94)</f>
        <v>123.94</v>
      </c>
      <c r="D119" s="2">
        <f>IFERROR(__xludf.DUMMYFUNCTION("""COMPUTED_VALUE"""),119.6)</f>
        <v>119.6</v>
      </c>
      <c r="E119" s="2">
        <f>IFERROR(__xludf.DUMMYFUNCTION("""COMPUTED_VALUE"""),123.87)</f>
        <v>123.87</v>
      </c>
      <c r="F119" s="2">
        <f>IFERROR(__xludf.DUMMYFUNCTION("""COMPUTED_VALUE"""),2.0781888E7)</f>
        <v>20781888</v>
      </c>
    </row>
    <row r="120">
      <c r="A120" s="3">
        <f>IFERROR(__xludf.DUMMYFUNCTION("""COMPUTED_VALUE"""),45100.66666666667)</f>
        <v>45100.66667</v>
      </c>
      <c r="B120" s="2">
        <f>IFERROR(__xludf.DUMMYFUNCTION("""COMPUTED_VALUE"""),122.04)</f>
        <v>122.04</v>
      </c>
      <c r="C120" s="2">
        <f>IFERROR(__xludf.DUMMYFUNCTION("""COMPUTED_VALUE"""),123.44)</f>
        <v>123.44</v>
      </c>
      <c r="D120" s="2">
        <f>IFERROR(__xludf.DUMMYFUNCTION("""COMPUTED_VALUE"""),121.86)</f>
        <v>121.86</v>
      </c>
      <c r="E120" s="2">
        <f>IFERROR(__xludf.DUMMYFUNCTION("""COMPUTED_VALUE"""),123.02)</f>
        <v>123.02</v>
      </c>
      <c r="F120" s="2">
        <f>IFERROR(__xludf.DUMMYFUNCTION("""COMPUTED_VALUE"""),2.9573123E7)</f>
        <v>29573123</v>
      </c>
    </row>
    <row r="121">
      <c r="A121" s="3">
        <f>IFERROR(__xludf.DUMMYFUNCTION("""COMPUTED_VALUE"""),45103.66666666667)</f>
        <v>45103.66667</v>
      </c>
      <c r="B121" s="2">
        <f>IFERROR(__xludf.DUMMYFUNCTION("""COMPUTED_VALUE"""),121.47)</f>
        <v>121.47</v>
      </c>
      <c r="C121" s="2">
        <f>IFERROR(__xludf.DUMMYFUNCTION("""COMPUTED_VALUE"""),122.72)</f>
        <v>122.72</v>
      </c>
      <c r="D121" s="2">
        <f>IFERROR(__xludf.DUMMYFUNCTION("""COMPUTED_VALUE"""),118.99)</f>
        <v>118.99</v>
      </c>
      <c r="E121" s="2">
        <f>IFERROR(__xludf.DUMMYFUNCTION("""COMPUTED_VALUE"""),119.09)</f>
        <v>119.09</v>
      </c>
      <c r="F121" s="2">
        <f>IFERROR(__xludf.DUMMYFUNCTION("""COMPUTED_VALUE"""),2.3184961E7)</f>
        <v>23184961</v>
      </c>
    </row>
    <row r="122">
      <c r="A122" s="3">
        <f>IFERROR(__xludf.DUMMYFUNCTION("""COMPUTED_VALUE"""),45104.66666666667)</f>
        <v>45104.66667</v>
      </c>
      <c r="B122" s="2">
        <f>IFERROR(__xludf.DUMMYFUNCTION("""COMPUTED_VALUE"""),117.84)</f>
        <v>117.84</v>
      </c>
      <c r="C122" s="2">
        <f>IFERROR(__xludf.DUMMYFUNCTION("""COMPUTED_VALUE"""),119.9)</f>
        <v>119.9</v>
      </c>
      <c r="D122" s="2">
        <f>IFERROR(__xludf.DUMMYFUNCTION("""COMPUTED_VALUE"""),116.91)</f>
        <v>116.91</v>
      </c>
      <c r="E122" s="2">
        <f>IFERROR(__xludf.DUMMYFUNCTION("""COMPUTED_VALUE"""),119.01)</f>
        <v>119.01</v>
      </c>
      <c r="F122" s="2">
        <f>IFERROR(__xludf.DUMMYFUNCTION("""COMPUTED_VALUE"""),2.7221714E7)</f>
        <v>27221714</v>
      </c>
    </row>
    <row r="123">
      <c r="A123" s="3">
        <f>IFERROR(__xludf.DUMMYFUNCTION("""COMPUTED_VALUE"""),45105.66666666667)</f>
        <v>45105.66667</v>
      </c>
      <c r="B123" s="2">
        <f>IFERROR(__xludf.DUMMYFUNCTION("""COMPUTED_VALUE"""),117.96)</f>
        <v>117.96</v>
      </c>
      <c r="C123" s="2">
        <f>IFERROR(__xludf.DUMMYFUNCTION("""COMPUTED_VALUE"""),121.27)</f>
        <v>121.27</v>
      </c>
      <c r="D123" s="2">
        <f>IFERROR(__xludf.DUMMYFUNCTION("""COMPUTED_VALUE"""),117.6)</f>
        <v>117.6</v>
      </c>
      <c r="E123" s="2">
        <f>IFERROR(__xludf.DUMMYFUNCTION("""COMPUTED_VALUE"""),121.08)</f>
        <v>121.08</v>
      </c>
      <c r="F123" s="2">
        <f>IFERROR(__xludf.DUMMYFUNCTION("""COMPUTED_VALUE"""),1.9753145E7)</f>
        <v>19753145</v>
      </c>
    </row>
    <row r="124">
      <c r="A124" s="3">
        <f>IFERROR(__xludf.DUMMYFUNCTION("""COMPUTED_VALUE"""),45106.66666666667)</f>
        <v>45106.66667</v>
      </c>
      <c r="B124" s="2">
        <f>IFERROR(__xludf.DUMMYFUNCTION("""COMPUTED_VALUE"""),120.09)</f>
        <v>120.09</v>
      </c>
      <c r="C124" s="2">
        <f>IFERROR(__xludf.DUMMYFUNCTION("""COMPUTED_VALUE"""),120.91)</f>
        <v>120.91</v>
      </c>
      <c r="D124" s="2">
        <f>IFERROR(__xludf.DUMMYFUNCTION("""COMPUTED_VALUE"""),119.21)</f>
        <v>119.21</v>
      </c>
      <c r="E124" s="2">
        <f>IFERROR(__xludf.DUMMYFUNCTION("""COMPUTED_VALUE"""),120.01)</f>
        <v>120.01</v>
      </c>
      <c r="F124" s="2">
        <f>IFERROR(__xludf.DUMMYFUNCTION("""COMPUTED_VALUE"""),1.8517458E7)</f>
        <v>18517458</v>
      </c>
    </row>
    <row r="125">
      <c r="A125" s="3">
        <f>IFERROR(__xludf.DUMMYFUNCTION("""COMPUTED_VALUE"""),45107.66666666667)</f>
        <v>45107.66667</v>
      </c>
      <c r="B125" s="2">
        <f>IFERROR(__xludf.DUMMYFUNCTION("""COMPUTED_VALUE"""),121.1)</f>
        <v>121.1</v>
      </c>
      <c r="C125" s="2">
        <f>IFERROR(__xludf.DUMMYFUNCTION("""COMPUTED_VALUE"""),122.03)</f>
        <v>122.03</v>
      </c>
      <c r="D125" s="2">
        <f>IFERROR(__xludf.DUMMYFUNCTION("""COMPUTED_VALUE"""),120.88)</f>
        <v>120.88</v>
      </c>
      <c r="E125" s="2">
        <f>IFERROR(__xludf.DUMMYFUNCTION("""COMPUTED_VALUE"""),120.97)</f>
        <v>120.97</v>
      </c>
      <c r="F125" s="2">
        <f>IFERROR(__xludf.DUMMYFUNCTION("""COMPUTED_VALUE"""),2.3871764E7)</f>
        <v>23871764</v>
      </c>
    </row>
    <row r="126">
      <c r="A126" s="3">
        <f>IFERROR(__xludf.DUMMYFUNCTION("""COMPUTED_VALUE"""),45110.54513888889)</f>
        <v>45110.54514</v>
      </c>
      <c r="B126" s="2">
        <f>IFERROR(__xludf.DUMMYFUNCTION("""COMPUTED_VALUE"""),120.32)</f>
        <v>120.32</v>
      </c>
      <c r="C126" s="2">
        <f>IFERROR(__xludf.DUMMYFUNCTION("""COMPUTED_VALUE"""),121.02)</f>
        <v>121.02</v>
      </c>
      <c r="D126" s="2">
        <f>IFERROR(__xludf.DUMMYFUNCTION("""COMPUTED_VALUE"""),119.71)</f>
        <v>119.71</v>
      </c>
      <c r="E126" s="2">
        <f>IFERROR(__xludf.DUMMYFUNCTION("""COMPUTED_VALUE"""),120.56)</f>
        <v>120.56</v>
      </c>
      <c r="F126" s="2">
        <f>IFERROR(__xludf.DUMMYFUNCTION("""COMPUTED_VALUE"""),1.3888262E7)</f>
        <v>13888262</v>
      </c>
    </row>
    <row r="127">
      <c r="A127" s="3">
        <f>IFERROR(__xludf.DUMMYFUNCTION("""COMPUTED_VALUE"""),45112.66666666667)</f>
        <v>45112.66667</v>
      </c>
      <c r="B127" s="2">
        <f>IFERROR(__xludf.DUMMYFUNCTION("""COMPUTED_VALUE"""),120.06)</f>
        <v>120.06</v>
      </c>
      <c r="C127" s="2">
        <f>IFERROR(__xludf.DUMMYFUNCTION("""COMPUTED_VALUE"""),123.37)</f>
        <v>123.37</v>
      </c>
      <c r="D127" s="2">
        <f>IFERROR(__xludf.DUMMYFUNCTION("""COMPUTED_VALUE"""),120.06)</f>
        <v>120.06</v>
      </c>
      <c r="E127" s="2">
        <f>IFERROR(__xludf.DUMMYFUNCTION("""COMPUTED_VALUE"""),122.63)</f>
        <v>122.63</v>
      </c>
      <c r="F127" s="2">
        <f>IFERROR(__xludf.DUMMYFUNCTION("""COMPUTED_VALUE"""),1.7830347E7)</f>
        <v>17830347</v>
      </c>
    </row>
    <row r="128">
      <c r="A128" s="3">
        <f>IFERROR(__xludf.DUMMYFUNCTION("""COMPUTED_VALUE"""),45113.66666666667)</f>
        <v>45113.66667</v>
      </c>
      <c r="B128" s="2">
        <f>IFERROR(__xludf.DUMMYFUNCTION("""COMPUTED_VALUE"""),120.64)</f>
        <v>120.64</v>
      </c>
      <c r="C128" s="2">
        <f>IFERROR(__xludf.DUMMYFUNCTION("""COMPUTED_VALUE"""),121.15)</f>
        <v>121.15</v>
      </c>
      <c r="D128" s="2">
        <f>IFERROR(__xludf.DUMMYFUNCTION("""COMPUTED_VALUE"""),119.25)</f>
        <v>119.25</v>
      </c>
      <c r="E128" s="2">
        <f>IFERROR(__xludf.DUMMYFUNCTION("""COMPUTED_VALUE"""),120.93)</f>
        <v>120.93</v>
      </c>
      <c r="F128" s="2">
        <f>IFERROR(__xludf.DUMMYFUNCTION("""COMPUTED_VALUE"""),1.7750181E7)</f>
        <v>17750181</v>
      </c>
    </row>
    <row r="129">
      <c r="A129" s="3">
        <f>IFERROR(__xludf.DUMMYFUNCTION("""COMPUTED_VALUE"""),45114.66666666667)</f>
        <v>45114.66667</v>
      </c>
      <c r="B129" s="2">
        <f>IFERROR(__xludf.DUMMYFUNCTION("""COMPUTED_VALUE"""),120.89)</f>
        <v>120.89</v>
      </c>
      <c r="C129" s="2">
        <f>IFERROR(__xludf.DUMMYFUNCTION("""COMPUTED_VALUE"""),121.75)</f>
        <v>121.75</v>
      </c>
      <c r="D129" s="2">
        <f>IFERROR(__xludf.DUMMYFUNCTION("""COMPUTED_VALUE"""),120.09)</f>
        <v>120.09</v>
      </c>
      <c r="E129" s="2">
        <f>IFERROR(__xludf.DUMMYFUNCTION("""COMPUTED_VALUE"""),120.14)</f>
        <v>120.14</v>
      </c>
      <c r="F129" s="2">
        <f>IFERROR(__xludf.DUMMYFUNCTION("""COMPUTED_VALUE"""),2.0997665E7)</f>
        <v>20997665</v>
      </c>
    </row>
    <row r="130">
      <c r="A130" s="3">
        <f>IFERROR(__xludf.DUMMYFUNCTION("""COMPUTED_VALUE"""),45117.66666666667)</f>
        <v>45117.66667</v>
      </c>
      <c r="B130" s="2">
        <f>IFERROR(__xludf.DUMMYFUNCTION("""COMPUTED_VALUE"""),119.07)</f>
        <v>119.07</v>
      </c>
      <c r="C130" s="2">
        <f>IFERROR(__xludf.DUMMYFUNCTION("""COMPUTED_VALUE"""),119.07)</f>
        <v>119.07</v>
      </c>
      <c r="D130" s="2">
        <f>IFERROR(__xludf.DUMMYFUNCTION("""COMPUTED_VALUE"""),116.64)</f>
        <v>116.64</v>
      </c>
      <c r="E130" s="2">
        <f>IFERROR(__xludf.DUMMYFUNCTION("""COMPUTED_VALUE"""),116.87)</f>
        <v>116.87</v>
      </c>
      <c r="F130" s="2">
        <f>IFERROR(__xludf.DUMMYFUNCTION("""COMPUTED_VALUE"""),3.2960078E7)</f>
        <v>32960078</v>
      </c>
    </row>
    <row r="131">
      <c r="A131" s="3">
        <f>IFERROR(__xludf.DUMMYFUNCTION("""COMPUTED_VALUE"""),45118.66666666667)</f>
        <v>45118.66667</v>
      </c>
      <c r="B131" s="2">
        <f>IFERROR(__xludf.DUMMYFUNCTION("""COMPUTED_VALUE"""),116.76)</f>
        <v>116.76</v>
      </c>
      <c r="C131" s="2">
        <f>IFERROR(__xludf.DUMMYFUNCTION("""COMPUTED_VALUE"""),118.23)</f>
        <v>118.23</v>
      </c>
      <c r="D131" s="2">
        <f>IFERROR(__xludf.DUMMYFUNCTION("""COMPUTED_VALUE"""),115.83)</f>
        <v>115.83</v>
      </c>
      <c r="E131" s="2">
        <f>IFERROR(__xludf.DUMMYFUNCTION("""COMPUTED_VALUE"""),117.71)</f>
        <v>117.71</v>
      </c>
      <c r="F131" s="2">
        <f>IFERROR(__xludf.DUMMYFUNCTION("""COMPUTED_VALUE"""),1.8286571E7)</f>
        <v>18286571</v>
      </c>
    </row>
    <row r="132">
      <c r="A132" s="3">
        <f>IFERROR(__xludf.DUMMYFUNCTION("""COMPUTED_VALUE"""),45119.66666666667)</f>
        <v>45119.66667</v>
      </c>
      <c r="B132" s="2">
        <f>IFERROR(__xludf.DUMMYFUNCTION("""COMPUTED_VALUE"""),119.3)</f>
        <v>119.3</v>
      </c>
      <c r="C132" s="2">
        <f>IFERROR(__xludf.DUMMYFUNCTION("""COMPUTED_VALUE"""),120.96)</f>
        <v>120.96</v>
      </c>
      <c r="D132" s="2">
        <f>IFERROR(__xludf.DUMMYFUNCTION("""COMPUTED_VALUE"""),119.0)</f>
        <v>119</v>
      </c>
      <c r="E132" s="2">
        <f>IFERROR(__xludf.DUMMYFUNCTION("""COMPUTED_VALUE"""),119.62)</f>
        <v>119.62</v>
      </c>
      <c r="F132" s="2">
        <f>IFERROR(__xludf.DUMMYFUNCTION("""COMPUTED_VALUE"""),2.2059611E7)</f>
        <v>22059611</v>
      </c>
    </row>
    <row r="133">
      <c r="A133" s="3">
        <f>IFERROR(__xludf.DUMMYFUNCTION("""COMPUTED_VALUE"""),45120.66666666667)</f>
        <v>45120.66667</v>
      </c>
      <c r="B133" s="2">
        <f>IFERROR(__xludf.DUMMYFUNCTION("""COMPUTED_VALUE"""),121.54)</f>
        <v>121.54</v>
      </c>
      <c r="C133" s="2">
        <f>IFERROR(__xludf.DUMMYFUNCTION("""COMPUTED_VALUE"""),125.34)</f>
        <v>125.34</v>
      </c>
      <c r="D133" s="2">
        <f>IFERROR(__xludf.DUMMYFUNCTION("""COMPUTED_VALUE"""),121.06)</f>
        <v>121.06</v>
      </c>
      <c r="E133" s="2">
        <f>IFERROR(__xludf.DUMMYFUNCTION("""COMPUTED_VALUE"""),124.83)</f>
        <v>124.83</v>
      </c>
      <c r="F133" s="2">
        <f>IFERROR(__xludf.DUMMYFUNCTION("""COMPUTED_VALUE"""),3.1535853E7)</f>
        <v>31535853</v>
      </c>
    </row>
    <row r="134">
      <c r="A134" s="3">
        <f>IFERROR(__xludf.DUMMYFUNCTION("""COMPUTED_VALUE"""),45121.66666666667)</f>
        <v>45121.66667</v>
      </c>
      <c r="B134" s="2">
        <f>IFERROR(__xludf.DUMMYFUNCTION("""COMPUTED_VALUE"""),125.13)</f>
        <v>125.13</v>
      </c>
      <c r="C134" s="2">
        <f>IFERROR(__xludf.DUMMYFUNCTION("""COMPUTED_VALUE"""),127.09)</f>
        <v>127.09</v>
      </c>
      <c r="D134" s="2">
        <f>IFERROR(__xludf.DUMMYFUNCTION("""COMPUTED_VALUE"""),124.9)</f>
        <v>124.9</v>
      </c>
      <c r="E134" s="2">
        <f>IFERROR(__xludf.DUMMYFUNCTION("""COMPUTED_VALUE"""),125.7)</f>
        <v>125.7</v>
      </c>
      <c r="F134" s="2">
        <f>IFERROR(__xludf.DUMMYFUNCTION("""COMPUTED_VALUE"""),2.049978E7)</f>
        <v>20499780</v>
      </c>
    </row>
    <row r="135">
      <c r="A135" s="3">
        <f>IFERROR(__xludf.DUMMYFUNCTION("""COMPUTED_VALUE"""),45124.66666666667)</f>
        <v>45124.66667</v>
      </c>
      <c r="B135" s="2">
        <f>IFERROR(__xludf.DUMMYFUNCTION("""COMPUTED_VALUE"""),126.06)</f>
        <v>126.06</v>
      </c>
      <c r="C135" s="2">
        <f>IFERROR(__xludf.DUMMYFUNCTION("""COMPUTED_VALUE"""),127.28)</f>
        <v>127.28</v>
      </c>
      <c r="D135" s="2">
        <f>IFERROR(__xludf.DUMMYFUNCTION("""COMPUTED_VALUE"""),124.5)</f>
        <v>124.5</v>
      </c>
      <c r="E135" s="2">
        <f>IFERROR(__xludf.DUMMYFUNCTION("""COMPUTED_VALUE"""),125.06)</f>
        <v>125.06</v>
      </c>
      <c r="F135" s="2">
        <f>IFERROR(__xludf.DUMMYFUNCTION("""COMPUTED_VALUE"""),2.0675297E7)</f>
        <v>20675297</v>
      </c>
    </row>
    <row r="136">
      <c r="A136" s="3">
        <f>IFERROR(__xludf.DUMMYFUNCTION("""COMPUTED_VALUE"""),45125.66666666667)</f>
        <v>45125.66667</v>
      </c>
      <c r="B136" s="2">
        <f>IFERROR(__xludf.DUMMYFUNCTION("""COMPUTED_VALUE"""),124.91)</f>
        <v>124.91</v>
      </c>
      <c r="C136" s="2">
        <f>IFERROR(__xludf.DUMMYFUNCTION("""COMPUTED_VALUE"""),124.99)</f>
        <v>124.99</v>
      </c>
      <c r="D136" s="2">
        <f>IFERROR(__xludf.DUMMYFUNCTION("""COMPUTED_VALUE"""),123.3)</f>
        <v>123.3</v>
      </c>
      <c r="E136" s="2">
        <f>IFERROR(__xludf.DUMMYFUNCTION("""COMPUTED_VALUE"""),124.08)</f>
        <v>124.08</v>
      </c>
      <c r="F136" s="2">
        <f>IFERROR(__xludf.DUMMYFUNCTION("""COMPUTED_VALUE"""),2.1071248E7)</f>
        <v>21071248</v>
      </c>
    </row>
    <row r="137">
      <c r="A137" s="3">
        <f>IFERROR(__xludf.DUMMYFUNCTION("""COMPUTED_VALUE"""),45126.66666666667)</f>
        <v>45126.66667</v>
      </c>
      <c r="B137" s="2">
        <f>IFERROR(__xludf.DUMMYFUNCTION("""COMPUTED_VALUE"""),124.79)</f>
        <v>124.79</v>
      </c>
      <c r="C137" s="2">
        <f>IFERROR(__xludf.DUMMYFUNCTION("""COMPUTED_VALUE"""),125.47)</f>
        <v>125.47</v>
      </c>
      <c r="D137" s="2">
        <f>IFERROR(__xludf.DUMMYFUNCTION("""COMPUTED_VALUE"""),122.47)</f>
        <v>122.47</v>
      </c>
      <c r="E137" s="2">
        <f>IFERROR(__xludf.DUMMYFUNCTION("""COMPUTED_VALUE"""),122.78)</f>
        <v>122.78</v>
      </c>
      <c r="F137" s="2">
        <f>IFERROR(__xludf.DUMMYFUNCTION("""COMPUTED_VALUE"""),2.2313803E7)</f>
        <v>22313803</v>
      </c>
    </row>
    <row r="138">
      <c r="A138" s="3">
        <f>IFERROR(__xludf.DUMMYFUNCTION("""COMPUTED_VALUE"""),45127.66666666667)</f>
        <v>45127.66667</v>
      </c>
      <c r="B138" s="2">
        <f>IFERROR(__xludf.DUMMYFUNCTION("""COMPUTED_VALUE"""),122.12)</f>
        <v>122.12</v>
      </c>
      <c r="C138" s="2">
        <f>IFERROR(__xludf.DUMMYFUNCTION("""COMPUTED_VALUE"""),124.7)</f>
        <v>124.7</v>
      </c>
      <c r="D138" s="2">
        <f>IFERROR(__xludf.DUMMYFUNCTION("""COMPUTED_VALUE"""),118.69)</f>
        <v>118.69</v>
      </c>
      <c r="E138" s="2">
        <f>IFERROR(__xludf.DUMMYFUNCTION("""COMPUTED_VALUE"""),119.53)</f>
        <v>119.53</v>
      </c>
      <c r="F138" s="2">
        <f>IFERROR(__xludf.DUMMYFUNCTION("""COMPUTED_VALUE"""),2.7541711E7)</f>
        <v>27541711</v>
      </c>
    </row>
    <row r="139">
      <c r="A139" s="3">
        <f>IFERROR(__xludf.DUMMYFUNCTION("""COMPUTED_VALUE"""),45128.66666666667)</f>
        <v>45128.66667</v>
      </c>
      <c r="B139" s="2">
        <f>IFERROR(__xludf.DUMMYFUNCTION("""COMPUTED_VALUE"""),120.87)</f>
        <v>120.87</v>
      </c>
      <c r="C139" s="2">
        <f>IFERROR(__xludf.DUMMYFUNCTION("""COMPUTED_VALUE"""),121.3)</f>
        <v>121.3</v>
      </c>
      <c r="D139" s="2">
        <f>IFERROR(__xludf.DUMMYFUNCTION("""COMPUTED_VALUE"""),119.07)</f>
        <v>119.07</v>
      </c>
      <c r="E139" s="2">
        <f>IFERROR(__xludf.DUMMYFUNCTION("""COMPUTED_VALUE"""),120.31)</f>
        <v>120.31</v>
      </c>
      <c r="F139" s="2">
        <f>IFERROR(__xludf.DUMMYFUNCTION("""COMPUTED_VALUE"""),5.6514645E7)</f>
        <v>56514645</v>
      </c>
    </row>
    <row r="140">
      <c r="A140" s="3">
        <f>IFERROR(__xludf.DUMMYFUNCTION("""COMPUTED_VALUE"""),45131.66666666667)</f>
        <v>45131.66667</v>
      </c>
      <c r="B140" s="2">
        <f>IFERROR(__xludf.DUMMYFUNCTION("""COMPUTED_VALUE"""),121.93)</f>
        <v>121.93</v>
      </c>
      <c r="C140" s="2">
        <f>IFERROR(__xludf.DUMMYFUNCTION("""COMPUTED_VALUE"""),123.35)</f>
        <v>123.35</v>
      </c>
      <c r="D140" s="2">
        <f>IFERROR(__xludf.DUMMYFUNCTION("""COMPUTED_VALUE"""),121.38)</f>
        <v>121.38</v>
      </c>
      <c r="E140" s="2">
        <f>IFERROR(__xludf.DUMMYFUNCTION("""COMPUTED_VALUE"""),121.88)</f>
        <v>121.88</v>
      </c>
      <c r="F140" s="2">
        <f>IFERROR(__xludf.DUMMYFUNCTION("""COMPUTED_VALUE"""),2.231222E7)</f>
        <v>22312220</v>
      </c>
    </row>
    <row r="141">
      <c r="A141" s="3">
        <f>IFERROR(__xludf.DUMMYFUNCTION("""COMPUTED_VALUE"""),45132.66666666667)</f>
        <v>45132.66667</v>
      </c>
      <c r="B141" s="2">
        <f>IFERROR(__xludf.DUMMYFUNCTION("""COMPUTED_VALUE"""),121.88)</f>
        <v>121.88</v>
      </c>
      <c r="C141" s="2">
        <f>IFERROR(__xludf.DUMMYFUNCTION("""COMPUTED_VALUE"""),123.69)</f>
        <v>123.69</v>
      </c>
      <c r="D141" s="2">
        <f>IFERROR(__xludf.DUMMYFUNCTION("""COMPUTED_VALUE"""),121.53)</f>
        <v>121.53</v>
      </c>
      <c r="E141" s="2">
        <f>IFERROR(__xludf.DUMMYFUNCTION("""COMPUTED_VALUE"""),122.79)</f>
        <v>122.79</v>
      </c>
      <c r="F141" s="2">
        <f>IFERROR(__xludf.DUMMYFUNCTION("""COMPUTED_VALUE"""),3.1820846E7)</f>
        <v>31820846</v>
      </c>
    </row>
    <row r="142">
      <c r="A142" s="3">
        <f>IFERROR(__xludf.DUMMYFUNCTION("""COMPUTED_VALUE"""),45133.66666666667)</f>
        <v>45133.66667</v>
      </c>
      <c r="B142" s="2">
        <f>IFERROR(__xludf.DUMMYFUNCTION("""COMPUTED_VALUE"""),130.36)</f>
        <v>130.36</v>
      </c>
      <c r="C142" s="2">
        <f>IFERROR(__xludf.DUMMYFUNCTION("""COMPUTED_VALUE"""),131.37)</f>
        <v>131.37</v>
      </c>
      <c r="D142" s="2">
        <f>IFERROR(__xludf.DUMMYFUNCTION("""COMPUTED_VALUE"""),128.71)</f>
        <v>128.71</v>
      </c>
      <c r="E142" s="2">
        <f>IFERROR(__xludf.DUMMYFUNCTION("""COMPUTED_VALUE"""),129.66)</f>
        <v>129.66</v>
      </c>
      <c r="F142" s="2">
        <f>IFERROR(__xludf.DUMMYFUNCTION("""COMPUTED_VALUE"""),4.6216895E7)</f>
        <v>46216895</v>
      </c>
    </row>
    <row r="143">
      <c r="A143" s="3">
        <f>IFERROR(__xludf.DUMMYFUNCTION("""COMPUTED_VALUE"""),45134.66666666667)</f>
        <v>45134.66667</v>
      </c>
      <c r="B143" s="2">
        <f>IFERROR(__xludf.DUMMYFUNCTION("""COMPUTED_VALUE"""),131.8)</f>
        <v>131.8</v>
      </c>
      <c r="C143" s="2">
        <f>IFERROR(__xludf.DUMMYFUNCTION("""COMPUTED_VALUE"""),133.6)</f>
        <v>133.6</v>
      </c>
      <c r="D143" s="2">
        <f>IFERROR(__xludf.DUMMYFUNCTION("""COMPUTED_VALUE"""),129.18)</f>
        <v>129.18</v>
      </c>
      <c r="E143" s="2">
        <f>IFERROR(__xludf.DUMMYFUNCTION("""COMPUTED_VALUE"""),129.87)</f>
        <v>129.87</v>
      </c>
      <c r="F143" s="2">
        <f>IFERROR(__xludf.DUMMYFUNCTION("""COMPUTED_VALUE"""),3.5931612E7)</f>
        <v>35931612</v>
      </c>
    </row>
    <row r="144">
      <c r="A144" s="3">
        <f>IFERROR(__xludf.DUMMYFUNCTION("""COMPUTED_VALUE"""),45135.66666666667)</f>
        <v>45135.66667</v>
      </c>
      <c r="B144" s="2">
        <f>IFERROR(__xludf.DUMMYFUNCTION("""COMPUTED_VALUE"""),130.97)</f>
        <v>130.97</v>
      </c>
      <c r="C144" s="2">
        <f>IFERROR(__xludf.DUMMYFUNCTION("""COMPUTED_VALUE"""),134.07)</f>
        <v>134.07</v>
      </c>
      <c r="D144" s="2">
        <f>IFERROR(__xludf.DUMMYFUNCTION("""COMPUTED_VALUE"""),130.92)</f>
        <v>130.92</v>
      </c>
      <c r="E144" s="2">
        <f>IFERROR(__xludf.DUMMYFUNCTION("""COMPUTED_VALUE"""),133.01)</f>
        <v>133.01</v>
      </c>
      <c r="F144" s="2">
        <f>IFERROR(__xludf.DUMMYFUNCTION("""COMPUTED_VALUE"""),2.6971011E7)</f>
        <v>26971011</v>
      </c>
    </row>
    <row r="145">
      <c r="A145" s="3">
        <f>IFERROR(__xludf.DUMMYFUNCTION("""COMPUTED_VALUE"""),45138.66666666667)</f>
        <v>45138.66667</v>
      </c>
      <c r="B145" s="2">
        <f>IFERROR(__xludf.DUMMYFUNCTION("""COMPUTED_VALUE"""),133.01)</f>
        <v>133.01</v>
      </c>
      <c r="C145" s="2">
        <f>IFERROR(__xludf.DUMMYFUNCTION("""COMPUTED_VALUE"""),133.83)</f>
        <v>133.83</v>
      </c>
      <c r="D145" s="2">
        <f>IFERROR(__xludf.DUMMYFUNCTION("""COMPUTED_VALUE"""),132.13)</f>
        <v>132.13</v>
      </c>
      <c r="E145" s="2">
        <f>IFERROR(__xludf.DUMMYFUNCTION("""COMPUTED_VALUE"""),133.11)</f>
        <v>133.11</v>
      </c>
      <c r="F145" s="2">
        <f>IFERROR(__xludf.DUMMYFUNCTION("""COMPUTED_VALUE"""),1.8381891E7)</f>
        <v>18381891</v>
      </c>
    </row>
    <row r="146">
      <c r="A146" s="3">
        <f>IFERROR(__xludf.DUMMYFUNCTION("""COMPUTED_VALUE"""),45139.66666666667)</f>
        <v>45139.66667</v>
      </c>
      <c r="B146" s="2">
        <f>IFERROR(__xludf.DUMMYFUNCTION("""COMPUTED_VALUE"""),130.85)</f>
        <v>130.85</v>
      </c>
      <c r="C146" s="2">
        <f>IFERROR(__xludf.DUMMYFUNCTION("""COMPUTED_VALUE"""),132.92)</f>
        <v>132.92</v>
      </c>
      <c r="D146" s="2">
        <f>IFERROR(__xludf.DUMMYFUNCTION("""COMPUTED_VALUE"""),130.75)</f>
        <v>130.75</v>
      </c>
      <c r="E146" s="2">
        <f>IFERROR(__xludf.DUMMYFUNCTION("""COMPUTED_VALUE"""),131.89)</f>
        <v>131.89</v>
      </c>
      <c r="F146" s="2">
        <f>IFERROR(__xludf.DUMMYFUNCTION("""COMPUTED_VALUE"""),2.2219012E7)</f>
        <v>22219012</v>
      </c>
    </row>
    <row r="147">
      <c r="A147" s="3">
        <f>IFERROR(__xludf.DUMMYFUNCTION("""COMPUTED_VALUE"""),45140.66666666667)</f>
        <v>45140.66667</v>
      </c>
      <c r="B147" s="2">
        <f>IFERROR(__xludf.DUMMYFUNCTION("""COMPUTED_VALUE"""),129.84)</f>
        <v>129.84</v>
      </c>
      <c r="C147" s="2">
        <f>IFERROR(__xludf.DUMMYFUNCTION("""COMPUTED_VALUE"""),130.42)</f>
        <v>130.42</v>
      </c>
      <c r="D147" s="2">
        <f>IFERROR(__xludf.DUMMYFUNCTION("""COMPUTED_VALUE"""),127.85)</f>
        <v>127.85</v>
      </c>
      <c r="E147" s="2">
        <f>IFERROR(__xludf.DUMMYFUNCTION("""COMPUTED_VALUE"""),128.64)</f>
        <v>128.64</v>
      </c>
      <c r="F147" s="2">
        <f>IFERROR(__xludf.DUMMYFUNCTION("""COMPUTED_VALUE"""),2.2705778E7)</f>
        <v>22705778</v>
      </c>
    </row>
    <row r="148">
      <c r="A148" s="3">
        <f>IFERROR(__xludf.DUMMYFUNCTION("""COMPUTED_VALUE"""),45141.66666666667)</f>
        <v>45141.66667</v>
      </c>
      <c r="B148" s="2">
        <f>IFERROR(__xludf.DUMMYFUNCTION("""COMPUTED_VALUE"""),128.37)</f>
        <v>128.37</v>
      </c>
      <c r="C148" s="2">
        <f>IFERROR(__xludf.DUMMYFUNCTION("""COMPUTED_VALUE"""),129.77)</f>
        <v>129.77</v>
      </c>
      <c r="D148" s="2">
        <f>IFERROR(__xludf.DUMMYFUNCTION("""COMPUTED_VALUE"""),127.78)</f>
        <v>127.78</v>
      </c>
      <c r="E148" s="2">
        <f>IFERROR(__xludf.DUMMYFUNCTION("""COMPUTED_VALUE"""),128.77)</f>
        <v>128.77</v>
      </c>
      <c r="F148" s="2">
        <f>IFERROR(__xludf.DUMMYFUNCTION("""COMPUTED_VALUE"""),1.5086132E7)</f>
        <v>15086132</v>
      </c>
    </row>
    <row r="149">
      <c r="A149" s="3">
        <f>IFERROR(__xludf.DUMMYFUNCTION("""COMPUTED_VALUE"""),45142.66666666667)</f>
        <v>45142.66667</v>
      </c>
      <c r="B149" s="2">
        <f>IFERROR(__xludf.DUMMYFUNCTION("""COMPUTED_VALUE"""),129.6)</f>
        <v>129.6</v>
      </c>
      <c r="C149" s="2">
        <f>IFERROR(__xludf.DUMMYFUNCTION("""COMPUTED_VALUE"""),131.93)</f>
        <v>131.93</v>
      </c>
      <c r="D149" s="2">
        <f>IFERROR(__xludf.DUMMYFUNCTION("""COMPUTED_VALUE"""),128.32)</f>
        <v>128.32</v>
      </c>
      <c r="E149" s="2">
        <f>IFERROR(__xludf.DUMMYFUNCTION("""COMPUTED_VALUE"""),128.54)</f>
        <v>128.54</v>
      </c>
      <c r="F149" s="2">
        <f>IFERROR(__xludf.DUMMYFUNCTION("""COMPUTED_VALUE"""),2.0521852E7)</f>
        <v>20521852</v>
      </c>
    </row>
    <row r="150">
      <c r="A150" s="3">
        <f>IFERROR(__xludf.DUMMYFUNCTION("""COMPUTED_VALUE"""),45145.66666666667)</f>
        <v>45145.66667</v>
      </c>
      <c r="B150" s="2">
        <f>IFERROR(__xludf.DUMMYFUNCTION("""COMPUTED_VALUE"""),129.51)</f>
        <v>129.51</v>
      </c>
      <c r="C150" s="2">
        <f>IFERROR(__xludf.DUMMYFUNCTION("""COMPUTED_VALUE"""),132.06)</f>
        <v>132.06</v>
      </c>
      <c r="D150" s="2">
        <f>IFERROR(__xludf.DUMMYFUNCTION("""COMPUTED_VALUE"""),129.43)</f>
        <v>129.43</v>
      </c>
      <c r="E150" s="2">
        <f>IFERROR(__xludf.DUMMYFUNCTION("""COMPUTED_VALUE"""),131.94)</f>
        <v>131.94</v>
      </c>
      <c r="F150" s="2">
        <f>IFERROR(__xludf.DUMMYFUNCTION("""COMPUTED_VALUE"""),1.7621041E7)</f>
        <v>17621041</v>
      </c>
    </row>
    <row r="151">
      <c r="A151" s="3">
        <f>IFERROR(__xludf.DUMMYFUNCTION("""COMPUTED_VALUE"""),45146.66666666667)</f>
        <v>45146.66667</v>
      </c>
      <c r="B151" s="2">
        <f>IFERROR(__xludf.DUMMYFUNCTION("""COMPUTED_VALUE"""),130.98)</f>
        <v>130.98</v>
      </c>
      <c r="C151" s="2">
        <f>IFERROR(__xludf.DUMMYFUNCTION("""COMPUTED_VALUE"""),131.94)</f>
        <v>131.94</v>
      </c>
      <c r="D151" s="2">
        <f>IFERROR(__xludf.DUMMYFUNCTION("""COMPUTED_VALUE"""),130.13)</f>
        <v>130.13</v>
      </c>
      <c r="E151" s="2">
        <f>IFERROR(__xludf.DUMMYFUNCTION("""COMPUTED_VALUE"""),131.84)</f>
        <v>131.84</v>
      </c>
      <c r="F151" s="2">
        <f>IFERROR(__xludf.DUMMYFUNCTION("""COMPUTED_VALUE"""),1.6835952E7)</f>
        <v>16835952</v>
      </c>
    </row>
    <row r="152">
      <c r="A152" s="3">
        <f>IFERROR(__xludf.DUMMYFUNCTION("""COMPUTED_VALUE"""),45147.66666666667)</f>
        <v>45147.66667</v>
      </c>
      <c r="B152" s="2">
        <f>IFERROR(__xludf.DUMMYFUNCTION("""COMPUTED_VALUE"""),132.19)</f>
        <v>132.19</v>
      </c>
      <c r="C152" s="2">
        <f>IFERROR(__xludf.DUMMYFUNCTION("""COMPUTED_VALUE"""),132.47)</f>
        <v>132.47</v>
      </c>
      <c r="D152" s="2">
        <f>IFERROR(__xludf.DUMMYFUNCTION("""COMPUTED_VALUE"""),129.51)</f>
        <v>129.51</v>
      </c>
      <c r="E152" s="2">
        <f>IFERROR(__xludf.DUMMYFUNCTION("""COMPUTED_VALUE"""),130.15)</f>
        <v>130.15</v>
      </c>
      <c r="F152" s="2">
        <f>IFERROR(__xludf.DUMMYFUNCTION("""COMPUTED_VALUE"""),1.7745218E7)</f>
        <v>17745218</v>
      </c>
    </row>
    <row r="153">
      <c r="A153" s="3">
        <f>IFERROR(__xludf.DUMMYFUNCTION("""COMPUTED_VALUE"""),45148.66666666667)</f>
        <v>45148.66667</v>
      </c>
      <c r="B153" s="2">
        <f>IFERROR(__xludf.DUMMYFUNCTION("""COMPUTED_VALUE"""),131.97)</f>
        <v>131.97</v>
      </c>
      <c r="C153" s="2">
        <f>IFERROR(__xludf.DUMMYFUNCTION("""COMPUTED_VALUE"""),132.65)</f>
        <v>132.65</v>
      </c>
      <c r="D153" s="2">
        <f>IFERROR(__xludf.DUMMYFUNCTION("""COMPUTED_VALUE"""),130.04)</f>
        <v>130.04</v>
      </c>
      <c r="E153" s="2">
        <f>IFERROR(__xludf.DUMMYFUNCTION("""COMPUTED_VALUE"""),130.21)</f>
        <v>130.21</v>
      </c>
      <c r="F153" s="2">
        <f>IFERROR(__xludf.DUMMYFUNCTION("""COMPUTED_VALUE"""),1.7855681E7)</f>
        <v>17855681</v>
      </c>
    </row>
    <row r="154">
      <c r="A154" s="3">
        <f>IFERROR(__xludf.DUMMYFUNCTION("""COMPUTED_VALUE"""),45149.66666666667)</f>
        <v>45149.66667</v>
      </c>
      <c r="B154" s="2">
        <f>IFERROR(__xludf.DUMMYFUNCTION("""COMPUTED_VALUE"""),129.2)</f>
        <v>129.2</v>
      </c>
      <c r="C154" s="2">
        <f>IFERROR(__xludf.DUMMYFUNCTION("""COMPUTED_VALUE"""),130.44)</f>
        <v>130.44</v>
      </c>
      <c r="D154" s="2">
        <f>IFERROR(__xludf.DUMMYFUNCTION("""COMPUTED_VALUE"""),128.75)</f>
        <v>128.75</v>
      </c>
      <c r="E154" s="2">
        <f>IFERROR(__xludf.DUMMYFUNCTION("""COMPUTED_VALUE"""),130.17)</f>
        <v>130.17</v>
      </c>
      <c r="F154" s="2">
        <f>IFERROR(__xludf.DUMMYFUNCTION("""COMPUTED_VALUE"""),1.5205465E7)</f>
        <v>15205465</v>
      </c>
    </row>
    <row r="155">
      <c r="A155" s="3">
        <f>IFERROR(__xludf.DUMMYFUNCTION("""COMPUTED_VALUE"""),45152.66666666667)</f>
        <v>45152.66667</v>
      </c>
      <c r="B155" s="2">
        <f>IFERROR(__xludf.DUMMYFUNCTION("""COMPUTED_VALUE"""),129.85)</f>
        <v>129.85</v>
      </c>
      <c r="C155" s="2">
        <f>IFERROR(__xludf.DUMMYFUNCTION("""COMPUTED_VALUE"""),131.91)</f>
        <v>131.91</v>
      </c>
      <c r="D155" s="2">
        <f>IFERROR(__xludf.DUMMYFUNCTION("""COMPUTED_VALUE"""),129.59)</f>
        <v>129.59</v>
      </c>
      <c r="E155" s="2">
        <f>IFERROR(__xludf.DUMMYFUNCTION("""COMPUTED_VALUE"""),131.83)</f>
        <v>131.83</v>
      </c>
      <c r="F155" s="2">
        <f>IFERROR(__xludf.DUMMYFUNCTION("""COMPUTED_VALUE"""),1.7526195E7)</f>
        <v>17526195</v>
      </c>
    </row>
    <row r="156">
      <c r="A156" s="3">
        <f>IFERROR(__xludf.DUMMYFUNCTION("""COMPUTED_VALUE"""),45153.66666666667)</f>
        <v>45153.66667</v>
      </c>
      <c r="B156" s="2">
        <f>IFERROR(__xludf.DUMMYFUNCTION("""COMPUTED_VALUE"""),131.59)</f>
        <v>131.59</v>
      </c>
      <c r="C156" s="2">
        <f>IFERROR(__xludf.DUMMYFUNCTION("""COMPUTED_VALUE"""),131.99)</f>
        <v>131.99</v>
      </c>
      <c r="D156" s="2">
        <f>IFERROR(__xludf.DUMMYFUNCTION("""COMPUTED_VALUE"""),129.82)</f>
        <v>129.82</v>
      </c>
      <c r="E156" s="2">
        <f>IFERROR(__xludf.DUMMYFUNCTION("""COMPUTED_VALUE"""),130.27)</f>
        <v>130.27</v>
      </c>
      <c r="F156" s="2">
        <f>IFERROR(__xludf.DUMMYFUNCTION("""COMPUTED_VALUE"""),1.4769173E7)</f>
        <v>14769173</v>
      </c>
    </row>
    <row r="157">
      <c r="A157" s="3">
        <f>IFERROR(__xludf.DUMMYFUNCTION("""COMPUTED_VALUE"""),45154.66666666667)</f>
        <v>45154.66667</v>
      </c>
      <c r="B157" s="2">
        <f>IFERROR(__xludf.DUMMYFUNCTION("""COMPUTED_VALUE"""),129.28)</f>
        <v>129.28</v>
      </c>
      <c r="C157" s="2">
        <f>IFERROR(__xludf.DUMMYFUNCTION("""COMPUTED_VALUE"""),130.9)</f>
        <v>130.9</v>
      </c>
      <c r="D157" s="2">
        <f>IFERROR(__xludf.DUMMYFUNCTION("""COMPUTED_VALUE"""),128.46)</f>
        <v>128.46</v>
      </c>
      <c r="E157" s="2">
        <f>IFERROR(__xludf.DUMMYFUNCTION("""COMPUTED_VALUE"""),129.11)</f>
        <v>129.11</v>
      </c>
      <c r="F157" s="2">
        <f>IFERROR(__xludf.DUMMYFUNCTION("""COMPUTED_VALUE"""),1.7548355E7)</f>
        <v>17548355</v>
      </c>
    </row>
    <row r="158">
      <c r="A158" s="3">
        <f>IFERROR(__xludf.DUMMYFUNCTION("""COMPUTED_VALUE"""),45155.66666666667)</f>
        <v>45155.66667</v>
      </c>
      <c r="B158" s="2">
        <f>IFERROR(__xludf.DUMMYFUNCTION("""COMPUTED_VALUE"""),130.45)</f>
        <v>130.45</v>
      </c>
      <c r="C158" s="2">
        <f>IFERROR(__xludf.DUMMYFUNCTION("""COMPUTED_VALUE"""),132.49)</f>
        <v>132.49</v>
      </c>
      <c r="D158" s="2">
        <f>IFERROR(__xludf.DUMMYFUNCTION("""COMPUTED_VALUE"""),129.85)</f>
        <v>129.85</v>
      </c>
      <c r="E158" s="2">
        <f>IFERROR(__xludf.DUMMYFUNCTION("""COMPUTED_VALUE"""),130.46)</f>
        <v>130.46</v>
      </c>
      <c r="F158" s="2">
        <f>IFERROR(__xludf.DUMMYFUNCTION("""COMPUTED_VALUE"""),2.3665562E7)</f>
        <v>23665562</v>
      </c>
    </row>
    <row r="159">
      <c r="A159" s="3">
        <f>IFERROR(__xludf.DUMMYFUNCTION("""COMPUTED_VALUE"""),45156.66666666667)</f>
        <v>45156.66667</v>
      </c>
      <c r="B159" s="2">
        <f>IFERROR(__xludf.DUMMYFUNCTION("""COMPUTED_VALUE"""),129.06)</f>
        <v>129.06</v>
      </c>
      <c r="C159" s="2">
        <f>IFERROR(__xludf.DUMMYFUNCTION("""COMPUTED_VALUE"""),129.83)</f>
        <v>129.83</v>
      </c>
      <c r="D159" s="2">
        <f>IFERROR(__xludf.DUMMYFUNCTION("""COMPUTED_VALUE"""),127.0)</f>
        <v>127</v>
      </c>
      <c r="E159" s="2">
        <f>IFERROR(__xludf.DUMMYFUNCTION("""COMPUTED_VALUE"""),128.11)</f>
        <v>128.11</v>
      </c>
      <c r="F159" s="2">
        <f>IFERROR(__xludf.DUMMYFUNCTION("""COMPUTED_VALUE"""),2.3627202E7)</f>
        <v>23627202</v>
      </c>
    </row>
    <row r="160">
      <c r="A160" s="3">
        <f>IFERROR(__xludf.DUMMYFUNCTION("""COMPUTED_VALUE"""),45159.66666666667)</f>
        <v>45159.66667</v>
      </c>
      <c r="B160" s="2">
        <f>IFERROR(__xludf.DUMMYFUNCTION("""COMPUTED_VALUE"""),127.85)</f>
        <v>127.85</v>
      </c>
      <c r="C160" s="2">
        <f>IFERROR(__xludf.DUMMYFUNCTION("""COMPUTED_VALUE"""),129.26)</f>
        <v>129.26</v>
      </c>
      <c r="D160" s="2">
        <f>IFERROR(__xludf.DUMMYFUNCTION("""COMPUTED_VALUE"""),127.16)</f>
        <v>127.16</v>
      </c>
      <c r="E160" s="2">
        <f>IFERROR(__xludf.DUMMYFUNCTION("""COMPUTED_VALUE"""),128.93)</f>
        <v>128.93</v>
      </c>
      <c r="F160" s="2">
        <f>IFERROR(__xludf.DUMMYFUNCTION("""COMPUTED_VALUE"""),2.185107E7)</f>
        <v>21851070</v>
      </c>
    </row>
    <row r="161">
      <c r="A161" s="3">
        <f>IFERROR(__xludf.DUMMYFUNCTION("""COMPUTED_VALUE"""),45160.66666666667)</f>
        <v>45160.66667</v>
      </c>
      <c r="B161" s="2">
        <f>IFERROR(__xludf.DUMMYFUNCTION("""COMPUTED_VALUE"""),129.13)</f>
        <v>129.13</v>
      </c>
      <c r="C161" s="2">
        <f>IFERROR(__xludf.DUMMYFUNCTION("""COMPUTED_VALUE"""),130.95)</f>
        <v>130.95</v>
      </c>
      <c r="D161" s="2">
        <f>IFERROR(__xludf.DUMMYFUNCTION("""COMPUTED_VALUE"""),128.93)</f>
        <v>128.93</v>
      </c>
      <c r="E161" s="2">
        <f>IFERROR(__xludf.DUMMYFUNCTION("""COMPUTED_VALUE"""),129.69)</f>
        <v>129.69</v>
      </c>
      <c r="F161" s="2">
        <f>IFERROR(__xludf.DUMMYFUNCTION("""COMPUTED_VALUE"""),1.5569373E7)</f>
        <v>15569373</v>
      </c>
    </row>
    <row r="162">
      <c r="A162" s="3">
        <f>IFERROR(__xludf.DUMMYFUNCTION("""COMPUTED_VALUE"""),45161.66666666667)</f>
        <v>45161.66667</v>
      </c>
      <c r="B162" s="2">
        <f>IFERROR(__xludf.DUMMYFUNCTION("""COMPUTED_VALUE"""),130.85)</f>
        <v>130.85</v>
      </c>
      <c r="C162" s="2">
        <f>IFERROR(__xludf.DUMMYFUNCTION("""COMPUTED_VALUE"""),134.07)</f>
        <v>134.07</v>
      </c>
      <c r="D162" s="2">
        <f>IFERROR(__xludf.DUMMYFUNCTION("""COMPUTED_VALUE"""),130.51)</f>
        <v>130.51</v>
      </c>
      <c r="E162" s="2">
        <f>IFERROR(__xludf.DUMMYFUNCTION("""COMPUTED_VALUE"""),133.21)</f>
        <v>133.21</v>
      </c>
      <c r="F162" s="2">
        <f>IFERROR(__xludf.DUMMYFUNCTION("""COMPUTED_VALUE"""),2.6497027E7)</f>
        <v>26497027</v>
      </c>
    </row>
    <row r="163">
      <c r="A163" s="3">
        <f>IFERROR(__xludf.DUMMYFUNCTION("""COMPUTED_VALUE"""),45162.66666666667)</f>
        <v>45162.66667</v>
      </c>
      <c r="B163" s="2">
        <f>IFERROR(__xludf.DUMMYFUNCTION("""COMPUTED_VALUE"""),134.73)</f>
        <v>134.73</v>
      </c>
      <c r="C163" s="2">
        <f>IFERROR(__xludf.DUMMYFUNCTION("""COMPUTED_VALUE"""),134.97)</f>
        <v>134.97</v>
      </c>
      <c r="D163" s="2">
        <f>IFERROR(__xludf.DUMMYFUNCTION("""COMPUTED_VALUE"""),130.3)</f>
        <v>130.3</v>
      </c>
      <c r="E163" s="2">
        <f>IFERROR(__xludf.DUMMYFUNCTION("""COMPUTED_VALUE"""),130.42)</f>
        <v>130.42</v>
      </c>
      <c r="F163" s="2">
        <f>IFERROR(__xludf.DUMMYFUNCTION("""COMPUTED_VALUE"""),1.8680381E7)</f>
        <v>18680381</v>
      </c>
    </row>
    <row r="164">
      <c r="A164" s="3">
        <f>IFERROR(__xludf.DUMMYFUNCTION("""COMPUTED_VALUE"""),45163.66666666667)</f>
        <v>45163.66667</v>
      </c>
      <c r="B164" s="2">
        <f>IFERROR(__xludf.DUMMYFUNCTION("""COMPUTED_VALUE"""),130.14)</f>
        <v>130.14</v>
      </c>
      <c r="C164" s="2">
        <f>IFERROR(__xludf.DUMMYFUNCTION("""COMPUTED_VALUE"""),131.4)</f>
        <v>131.4</v>
      </c>
      <c r="D164" s="2">
        <f>IFERROR(__xludf.DUMMYFUNCTION("""COMPUTED_VALUE"""),128.04)</f>
        <v>128.04</v>
      </c>
      <c r="E164" s="2">
        <f>IFERROR(__xludf.DUMMYFUNCTION("""COMPUTED_VALUE"""),130.69)</f>
        <v>130.69</v>
      </c>
      <c r="F164" s="2">
        <f>IFERROR(__xludf.DUMMYFUNCTION("""COMPUTED_VALUE"""),2.0678096E7)</f>
        <v>20678096</v>
      </c>
    </row>
    <row r="165">
      <c r="A165" s="3">
        <f>IFERROR(__xludf.DUMMYFUNCTION("""COMPUTED_VALUE"""),45166.66666666667)</f>
        <v>45166.66667</v>
      </c>
      <c r="B165" s="2">
        <f>IFERROR(__xludf.DUMMYFUNCTION("""COMPUTED_VALUE"""),132.08)</f>
        <v>132.08</v>
      </c>
      <c r="C165" s="2">
        <f>IFERROR(__xludf.DUMMYFUNCTION("""COMPUTED_VALUE"""),133.24)</f>
        <v>133.24</v>
      </c>
      <c r="D165" s="2">
        <f>IFERROR(__xludf.DUMMYFUNCTION("""COMPUTED_VALUE"""),130.85)</f>
        <v>130.85</v>
      </c>
      <c r="E165" s="2">
        <f>IFERROR(__xludf.DUMMYFUNCTION("""COMPUTED_VALUE"""),131.79)</f>
        <v>131.79</v>
      </c>
      <c r="F165" s="2">
        <f>IFERROR(__xludf.DUMMYFUNCTION("""COMPUTED_VALUE"""),1.6715467E7)</f>
        <v>16715467</v>
      </c>
    </row>
    <row r="166">
      <c r="A166" s="3">
        <f>IFERROR(__xludf.DUMMYFUNCTION("""COMPUTED_VALUE"""),45167.66666666667)</f>
        <v>45167.66667</v>
      </c>
      <c r="B166" s="2">
        <f>IFERROR(__xludf.DUMMYFUNCTION("""COMPUTED_VALUE"""),133.0)</f>
        <v>133</v>
      </c>
      <c r="C166" s="2">
        <f>IFERROR(__xludf.DUMMYFUNCTION("""COMPUTED_VALUE"""),137.29)</f>
        <v>137.29</v>
      </c>
      <c r="D166" s="2">
        <f>IFERROR(__xludf.DUMMYFUNCTION("""COMPUTED_VALUE"""),132.98)</f>
        <v>132.98</v>
      </c>
      <c r="E166" s="2">
        <f>IFERROR(__xludf.DUMMYFUNCTION("""COMPUTED_VALUE"""),135.49)</f>
        <v>135.49</v>
      </c>
      <c r="F166" s="2">
        <f>IFERROR(__xludf.DUMMYFUNCTION("""COMPUTED_VALUE"""),3.0803265E7)</f>
        <v>30803265</v>
      </c>
    </row>
    <row r="167">
      <c r="A167" s="3">
        <f>IFERROR(__xludf.DUMMYFUNCTION("""COMPUTED_VALUE"""),45168.66666666667)</f>
        <v>45168.66667</v>
      </c>
      <c r="B167" s="2">
        <f>IFERROR(__xludf.DUMMYFUNCTION("""COMPUTED_VALUE"""),135.57)</f>
        <v>135.57</v>
      </c>
      <c r="C167" s="2">
        <f>IFERROR(__xludf.DUMMYFUNCTION("""COMPUTED_VALUE"""),137.25)</f>
        <v>137.25</v>
      </c>
      <c r="D167" s="2">
        <f>IFERROR(__xludf.DUMMYFUNCTION("""COMPUTED_VALUE"""),135.02)</f>
        <v>135.02</v>
      </c>
      <c r="E167" s="2">
        <f>IFERROR(__xludf.DUMMYFUNCTION("""COMPUTED_VALUE"""),136.93)</f>
        <v>136.93</v>
      </c>
      <c r="F167" s="2">
        <f>IFERROR(__xludf.DUMMYFUNCTION("""COMPUTED_VALUE"""),2.1773356E7)</f>
        <v>21773356</v>
      </c>
    </row>
    <row r="168">
      <c r="A168" s="3">
        <f>IFERROR(__xludf.DUMMYFUNCTION("""COMPUTED_VALUE"""),45169.66666666667)</f>
        <v>45169.66667</v>
      </c>
      <c r="B168" s="2">
        <f>IFERROR(__xludf.DUMMYFUNCTION("""COMPUTED_VALUE"""),137.05)</f>
        <v>137.05</v>
      </c>
      <c r="C168" s="2">
        <f>IFERROR(__xludf.DUMMYFUNCTION("""COMPUTED_VALUE"""),138.4)</f>
        <v>138.4</v>
      </c>
      <c r="D168" s="2">
        <f>IFERROR(__xludf.DUMMYFUNCTION("""COMPUTED_VALUE"""),136.82)</f>
        <v>136.82</v>
      </c>
      <c r="E168" s="2">
        <f>IFERROR(__xludf.DUMMYFUNCTION("""COMPUTED_VALUE"""),137.35)</f>
        <v>137.35</v>
      </c>
      <c r="F168" s="2">
        <f>IFERROR(__xludf.DUMMYFUNCTION("""COMPUTED_VALUE"""),2.814785E7)</f>
        <v>28147850</v>
      </c>
    </row>
    <row r="169">
      <c r="A169" s="3">
        <f>IFERROR(__xludf.DUMMYFUNCTION("""COMPUTED_VALUE"""),45170.66666666667)</f>
        <v>45170.66667</v>
      </c>
      <c r="B169" s="2">
        <f>IFERROR(__xludf.DUMMYFUNCTION("""COMPUTED_VALUE"""),138.43)</f>
        <v>138.43</v>
      </c>
      <c r="C169" s="2">
        <f>IFERROR(__xludf.DUMMYFUNCTION("""COMPUTED_VALUE"""),138.58)</f>
        <v>138.58</v>
      </c>
      <c r="D169" s="2">
        <f>IFERROR(__xludf.DUMMYFUNCTION("""COMPUTED_VALUE"""),135.94)</f>
        <v>135.94</v>
      </c>
      <c r="E169" s="2">
        <f>IFERROR(__xludf.DUMMYFUNCTION("""COMPUTED_VALUE"""),136.8)</f>
        <v>136.8</v>
      </c>
      <c r="F169" s="2">
        <f>IFERROR(__xludf.DUMMYFUNCTION("""COMPUTED_VALUE"""),1.6671647E7)</f>
        <v>16671647</v>
      </c>
    </row>
    <row r="170">
      <c r="A170" s="3">
        <f>IFERROR(__xludf.DUMMYFUNCTION("""COMPUTED_VALUE"""),45174.66666666667)</f>
        <v>45174.66667</v>
      </c>
      <c r="B170" s="2">
        <f>IFERROR(__xludf.DUMMYFUNCTION("""COMPUTED_VALUE"""),136.44)</f>
        <v>136.44</v>
      </c>
      <c r="C170" s="2">
        <f>IFERROR(__xludf.DUMMYFUNCTION("""COMPUTED_VALUE"""),137.37)</f>
        <v>137.37</v>
      </c>
      <c r="D170" s="2">
        <f>IFERROR(__xludf.DUMMYFUNCTION("""COMPUTED_VALUE"""),135.56)</f>
        <v>135.56</v>
      </c>
      <c r="E170" s="2">
        <f>IFERROR(__xludf.DUMMYFUNCTION("""COMPUTED_VALUE"""),136.71)</f>
        <v>136.71</v>
      </c>
      <c r="F170" s="2">
        <f>IFERROR(__xludf.DUMMYFUNCTION("""COMPUTED_VALUE"""),1.7730218E7)</f>
        <v>17730218</v>
      </c>
    </row>
    <row r="171">
      <c r="A171" s="3">
        <f>IFERROR(__xludf.DUMMYFUNCTION("""COMPUTED_VALUE"""),45175.66666666667)</f>
        <v>45175.66667</v>
      </c>
      <c r="B171" s="2">
        <f>IFERROR(__xludf.DUMMYFUNCTION("""COMPUTED_VALUE"""),137.01)</f>
        <v>137.01</v>
      </c>
      <c r="C171" s="2">
        <f>IFERROR(__xludf.DUMMYFUNCTION("""COMPUTED_VALUE"""),137.48)</f>
        <v>137.48</v>
      </c>
      <c r="D171" s="2">
        <f>IFERROR(__xludf.DUMMYFUNCTION("""COMPUTED_VALUE"""),134.69)</f>
        <v>134.69</v>
      </c>
      <c r="E171" s="2">
        <f>IFERROR(__xludf.DUMMYFUNCTION("""COMPUTED_VALUE"""),135.37)</f>
        <v>135.37</v>
      </c>
      <c r="F171" s="2">
        <f>IFERROR(__xludf.DUMMYFUNCTION("""COMPUTED_VALUE"""),1.5814327E7)</f>
        <v>15814327</v>
      </c>
    </row>
    <row r="172">
      <c r="A172" s="3">
        <f>IFERROR(__xludf.DUMMYFUNCTION("""COMPUTED_VALUE"""),45176.66666666667)</f>
        <v>45176.66667</v>
      </c>
      <c r="B172" s="2">
        <f>IFERROR(__xludf.DUMMYFUNCTION("""COMPUTED_VALUE"""),134.6)</f>
        <v>134.6</v>
      </c>
      <c r="C172" s="2">
        <f>IFERROR(__xludf.DUMMYFUNCTION("""COMPUTED_VALUE"""),136.58)</f>
        <v>136.58</v>
      </c>
      <c r="D172" s="2">
        <f>IFERROR(__xludf.DUMMYFUNCTION("""COMPUTED_VALUE"""),133.96)</f>
        <v>133.96</v>
      </c>
      <c r="E172" s="2">
        <f>IFERROR(__xludf.DUMMYFUNCTION("""COMPUTED_VALUE"""),136.2)</f>
        <v>136.2</v>
      </c>
      <c r="F172" s="2">
        <f>IFERROR(__xludf.DUMMYFUNCTION("""COMPUTED_VALUE"""),1.6975956E7)</f>
        <v>16975956</v>
      </c>
    </row>
    <row r="173">
      <c r="A173" s="3">
        <f>IFERROR(__xludf.DUMMYFUNCTION("""COMPUTED_VALUE"""),45177.66666666667)</f>
        <v>45177.66667</v>
      </c>
      <c r="B173" s="2">
        <f>IFERROR(__xludf.DUMMYFUNCTION("""COMPUTED_VALUE"""),135.87)</f>
        <v>135.87</v>
      </c>
      <c r="C173" s="2">
        <f>IFERROR(__xludf.DUMMYFUNCTION("""COMPUTED_VALUE"""),137.51)</f>
        <v>137.51</v>
      </c>
      <c r="D173" s="2">
        <f>IFERROR(__xludf.DUMMYFUNCTION("""COMPUTED_VALUE"""),135.87)</f>
        <v>135.87</v>
      </c>
      <c r="E173" s="2">
        <f>IFERROR(__xludf.DUMMYFUNCTION("""COMPUTED_VALUE"""),137.2)</f>
        <v>137.2</v>
      </c>
      <c r="F173" s="2">
        <f>IFERROR(__xludf.DUMMYFUNCTION("""COMPUTED_VALUE"""),1.7820005E7)</f>
        <v>17820005</v>
      </c>
    </row>
    <row r="174">
      <c r="A174" s="3">
        <f>IFERROR(__xludf.DUMMYFUNCTION("""COMPUTED_VALUE"""),45180.66666666667)</f>
        <v>45180.66667</v>
      </c>
      <c r="B174" s="2">
        <f>IFERROR(__xludf.DUMMYFUNCTION("""COMPUTED_VALUE"""),137.38)</f>
        <v>137.38</v>
      </c>
      <c r="C174" s="2">
        <f>IFERROR(__xludf.DUMMYFUNCTION("""COMPUTED_VALUE"""),138.26)</f>
        <v>138.26</v>
      </c>
      <c r="D174" s="2">
        <f>IFERROR(__xludf.DUMMYFUNCTION("""COMPUTED_VALUE"""),136.55)</f>
        <v>136.55</v>
      </c>
      <c r="E174" s="2">
        <f>IFERROR(__xludf.DUMMYFUNCTION("""COMPUTED_VALUE"""),137.74)</f>
        <v>137.74</v>
      </c>
      <c r="F174" s="2">
        <f>IFERROR(__xludf.DUMMYFUNCTION("""COMPUTED_VALUE"""),1.7180755E7)</f>
        <v>17180755</v>
      </c>
    </row>
    <row r="175">
      <c r="A175" s="3">
        <f>IFERROR(__xludf.DUMMYFUNCTION("""COMPUTED_VALUE"""),45181.66666666667)</f>
        <v>45181.66667</v>
      </c>
      <c r="B175" s="2">
        <f>IFERROR(__xludf.DUMMYFUNCTION("""COMPUTED_VALUE"""),137.13)</f>
        <v>137.13</v>
      </c>
      <c r="C175" s="2">
        <f>IFERROR(__xludf.DUMMYFUNCTION("""COMPUTED_VALUE"""),137.64)</f>
        <v>137.64</v>
      </c>
      <c r="D175" s="2">
        <f>IFERROR(__xludf.DUMMYFUNCTION("""COMPUTED_VALUE"""),135.93)</f>
        <v>135.93</v>
      </c>
      <c r="E175" s="2">
        <f>IFERROR(__xludf.DUMMYFUNCTION("""COMPUTED_VALUE"""),136.07)</f>
        <v>136.07</v>
      </c>
      <c r="F175" s="2">
        <f>IFERROR(__xludf.DUMMYFUNCTION("""COMPUTED_VALUE"""),1.5212934E7)</f>
        <v>15212934</v>
      </c>
    </row>
    <row r="176">
      <c r="A176" s="3">
        <f>IFERROR(__xludf.DUMMYFUNCTION("""COMPUTED_VALUE"""),45182.66666666667)</f>
        <v>45182.66667</v>
      </c>
      <c r="B176" s="2">
        <f>IFERROR(__xludf.DUMMYFUNCTION("""COMPUTED_VALUE"""),135.9)</f>
        <v>135.9</v>
      </c>
      <c r="C176" s="2">
        <f>IFERROR(__xludf.DUMMYFUNCTION("""COMPUTED_VALUE"""),137.7)</f>
        <v>137.7</v>
      </c>
      <c r="D176" s="2">
        <f>IFERROR(__xludf.DUMMYFUNCTION("""COMPUTED_VALUE"""),134.93)</f>
        <v>134.93</v>
      </c>
      <c r="E176" s="2">
        <f>IFERROR(__xludf.DUMMYFUNCTION("""COMPUTED_VALUE"""),137.5)</f>
        <v>137.5</v>
      </c>
      <c r="F176" s="2">
        <f>IFERROR(__xludf.DUMMYFUNCTION("""COMPUTED_VALUE"""),1.6394915E7)</f>
        <v>16394915</v>
      </c>
    </row>
    <row r="177">
      <c r="A177" s="3">
        <f>IFERROR(__xludf.DUMMYFUNCTION("""COMPUTED_VALUE"""),45183.66666666667)</f>
        <v>45183.66667</v>
      </c>
      <c r="B177" s="2">
        <f>IFERROR(__xludf.DUMMYFUNCTION("""COMPUTED_VALUE"""),138.39)</f>
        <v>138.39</v>
      </c>
      <c r="C177" s="2">
        <f>IFERROR(__xludf.DUMMYFUNCTION("""COMPUTED_VALUE"""),139.55)</f>
        <v>139.55</v>
      </c>
      <c r="D177" s="2">
        <f>IFERROR(__xludf.DUMMYFUNCTION("""COMPUTED_VALUE"""),137.06)</f>
        <v>137.06</v>
      </c>
      <c r="E177" s="2">
        <f>IFERROR(__xludf.DUMMYFUNCTION("""COMPUTED_VALUE"""),138.99)</f>
        <v>138.99</v>
      </c>
      <c r="F177" s="2">
        <f>IFERROR(__xludf.DUMMYFUNCTION("""COMPUTED_VALUE"""),1.9064607E7)</f>
        <v>19064607</v>
      </c>
    </row>
    <row r="178">
      <c r="A178" s="3">
        <f>IFERROR(__xludf.DUMMYFUNCTION("""COMPUTED_VALUE"""),45184.66666666667)</f>
        <v>45184.66667</v>
      </c>
      <c r="B178" s="2">
        <f>IFERROR(__xludf.DUMMYFUNCTION("""COMPUTED_VALUE"""),138.8)</f>
        <v>138.8</v>
      </c>
      <c r="C178" s="2">
        <f>IFERROR(__xludf.DUMMYFUNCTION("""COMPUTED_VALUE"""),139.36)</f>
        <v>139.36</v>
      </c>
      <c r="D178" s="2">
        <f>IFERROR(__xludf.DUMMYFUNCTION("""COMPUTED_VALUE"""),137.18)</f>
        <v>137.18</v>
      </c>
      <c r="E178" s="2">
        <f>IFERROR(__xludf.DUMMYFUNCTION("""COMPUTED_VALUE"""),138.3)</f>
        <v>138.3</v>
      </c>
      <c r="F178" s="2">
        <f>IFERROR(__xludf.DUMMYFUNCTION("""COMPUTED_VALUE"""),4.8958837E7)</f>
        <v>48958837</v>
      </c>
    </row>
    <row r="179">
      <c r="A179" s="3">
        <f>IFERROR(__xludf.DUMMYFUNCTION("""COMPUTED_VALUE"""),45187.66666666667)</f>
        <v>45187.66667</v>
      </c>
      <c r="B179" s="2">
        <f>IFERROR(__xludf.DUMMYFUNCTION("""COMPUTED_VALUE"""),137.63)</f>
        <v>137.63</v>
      </c>
      <c r="C179" s="2">
        <f>IFERROR(__xludf.DUMMYFUNCTION("""COMPUTED_VALUE"""),139.93)</f>
        <v>139.93</v>
      </c>
      <c r="D179" s="2">
        <f>IFERROR(__xludf.DUMMYFUNCTION("""COMPUTED_VALUE"""),137.63)</f>
        <v>137.63</v>
      </c>
      <c r="E179" s="2">
        <f>IFERROR(__xludf.DUMMYFUNCTION("""COMPUTED_VALUE"""),138.96)</f>
        <v>138.96</v>
      </c>
      <c r="F179" s="2">
        <f>IFERROR(__xludf.DUMMYFUNCTION("""COMPUTED_VALUE"""),1.623359E7)</f>
        <v>16233590</v>
      </c>
    </row>
    <row r="180">
      <c r="A180" s="3">
        <f>IFERROR(__xludf.DUMMYFUNCTION("""COMPUTED_VALUE"""),45188.66666666667)</f>
        <v>45188.66667</v>
      </c>
      <c r="B180" s="2">
        <f>IFERROR(__xludf.DUMMYFUNCTION("""COMPUTED_VALUE"""),138.25)</f>
        <v>138.25</v>
      </c>
      <c r="C180" s="2">
        <f>IFERROR(__xludf.DUMMYFUNCTION("""COMPUTED_VALUE"""),139.18)</f>
        <v>139.18</v>
      </c>
      <c r="D180" s="2">
        <f>IFERROR(__xludf.DUMMYFUNCTION("""COMPUTED_VALUE"""),137.5)</f>
        <v>137.5</v>
      </c>
      <c r="E180" s="2">
        <f>IFERROR(__xludf.DUMMYFUNCTION("""COMPUTED_VALUE"""),138.83)</f>
        <v>138.83</v>
      </c>
      <c r="F180" s="2">
        <f>IFERROR(__xludf.DUMMYFUNCTION("""COMPUTED_VALUE"""),1.5484644E7)</f>
        <v>15484644</v>
      </c>
    </row>
    <row r="181">
      <c r="A181" s="3">
        <f>IFERROR(__xludf.DUMMYFUNCTION("""COMPUTED_VALUE"""),45189.66666666667)</f>
        <v>45189.66667</v>
      </c>
      <c r="B181" s="2">
        <f>IFERROR(__xludf.DUMMYFUNCTION("""COMPUTED_VALUE"""),138.83)</f>
        <v>138.83</v>
      </c>
      <c r="C181" s="2">
        <f>IFERROR(__xludf.DUMMYFUNCTION("""COMPUTED_VALUE"""),138.84)</f>
        <v>138.84</v>
      </c>
      <c r="D181" s="2">
        <f>IFERROR(__xludf.DUMMYFUNCTION("""COMPUTED_VALUE"""),134.52)</f>
        <v>134.52</v>
      </c>
      <c r="E181" s="2">
        <f>IFERROR(__xludf.DUMMYFUNCTION("""COMPUTED_VALUE"""),134.59)</f>
        <v>134.59</v>
      </c>
      <c r="F181" s="2">
        <f>IFERROR(__xludf.DUMMYFUNCTION("""COMPUTED_VALUE"""),2.1473533E7)</f>
        <v>21473533</v>
      </c>
    </row>
    <row r="182">
      <c r="A182" s="3">
        <f>IFERROR(__xludf.DUMMYFUNCTION("""COMPUTED_VALUE"""),45190.66666666667)</f>
        <v>45190.66667</v>
      </c>
      <c r="B182" s="2">
        <f>IFERROR(__xludf.DUMMYFUNCTION("""COMPUTED_VALUE"""),132.39)</f>
        <v>132.39</v>
      </c>
      <c r="C182" s="2">
        <f>IFERROR(__xludf.DUMMYFUNCTION("""COMPUTED_VALUE"""),133.19)</f>
        <v>133.19</v>
      </c>
      <c r="D182" s="2">
        <f>IFERROR(__xludf.DUMMYFUNCTION("""COMPUTED_VALUE"""),131.09)</f>
        <v>131.09</v>
      </c>
      <c r="E182" s="2">
        <f>IFERROR(__xludf.DUMMYFUNCTION("""COMPUTED_VALUE"""),131.36)</f>
        <v>131.36</v>
      </c>
      <c r="F182" s="2">
        <f>IFERROR(__xludf.DUMMYFUNCTION("""COMPUTED_VALUE"""),2.2058375E7)</f>
        <v>22058375</v>
      </c>
    </row>
    <row r="183">
      <c r="A183" s="3">
        <f>IFERROR(__xludf.DUMMYFUNCTION("""COMPUTED_VALUE"""),45191.66666666667)</f>
        <v>45191.66667</v>
      </c>
      <c r="B183" s="2">
        <f>IFERROR(__xludf.DUMMYFUNCTION("""COMPUTED_VALUE"""),131.68)</f>
        <v>131.68</v>
      </c>
      <c r="C183" s="2">
        <f>IFERROR(__xludf.DUMMYFUNCTION("""COMPUTED_VALUE"""),133.01)</f>
        <v>133.01</v>
      </c>
      <c r="D183" s="2">
        <f>IFERROR(__xludf.DUMMYFUNCTION("""COMPUTED_VALUE"""),130.51)</f>
        <v>130.51</v>
      </c>
      <c r="E183" s="2">
        <f>IFERROR(__xludf.DUMMYFUNCTION("""COMPUTED_VALUE"""),131.25)</f>
        <v>131.25</v>
      </c>
      <c r="F183" s="2">
        <f>IFERROR(__xludf.DUMMYFUNCTION("""COMPUTED_VALUE"""),1.7355284E7)</f>
        <v>17355284</v>
      </c>
    </row>
    <row r="184">
      <c r="A184" s="3">
        <f>IFERROR(__xludf.DUMMYFUNCTION("""COMPUTED_VALUE"""),45194.66666666667)</f>
        <v>45194.66667</v>
      </c>
      <c r="B184" s="2">
        <f>IFERROR(__xludf.DUMMYFUNCTION("""COMPUTED_VALUE"""),130.77)</f>
        <v>130.77</v>
      </c>
      <c r="C184" s="2">
        <f>IFERROR(__xludf.DUMMYFUNCTION("""COMPUTED_VALUE"""),132.22)</f>
        <v>132.22</v>
      </c>
      <c r="D184" s="2">
        <f>IFERROR(__xludf.DUMMYFUNCTION("""COMPUTED_VALUE"""),130.03)</f>
        <v>130.03</v>
      </c>
      <c r="E184" s="2">
        <f>IFERROR(__xludf.DUMMYFUNCTION("""COMPUTED_VALUE"""),132.17)</f>
        <v>132.17</v>
      </c>
      <c r="F184" s="2">
        <f>IFERROR(__xludf.DUMMYFUNCTION("""COMPUTED_VALUE"""),1.4650032E7)</f>
        <v>14650032</v>
      </c>
    </row>
    <row r="185">
      <c r="A185" s="3">
        <f>IFERROR(__xludf.DUMMYFUNCTION("""COMPUTED_VALUE"""),45195.66666666667)</f>
        <v>45195.66667</v>
      </c>
      <c r="B185" s="2">
        <f>IFERROR(__xludf.DUMMYFUNCTION("""COMPUTED_VALUE"""),130.91)</f>
        <v>130.91</v>
      </c>
      <c r="C185" s="2">
        <f>IFERROR(__xludf.DUMMYFUNCTION("""COMPUTED_VALUE"""),131.41)</f>
        <v>131.41</v>
      </c>
      <c r="D185" s="2">
        <f>IFERROR(__xludf.DUMMYFUNCTION("""COMPUTED_VALUE"""),128.19)</f>
        <v>128.19</v>
      </c>
      <c r="E185" s="2">
        <f>IFERROR(__xludf.DUMMYFUNCTION("""COMPUTED_VALUE"""),129.45)</f>
        <v>129.45</v>
      </c>
      <c r="F185" s="2">
        <f>IFERROR(__xludf.DUMMYFUNCTION("""COMPUTED_VALUE"""),2.0378789E7)</f>
        <v>20378789</v>
      </c>
    </row>
    <row r="186">
      <c r="A186" s="3">
        <f>IFERROR(__xludf.DUMMYFUNCTION("""COMPUTED_VALUE"""),45196.66666666667)</f>
        <v>45196.66667</v>
      </c>
      <c r="B186" s="2">
        <f>IFERROR(__xludf.DUMMYFUNCTION("""COMPUTED_VALUE"""),129.44)</f>
        <v>129.44</v>
      </c>
      <c r="C186" s="2">
        <f>IFERROR(__xludf.DUMMYFUNCTION("""COMPUTED_VALUE"""),131.72)</f>
        <v>131.72</v>
      </c>
      <c r="D186" s="2">
        <f>IFERROR(__xludf.DUMMYFUNCTION("""COMPUTED_VALUE"""),129.38)</f>
        <v>129.38</v>
      </c>
      <c r="E186" s="2">
        <f>IFERROR(__xludf.DUMMYFUNCTION("""COMPUTED_VALUE"""),131.46)</f>
        <v>131.46</v>
      </c>
      <c r="F186" s="2">
        <f>IFERROR(__xludf.DUMMYFUNCTION("""COMPUTED_VALUE"""),1.8764201E7)</f>
        <v>18764201</v>
      </c>
    </row>
    <row r="187">
      <c r="A187" s="3">
        <f>IFERROR(__xludf.DUMMYFUNCTION("""COMPUTED_VALUE"""),45197.66666666667)</f>
        <v>45197.66667</v>
      </c>
      <c r="B187" s="2">
        <f>IFERROR(__xludf.DUMMYFUNCTION("""COMPUTED_VALUE"""),130.69)</f>
        <v>130.69</v>
      </c>
      <c r="C187" s="2">
        <f>IFERROR(__xludf.DUMMYFUNCTION("""COMPUTED_VALUE"""),134.18)</f>
        <v>134.18</v>
      </c>
      <c r="D187" s="2">
        <f>IFERROR(__xludf.DUMMYFUNCTION("""COMPUTED_VALUE"""),130.69)</f>
        <v>130.69</v>
      </c>
      <c r="E187" s="2">
        <f>IFERROR(__xludf.DUMMYFUNCTION("""COMPUTED_VALUE"""),133.13)</f>
        <v>133.13</v>
      </c>
      <c r="F187" s="2">
        <f>IFERROR(__xludf.DUMMYFUNCTION("""COMPUTED_VALUE"""),1.8201389E7)</f>
        <v>18201389</v>
      </c>
    </row>
    <row r="188">
      <c r="A188" s="3">
        <f>IFERROR(__xludf.DUMMYFUNCTION("""COMPUTED_VALUE"""),45198.66666666667)</f>
        <v>45198.66667</v>
      </c>
      <c r="B188" s="2">
        <f>IFERROR(__xludf.DUMMYFUNCTION("""COMPUTED_VALUE"""),134.08)</f>
        <v>134.08</v>
      </c>
      <c r="C188" s="2">
        <f>IFERROR(__xludf.DUMMYFUNCTION("""COMPUTED_VALUE"""),134.89)</f>
        <v>134.89</v>
      </c>
      <c r="D188" s="2">
        <f>IFERROR(__xludf.DUMMYFUNCTION("""COMPUTED_VALUE"""),131.32)</f>
        <v>131.32</v>
      </c>
      <c r="E188" s="2">
        <f>IFERROR(__xludf.DUMMYFUNCTION("""COMPUTED_VALUE"""),131.85)</f>
        <v>131.85</v>
      </c>
      <c r="F188" s="2">
        <f>IFERROR(__xludf.DUMMYFUNCTION("""COMPUTED_VALUE"""),2.3237336E7)</f>
        <v>23237336</v>
      </c>
    </row>
    <row r="189">
      <c r="A189" s="3">
        <f>IFERROR(__xludf.DUMMYFUNCTION("""COMPUTED_VALUE"""),45201.66666666667)</f>
        <v>45201.66667</v>
      </c>
      <c r="B189" s="2">
        <f>IFERROR(__xludf.DUMMYFUNCTION("""COMPUTED_VALUE"""),132.16)</f>
        <v>132.16</v>
      </c>
      <c r="C189" s="2">
        <f>IFERROR(__xludf.DUMMYFUNCTION("""COMPUTED_VALUE"""),135.36)</f>
        <v>135.36</v>
      </c>
      <c r="D189" s="2">
        <f>IFERROR(__xludf.DUMMYFUNCTION("""COMPUTED_VALUE"""),132.07)</f>
        <v>132.07</v>
      </c>
      <c r="E189" s="2">
        <f>IFERROR(__xludf.DUMMYFUNCTION("""COMPUTED_VALUE"""),135.17)</f>
        <v>135.17</v>
      </c>
      <c r="F189" s="2">
        <f>IFERROR(__xludf.DUMMYFUNCTION("""COMPUTED_VALUE"""),1.9210394E7)</f>
        <v>19210394</v>
      </c>
    </row>
    <row r="190">
      <c r="A190" s="3">
        <f>IFERROR(__xludf.DUMMYFUNCTION("""COMPUTED_VALUE"""),45202.66666666667)</f>
        <v>45202.66667</v>
      </c>
      <c r="B190" s="2">
        <f>IFERROR(__xludf.DUMMYFUNCTION("""COMPUTED_VALUE"""),134.93)</f>
        <v>134.93</v>
      </c>
      <c r="C190" s="2">
        <f>IFERROR(__xludf.DUMMYFUNCTION("""COMPUTED_VALUE"""),135.24)</f>
        <v>135.24</v>
      </c>
      <c r="D190" s="2">
        <f>IFERROR(__xludf.DUMMYFUNCTION("""COMPUTED_VALUE"""),132.82)</f>
        <v>132.82</v>
      </c>
      <c r="E190" s="2">
        <f>IFERROR(__xludf.DUMMYFUNCTION("""COMPUTED_VALUE"""),133.3)</f>
        <v>133.3</v>
      </c>
      <c r="F190" s="2">
        <f>IFERROR(__xludf.DUMMYFUNCTION("""COMPUTED_VALUE"""),1.9628736E7)</f>
        <v>19628736</v>
      </c>
    </row>
    <row r="191">
      <c r="A191" s="3">
        <f>IFERROR(__xludf.DUMMYFUNCTION("""COMPUTED_VALUE"""),45203.66666666667)</f>
        <v>45203.66667</v>
      </c>
      <c r="B191" s="2">
        <f>IFERROR(__xludf.DUMMYFUNCTION("""COMPUTED_VALUE"""),133.66)</f>
        <v>133.66</v>
      </c>
      <c r="C191" s="2">
        <f>IFERROR(__xludf.DUMMYFUNCTION("""COMPUTED_VALUE"""),136.57)</f>
        <v>136.57</v>
      </c>
      <c r="D191" s="2">
        <f>IFERROR(__xludf.DUMMYFUNCTION("""COMPUTED_VALUE"""),133.43)</f>
        <v>133.43</v>
      </c>
      <c r="E191" s="2">
        <f>IFERROR(__xludf.DUMMYFUNCTION("""COMPUTED_VALUE"""),136.27)</f>
        <v>136.27</v>
      </c>
      <c r="F191" s="2">
        <f>IFERROR(__xludf.DUMMYFUNCTION("""COMPUTED_VALUE"""),2.2847987E7)</f>
        <v>22847987</v>
      </c>
    </row>
    <row r="192">
      <c r="A192" s="3">
        <f>IFERROR(__xludf.DUMMYFUNCTION("""COMPUTED_VALUE"""),45204.66666666667)</f>
        <v>45204.66667</v>
      </c>
      <c r="B192" s="2">
        <f>IFERROR(__xludf.DUMMYFUNCTION("""COMPUTED_VALUE"""),136.13)</f>
        <v>136.13</v>
      </c>
      <c r="C192" s="2">
        <f>IFERROR(__xludf.DUMMYFUNCTION("""COMPUTED_VALUE"""),136.5)</f>
        <v>136.5</v>
      </c>
      <c r="D192" s="2">
        <f>IFERROR(__xludf.DUMMYFUNCTION("""COMPUTED_VALUE"""),134.46)</f>
        <v>134.46</v>
      </c>
      <c r="E192" s="2">
        <f>IFERROR(__xludf.DUMMYFUNCTION("""COMPUTED_VALUE"""),135.99)</f>
        <v>135.99</v>
      </c>
      <c r="F192" s="2">
        <f>IFERROR(__xludf.DUMMYFUNCTION("""COMPUTED_VALUE"""),1.5922944E7)</f>
        <v>15922944</v>
      </c>
    </row>
    <row r="193">
      <c r="A193" s="3">
        <f>IFERROR(__xludf.DUMMYFUNCTION("""COMPUTED_VALUE"""),45205.66666666667)</f>
        <v>45205.66667</v>
      </c>
      <c r="B193" s="2">
        <f>IFERROR(__xludf.DUMMYFUNCTION("""COMPUTED_VALUE"""),134.94)</f>
        <v>134.94</v>
      </c>
      <c r="C193" s="2">
        <f>IFERROR(__xludf.DUMMYFUNCTION("""COMPUTED_VALUE"""),139.19)</f>
        <v>139.19</v>
      </c>
      <c r="D193" s="2">
        <f>IFERROR(__xludf.DUMMYFUNCTION("""COMPUTED_VALUE"""),134.94)</f>
        <v>134.94</v>
      </c>
      <c r="E193" s="2">
        <f>IFERROR(__xludf.DUMMYFUNCTION("""COMPUTED_VALUE"""),138.73)</f>
        <v>138.73</v>
      </c>
      <c r="F193" s="2">
        <f>IFERROR(__xludf.DUMMYFUNCTION("""COMPUTED_VALUE"""),2.0826683E7)</f>
        <v>20826683</v>
      </c>
    </row>
    <row r="194">
      <c r="A194" s="3">
        <f>IFERROR(__xludf.DUMMYFUNCTION("""COMPUTED_VALUE"""),45208.66666666667)</f>
        <v>45208.66667</v>
      </c>
      <c r="B194" s="2">
        <f>IFERROR(__xludf.DUMMYFUNCTION("""COMPUTED_VALUE"""),137.99)</f>
        <v>137.99</v>
      </c>
      <c r="C194" s="2">
        <f>IFERROR(__xludf.DUMMYFUNCTION("""COMPUTED_VALUE"""),139.97)</f>
        <v>139.97</v>
      </c>
      <c r="D194" s="2">
        <f>IFERROR(__xludf.DUMMYFUNCTION("""COMPUTED_VALUE"""),136.7)</f>
        <v>136.7</v>
      </c>
      <c r="E194" s="2">
        <f>IFERROR(__xludf.DUMMYFUNCTION("""COMPUTED_VALUE"""),139.5)</f>
        <v>139.5</v>
      </c>
      <c r="F194" s="2">
        <f>IFERROR(__xludf.DUMMYFUNCTION("""COMPUTED_VALUE"""),1.6599099E7)</f>
        <v>16599099</v>
      </c>
    </row>
    <row r="195">
      <c r="A195" s="3">
        <f>IFERROR(__xludf.DUMMYFUNCTION("""COMPUTED_VALUE"""),45209.66666666667)</f>
        <v>45209.66667</v>
      </c>
      <c r="B195" s="2">
        <f>IFERROR(__xludf.DUMMYFUNCTION("""COMPUTED_VALUE"""),139.51)</f>
        <v>139.51</v>
      </c>
      <c r="C195" s="2">
        <f>IFERROR(__xludf.DUMMYFUNCTION("""COMPUTED_VALUE"""),140.74)</f>
        <v>140.74</v>
      </c>
      <c r="D195" s="2">
        <f>IFERROR(__xludf.DUMMYFUNCTION("""COMPUTED_VALUE"""),138.43)</f>
        <v>138.43</v>
      </c>
      <c r="E195" s="2">
        <f>IFERROR(__xludf.DUMMYFUNCTION("""COMPUTED_VALUE"""),139.2)</f>
        <v>139.2</v>
      </c>
      <c r="F195" s="2">
        <f>IFERROR(__xludf.DUMMYFUNCTION("""COMPUTED_VALUE"""),1.9554916E7)</f>
        <v>19554916</v>
      </c>
    </row>
    <row r="196">
      <c r="A196" s="3">
        <f>IFERROR(__xludf.DUMMYFUNCTION("""COMPUTED_VALUE"""),45210.66666666667)</f>
        <v>45210.66667</v>
      </c>
      <c r="B196" s="2">
        <f>IFERROR(__xludf.DUMMYFUNCTION("""COMPUTED_VALUE"""),139.85)</f>
        <v>139.85</v>
      </c>
      <c r="C196" s="2">
        <f>IFERROR(__xludf.DUMMYFUNCTION("""COMPUTED_VALUE"""),142.22)</f>
        <v>142.22</v>
      </c>
      <c r="D196" s="2">
        <f>IFERROR(__xludf.DUMMYFUNCTION("""COMPUTED_VALUE"""),139.84)</f>
        <v>139.84</v>
      </c>
      <c r="E196" s="2">
        <f>IFERROR(__xludf.DUMMYFUNCTION("""COMPUTED_VALUE"""),141.7)</f>
        <v>141.7</v>
      </c>
      <c r="F196" s="2">
        <f>IFERROR(__xludf.DUMMYFUNCTION("""COMPUTED_VALUE"""),2.0146341E7)</f>
        <v>20146341</v>
      </c>
    </row>
    <row r="197">
      <c r="A197" s="3">
        <f>IFERROR(__xludf.DUMMYFUNCTION("""COMPUTED_VALUE"""),45211.66666666667)</f>
        <v>45211.66667</v>
      </c>
      <c r="B197" s="2">
        <f>IFERROR(__xludf.DUMMYFUNCTION("""COMPUTED_VALUE"""),142.16)</f>
        <v>142.16</v>
      </c>
      <c r="C197" s="2">
        <f>IFERROR(__xludf.DUMMYFUNCTION("""COMPUTED_VALUE"""),142.38)</f>
        <v>142.38</v>
      </c>
      <c r="D197" s="2">
        <f>IFERROR(__xludf.DUMMYFUNCTION("""COMPUTED_VALUE"""),139.45)</f>
        <v>139.45</v>
      </c>
      <c r="E197" s="2">
        <f>IFERROR(__xludf.DUMMYFUNCTION("""COMPUTED_VALUE"""),140.29)</f>
        <v>140.29</v>
      </c>
      <c r="F197" s="2">
        <f>IFERROR(__xludf.DUMMYFUNCTION("""COMPUTED_VALUE"""),1.8173107E7)</f>
        <v>18173107</v>
      </c>
    </row>
    <row r="198">
      <c r="A198" s="3">
        <f>IFERROR(__xludf.DUMMYFUNCTION("""COMPUTED_VALUE"""),45212.66666666667)</f>
        <v>45212.66667</v>
      </c>
      <c r="B198" s="2">
        <f>IFERROR(__xludf.DUMMYFUNCTION("""COMPUTED_VALUE"""),140.65)</f>
        <v>140.65</v>
      </c>
      <c r="C198" s="2">
        <f>IFERROR(__xludf.DUMMYFUNCTION("""COMPUTED_VALUE"""),141.34)</f>
        <v>141.34</v>
      </c>
      <c r="D198" s="2">
        <f>IFERROR(__xludf.DUMMYFUNCTION("""COMPUTED_VALUE"""),137.97)</f>
        <v>137.97</v>
      </c>
      <c r="E198" s="2">
        <f>IFERROR(__xludf.DUMMYFUNCTION("""COMPUTED_VALUE"""),138.58)</f>
        <v>138.58</v>
      </c>
      <c r="F198" s="2">
        <f>IFERROR(__xludf.DUMMYFUNCTION("""COMPUTED_VALUE"""),1.9447565E7)</f>
        <v>19447565</v>
      </c>
    </row>
    <row r="199">
      <c r="A199" s="3">
        <f>IFERROR(__xludf.DUMMYFUNCTION("""COMPUTED_VALUE"""),45215.66666666667)</f>
        <v>45215.66667</v>
      </c>
      <c r="B199" s="2">
        <f>IFERROR(__xludf.DUMMYFUNCTION("""COMPUTED_VALUE"""),139.73)</f>
        <v>139.73</v>
      </c>
      <c r="C199" s="2">
        <f>IFERROR(__xludf.DUMMYFUNCTION("""COMPUTED_VALUE"""),140.91)</f>
        <v>140.91</v>
      </c>
      <c r="D199" s="2">
        <f>IFERROR(__xludf.DUMMYFUNCTION("""COMPUTED_VALUE"""),139.32)</f>
        <v>139.32</v>
      </c>
      <c r="E199" s="2">
        <f>IFERROR(__xludf.DUMMYFUNCTION("""COMPUTED_VALUE"""),140.49)</f>
        <v>140.49</v>
      </c>
      <c r="F199" s="2">
        <f>IFERROR(__xludf.DUMMYFUNCTION("""COMPUTED_VALUE"""),1.7345556E7)</f>
        <v>17345556</v>
      </c>
    </row>
    <row r="200">
      <c r="A200" s="3">
        <f>IFERROR(__xludf.DUMMYFUNCTION("""COMPUTED_VALUE"""),45216.66666666667)</f>
        <v>45216.66667</v>
      </c>
      <c r="B200" s="2">
        <f>IFERROR(__xludf.DUMMYFUNCTION("""COMPUTED_VALUE"""),140.03)</f>
        <v>140.03</v>
      </c>
      <c r="C200" s="2">
        <f>IFERROR(__xludf.DUMMYFUNCTION("""COMPUTED_VALUE"""),141.25)</f>
        <v>141.25</v>
      </c>
      <c r="D200" s="2">
        <f>IFERROR(__xludf.DUMMYFUNCTION("""COMPUTED_VALUE"""),138.53)</f>
        <v>138.53</v>
      </c>
      <c r="E200" s="2">
        <f>IFERROR(__xludf.DUMMYFUNCTION("""COMPUTED_VALUE"""),140.99)</f>
        <v>140.99</v>
      </c>
      <c r="F200" s="2">
        <f>IFERROR(__xludf.DUMMYFUNCTION("""COMPUTED_VALUE"""),1.7424024E7)</f>
        <v>17424024</v>
      </c>
    </row>
    <row r="201">
      <c r="A201" s="3">
        <f>IFERROR(__xludf.DUMMYFUNCTION("""COMPUTED_VALUE"""),45217.66666666667)</f>
        <v>45217.66667</v>
      </c>
      <c r="B201" s="2">
        <f>IFERROR(__xludf.DUMMYFUNCTION("""COMPUTED_VALUE"""),140.75)</f>
        <v>140.75</v>
      </c>
      <c r="C201" s="2">
        <f>IFERROR(__xludf.DUMMYFUNCTION("""COMPUTED_VALUE"""),141.99)</f>
        <v>141.99</v>
      </c>
      <c r="D201" s="2">
        <f>IFERROR(__xludf.DUMMYFUNCTION("""COMPUTED_VALUE"""),138.71)</f>
        <v>138.71</v>
      </c>
      <c r="E201" s="2">
        <f>IFERROR(__xludf.DUMMYFUNCTION("""COMPUTED_VALUE"""),139.28)</f>
        <v>139.28</v>
      </c>
      <c r="F201" s="2">
        <f>IFERROR(__xludf.DUMMYFUNCTION("""COMPUTED_VALUE"""),1.8304869E7)</f>
        <v>18304869</v>
      </c>
    </row>
    <row r="202">
      <c r="A202" s="3">
        <f>IFERROR(__xludf.DUMMYFUNCTION("""COMPUTED_VALUE"""),45218.66666666667)</f>
        <v>45218.66667</v>
      </c>
      <c r="B202" s="2">
        <f>IFERROR(__xludf.DUMMYFUNCTION("""COMPUTED_VALUE"""),139.8)</f>
        <v>139.8</v>
      </c>
      <c r="C202" s="2">
        <f>IFERROR(__xludf.DUMMYFUNCTION("""COMPUTED_VALUE"""),141.01)</f>
        <v>141.01</v>
      </c>
      <c r="D202" s="2">
        <f>IFERROR(__xludf.DUMMYFUNCTION("""COMPUTED_VALUE"""),138.6)</f>
        <v>138.6</v>
      </c>
      <c r="E202" s="2">
        <f>IFERROR(__xludf.DUMMYFUNCTION("""COMPUTED_VALUE"""),138.98)</f>
        <v>138.98</v>
      </c>
      <c r="F202" s="2">
        <f>IFERROR(__xludf.DUMMYFUNCTION("""COMPUTED_VALUE"""),2.1831181E7)</f>
        <v>21831181</v>
      </c>
    </row>
    <row r="203">
      <c r="A203" s="3">
        <f>IFERROR(__xludf.DUMMYFUNCTION("""COMPUTED_VALUE"""),45219.66666666667)</f>
        <v>45219.66667</v>
      </c>
      <c r="B203" s="2">
        <f>IFERROR(__xludf.DUMMYFUNCTION("""COMPUTED_VALUE"""),138.59)</f>
        <v>138.59</v>
      </c>
      <c r="C203" s="2">
        <f>IFERROR(__xludf.DUMMYFUNCTION("""COMPUTED_VALUE"""),139.04)</f>
        <v>139.04</v>
      </c>
      <c r="D203" s="2">
        <f>IFERROR(__xludf.DUMMYFUNCTION("""COMPUTED_VALUE"""),136.25)</f>
        <v>136.25</v>
      </c>
      <c r="E203" s="2">
        <f>IFERROR(__xludf.DUMMYFUNCTION("""COMPUTED_VALUE"""),136.74)</f>
        <v>136.74</v>
      </c>
      <c r="F203" s="2">
        <f>IFERROR(__xludf.DUMMYFUNCTION("""COMPUTED_VALUE"""),2.4970263E7)</f>
        <v>24970263</v>
      </c>
    </row>
    <row r="204">
      <c r="A204" s="3">
        <f>IFERROR(__xludf.DUMMYFUNCTION("""COMPUTED_VALUE"""),45222.66666666667)</f>
        <v>45222.66667</v>
      </c>
      <c r="B204" s="2">
        <f>IFERROR(__xludf.DUMMYFUNCTION("""COMPUTED_VALUE"""),136.23)</f>
        <v>136.23</v>
      </c>
      <c r="C204" s="2">
        <f>IFERROR(__xludf.DUMMYFUNCTION("""COMPUTED_VALUE"""),139.02)</f>
        <v>139.02</v>
      </c>
      <c r="D204" s="2">
        <f>IFERROR(__xludf.DUMMYFUNCTION("""COMPUTED_VALUE"""),135.11)</f>
        <v>135.11</v>
      </c>
      <c r="E204" s="2">
        <f>IFERROR(__xludf.DUMMYFUNCTION("""COMPUTED_VALUE"""),137.9)</f>
        <v>137.9</v>
      </c>
      <c r="F204" s="2">
        <f>IFERROR(__xludf.DUMMYFUNCTION("""COMPUTED_VALUE"""),2.0780665E7)</f>
        <v>20780665</v>
      </c>
    </row>
    <row r="205">
      <c r="A205" s="3">
        <f>IFERROR(__xludf.DUMMYFUNCTION("""COMPUTED_VALUE"""),45223.66666666667)</f>
        <v>45223.66667</v>
      </c>
      <c r="B205" s="2">
        <f>IFERROR(__xludf.DUMMYFUNCTION("""COMPUTED_VALUE"""),139.16)</f>
        <v>139.16</v>
      </c>
      <c r="C205" s="2">
        <f>IFERROR(__xludf.DUMMYFUNCTION("""COMPUTED_VALUE"""),140.71)</f>
        <v>140.71</v>
      </c>
      <c r="D205" s="2">
        <f>IFERROR(__xludf.DUMMYFUNCTION("""COMPUTED_VALUE"""),138.75)</f>
        <v>138.75</v>
      </c>
      <c r="E205" s="2">
        <f>IFERROR(__xludf.DUMMYFUNCTION("""COMPUTED_VALUE"""),140.12)</f>
        <v>140.12</v>
      </c>
      <c r="F205" s="2">
        <f>IFERROR(__xludf.DUMMYFUNCTION("""COMPUTED_VALUE"""),2.6535198E7)</f>
        <v>26535198</v>
      </c>
    </row>
    <row r="206">
      <c r="A206" s="3">
        <f>IFERROR(__xludf.DUMMYFUNCTION("""COMPUTED_VALUE"""),45224.66666666667)</f>
        <v>45224.66667</v>
      </c>
      <c r="B206" s="2">
        <f>IFERROR(__xludf.DUMMYFUNCTION("""COMPUTED_VALUE"""),129.77)</f>
        <v>129.77</v>
      </c>
      <c r="C206" s="2">
        <f>IFERROR(__xludf.DUMMYFUNCTION("""COMPUTED_VALUE"""),130.1)</f>
        <v>130.1</v>
      </c>
      <c r="D206" s="2">
        <f>IFERROR(__xludf.DUMMYFUNCTION("""COMPUTED_VALUE"""),126.09)</f>
        <v>126.09</v>
      </c>
      <c r="E206" s="2">
        <f>IFERROR(__xludf.DUMMYFUNCTION("""COMPUTED_VALUE"""),126.67)</f>
        <v>126.67</v>
      </c>
      <c r="F206" s="2">
        <f>IFERROR(__xludf.DUMMYFUNCTION("""COMPUTED_VALUE"""),5.8796067E7)</f>
        <v>58796067</v>
      </c>
    </row>
    <row r="207">
      <c r="A207" s="3">
        <f>IFERROR(__xludf.DUMMYFUNCTION("""COMPUTED_VALUE"""),45225.66666666667)</f>
        <v>45225.66667</v>
      </c>
      <c r="B207" s="2">
        <f>IFERROR(__xludf.DUMMYFUNCTION("""COMPUTED_VALUE"""),124.47)</f>
        <v>124.47</v>
      </c>
      <c r="C207" s="2">
        <f>IFERROR(__xludf.DUMMYFUNCTION("""COMPUTED_VALUE"""),125.46)</f>
        <v>125.46</v>
      </c>
      <c r="D207" s="2">
        <f>IFERROR(__xludf.DUMMYFUNCTION("""COMPUTED_VALUE"""),122.32)</f>
        <v>122.32</v>
      </c>
      <c r="E207" s="2">
        <f>IFERROR(__xludf.DUMMYFUNCTION("""COMPUTED_VALUE"""),123.44)</f>
        <v>123.44</v>
      </c>
      <c r="F207" s="2">
        <f>IFERROR(__xludf.DUMMYFUNCTION("""COMPUTED_VALUE"""),3.3907363E7)</f>
        <v>33907363</v>
      </c>
    </row>
    <row r="208">
      <c r="A208" s="3">
        <f>IFERROR(__xludf.DUMMYFUNCTION("""COMPUTED_VALUE"""),45226.66666666667)</f>
        <v>45226.66667</v>
      </c>
      <c r="B208" s="2">
        <f>IFERROR(__xludf.DUMMYFUNCTION("""COMPUTED_VALUE"""),124.03)</f>
        <v>124.03</v>
      </c>
      <c r="C208" s="2">
        <f>IFERROR(__xludf.DUMMYFUNCTION("""COMPUTED_VALUE"""),124.44)</f>
        <v>124.44</v>
      </c>
      <c r="D208" s="2">
        <f>IFERROR(__xludf.DUMMYFUNCTION("""COMPUTED_VALUE"""),121.46)</f>
        <v>121.46</v>
      </c>
      <c r="E208" s="2">
        <f>IFERROR(__xludf.DUMMYFUNCTION("""COMPUTED_VALUE"""),123.4)</f>
        <v>123.4</v>
      </c>
      <c r="F208" s="2">
        <f>IFERROR(__xludf.DUMMYFUNCTION("""COMPUTED_VALUE"""),3.7367673E7)</f>
        <v>37367673</v>
      </c>
    </row>
    <row r="209">
      <c r="A209" s="3">
        <f>IFERROR(__xludf.DUMMYFUNCTION("""COMPUTED_VALUE"""),45229.66666666667)</f>
        <v>45229.66667</v>
      </c>
      <c r="B209" s="2">
        <f>IFERROR(__xludf.DUMMYFUNCTION("""COMPUTED_VALUE"""),124.46)</f>
        <v>124.46</v>
      </c>
      <c r="C209" s="2">
        <f>IFERROR(__xludf.DUMMYFUNCTION("""COMPUTED_VALUE"""),126.55)</f>
        <v>126.55</v>
      </c>
      <c r="D209" s="2">
        <f>IFERROR(__xludf.DUMMYFUNCTION("""COMPUTED_VALUE"""),123.88)</f>
        <v>123.88</v>
      </c>
      <c r="E209" s="2">
        <f>IFERROR(__xludf.DUMMYFUNCTION("""COMPUTED_VALUE"""),125.75)</f>
        <v>125.75</v>
      </c>
      <c r="F209" s="2">
        <f>IFERROR(__xludf.DUMMYFUNCTION("""COMPUTED_VALUE"""),2.4165631E7)</f>
        <v>24165631</v>
      </c>
    </row>
    <row r="210">
      <c r="A210" s="3">
        <f>IFERROR(__xludf.DUMMYFUNCTION("""COMPUTED_VALUE"""),45230.66666666667)</f>
        <v>45230.66667</v>
      </c>
      <c r="B210" s="2">
        <f>IFERROR(__xludf.DUMMYFUNCTION("""COMPUTED_VALUE"""),126.27)</f>
        <v>126.27</v>
      </c>
      <c r="C210" s="2">
        <f>IFERROR(__xludf.DUMMYFUNCTION("""COMPUTED_VALUE"""),126.56)</f>
        <v>126.56</v>
      </c>
      <c r="D210" s="2">
        <f>IFERROR(__xludf.DUMMYFUNCTION("""COMPUTED_VALUE"""),123.93)</f>
        <v>123.93</v>
      </c>
      <c r="E210" s="2">
        <f>IFERROR(__xludf.DUMMYFUNCTION("""COMPUTED_VALUE"""),125.3)</f>
        <v>125.3</v>
      </c>
      <c r="F210" s="2">
        <f>IFERROR(__xludf.DUMMYFUNCTION("""COMPUTED_VALUE"""),2.1123418E7)</f>
        <v>21123418</v>
      </c>
    </row>
    <row r="211">
      <c r="A211" s="3">
        <f>IFERROR(__xludf.DUMMYFUNCTION("""COMPUTED_VALUE"""),45231.66666666667)</f>
        <v>45231.66667</v>
      </c>
      <c r="B211" s="2">
        <f>IFERROR(__xludf.DUMMYFUNCTION("""COMPUTED_VALUE"""),125.34)</f>
        <v>125.34</v>
      </c>
      <c r="C211" s="2">
        <f>IFERROR(__xludf.DUMMYFUNCTION("""COMPUTED_VALUE"""),127.74)</f>
        <v>127.74</v>
      </c>
      <c r="D211" s="2">
        <f>IFERROR(__xludf.DUMMYFUNCTION("""COMPUTED_VALUE"""),124.93)</f>
        <v>124.93</v>
      </c>
      <c r="E211" s="2">
        <f>IFERROR(__xludf.DUMMYFUNCTION("""COMPUTED_VALUE"""),127.57)</f>
        <v>127.57</v>
      </c>
      <c r="F211" s="2">
        <f>IFERROR(__xludf.DUMMYFUNCTION("""COMPUTED_VALUE"""),2.6536604E7)</f>
        <v>26536604</v>
      </c>
    </row>
    <row r="212">
      <c r="A212" s="3">
        <f>IFERROR(__xludf.DUMMYFUNCTION("""COMPUTED_VALUE"""),45232.66666666667)</f>
        <v>45232.66667</v>
      </c>
      <c r="B212" s="2">
        <f>IFERROR(__xludf.DUMMYFUNCTION("""COMPUTED_VALUE"""),129.56)</f>
        <v>129.56</v>
      </c>
      <c r="C212" s="2">
        <f>IFERROR(__xludf.DUMMYFUNCTION("""COMPUTED_VALUE"""),130.09)</f>
        <v>130.09</v>
      </c>
      <c r="D212" s="2">
        <f>IFERROR(__xludf.DUMMYFUNCTION("""COMPUTED_VALUE"""),128.11)</f>
        <v>128.11</v>
      </c>
      <c r="E212" s="2">
        <f>IFERROR(__xludf.DUMMYFUNCTION("""COMPUTED_VALUE"""),128.58)</f>
        <v>128.58</v>
      </c>
      <c r="F212" s="2">
        <f>IFERROR(__xludf.DUMMYFUNCTION("""COMPUTED_VALUE"""),2.4091672E7)</f>
        <v>24091672</v>
      </c>
    </row>
    <row r="213">
      <c r="A213" s="3">
        <f>IFERROR(__xludf.DUMMYFUNCTION("""COMPUTED_VALUE"""),45233.66666666667)</f>
        <v>45233.66667</v>
      </c>
      <c r="B213" s="2">
        <f>IFERROR(__xludf.DUMMYFUNCTION("""COMPUTED_VALUE"""),129.09)</f>
        <v>129.09</v>
      </c>
      <c r="C213" s="2">
        <f>IFERROR(__xludf.DUMMYFUNCTION("""COMPUTED_VALUE"""),130.73)</f>
        <v>130.73</v>
      </c>
      <c r="D213" s="2">
        <f>IFERROR(__xludf.DUMMYFUNCTION("""COMPUTED_VALUE"""),129.01)</f>
        <v>129.01</v>
      </c>
      <c r="E213" s="2">
        <f>IFERROR(__xludf.DUMMYFUNCTION("""COMPUTED_VALUE"""),130.37)</f>
        <v>130.37</v>
      </c>
      <c r="F213" s="2">
        <f>IFERROR(__xludf.DUMMYFUNCTION("""COMPUTED_VALUE"""),1.9529448E7)</f>
        <v>19529448</v>
      </c>
    </row>
    <row r="214">
      <c r="A214" s="3">
        <f>IFERROR(__xludf.DUMMYFUNCTION("""COMPUTED_VALUE"""),45236.66666666667)</f>
        <v>45236.66667</v>
      </c>
      <c r="B214" s="2">
        <f>IFERROR(__xludf.DUMMYFUNCTION("""COMPUTED_VALUE"""),130.22)</f>
        <v>130.22</v>
      </c>
      <c r="C214" s="2">
        <f>IFERROR(__xludf.DUMMYFUNCTION("""COMPUTED_VALUE"""),131.56)</f>
        <v>131.56</v>
      </c>
      <c r="D214" s="2">
        <f>IFERROR(__xludf.DUMMYFUNCTION("""COMPUTED_VALUE"""),129.93)</f>
        <v>129.93</v>
      </c>
      <c r="E214" s="2">
        <f>IFERROR(__xludf.DUMMYFUNCTION("""COMPUTED_VALUE"""),131.45)</f>
        <v>131.45</v>
      </c>
      <c r="F214" s="2">
        <f>IFERROR(__xludf.DUMMYFUNCTION("""COMPUTED_VALUE"""),1.5360362E7)</f>
        <v>15360362</v>
      </c>
    </row>
    <row r="215">
      <c r="A215" s="3">
        <f>IFERROR(__xludf.DUMMYFUNCTION("""COMPUTED_VALUE"""),45237.66666666667)</f>
        <v>45237.66667</v>
      </c>
      <c r="B215" s="2">
        <f>IFERROR(__xludf.DUMMYFUNCTION("""COMPUTED_VALUE"""),131.98)</f>
        <v>131.98</v>
      </c>
      <c r="C215" s="2">
        <f>IFERROR(__xludf.DUMMYFUNCTION("""COMPUTED_VALUE"""),133.28)</f>
        <v>133.28</v>
      </c>
      <c r="D215" s="2">
        <f>IFERROR(__xludf.DUMMYFUNCTION("""COMPUTED_VALUE"""),131.14)</f>
        <v>131.14</v>
      </c>
      <c r="E215" s="2">
        <f>IFERROR(__xludf.DUMMYFUNCTION("""COMPUTED_VALUE"""),132.4)</f>
        <v>132.4</v>
      </c>
      <c r="F215" s="2">
        <f>IFERROR(__xludf.DUMMYFUNCTION("""COMPUTED_VALUE"""),1.9223786E7)</f>
        <v>19223786</v>
      </c>
    </row>
    <row r="216">
      <c r="A216" s="3">
        <f>IFERROR(__xludf.DUMMYFUNCTION("""COMPUTED_VALUE"""),45238.66666666667)</f>
        <v>45238.66667</v>
      </c>
      <c r="B216" s="2">
        <f>IFERROR(__xludf.DUMMYFUNCTION("""COMPUTED_VALUE"""),132.36)</f>
        <v>132.36</v>
      </c>
      <c r="C216" s="2">
        <f>IFERROR(__xludf.DUMMYFUNCTION("""COMPUTED_VALUE"""),133.54)</f>
        <v>133.54</v>
      </c>
      <c r="D216" s="2">
        <f>IFERROR(__xludf.DUMMYFUNCTION("""COMPUTED_VALUE"""),132.16)</f>
        <v>132.16</v>
      </c>
      <c r="E216" s="2">
        <f>IFERROR(__xludf.DUMMYFUNCTION("""COMPUTED_VALUE"""),133.26)</f>
        <v>133.26</v>
      </c>
      <c r="F216" s="2">
        <f>IFERROR(__xludf.DUMMYFUNCTION("""COMPUTED_VALUE"""),1.5093598E7)</f>
        <v>15093598</v>
      </c>
    </row>
    <row r="217">
      <c r="A217" s="3">
        <f>IFERROR(__xludf.DUMMYFUNCTION("""COMPUTED_VALUE"""),45239.66666666667)</f>
        <v>45239.66667</v>
      </c>
      <c r="B217" s="2">
        <f>IFERROR(__xludf.DUMMYFUNCTION("""COMPUTED_VALUE"""),133.36)</f>
        <v>133.36</v>
      </c>
      <c r="C217" s="2">
        <f>IFERROR(__xludf.DUMMYFUNCTION("""COMPUTED_VALUE"""),133.96)</f>
        <v>133.96</v>
      </c>
      <c r="D217" s="2">
        <f>IFERROR(__xludf.DUMMYFUNCTION("""COMPUTED_VALUE"""),131.51)</f>
        <v>131.51</v>
      </c>
      <c r="E217" s="2">
        <f>IFERROR(__xludf.DUMMYFUNCTION("""COMPUTED_VALUE"""),131.69)</f>
        <v>131.69</v>
      </c>
      <c r="F217" s="2">
        <f>IFERROR(__xludf.DUMMYFUNCTION("""COMPUTED_VALUE"""),1.7976533E7)</f>
        <v>17976533</v>
      </c>
    </row>
    <row r="218">
      <c r="A218" s="3">
        <f>IFERROR(__xludf.DUMMYFUNCTION("""COMPUTED_VALUE"""),45240.66666666667)</f>
        <v>45240.66667</v>
      </c>
      <c r="B218" s="2">
        <f>IFERROR(__xludf.DUMMYFUNCTION("""COMPUTED_VALUE"""),131.53)</f>
        <v>131.53</v>
      </c>
      <c r="C218" s="2">
        <f>IFERROR(__xludf.DUMMYFUNCTION("""COMPUTED_VALUE"""),134.27)</f>
        <v>134.27</v>
      </c>
      <c r="D218" s="2">
        <f>IFERROR(__xludf.DUMMYFUNCTION("""COMPUTED_VALUE"""),130.87)</f>
        <v>130.87</v>
      </c>
      <c r="E218" s="2">
        <f>IFERROR(__xludf.DUMMYFUNCTION("""COMPUTED_VALUE"""),134.06)</f>
        <v>134.06</v>
      </c>
      <c r="F218" s="2">
        <f>IFERROR(__xludf.DUMMYFUNCTION("""COMPUTED_VALUE"""),2.0879838E7)</f>
        <v>20879838</v>
      </c>
    </row>
    <row r="219">
      <c r="A219" s="3">
        <f>IFERROR(__xludf.DUMMYFUNCTION("""COMPUTED_VALUE"""),45243.66666666667)</f>
        <v>45243.66667</v>
      </c>
      <c r="B219" s="2">
        <f>IFERROR(__xludf.DUMMYFUNCTION("""COMPUTED_VALUE"""),133.36)</f>
        <v>133.36</v>
      </c>
      <c r="C219" s="2">
        <f>IFERROR(__xludf.DUMMYFUNCTION("""COMPUTED_VALUE"""),134.11)</f>
        <v>134.11</v>
      </c>
      <c r="D219" s="2">
        <f>IFERROR(__xludf.DUMMYFUNCTION("""COMPUTED_VALUE"""),132.77)</f>
        <v>132.77</v>
      </c>
      <c r="E219" s="2">
        <f>IFERROR(__xludf.DUMMYFUNCTION("""COMPUTED_VALUE"""),133.64)</f>
        <v>133.64</v>
      </c>
      <c r="F219" s="2">
        <f>IFERROR(__xludf.DUMMYFUNCTION("""COMPUTED_VALUE"""),1.6409856E7)</f>
        <v>16409856</v>
      </c>
    </row>
    <row r="220">
      <c r="A220" s="3">
        <f>IFERROR(__xludf.DUMMYFUNCTION("""COMPUTED_VALUE"""),45244.66666666667)</f>
        <v>45244.66667</v>
      </c>
      <c r="B220" s="2">
        <f>IFERROR(__xludf.DUMMYFUNCTION("""COMPUTED_VALUE"""),135.65)</f>
        <v>135.65</v>
      </c>
      <c r="C220" s="2">
        <f>IFERROR(__xludf.DUMMYFUNCTION("""COMPUTED_VALUE"""),137.24)</f>
        <v>137.24</v>
      </c>
      <c r="D220" s="2">
        <f>IFERROR(__xludf.DUMMYFUNCTION("""COMPUTED_VALUE"""),135.1)</f>
        <v>135.1</v>
      </c>
      <c r="E220" s="2">
        <f>IFERROR(__xludf.DUMMYFUNCTION("""COMPUTED_VALUE"""),135.43)</f>
        <v>135.43</v>
      </c>
      <c r="F220" s="2">
        <f>IFERROR(__xludf.DUMMYFUNCTION("""COMPUTED_VALUE"""),2.2317345E7)</f>
        <v>22317345</v>
      </c>
    </row>
    <row r="221">
      <c r="A221" s="3">
        <f>IFERROR(__xludf.DUMMYFUNCTION("""COMPUTED_VALUE"""),45245.66666666667)</f>
        <v>45245.66667</v>
      </c>
      <c r="B221" s="2">
        <f>IFERROR(__xludf.DUMMYFUNCTION("""COMPUTED_VALUE"""),136.64)</f>
        <v>136.64</v>
      </c>
      <c r="C221" s="2">
        <f>IFERROR(__xludf.DUMMYFUNCTION("""COMPUTED_VALUE"""),136.84)</f>
        <v>136.84</v>
      </c>
      <c r="D221" s="2">
        <f>IFERROR(__xludf.DUMMYFUNCTION("""COMPUTED_VALUE"""),135.33)</f>
        <v>135.33</v>
      </c>
      <c r="E221" s="2">
        <f>IFERROR(__xludf.DUMMYFUNCTION("""COMPUTED_VALUE"""),136.38)</f>
        <v>136.38</v>
      </c>
      <c r="F221" s="2">
        <f>IFERROR(__xludf.DUMMYFUNCTION("""COMPUTED_VALUE"""),1.5840883E7)</f>
        <v>15840883</v>
      </c>
    </row>
    <row r="222">
      <c r="A222" s="3">
        <f>IFERROR(__xludf.DUMMYFUNCTION("""COMPUTED_VALUE"""),45246.66666666667)</f>
        <v>45246.66667</v>
      </c>
      <c r="B222" s="2">
        <f>IFERROR(__xludf.DUMMYFUNCTION("""COMPUTED_VALUE"""),136.96)</f>
        <v>136.96</v>
      </c>
      <c r="C222" s="2">
        <f>IFERROR(__xludf.DUMMYFUNCTION("""COMPUTED_VALUE"""),138.88)</f>
        <v>138.88</v>
      </c>
      <c r="D222" s="2">
        <f>IFERROR(__xludf.DUMMYFUNCTION("""COMPUTED_VALUE"""),136.08)</f>
        <v>136.08</v>
      </c>
      <c r="E222" s="2">
        <f>IFERROR(__xludf.DUMMYFUNCTION("""COMPUTED_VALUE"""),138.7)</f>
        <v>138.7</v>
      </c>
      <c r="F222" s="2">
        <f>IFERROR(__xludf.DUMMYFUNCTION("""COMPUTED_VALUE"""),1.7615068E7)</f>
        <v>17615068</v>
      </c>
    </row>
    <row r="223">
      <c r="A223" s="3">
        <f>IFERROR(__xludf.DUMMYFUNCTION("""COMPUTED_VALUE"""),45247.66666666667)</f>
        <v>45247.66667</v>
      </c>
      <c r="B223" s="2">
        <f>IFERROR(__xludf.DUMMYFUNCTION("""COMPUTED_VALUE"""),137.82)</f>
        <v>137.82</v>
      </c>
      <c r="C223" s="2">
        <f>IFERROR(__xludf.DUMMYFUNCTION("""COMPUTED_VALUE"""),138.0)</f>
        <v>138</v>
      </c>
      <c r="D223" s="2">
        <f>IFERROR(__xludf.DUMMYFUNCTION("""COMPUTED_VALUE"""),135.48)</f>
        <v>135.48</v>
      </c>
      <c r="E223" s="2">
        <f>IFERROR(__xludf.DUMMYFUNCTION("""COMPUTED_VALUE"""),136.94)</f>
        <v>136.94</v>
      </c>
      <c r="F223" s="2">
        <f>IFERROR(__xludf.DUMMYFUNCTION("""COMPUTED_VALUE"""),2.5590191E7)</f>
        <v>25590191</v>
      </c>
    </row>
    <row r="224">
      <c r="A224" s="3">
        <f>IFERROR(__xludf.DUMMYFUNCTION("""COMPUTED_VALUE"""),45250.66666666667)</f>
        <v>45250.66667</v>
      </c>
      <c r="B224" s="2">
        <f>IFERROR(__xludf.DUMMYFUNCTION("""COMPUTED_VALUE"""),135.5)</f>
        <v>135.5</v>
      </c>
      <c r="C224" s="2">
        <f>IFERROR(__xludf.DUMMYFUNCTION("""COMPUTED_VALUE"""),138.43)</f>
        <v>138.43</v>
      </c>
      <c r="D224" s="2">
        <f>IFERROR(__xludf.DUMMYFUNCTION("""COMPUTED_VALUE"""),135.49)</f>
        <v>135.49</v>
      </c>
      <c r="E224" s="2">
        <f>IFERROR(__xludf.DUMMYFUNCTION("""COMPUTED_VALUE"""),137.92)</f>
        <v>137.92</v>
      </c>
      <c r="F224" s="2">
        <f>IFERROR(__xludf.DUMMYFUNCTION("""COMPUTED_VALUE"""),1.9589006E7)</f>
        <v>19589006</v>
      </c>
    </row>
    <row r="225">
      <c r="A225" s="3">
        <f>IFERROR(__xludf.DUMMYFUNCTION("""COMPUTED_VALUE"""),45251.66666666667)</f>
        <v>45251.66667</v>
      </c>
      <c r="B225" s="2">
        <f>IFERROR(__xludf.DUMMYFUNCTION("""COMPUTED_VALUE"""),137.94)</f>
        <v>137.94</v>
      </c>
      <c r="C225" s="2">
        <f>IFERROR(__xludf.DUMMYFUNCTION("""COMPUTED_VALUE"""),138.97)</f>
        <v>138.97</v>
      </c>
      <c r="D225" s="2">
        <f>IFERROR(__xludf.DUMMYFUNCTION("""COMPUTED_VALUE"""),137.71)</f>
        <v>137.71</v>
      </c>
      <c r="E225" s="2">
        <f>IFERROR(__xludf.DUMMYFUNCTION("""COMPUTED_VALUE"""),138.62)</f>
        <v>138.62</v>
      </c>
      <c r="F225" s="2">
        <f>IFERROR(__xludf.DUMMYFUNCTION("""COMPUTED_VALUE"""),1.7648067E7)</f>
        <v>17648067</v>
      </c>
    </row>
    <row r="226">
      <c r="A226" s="3">
        <f>IFERROR(__xludf.DUMMYFUNCTION("""COMPUTED_VALUE"""),45252.66666666667)</f>
        <v>45252.66667</v>
      </c>
      <c r="B226" s="2">
        <f>IFERROR(__xludf.DUMMYFUNCTION("""COMPUTED_VALUE"""),139.1)</f>
        <v>139.1</v>
      </c>
      <c r="C226" s="2">
        <f>IFERROR(__xludf.DUMMYFUNCTION("""COMPUTED_VALUE"""),141.1)</f>
        <v>141.1</v>
      </c>
      <c r="D226" s="2">
        <f>IFERROR(__xludf.DUMMYFUNCTION("""COMPUTED_VALUE"""),139.0)</f>
        <v>139</v>
      </c>
      <c r="E226" s="2">
        <f>IFERROR(__xludf.DUMMYFUNCTION("""COMPUTED_VALUE"""),140.02)</f>
        <v>140.02</v>
      </c>
      <c r="F226" s="2">
        <f>IFERROR(__xludf.DUMMYFUNCTION("""COMPUTED_VALUE"""),1.7310209E7)</f>
        <v>17310209</v>
      </c>
    </row>
    <row r="227">
      <c r="A227" s="3">
        <f>IFERROR(__xludf.DUMMYFUNCTION("""COMPUTED_VALUE"""),45254.54513888889)</f>
        <v>45254.54514</v>
      </c>
      <c r="B227" s="2">
        <f>IFERROR(__xludf.DUMMYFUNCTION("""COMPUTED_VALUE"""),139.54)</f>
        <v>139.54</v>
      </c>
      <c r="C227" s="2">
        <f>IFERROR(__xludf.DUMMYFUNCTION("""COMPUTED_VALUE"""),139.68)</f>
        <v>139.68</v>
      </c>
      <c r="D227" s="2">
        <f>IFERROR(__xludf.DUMMYFUNCTION("""COMPUTED_VALUE"""),137.47)</f>
        <v>137.47</v>
      </c>
      <c r="E227" s="2">
        <f>IFERROR(__xludf.DUMMYFUNCTION("""COMPUTED_VALUE"""),138.22)</f>
        <v>138.22</v>
      </c>
      <c r="F227" s="2">
        <f>IFERROR(__xludf.DUMMYFUNCTION("""COMPUTED_VALUE"""),8828640.0)</f>
        <v>8828640</v>
      </c>
    </row>
    <row r="228">
      <c r="A228" s="3">
        <f>IFERROR(__xludf.DUMMYFUNCTION("""COMPUTED_VALUE"""),45257.66666666667)</f>
        <v>45257.66667</v>
      </c>
      <c r="B228" s="2">
        <f>IFERROR(__xludf.DUMMYFUNCTION("""COMPUTED_VALUE"""),137.57)</f>
        <v>137.57</v>
      </c>
      <c r="C228" s="2">
        <f>IFERROR(__xludf.DUMMYFUNCTION("""COMPUTED_VALUE"""),139.63)</f>
        <v>139.63</v>
      </c>
      <c r="D228" s="2">
        <f>IFERROR(__xludf.DUMMYFUNCTION("""COMPUTED_VALUE"""),137.54)</f>
        <v>137.54</v>
      </c>
      <c r="E228" s="2">
        <f>IFERROR(__xludf.DUMMYFUNCTION("""COMPUTED_VALUE"""),138.05)</f>
        <v>138.05</v>
      </c>
      <c r="F228" s="2">
        <f>IFERROR(__xludf.DUMMYFUNCTION("""COMPUTED_VALUE"""),1.7886389E7)</f>
        <v>17886389</v>
      </c>
    </row>
    <row r="229">
      <c r="A229" s="3">
        <f>IFERROR(__xludf.DUMMYFUNCTION("""COMPUTED_VALUE"""),45258.66666666667)</f>
        <v>45258.66667</v>
      </c>
      <c r="B229" s="2">
        <f>IFERROR(__xludf.DUMMYFUNCTION("""COMPUTED_VALUE"""),137.63)</f>
        <v>137.63</v>
      </c>
      <c r="C229" s="2">
        <f>IFERROR(__xludf.DUMMYFUNCTION("""COMPUTED_VALUE"""),138.66)</f>
        <v>138.66</v>
      </c>
      <c r="D229" s="2">
        <f>IFERROR(__xludf.DUMMYFUNCTION("""COMPUTED_VALUE"""),137.04)</f>
        <v>137.04</v>
      </c>
      <c r="E229" s="2">
        <f>IFERROR(__xludf.DUMMYFUNCTION("""COMPUTED_VALUE"""),138.62)</f>
        <v>138.62</v>
      </c>
      <c r="F229" s="2">
        <f>IFERROR(__xludf.DUMMYFUNCTION("""COMPUTED_VALUE"""),1.7046868E7)</f>
        <v>17046868</v>
      </c>
    </row>
    <row r="230">
      <c r="A230" s="3">
        <f>IFERROR(__xludf.DUMMYFUNCTION("""COMPUTED_VALUE"""),45259.66666666667)</f>
        <v>45259.66667</v>
      </c>
      <c r="B230" s="2">
        <f>IFERROR(__xludf.DUMMYFUNCTION("""COMPUTED_VALUE"""),138.99)</f>
        <v>138.99</v>
      </c>
      <c r="C230" s="2">
        <f>IFERROR(__xludf.DUMMYFUNCTION("""COMPUTED_VALUE"""),139.67)</f>
        <v>139.67</v>
      </c>
      <c r="D230" s="2">
        <f>IFERROR(__xludf.DUMMYFUNCTION("""COMPUTED_VALUE"""),136.29)</f>
        <v>136.29</v>
      </c>
      <c r="E230" s="2">
        <f>IFERROR(__xludf.DUMMYFUNCTION("""COMPUTED_VALUE"""),136.4)</f>
        <v>136.4</v>
      </c>
      <c r="F230" s="2">
        <f>IFERROR(__xludf.DUMMYFUNCTION("""COMPUTED_VALUE"""),2.1014715E7)</f>
        <v>21014715</v>
      </c>
    </row>
    <row r="231">
      <c r="A231" s="3">
        <f>IFERROR(__xludf.DUMMYFUNCTION("""COMPUTED_VALUE"""),45260.66666666667)</f>
        <v>45260.66667</v>
      </c>
      <c r="B231" s="2">
        <f>IFERROR(__xludf.DUMMYFUNCTION("""COMPUTED_VALUE"""),136.4)</f>
        <v>136.4</v>
      </c>
      <c r="C231" s="2">
        <f>IFERROR(__xludf.DUMMYFUNCTION("""COMPUTED_VALUE"""),136.96)</f>
        <v>136.96</v>
      </c>
      <c r="D231" s="2">
        <f>IFERROR(__xludf.DUMMYFUNCTION("""COMPUTED_VALUE"""),132.79)</f>
        <v>132.79</v>
      </c>
      <c r="E231" s="2">
        <f>IFERROR(__xludf.DUMMYFUNCTION("""COMPUTED_VALUE"""),133.92)</f>
        <v>133.92</v>
      </c>
      <c r="F231" s="2">
        <f>IFERROR(__xludf.DUMMYFUNCTION("""COMPUTED_VALUE"""),2.9913531E7)</f>
        <v>29913531</v>
      </c>
    </row>
    <row r="232">
      <c r="A232" s="3">
        <f>IFERROR(__xludf.DUMMYFUNCTION("""COMPUTED_VALUE"""),45261.66666666667)</f>
        <v>45261.66667</v>
      </c>
      <c r="B232" s="2">
        <f>IFERROR(__xludf.DUMMYFUNCTION("""COMPUTED_VALUE"""),133.32)</f>
        <v>133.32</v>
      </c>
      <c r="C232" s="2">
        <f>IFERROR(__xludf.DUMMYFUNCTION("""COMPUTED_VALUE"""),133.5)</f>
        <v>133.5</v>
      </c>
      <c r="D232" s="2">
        <f>IFERROR(__xludf.DUMMYFUNCTION("""COMPUTED_VALUE"""),132.15)</f>
        <v>132.15</v>
      </c>
      <c r="E232" s="2">
        <f>IFERROR(__xludf.DUMMYFUNCTION("""COMPUTED_VALUE"""),133.32)</f>
        <v>133.32</v>
      </c>
      <c r="F232" s="2">
        <f>IFERROR(__xludf.DUMMYFUNCTION("""COMPUTED_VALUE"""),2.4267987E7)</f>
        <v>24267987</v>
      </c>
    </row>
    <row r="233">
      <c r="A233" s="3">
        <f>IFERROR(__xludf.DUMMYFUNCTION("""COMPUTED_VALUE"""),45264.66666666667)</f>
        <v>45264.66667</v>
      </c>
      <c r="B233" s="2">
        <f>IFERROR(__xludf.DUMMYFUNCTION("""COMPUTED_VALUE"""),131.29)</f>
        <v>131.29</v>
      </c>
      <c r="C233" s="2">
        <f>IFERROR(__xludf.DUMMYFUNCTION("""COMPUTED_VALUE"""),131.45)</f>
        <v>131.45</v>
      </c>
      <c r="D233" s="2">
        <f>IFERROR(__xludf.DUMMYFUNCTION("""COMPUTED_VALUE"""),129.4)</f>
        <v>129.4</v>
      </c>
      <c r="E233" s="2">
        <f>IFERROR(__xludf.DUMMYFUNCTION("""COMPUTED_VALUE"""),130.63)</f>
        <v>130.63</v>
      </c>
      <c r="F233" s="2">
        <f>IFERROR(__xludf.DUMMYFUNCTION("""COMPUTED_VALUE"""),2.4117083E7)</f>
        <v>24117083</v>
      </c>
    </row>
    <row r="234">
      <c r="A234" s="3">
        <f>IFERROR(__xludf.DUMMYFUNCTION("""COMPUTED_VALUE"""),45265.66666666667)</f>
        <v>45265.66667</v>
      </c>
      <c r="B234" s="2">
        <f>IFERROR(__xludf.DUMMYFUNCTION("""COMPUTED_VALUE"""),130.37)</f>
        <v>130.37</v>
      </c>
      <c r="C234" s="2">
        <f>IFERROR(__xludf.DUMMYFUNCTION("""COMPUTED_VALUE"""),133.54)</f>
        <v>133.54</v>
      </c>
      <c r="D234" s="2">
        <f>IFERROR(__xludf.DUMMYFUNCTION("""COMPUTED_VALUE"""),129.73)</f>
        <v>129.73</v>
      </c>
      <c r="E234" s="2">
        <f>IFERROR(__xludf.DUMMYFUNCTION("""COMPUTED_VALUE"""),132.39)</f>
        <v>132.39</v>
      </c>
      <c r="F234" s="2">
        <f>IFERROR(__xludf.DUMMYFUNCTION("""COMPUTED_VALUE"""),1.9235145E7)</f>
        <v>19235145</v>
      </c>
    </row>
    <row r="235">
      <c r="A235" s="3">
        <f>IFERROR(__xludf.DUMMYFUNCTION("""COMPUTED_VALUE"""),45266.66666666667)</f>
        <v>45266.66667</v>
      </c>
      <c r="B235" s="2">
        <f>IFERROR(__xludf.DUMMYFUNCTION("""COMPUTED_VALUE"""),132.9)</f>
        <v>132.9</v>
      </c>
      <c r="C235" s="2">
        <f>IFERROR(__xludf.DUMMYFUNCTION("""COMPUTED_VALUE"""),133.31)</f>
        <v>133.31</v>
      </c>
      <c r="D235" s="2">
        <f>IFERROR(__xludf.DUMMYFUNCTION("""COMPUTED_VALUE"""),131.31)</f>
        <v>131.31</v>
      </c>
      <c r="E235" s="2">
        <f>IFERROR(__xludf.DUMMYFUNCTION("""COMPUTED_VALUE"""),131.43)</f>
        <v>131.43</v>
      </c>
      <c r="F235" s="2">
        <f>IFERROR(__xludf.DUMMYFUNCTION("""COMPUTED_VALUE"""),1.6360648E7)</f>
        <v>16360648</v>
      </c>
    </row>
    <row r="236">
      <c r="A236" s="3">
        <f>IFERROR(__xludf.DUMMYFUNCTION("""COMPUTED_VALUE"""),45267.66666666667)</f>
        <v>45267.66667</v>
      </c>
      <c r="B236" s="2">
        <f>IFERROR(__xludf.DUMMYFUNCTION("""COMPUTED_VALUE"""),136.6)</f>
        <v>136.6</v>
      </c>
      <c r="C236" s="2">
        <f>IFERROR(__xludf.DUMMYFUNCTION("""COMPUTED_VALUE"""),140.0)</f>
        <v>140</v>
      </c>
      <c r="D236" s="2">
        <f>IFERROR(__xludf.DUMMYFUNCTION("""COMPUTED_VALUE"""),136.23)</f>
        <v>136.23</v>
      </c>
      <c r="E236" s="2">
        <f>IFERROR(__xludf.DUMMYFUNCTION("""COMPUTED_VALUE"""),138.45)</f>
        <v>138.45</v>
      </c>
      <c r="F236" s="2">
        <f>IFERROR(__xludf.DUMMYFUNCTION("""COMPUTED_VALUE"""),3.8419426E7)</f>
        <v>38419426</v>
      </c>
    </row>
    <row r="237">
      <c r="A237" s="3">
        <f>IFERROR(__xludf.DUMMYFUNCTION("""COMPUTED_VALUE"""),45268.66666666667)</f>
        <v>45268.66667</v>
      </c>
      <c r="B237" s="2">
        <f>IFERROR(__xludf.DUMMYFUNCTION("""COMPUTED_VALUE"""),135.66)</f>
        <v>135.66</v>
      </c>
      <c r="C237" s="2">
        <f>IFERROR(__xludf.DUMMYFUNCTION("""COMPUTED_VALUE"""),137.99)</f>
        <v>137.99</v>
      </c>
      <c r="D237" s="2">
        <f>IFERROR(__xludf.DUMMYFUNCTION("""COMPUTED_VALUE"""),135.57)</f>
        <v>135.57</v>
      </c>
      <c r="E237" s="2">
        <f>IFERROR(__xludf.DUMMYFUNCTION("""COMPUTED_VALUE"""),136.64)</f>
        <v>136.64</v>
      </c>
      <c r="F237" s="2">
        <f>IFERROR(__xludf.DUMMYFUNCTION("""COMPUTED_VALUE"""),2.3016139E7)</f>
        <v>23016139</v>
      </c>
    </row>
    <row r="238">
      <c r="A238" s="3">
        <f>IFERROR(__xludf.DUMMYFUNCTION("""COMPUTED_VALUE"""),45271.66666666667)</f>
        <v>45271.66667</v>
      </c>
      <c r="B238" s="2">
        <f>IFERROR(__xludf.DUMMYFUNCTION("""COMPUTED_VALUE"""),133.82)</f>
        <v>133.82</v>
      </c>
      <c r="C238" s="2">
        <f>IFERROR(__xludf.DUMMYFUNCTION("""COMPUTED_VALUE"""),134.79)</f>
        <v>134.79</v>
      </c>
      <c r="D238" s="2">
        <f>IFERROR(__xludf.DUMMYFUNCTION("""COMPUTED_VALUE"""),132.89)</f>
        <v>132.89</v>
      </c>
      <c r="E238" s="2">
        <f>IFERROR(__xludf.DUMMYFUNCTION("""COMPUTED_VALUE"""),134.7)</f>
        <v>134.7</v>
      </c>
      <c r="F238" s="2">
        <f>IFERROR(__xludf.DUMMYFUNCTION("""COMPUTED_VALUE"""),2.450286E7)</f>
        <v>24502860</v>
      </c>
    </row>
    <row r="239">
      <c r="A239" s="3">
        <f>IFERROR(__xludf.DUMMYFUNCTION("""COMPUTED_VALUE"""),45272.66666666667)</f>
        <v>45272.66667</v>
      </c>
      <c r="B239" s="2">
        <f>IFERROR(__xludf.DUMMYFUNCTION("""COMPUTED_VALUE"""),133.27)</f>
        <v>133.27</v>
      </c>
      <c r="C239" s="2">
        <f>IFERROR(__xludf.DUMMYFUNCTION("""COMPUTED_VALUE"""),134.54)</f>
        <v>134.54</v>
      </c>
      <c r="D239" s="2">
        <f>IFERROR(__xludf.DUMMYFUNCTION("""COMPUTED_VALUE"""),132.83)</f>
        <v>132.83</v>
      </c>
      <c r="E239" s="2">
        <f>IFERROR(__xludf.DUMMYFUNCTION("""COMPUTED_VALUE"""),133.64)</f>
        <v>133.64</v>
      </c>
      <c r="F239" s="2">
        <f>IFERROR(__xludf.DUMMYFUNCTION("""COMPUTED_VALUE"""),2.6583981E7)</f>
        <v>26583981</v>
      </c>
    </row>
    <row r="240">
      <c r="A240" s="3">
        <f>IFERROR(__xludf.DUMMYFUNCTION("""COMPUTED_VALUE"""),45273.66666666667)</f>
        <v>45273.66667</v>
      </c>
      <c r="B240" s="2">
        <f>IFERROR(__xludf.DUMMYFUNCTION("""COMPUTED_VALUE"""),134.54)</f>
        <v>134.54</v>
      </c>
      <c r="C240" s="2">
        <f>IFERROR(__xludf.DUMMYFUNCTION("""COMPUTED_VALUE"""),134.78)</f>
        <v>134.78</v>
      </c>
      <c r="D240" s="2">
        <f>IFERROR(__xludf.DUMMYFUNCTION("""COMPUTED_VALUE"""),132.95)</f>
        <v>132.95</v>
      </c>
      <c r="E240" s="2">
        <f>IFERROR(__xludf.DUMMYFUNCTION("""COMPUTED_VALUE"""),133.97)</f>
        <v>133.97</v>
      </c>
      <c r="F240" s="2">
        <f>IFERROR(__xludf.DUMMYFUNCTION("""COMPUTED_VALUE"""),2.5414461E7)</f>
        <v>25414461</v>
      </c>
    </row>
    <row r="241">
      <c r="A241" s="3">
        <f>IFERROR(__xludf.DUMMYFUNCTION("""COMPUTED_VALUE"""),45274.66666666667)</f>
        <v>45274.66667</v>
      </c>
      <c r="B241" s="2">
        <f>IFERROR(__xludf.DUMMYFUNCTION("""COMPUTED_VALUE"""),134.77)</f>
        <v>134.77</v>
      </c>
      <c r="C241" s="2">
        <f>IFERROR(__xludf.DUMMYFUNCTION("""COMPUTED_VALUE"""),135.04)</f>
        <v>135.04</v>
      </c>
      <c r="D241" s="2">
        <f>IFERROR(__xludf.DUMMYFUNCTION("""COMPUTED_VALUE"""),131.06)</f>
        <v>131.06</v>
      </c>
      <c r="E241" s="2">
        <f>IFERROR(__xludf.DUMMYFUNCTION("""COMPUTED_VALUE"""),133.2)</f>
        <v>133.2</v>
      </c>
      <c r="F241" s="2">
        <f>IFERROR(__xludf.DUMMYFUNCTION("""COMPUTED_VALUE"""),2.9619098E7)</f>
        <v>29619098</v>
      </c>
    </row>
    <row r="242">
      <c r="A242" s="3">
        <f>IFERROR(__xludf.DUMMYFUNCTION("""COMPUTED_VALUE"""),45275.66666666667)</f>
        <v>45275.66667</v>
      </c>
      <c r="B242" s="2">
        <f>IFERROR(__xludf.DUMMYFUNCTION("""COMPUTED_VALUE"""),132.92)</f>
        <v>132.92</v>
      </c>
      <c r="C242" s="2">
        <f>IFERROR(__xludf.DUMMYFUNCTION("""COMPUTED_VALUE"""),134.83)</f>
        <v>134.83</v>
      </c>
      <c r="D242" s="2">
        <f>IFERROR(__xludf.DUMMYFUNCTION("""COMPUTED_VALUE"""),132.63)</f>
        <v>132.63</v>
      </c>
      <c r="E242" s="2">
        <f>IFERROR(__xludf.DUMMYFUNCTION("""COMPUTED_VALUE"""),133.84)</f>
        <v>133.84</v>
      </c>
      <c r="F242" s="2">
        <f>IFERROR(__xludf.DUMMYFUNCTION("""COMPUTED_VALUE"""),5.8594004E7)</f>
        <v>58594004</v>
      </c>
    </row>
    <row r="243">
      <c r="A243" s="3">
        <f>IFERROR(__xludf.DUMMYFUNCTION("""COMPUTED_VALUE"""),45278.66666666667)</f>
        <v>45278.66667</v>
      </c>
      <c r="B243" s="2">
        <f>IFERROR(__xludf.DUMMYFUNCTION("""COMPUTED_VALUE"""),133.86)</f>
        <v>133.86</v>
      </c>
      <c r="C243" s="2">
        <f>IFERROR(__xludf.DUMMYFUNCTION("""COMPUTED_VALUE"""),138.38)</f>
        <v>138.38</v>
      </c>
      <c r="D243" s="2">
        <f>IFERROR(__xludf.DUMMYFUNCTION("""COMPUTED_VALUE"""),133.77)</f>
        <v>133.77</v>
      </c>
      <c r="E243" s="2">
        <f>IFERROR(__xludf.DUMMYFUNCTION("""COMPUTED_VALUE"""),137.19)</f>
        <v>137.19</v>
      </c>
      <c r="F243" s="2">
        <f>IFERROR(__xludf.DUMMYFUNCTION("""COMPUTED_VALUE"""),2.5699767E7)</f>
        <v>25699767</v>
      </c>
    </row>
    <row r="244">
      <c r="A244" s="3">
        <f>IFERROR(__xludf.DUMMYFUNCTION("""COMPUTED_VALUE"""),45279.66666666667)</f>
        <v>45279.66667</v>
      </c>
      <c r="B244" s="2">
        <f>IFERROR(__xludf.DUMMYFUNCTION("""COMPUTED_VALUE"""),138.0)</f>
        <v>138</v>
      </c>
      <c r="C244" s="2">
        <f>IFERROR(__xludf.DUMMYFUNCTION("""COMPUTED_VALUE"""),138.77)</f>
        <v>138.77</v>
      </c>
      <c r="D244" s="2">
        <f>IFERROR(__xludf.DUMMYFUNCTION("""COMPUTED_VALUE"""),137.45)</f>
        <v>137.45</v>
      </c>
      <c r="E244" s="2">
        <f>IFERROR(__xludf.DUMMYFUNCTION("""COMPUTED_VALUE"""),138.1)</f>
        <v>138.1</v>
      </c>
      <c r="F244" s="2">
        <f>IFERROR(__xludf.DUMMYFUNCTION("""COMPUTED_VALUE"""),2.0661E7)</f>
        <v>20661000</v>
      </c>
    </row>
    <row r="245">
      <c r="A245" s="3">
        <f>IFERROR(__xludf.DUMMYFUNCTION("""COMPUTED_VALUE"""),45280.66666666667)</f>
        <v>45280.66667</v>
      </c>
      <c r="B245" s="2">
        <f>IFERROR(__xludf.DUMMYFUNCTION("""COMPUTED_VALUE"""),140.33)</f>
        <v>140.33</v>
      </c>
      <c r="C245" s="2">
        <f>IFERROR(__xludf.DUMMYFUNCTION("""COMPUTED_VALUE"""),143.08)</f>
        <v>143.08</v>
      </c>
      <c r="D245" s="2">
        <f>IFERROR(__xludf.DUMMYFUNCTION("""COMPUTED_VALUE"""),139.41)</f>
        <v>139.41</v>
      </c>
      <c r="E245" s="2">
        <f>IFERROR(__xludf.DUMMYFUNCTION("""COMPUTED_VALUE"""),139.66)</f>
        <v>139.66</v>
      </c>
      <c r="F245" s="2">
        <f>IFERROR(__xludf.DUMMYFUNCTION("""COMPUTED_VALUE"""),3.3507342E7)</f>
        <v>33507342</v>
      </c>
    </row>
    <row r="246">
      <c r="A246" s="3">
        <f>IFERROR(__xludf.DUMMYFUNCTION("""COMPUTED_VALUE"""),45281.66666666667)</f>
        <v>45281.66667</v>
      </c>
      <c r="B246" s="2">
        <f>IFERROR(__xludf.DUMMYFUNCTION("""COMPUTED_VALUE"""),140.77)</f>
        <v>140.77</v>
      </c>
      <c r="C246" s="2">
        <f>IFERROR(__xludf.DUMMYFUNCTION("""COMPUTED_VALUE"""),142.03)</f>
        <v>142.03</v>
      </c>
      <c r="D246" s="2">
        <f>IFERROR(__xludf.DUMMYFUNCTION("""COMPUTED_VALUE"""),140.47)</f>
        <v>140.47</v>
      </c>
      <c r="E246" s="2">
        <f>IFERROR(__xludf.DUMMYFUNCTION("""COMPUTED_VALUE"""),141.8)</f>
        <v>141.8</v>
      </c>
      <c r="F246" s="2">
        <f>IFERROR(__xludf.DUMMYFUNCTION("""COMPUTED_VALUE"""),1.8101476E7)</f>
        <v>18101476</v>
      </c>
    </row>
    <row r="247">
      <c r="A247" s="3">
        <f>IFERROR(__xludf.DUMMYFUNCTION("""COMPUTED_VALUE"""),45282.66666666667)</f>
        <v>45282.66667</v>
      </c>
      <c r="B247" s="2">
        <f>IFERROR(__xludf.DUMMYFUNCTION("""COMPUTED_VALUE"""),142.13)</f>
        <v>142.13</v>
      </c>
      <c r="C247" s="2">
        <f>IFERROR(__xludf.DUMMYFUNCTION("""COMPUTED_VALUE"""),143.25)</f>
        <v>143.25</v>
      </c>
      <c r="D247" s="2">
        <f>IFERROR(__xludf.DUMMYFUNCTION("""COMPUTED_VALUE"""),142.06)</f>
        <v>142.06</v>
      </c>
      <c r="E247" s="2">
        <f>IFERROR(__xludf.DUMMYFUNCTION("""COMPUTED_VALUE"""),142.72)</f>
        <v>142.72</v>
      </c>
      <c r="F247" s="2">
        <f>IFERROR(__xludf.DUMMYFUNCTION("""COMPUTED_VALUE"""),1.8513524E7)</f>
        <v>18513524</v>
      </c>
    </row>
    <row r="248">
      <c r="A248" s="3">
        <f>IFERROR(__xludf.DUMMYFUNCTION("""COMPUTED_VALUE"""),45286.66666666667)</f>
        <v>45286.66667</v>
      </c>
      <c r="B248" s="2">
        <f>IFERROR(__xludf.DUMMYFUNCTION("""COMPUTED_VALUE"""),142.98)</f>
        <v>142.98</v>
      </c>
      <c r="C248" s="2">
        <f>IFERROR(__xludf.DUMMYFUNCTION("""COMPUTED_VALUE"""),143.95)</f>
        <v>143.95</v>
      </c>
      <c r="D248" s="2">
        <f>IFERROR(__xludf.DUMMYFUNCTION("""COMPUTED_VALUE"""),142.5)</f>
        <v>142.5</v>
      </c>
      <c r="E248" s="2">
        <f>IFERROR(__xludf.DUMMYFUNCTION("""COMPUTED_VALUE"""),142.82)</f>
        <v>142.82</v>
      </c>
      <c r="F248" s="2">
        <f>IFERROR(__xludf.DUMMYFUNCTION("""COMPUTED_VALUE"""),1.1170066E7)</f>
        <v>11170066</v>
      </c>
    </row>
    <row r="249">
      <c r="A249" s="3">
        <f>IFERROR(__xludf.DUMMYFUNCTION("""COMPUTED_VALUE"""),45287.66666666667)</f>
        <v>45287.66667</v>
      </c>
      <c r="B249" s="2">
        <f>IFERROR(__xludf.DUMMYFUNCTION("""COMPUTED_VALUE"""),142.83)</f>
        <v>142.83</v>
      </c>
      <c r="C249" s="2">
        <f>IFERROR(__xludf.DUMMYFUNCTION("""COMPUTED_VALUE"""),143.32)</f>
        <v>143.32</v>
      </c>
      <c r="D249" s="2">
        <f>IFERROR(__xludf.DUMMYFUNCTION("""COMPUTED_VALUE"""),141.05)</f>
        <v>141.05</v>
      </c>
      <c r="E249" s="2">
        <f>IFERROR(__xludf.DUMMYFUNCTION("""COMPUTED_VALUE"""),141.44)</f>
        <v>141.44</v>
      </c>
      <c r="F249" s="2">
        <f>IFERROR(__xludf.DUMMYFUNCTION("""COMPUTED_VALUE"""),1.7288358E7)</f>
        <v>17288358</v>
      </c>
    </row>
    <row r="250">
      <c r="A250" s="3">
        <f>IFERROR(__xludf.DUMMYFUNCTION("""COMPUTED_VALUE"""),45288.66666666667)</f>
        <v>45288.66667</v>
      </c>
      <c r="B250" s="2">
        <f>IFERROR(__xludf.DUMMYFUNCTION("""COMPUTED_VALUE"""),141.85)</f>
        <v>141.85</v>
      </c>
      <c r="C250" s="2">
        <f>IFERROR(__xludf.DUMMYFUNCTION("""COMPUTED_VALUE"""),142.27)</f>
        <v>142.27</v>
      </c>
      <c r="D250" s="2">
        <f>IFERROR(__xludf.DUMMYFUNCTION("""COMPUTED_VALUE"""),140.83)</f>
        <v>140.83</v>
      </c>
      <c r="E250" s="2">
        <f>IFERROR(__xludf.DUMMYFUNCTION("""COMPUTED_VALUE"""),141.28)</f>
        <v>141.28</v>
      </c>
      <c r="F250" s="2">
        <f>IFERROR(__xludf.DUMMYFUNCTION("""COMPUTED_VALUE"""),1.2192549E7)</f>
        <v>12192549</v>
      </c>
    </row>
    <row r="251">
      <c r="A251" s="3">
        <f>IFERROR(__xludf.DUMMYFUNCTION("""COMPUTED_VALUE"""),45289.66666666667)</f>
        <v>45289.66667</v>
      </c>
      <c r="B251" s="2">
        <f>IFERROR(__xludf.DUMMYFUNCTION("""COMPUTED_VALUE"""),140.68)</f>
        <v>140.68</v>
      </c>
      <c r="C251" s="2">
        <f>IFERROR(__xludf.DUMMYFUNCTION("""COMPUTED_VALUE"""),141.44)</f>
        <v>141.44</v>
      </c>
      <c r="D251" s="2">
        <f>IFERROR(__xludf.DUMMYFUNCTION("""COMPUTED_VALUE"""),139.9)</f>
        <v>139.9</v>
      </c>
      <c r="E251" s="2">
        <f>IFERROR(__xludf.DUMMYFUNCTION("""COMPUTED_VALUE"""),140.93)</f>
        <v>140.93</v>
      </c>
      <c r="F251" s="2">
        <f>IFERROR(__xludf.DUMMYFUNCTION("""COMPUTED_VALUE"""),1.4880961E7)</f>
        <v>14880961</v>
      </c>
    </row>
    <row r="252">
      <c r="A252" s="3">
        <f>IFERROR(__xludf.DUMMYFUNCTION("""COMPUTED_VALUE"""),45293.66666666667)</f>
        <v>45293.66667</v>
      </c>
      <c r="B252" s="2">
        <f>IFERROR(__xludf.DUMMYFUNCTION("""COMPUTED_VALUE"""),139.6)</f>
        <v>139.6</v>
      </c>
      <c r="C252" s="2">
        <f>IFERROR(__xludf.DUMMYFUNCTION("""COMPUTED_VALUE"""),140.61)</f>
        <v>140.61</v>
      </c>
      <c r="D252" s="2">
        <f>IFERROR(__xludf.DUMMYFUNCTION("""COMPUTED_VALUE"""),137.74)</f>
        <v>137.74</v>
      </c>
      <c r="E252" s="2">
        <f>IFERROR(__xludf.DUMMYFUNCTION("""COMPUTED_VALUE"""),139.56)</f>
        <v>139.56</v>
      </c>
      <c r="F252" s="2">
        <f>IFERROR(__xludf.DUMMYFUNCTION("""COMPUTED_VALUE"""),2.0071885E7)</f>
        <v>20071885</v>
      </c>
    </row>
    <row r="253">
      <c r="A253" s="3">
        <f>IFERROR(__xludf.DUMMYFUNCTION("""COMPUTED_VALUE"""),45294.66666666667)</f>
        <v>45294.66667</v>
      </c>
      <c r="B253" s="2">
        <f>IFERROR(__xludf.DUMMYFUNCTION("""COMPUTED_VALUE"""),138.6)</f>
        <v>138.6</v>
      </c>
      <c r="C253" s="2">
        <f>IFERROR(__xludf.DUMMYFUNCTION("""COMPUTED_VALUE"""),141.09)</f>
        <v>141.09</v>
      </c>
      <c r="D253" s="2">
        <f>IFERROR(__xludf.DUMMYFUNCTION("""COMPUTED_VALUE"""),138.43)</f>
        <v>138.43</v>
      </c>
      <c r="E253" s="2">
        <f>IFERROR(__xludf.DUMMYFUNCTION("""COMPUTED_VALUE"""),140.36)</f>
        <v>140.36</v>
      </c>
      <c r="F253" s="2">
        <f>IFERROR(__xludf.DUMMYFUNCTION("""COMPUTED_VALUE"""),1.8974308E7)</f>
        <v>18974308</v>
      </c>
    </row>
    <row r="254">
      <c r="A254" s="3">
        <f>IFERROR(__xludf.DUMMYFUNCTION("""COMPUTED_VALUE"""),45295.66666666667)</f>
        <v>45295.66667</v>
      </c>
      <c r="B254" s="2">
        <f>IFERROR(__xludf.DUMMYFUNCTION("""COMPUTED_VALUE"""),139.85)</f>
        <v>139.85</v>
      </c>
      <c r="C254" s="2">
        <f>IFERROR(__xludf.DUMMYFUNCTION("""COMPUTED_VALUE"""),140.64)</f>
        <v>140.64</v>
      </c>
      <c r="D254" s="2">
        <f>IFERROR(__xludf.DUMMYFUNCTION("""COMPUTED_VALUE"""),138.01)</f>
        <v>138.01</v>
      </c>
      <c r="E254" s="2">
        <f>IFERROR(__xludf.DUMMYFUNCTION("""COMPUTED_VALUE"""),138.04)</f>
        <v>138.04</v>
      </c>
      <c r="F254" s="2">
        <f>IFERROR(__xludf.DUMMYFUNCTION("""COMPUTED_VALUE"""),1.8253331E7)</f>
        <v>18253331</v>
      </c>
    </row>
    <row r="255">
      <c r="A255" s="3">
        <f>IFERROR(__xludf.DUMMYFUNCTION("""COMPUTED_VALUE"""),45296.66666666667)</f>
        <v>45296.66667</v>
      </c>
      <c r="B255" s="2">
        <f>IFERROR(__xludf.DUMMYFUNCTION("""COMPUTED_VALUE"""),138.35)</f>
        <v>138.35</v>
      </c>
      <c r="C255" s="2">
        <f>IFERROR(__xludf.DUMMYFUNCTION("""COMPUTED_VALUE"""),138.81)</f>
        <v>138.81</v>
      </c>
      <c r="D255" s="2">
        <f>IFERROR(__xludf.DUMMYFUNCTION("""COMPUTED_VALUE"""),136.85)</f>
        <v>136.85</v>
      </c>
      <c r="E255" s="2">
        <f>IFERROR(__xludf.DUMMYFUNCTION("""COMPUTED_VALUE"""),137.39)</f>
        <v>137.39</v>
      </c>
      <c r="F255" s="2">
        <f>IFERROR(__xludf.DUMMYFUNCTION("""COMPUTED_VALUE"""),1.5439475E7)</f>
        <v>15439475</v>
      </c>
    </row>
    <row r="256">
      <c r="A256" s="3">
        <f>IFERROR(__xludf.DUMMYFUNCTION("""COMPUTED_VALUE"""),45299.66666666667)</f>
        <v>45299.66667</v>
      </c>
      <c r="B256" s="2">
        <f>IFERROR(__xludf.DUMMYFUNCTION("""COMPUTED_VALUE"""),138.0)</f>
        <v>138</v>
      </c>
      <c r="C256" s="2">
        <f>IFERROR(__xludf.DUMMYFUNCTION("""COMPUTED_VALUE"""),140.64)</f>
        <v>140.64</v>
      </c>
      <c r="D256" s="2">
        <f>IFERROR(__xludf.DUMMYFUNCTION("""COMPUTED_VALUE"""),137.88)</f>
        <v>137.88</v>
      </c>
      <c r="E256" s="2">
        <f>IFERROR(__xludf.DUMMYFUNCTION("""COMPUTED_VALUE"""),140.53)</f>
        <v>140.53</v>
      </c>
      <c r="F256" s="2">
        <f>IFERROR(__xludf.DUMMYFUNCTION("""COMPUTED_VALUE"""),1.7645293E7)</f>
        <v>17645293</v>
      </c>
    </row>
    <row r="257">
      <c r="A257" s="3">
        <f>IFERROR(__xludf.DUMMYFUNCTION("""COMPUTED_VALUE"""),45300.66666666667)</f>
        <v>45300.66667</v>
      </c>
      <c r="B257" s="2">
        <f>IFERROR(__xludf.DUMMYFUNCTION("""COMPUTED_VALUE"""),140.06)</f>
        <v>140.06</v>
      </c>
      <c r="C257" s="2">
        <f>IFERROR(__xludf.DUMMYFUNCTION("""COMPUTED_VALUE"""),142.8)</f>
        <v>142.8</v>
      </c>
      <c r="D257" s="2">
        <f>IFERROR(__xludf.DUMMYFUNCTION("""COMPUTED_VALUE"""),139.79)</f>
        <v>139.79</v>
      </c>
      <c r="E257" s="2">
        <f>IFERROR(__xludf.DUMMYFUNCTION("""COMPUTED_VALUE"""),142.56)</f>
        <v>142.56</v>
      </c>
      <c r="F257" s="2">
        <f>IFERROR(__xludf.DUMMYFUNCTION("""COMPUTED_VALUE"""),1.9579667E7)</f>
        <v>19579667</v>
      </c>
    </row>
    <row r="258">
      <c r="A258" s="3">
        <f>IFERROR(__xludf.DUMMYFUNCTION("""COMPUTED_VALUE"""),45301.66666666667)</f>
        <v>45301.66667</v>
      </c>
      <c r="B258" s="2">
        <f>IFERROR(__xludf.DUMMYFUNCTION("""COMPUTED_VALUE"""),142.52)</f>
        <v>142.52</v>
      </c>
      <c r="C258" s="2">
        <f>IFERROR(__xludf.DUMMYFUNCTION("""COMPUTED_VALUE"""),144.53)</f>
        <v>144.53</v>
      </c>
      <c r="D258" s="2">
        <f>IFERROR(__xludf.DUMMYFUNCTION("""COMPUTED_VALUE"""),142.46)</f>
        <v>142.46</v>
      </c>
      <c r="E258" s="2">
        <f>IFERROR(__xludf.DUMMYFUNCTION("""COMPUTED_VALUE"""),143.8)</f>
        <v>143.8</v>
      </c>
      <c r="F258" s="2">
        <f>IFERROR(__xludf.DUMMYFUNCTION("""COMPUTED_VALUE"""),1.6641881E7)</f>
        <v>16641881</v>
      </c>
    </row>
    <row r="259">
      <c r="A259" s="3">
        <f>IFERROR(__xludf.DUMMYFUNCTION("""COMPUTED_VALUE"""),45302.66666666667)</f>
        <v>45302.66667</v>
      </c>
      <c r="B259" s="2">
        <f>IFERROR(__xludf.DUMMYFUNCTION("""COMPUTED_VALUE"""),144.9)</f>
        <v>144.9</v>
      </c>
      <c r="C259" s="2">
        <f>IFERROR(__xludf.DUMMYFUNCTION("""COMPUTED_VALUE"""),146.66)</f>
        <v>146.66</v>
      </c>
      <c r="D259" s="2">
        <f>IFERROR(__xludf.DUMMYFUNCTION("""COMPUTED_VALUE"""),142.22)</f>
        <v>142.22</v>
      </c>
      <c r="E259" s="2">
        <f>IFERROR(__xludf.DUMMYFUNCTION("""COMPUTED_VALUE"""),143.67)</f>
        <v>143.67</v>
      </c>
      <c r="F259" s="2">
        <f>IFERROR(__xludf.DUMMYFUNCTION("""COMPUTED_VALUE"""),1.747113E7)</f>
        <v>17471130</v>
      </c>
    </row>
    <row r="260">
      <c r="A260" s="3">
        <f>IFERROR(__xludf.DUMMYFUNCTION("""COMPUTED_VALUE"""),45303.66666666667)</f>
        <v>45303.66667</v>
      </c>
      <c r="B260" s="2">
        <f>IFERROR(__xludf.DUMMYFUNCTION("""COMPUTED_VALUE"""),144.34)</f>
        <v>144.34</v>
      </c>
      <c r="C260" s="2">
        <f>IFERROR(__xludf.DUMMYFUNCTION("""COMPUTED_VALUE"""),144.74)</f>
        <v>144.74</v>
      </c>
      <c r="D260" s="2">
        <f>IFERROR(__xludf.DUMMYFUNCTION("""COMPUTED_VALUE"""),143.36)</f>
        <v>143.36</v>
      </c>
      <c r="E260" s="2">
        <f>IFERROR(__xludf.DUMMYFUNCTION("""COMPUTED_VALUE"""),144.24)</f>
        <v>144.24</v>
      </c>
      <c r="F260" s="2">
        <f>IFERROR(__xludf.DUMMYFUNCTION("""COMPUTED_VALUE"""),1.3998729E7)</f>
        <v>13998729</v>
      </c>
    </row>
    <row r="261">
      <c r="A261" s="3">
        <f>IFERROR(__xludf.DUMMYFUNCTION("""COMPUTED_VALUE"""),45307.66666666667)</f>
        <v>45307.66667</v>
      </c>
      <c r="B261" s="2">
        <f>IFERROR(__xludf.DUMMYFUNCTION("""COMPUTED_VALUE"""),143.43)</f>
        <v>143.43</v>
      </c>
      <c r="C261" s="2">
        <f>IFERROR(__xludf.DUMMYFUNCTION("""COMPUTED_VALUE"""),145.84)</f>
        <v>145.84</v>
      </c>
      <c r="D261" s="2">
        <f>IFERROR(__xludf.DUMMYFUNCTION("""COMPUTED_VALUE"""),143.06)</f>
        <v>143.06</v>
      </c>
      <c r="E261" s="2">
        <f>IFERROR(__xludf.DUMMYFUNCTION("""COMPUTED_VALUE"""),144.08)</f>
        <v>144.08</v>
      </c>
      <c r="F261" s="2">
        <f>IFERROR(__xludf.DUMMYFUNCTION("""COMPUTED_VALUE"""),1.9198939E7)</f>
        <v>19198939</v>
      </c>
    </row>
    <row r="262">
      <c r="A262" s="3">
        <f>IFERROR(__xludf.DUMMYFUNCTION("""COMPUTED_VALUE"""),45308.66666666667)</f>
        <v>45308.66667</v>
      </c>
      <c r="B262" s="2">
        <f>IFERROR(__xludf.DUMMYFUNCTION("""COMPUTED_VALUE"""),142.91)</f>
        <v>142.91</v>
      </c>
      <c r="C262" s="2">
        <f>IFERROR(__xludf.DUMMYFUNCTION("""COMPUTED_VALUE"""),143.41)</f>
        <v>143.41</v>
      </c>
      <c r="D262" s="2">
        <f>IFERROR(__xludf.DUMMYFUNCTION("""COMPUTED_VALUE"""),140.51)</f>
        <v>140.51</v>
      </c>
      <c r="E262" s="2">
        <f>IFERROR(__xludf.DUMMYFUNCTION("""COMPUTED_VALUE"""),142.89)</f>
        <v>142.89</v>
      </c>
      <c r="F262" s="2">
        <f>IFERROR(__xludf.DUMMYFUNCTION("""COMPUTED_VALUE"""),1.7884548E7)</f>
        <v>17884548</v>
      </c>
    </row>
    <row r="263">
      <c r="A263" s="3">
        <f>IFERROR(__xludf.DUMMYFUNCTION("""COMPUTED_VALUE"""),45309.66666666667)</f>
        <v>45309.66667</v>
      </c>
      <c r="B263" s="2">
        <f>IFERROR(__xludf.DUMMYFUNCTION("""COMPUTED_VALUE"""),143.44)</f>
        <v>143.44</v>
      </c>
      <c r="C263" s="2">
        <f>IFERROR(__xludf.DUMMYFUNCTION("""COMPUTED_VALUE"""),145.59)</f>
        <v>145.59</v>
      </c>
      <c r="D263" s="2">
        <f>IFERROR(__xludf.DUMMYFUNCTION("""COMPUTED_VALUE"""),143.35)</f>
        <v>143.35</v>
      </c>
      <c r="E263" s="2">
        <f>IFERROR(__xludf.DUMMYFUNCTION("""COMPUTED_VALUE"""),144.99)</f>
        <v>144.99</v>
      </c>
      <c r="F263" s="2">
        <f>IFERROR(__xludf.DUMMYFUNCTION("""COMPUTED_VALUE"""),1.88768E7)</f>
        <v>18876800</v>
      </c>
    </row>
    <row r="264">
      <c r="A264" s="3">
        <f>IFERROR(__xludf.DUMMYFUNCTION("""COMPUTED_VALUE"""),45310.66666666667)</f>
        <v>45310.66667</v>
      </c>
      <c r="B264" s="2">
        <f>IFERROR(__xludf.DUMMYFUNCTION("""COMPUTED_VALUE"""),146.31)</f>
        <v>146.31</v>
      </c>
      <c r="C264" s="2">
        <f>IFERROR(__xludf.DUMMYFUNCTION("""COMPUTED_VALUE"""),148.04)</f>
        <v>148.04</v>
      </c>
      <c r="D264" s="2">
        <f>IFERROR(__xludf.DUMMYFUNCTION("""COMPUTED_VALUE"""),145.8)</f>
        <v>145.8</v>
      </c>
      <c r="E264" s="2">
        <f>IFERROR(__xludf.DUMMYFUNCTION("""COMPUTED_VALUE"""),147.97)</f>
        <v>147.97</v>
      </c>
      <c r="F264" s="2">
        <f>IFERROR(__xludf.DUMMYFUNCTION("""COMPUTED_VALUE"""),2.7181032E7)</f>
        <v>27181032</v>
      </c>
    </row>
    <row r="265">
      <c r="A265" s="3">
        <f>IFERROR(__xludf.DUMMYFUNCTION("""COMPUTED_VALUE"""),45313.66666666667)</f>
        <v>45313.66667</v>
      </c>
      <c r="B265" s="2">
        <f>IFERROR(__xludf.DUMMYFUNCTION("""COMPUTED_VALUE"""),148.71)</f>
        <v>148.71</v>
      </c>
      <c r="C265" s="2">
        <f>IFERROR(__xludf.DUMMYFUNCTION("""COMPUTED_VALUE"""),150.01)</f>
        <v>150.01</v>
      </c>
      <c r="D265" s="2">
        <f>IFERROR(__xludf.DUMMYFUNCTION("""COMPUTED_VALUE"""),147.58)</f>
        <v>147.58</v>
      </c>
      <c r="E265" s="2">
        <f>IFERROR(__xludf.DUMMYFUNCTION("""COMPUTED_VALUE"""),147.71)</f>
        <v>147.71</v>
      </c>
      <c r="F265" s="2">
        <f>IFERROR(__xludf.DUMMYFUNCTION("""COMPUTED_VALUE"""),2.1829232E7)</f>
        <v>21829232</v>
      </c>
    </row>
    <row r="266">
      <c r="A266" s="3">
        <f>IFERROR(__xludf.DUMMYFUNCTION("""COMPUTED_VALUE"""),45314.66666666667)</f>
        <v>45314.66667</v>
      </c>
      <c r="B266" s="2">
        <f>IFERROR(__xludf.DUMMYFUNCTION("""COMPUTED_VALUE"""),147.72)</f>
        <v>147.72</v>
      </c>
      <c r="C266" s="2">
        <f>IFERROR(__xludf.DUMMYFUNCTION("""COMPUTED_VALUE"""),148.86)</f>
        <v>148.86</v>
      </c>
      <c r="D266" s="2">
        <f>IFERROR(__xludf.DUMMYFUNCTION("""COMPUTED_VALUE"""),147.19)</f>
        <v>147.19</v>
      </c>
      <c r="E266" s="2">
        <f>IFERROR(__xludf.DUMMYFUNCTION("""COMPUTED_VALUE"""),148.68)</f>
        <v>148.68</v>
      </c>
      <c r="F266" s="2">
        <f>IFERROR(__xludf.DUMMYFUNCTION("""COMPUTED_VALUE"""),1.4113649E7)</f>
        <v>14113649</v>
      </c>
    </row>
    <row r="267">
      <c r="A267" s="3">
        <f>IFERROR(__xludf.DUMMYFUNCTION("""COMPUTED_VALUE"""),45315.66666666667)</f>
        <v>45315.66667</v>
      </c>
      <c r="B267" s="2">
        <f>IFERROR(__xludf.DUMMYFUNCTION("""COMPUTED_VALUE"""),150.29)</f>
        <v>150.29</v>
      </c>
      <c r="C267" s="2">
        <f>IFERROR(__xludf.DUMMYFUNCTION("""COMPUTED_VALUE"""),151.57)</f>
        <v>151.57</v>
      </c>
      <c r="D267" s="2">
        <f>IFERROR(__xludf.DUMMYFUNCTION("""COMPUTED_VALUE"""),149.84)</f>
        <v>149.84</v>
      </c>
      <c r="E267" s="2">
        <f>IFERROR(__xludf.DUMMYFUNCTION("""COMPUTED_VALUE"""),150.35)</f>
        <v>150.35</v>
      </c>
      <c r="F267" s="2">
        <f>IFERROR(__xludf.DUMMYFUNCTION("""COMPUTED_VALUE"""),1.9245031E7)</f>
        <v>19245031</v>
      </c>
    </row>
    <row r="268">
      <c r="A268" s="3">
        <f>IFERROR(__xludf.DUMMYFUNCTION("""COMPUTED_VALUE"""),45316.66666666667)</f>
        <v>45316.66667</v>
      </c>
      <c r="B268" s="2">
        <f>IFERROR(__xludf.DUMMYFUNCTION("""COMPUTED_VALUE"""),151.74)</f>
        <v>151.74</v>
      </c>
      <c r="C268" s="2">
        <f>IFERROR(__xludf.DUMMYFUNCTION("""COMPUTED_VALUE"""),154.76)</f>
        <v>154.76</v>
      </c>
      <c r="D268" s="2">
        <f>IFERROR(__xludf.DUMMYFUNCTION("""COMPUTED_VALUE"""),151.22)</f>
        <v>151.22</v>
      </c>
      <c r="E268" s="2">
        <f>IFERROR(__xludf.DUMMYFUNCTION("""COMPUTED_VALUE"""),153.64)</f>
        <v>153.64</v>
      </c>
      <c r="F268" s="2">
        <f>IFERROR(__xludf.DUMMYFUNCTION("""COMPUTED_VALUE"""),2.149512E7)</f>
        <v>21495120</v>
      </c>
    </row>
    <row r="269">
      <c r="A269" s="3">
        <f>IFERROR(__xludf.DUMMYFUNCTION("""COMPUTED_VALUE"""),45317.66666666667)</f>
        <v>45317.66667</v>
      </c>
      <c r="B269" s="2">
        <f>IFERROR(__xludf.DUMMYFUNCTION("""COMPUTED_VALUE"""),152.87)</f>
        <v>152.87</v>
      </c>
      <c r="C269" s="2">
        <f>IFERROR(__xludf.DUMMYFUNCTION("""COMPUTED_VALUE"""),154.11)</f>
        <v>154.11</v>
      </c>
      <c r="D269" s="2">
        <f>IFERROR(__xludf.DUMMYFUNCTION("""COMPUTED_VALUE"""),152.8)</f>
        <v>152.8</v>
      </c>
      <c r="E269" s="2">
        <f>IFERROR(__xludf.DUMMYFUNCTION("""COMPUTED_VALUE"""),153.79)</f>
        <v>153.79</v>
      </c>
      <c r="F269" s="2">
        <f>IFERROR(__xludf.DUMMYFUNCTION("""COMPUTED_VALUE"""),1.9494488E7)</f>
        <v>19494488</v>
      </c>
    </row>
    <row r="270">
      <c r="A270" s="3">
        <f>IFERROR(__xludf.DUMMYFUNCTION("""COMPUTED_VALUE"""),45320.66666666667)</f>
        <v>45320.66667</v>
      </c>
      <c r="B270" s="2">
        <f>IFERROR(__xludf.DUMMYFUNCTION("""COMPUTED_VALUE"""),153.64)</f>
        <v>153.64</v>
      </c>
      <c r="C270" s="2">
        <f>IFERROR(__xludf.DUMMYFUNCTION("""COMPUTED_VALUE"""),155.2)</f>
        <v>155.2</v>
      </c>
      <c r="D270" s="2">
        <f>IFERROR(__xludf.DUMMYFUNCTION("""COMPUTED_VALUE"""),152.92)</f>
        <v>152.92</v>
      </c>
      <c r="E270" s="2">
        <f>IFERROR(__xludf.DUMMYFUNCTION("""COMPUTED_VALUE"""),154.84)</f>
        <v>154.84</v>
      </c>
      <c r="F270" s="2">
        <f>IFERROR(__xludf.DUMMYFUNCTION("""COMPUTED_VALUE"""),2.0909258E7)</f>
        <v>20909258</v>
      </c>
    </row>
    <row r="271">
      <c r="A271" s="3">
        <f>IFERROR(__xludf.DUMMYFUNCTION("""COMPUTED_VALUE"""),45321.66666666667)</f>
        <v>45321.66667</v>
      </c>
      <c r="B271" s="2">
        <f>IFERROR(__xludf.DUMMYFUNCTION("""COMPUTED_VALUE"""),154.01)</f>
        <v>154.01</v>
      </c>
      <c r="C271" s="2">
        <f>IFERROR(__xludf.DUMMYFUNCTION("""COMPUTED_VALUE"""),155.04)</f>
        <v>155.04</v>
      </c>
      <c r="D271" s="2">
        <f>IFERROR(__xludf.DUMMYFUNCTION("""COMPUTED_VALUE"""),152.78)</f>
        <v>152.78</v>
      </c>
      <c r="E271" s="2">
        <f>IFERROR(__xludf.DUMMYFUNCTION("""COMPUTED_VALUE"""),153.05)</f>
        <v>153.05</v>
      </c>
      <c r="F271" s="2">
        <f>IFERROR(__xludf.DUMMYFUNCTION("""COMPUTED_VALUE"""),2.6578934E7)</f>
        <v>26578934</v>
      </c>
    </row>
    <row r="272">
      <c r="A272" s="3">
        <f>IFERROR(__xludf.DUMMYFUNCTION("""COMPUTED_VALUE"""),45322.66666666667)</f>
        <v>45322.66667</v>
      </c>
      <c r="B272" s="2">
        <f>IFERROR(__xludf.DUMMYFUNCTION("""COMPUTED_VALUE"""),145.39)</f>
        <v>145.39</v>
      </c>
      <c r="C272" s="2">
        <f>IFERROR(__xludf.DUMMYFUNCTION("""COMPUTED_VALUE"""),145.59)</f>
        <v>145.59</v>
      </c>
      <c r="D272" s="2">
        <f>IFERROR(__xludf.DUMMYFUNCTION("""COMPUTED_VALUE"""),141.55)</f>
        <v>141.55</v>
      </c>
      <c r="E272" s="2">
        <f>IFERROR(__xludf.DUMMYFUNCTION("""COMPUTED_VALUE"""),141.8)</f>
        <v>141.8</v>
      </c>
      <c r="F272" s="2">
        <f>IFERROR(__xludf.DUMMYFUNCTION("""COMPUTED_VALUE"""),4.3908584E7)</f>
        <v>43908584</v>
      </c>
    </row>
    <row r="273">
      <c r="A273" s="3">
        <f>IFERROR(__xludf.DUMMYFUNCTION("""COMPUTED_VALUE"""),45323.66666666667)</f>
        <v>45323.66667</v>
      </c>
      <c r="B273" s="2">
        <f>IFERROR(__xludf.DUMMYFUNCTION("""COMPUTED_VALUE"""),143.69)</f>
        <v>143.69</v>
      </c>
      <c r="C273" s="2">
        <f>IFERROR(__xludf.DUMMYFUNCTION("""COMPUTED_VALUE"""),144.62)</f>
        <v>144.62</v>
      </c>
      <c r="D273" s="2">
        <f>IFERROR(__xludf.DUMMYFUNCTION("""COMPUTED_VALUE"""),142.26)</f>
        <v>142.26</v>
      </c>
      <c r="E273" s="2">
        <f>IFERROR(__xludf.DUMMYFUNCTION("""COMPUTED_VALUE"""),142.71)</f>
        <v>142.71</v>
      </c>
      <c r="F273" s="2">
        <f>IFERROR(__xludf.DUMMYFUNCTION("""COMPUTED_VALUE"""),2.5526855E7)</f>
        <v>25526855</v>
      </c>
    </row>
    <row r="274">
      <c r="A274" s="3">
        <f>IFERROR(__xludf.DUMMYFUNCTION("""COMPUTED_VALUE"""),45324.66666666667)</f>
        <v>45324.66667</v>
      </c>
      <c r="B274" s="2">
        <f>IFERROR(__xludf.DUMMYFUNCTION("""COMPUTED_VALUE"""),140.89)</f>
        <v>140.89</v>
      </c>
      <c r="C274" s="2">
        <f>IFERROR(__xludf.DUMMYFUNCTION("""COMPUTED_VALUE"""),143.88)</f>
        <v>143.88</v>
      </c>
      <c r="D274" s="2">
        <f>IFERROR(__xludf.DUMMYFUNCTION("""COMPUTED_VALUE"""),138.17)</f>
        <v>138.17</v>
      </c>
      <c r="E274" s="2">
        <f>IFERROR(__xludf.DUMMYFUNCTION("""COMPUTED_VALUE"""),143.54)</f>
        <v>143.54</v>
      </c>
      <c r="F274" s="2">
        <f>IFERROR(__xludf.DUMMYFUNCTION("""COMPUTED_VALUE"""),4.2136127E7)</f>
        <v>42136127</v>
      </c>
    </row>
    <row r="275">
      <c r="A275" s="3">
        <f>IFERROR(__xludf.DUMMYFUNCTION("""COMPUTED_VALUE"""),45327.66666666667)</f>
        <v>45327.66667</v>
      </c>
      <c r="B275" s="2">
        <f>IFERROR(__xludf.DUMMYFUNCTION("""COMPUTED_VALUE"""),144.04)</f>
        <v>144.04</v>
      </c>
      <c r="C275" s="2">
        <f>IFERROR(__xludf.DUMMYFUNCTION("""COMPUTED_VALUE"""),146.67)</f>
        <v>146.67</v>
      </c>
      <c r="D275" s="2">
        <f>IFERROR(__xludf.DUMMYFUNCTION("""COMPUTED_VALUE"""),143.91)</f>
        <v>143.91</v>
      </c>
      <c r="E275" s="2">
        <f>IFERROR(__xludf.DUMMYFUNCTION("""COMPUTED_VALUE"""),144.93)</f>
        <v>144.93</v>
      </c>
      <c r="F275" s="2">
        <f>IFERROR(__xludf.DUMMYFUNCTION("""COMPUTED_VALUE"""),2.9254444E7)</f>
        <v>29254444</v>
      </c>
    </row>
    <row r="276">
      <c r="A276" s="3">
        <f>IFERROR(__xludf.DUMMYFUNCTION("""COMPUTED_VALUE"""),45328.66666666667)</f>
        <v>45328.66667</v>
      </c>
      <c r="B276" s="2">
        <f>IFERROR(__xludf.DUMMYFUNCTION("""COMPUTED_VALUE"""),145.96)</f>
        <v>145.96</v>
      </c>
      <c r="C276" s="2">
        <f>IFERROR(__xludf.DUMMYFUNCTION("""COMPUTED_VALUE"""),146.74)</f>
        <v>146.74</v>
      </c>
      <c r="D276" s="2">
        <f>IFERROR(__xludf.DUMMYFUNCTION("""COMPUTED_VALUE"""),144.52)</f>
        <v>144.52</v>
      </c>
      <c r="E276" s="2">
        <f>IFERROR(__xludf.DUMMYFUNCTION("""COMPUTED_VALUE"""),145.41)</f>
        <v>145.41</v>
      </c>
      <c r="F276" s="2">
        <f>IFERROR(__xludf.DUMMYFUNCTION("""COMPUTED_VALUE"""),2.1517655E7)</f>
        <v>21517655</v>
      </c>
    </row>
    <row r="277">
      <c r="A277" s="3">
        <f>IFERROR(__xludf.DUMMYFUNCTION("""COMPUTED_VALUE"""),45329.66666666667)</f>
        <v>45329.66667</v>
      </c>
      <c r="B277" s="2">
        <f>IFERROR(__xludf.DUMMYFUNCTION("""COMPUTED_VALUE"""),146.12)</f>
        <v>146.12</v>
      </c>
      <c r="C277" s="2">
        <f>IFERROR(__xludf.DUMMYFUNCTION("""COMPUTED_VALUE"""),147.0)</f>
        <v>147</v>
      </c>
      <c r="D277" s="2">
        <f>IFERROR(__xludf.DUMMYFUNCTION("""COMPUTED_VALUE"""),145.21)</f>
        <v>145.21</v>
      </c>
      <c r="E277" s="2">
        <f>IFERROR(__xludf.DUMMYFUNCTION("""COMPUTED_VALUE"""),146.68)</f>
        <v>146.68</v>
      </c>
      <c r="F277" s="2">
        <f>IFERROR(__xludf.DUMMYFUNCTION("""COMPUTED_VALUE"""),2.1436126E7)</f>
        <v>21436126</v>
      </c>
    </row>
    <row r="278">
      <c r="A278" s="3">
        <f>IFERROR(__xludf.DUMMYFUNCTION("""COMPUTED_VALUE"""),45330.66666666667)</f>
        <v>45330.66667</v>
      </c>
      <c r="B278" s="2">
        <f>IFERROR(__xludf.DUMMYFUNCTION("""COMPUTED_VALUE"""),146.97)</f>
        <v>146.97</v>
      </c>
      <c r="C278" s="2">
        <f>IFERROR(__xludf.DUMMYFUNCTION("""COMPUTED_VALUE"""),147.61)</f>
        <v>147.61</v>
      </c>
      <c r="D278" s="2">
        <f>IFERROR(__xludf.DUMMYFUNCTION("""COMPUTED_VALUE"""),146.42)</f>
        <v>146.42</v>
      </c>
      <c r="E278" s="2">
        <f>IFERROR(__xludf.DUMMYFUNCTION("""COMPUTED_VALUE"""),147.22)</f>
        <v>147.22</v>
      </c>
      <c r="F278" s="2">
        <f>IFERROR(__xludf.DUMMYFUNCTION("""COMPUTED_VALUE"""),1.8241319E7)</f>
        <v>18241319</v>
      </c>
    </row>
    <row r="279">
      <c r="A279" s="3">
        <f>IFERROR(__xludf.DUMMYFUNCTION("""COMPUTED_VALUE"""),45331.66666666667)</f>
        <v>45331.66667</v>
      </c>
      <c r="B279" s="2">
        <f>IFERROR(__xludf.DUMMYFUNCTION("""COMPUTED_VALUE"""),147.95)</f>
        <v>147.95</v>
      </c>
      <c r="C279" s="2">
        <f>IFERROR(__xludf.DUMMYFUNCTION("""COMPUTED_VALUE"""),150.7)</f>
        <v>150.7</v>
      </c>
      <c r="D279" s="2">
        <f>IFERROR(__xludf.DUMMYFUNCTION("""COMPUTED_VALUE"""),147.43)</f>
        <v>147.43</v>
      </c>
      <c r="E279" s="2">
        <f>IFERROR(__xludf.DUMMYFUNCTION("""COMPUTED_VALUE"""),150.22)</f>
        <v>150.22</v>
      </c>
      <c r="F279" s="2">
        <f>IFERROR(__xludf.DUMMYFUNCTION("""COMPUTED_VALUE"""),2.1877693E7)</f>
        <v>21877693</v>
      </c>
    </row>
    <row r="280">
      <c r="A280" s="3">
        <f>IFERROR(__xludf.DUMMYFUNCTION("""COMPUTED_VALUE"""),45334.66666666667)</f>
        <v>45334.66667</v>
      </c>
      <c r="B280" s="2">
        <f>IFERROR(__xludf.DUMMYFUNCTION("""COMPUTED_VALUE"""),149.54)</f>
        <v>149.54</v>
      </c>
      <c r="C280" s="2">
        <f>IFERROR(__xludf.DUMMYFUNCTION("""COMPUTED_VALUE"""),150.59)</f>
        <v>150.59</v>
      </c>
      <c r="D280" s="2">
        <f>IFERROR(__xludf.DUMMYFUNCTION("""COMPUTED_VALUE"""),148.56)</f>
        <v>148.56</v>
      </c>
      <c r="E280" s="2">
        <f>IFERROR(__xludf.DUMMYFUNCTION("""COMPUTED_VALUE"""),148.73)</f>
        <v>148.73</v>
      </c>
      <c r="F280" s="2">
        <f>IFERROR(__xludf.DUMMYFUNCTION("""COMPUTED_VALUE"""),1.7236108E7)</f>
        <v>17236108</v>
      </c>
    </row>
    <row r="281">
      <c r="A281" s="3">
        <f>IFERROR(__xludf.DUMMYFUNCTION("""COMPUTED_VALUE"""),45335.66666666667)</f>
        <v>45335.66667</v>
      </c>
      <c r="B281" s="2">
        <f>IFERROR(__xludf.DUMMYFUNCTION("""COMPUTED_VALUE"""),146.07)</f>
        <v>146.07</v>
      </c>
      <c r="C281" s="2">
        <f>IFERROR(__xludf.DUMMYFUNCTION("""COMPUTED_VALUE"""),148.04)</f>
        <v>148.04</v>
      </c>
      <c r="D281" s="2">
        <f>IFERROR(__xludf.DUMMYFUNCTION("""COMPUTED_VALUE"""),145.11)</f>
        <v>145.11</v>
      </c>
      <c r="E281" s="2">
        <f>IFERROR(__xludf.DUMMYFUNCTION("""COMPUTED_VALUE"""),146.37)</f>
        <v>146.37</v>
      </c>
      <c r="F281" s="2">
        <f>IFERROR(__xludf.DUMMYFUNCTION("""COMPUTED_VALUE"""),1.8138482E7)</f>
        <v>18138482</v>
      </c>
    </row>
    <row r="282">
      <c r="A282" s="3">
        <f>IFERROR(__xludf.DUMMYFUNCTION("""COMPUTED_VALUE"""),45336.66666666667)</f>
        <v>45336.66667</v>
      </c>
      <c r="B282" s="2">
        <f>IFERROR(__xludf.DUMMYFUNCTION("""COMPUTED_VALUE"""),147.37)</f>
        <v>147.37</v>
      </c>
      <c r="C282" s="2">
        <f>IFERROR(__xludf.DUMMYFUNCTION("""COMPUTED_VALUE"""),147.83)</f>
        <v>147.83</v>
      </c>
      <c r="D282" s="2">
        <f>IFERROR(__xludf.DUMMYFUNCTION("""COMPUTED_VALUE"""),145.56)</f>
        <v>145.56</v>
      </c>
      <c r="E282" s="2">
        <f>IFERROR(__xludf.DUMMYFUNCTION("""COMPUTED_VALUE"""),147.14)</f>
        <v>147.14</v>
      </c>
      <c r="F282" s="2">
        <f>IFERROR(__xludf.DUMMYFUNCTION("""COMPUTED_VALUE"""),1.6651824E7)</f>
        <v>16651824</v>
      </c>
    </row>
    <row r="283">
      <c r="A283" s="3">
        <f>IFERROR(__xludf.DUMMYFUNCTION("""COMPUTED_VALUE"""),45337.66666666667)</f>
        <v>45337.66667</v>
      </c>
      <c r="B283" s="2">
        <f>IFERROR(__xludf.DUMMYFUNCTION("""COMPUTED_VALUE"""),144.46)</f>
        <v>144.46</v>
      </c>
      <c r="C283" s="2">
        <f>IFERROR(__xludf.DUMMYFUNCTION("""COMPUTED_VALUE"""),144.76)</f>
        <v>144.76</v>
      </c>
      <c r="D283" s="2">
        <f>IFERROR(__xludf.DUMMYFUNCTION("""COMPUTED_VALUE"""),141.88)</f>
        <v>141.88</v>
      </c>
      <c r="E283" s="2">
        <f>IFERROR(__xludf.DUMMYFUNCTION("""COMPUTED_VALUE"""),143.94)</f>
        <v>143.94</v>
      </c>
      <c r="F283" s="2">
        <f>IFERROR(__xludf.DUMMYFUNCTION("""COMPUTED_VALUE"""),2.6724305E7)</f>
        <v>26724305</v>
      </c>
    </row>
    <row r="284">
      <c r="A284" s="3">
        <f>IFERROR(__xludf.DUMMYFUNCTION("""COMPUTED_VALUE"""),45338.66666666667)</f>
        <v>45338.66667</v>
      </c>
      <c r="B284" s="2">
        <f>IFERROR(__xludf.DUMMYFUNCTION("""COMPUTED_VALUE"""),144.21)</f>
        <v>144.21</v>
      </c>
      <c r="C284" s="2">
        <f>IFERROR(__xludf.DUMMYFUNCTION("""COMPUTED_VALUE"""),144.48)</f>
        <v>144.48</v>
      </c>
      <c r="D284" s="2">
        <f>IFERROR(__xludf.DUMMYFUNCTION("""COMPUTED_VALUE"""),141.52)</f>
        <v>141.52</v>
      </c>
      <c r="E284" s="2">
        <f>IFERROR(__xludf.DUMMYFUNCTION("""COMPUTED_VALUE"""),141.76)</f>
        <v>141.76</v>
      </c>
      <c r="F284" s="2">
        <f>IFERROR(__xludf.DUMMYFUNCTION("""COMPUTED_VALUE"""),2.1865118E7)</f>
        <v>21865118</v>
      </c>
    </row>
    <row r="285">
      <c r="A285" s="3">
        <f>IFERROR(__xludf.DUMMYFUNCTION("""COMPUTED_VALUE"""),45342.66666666667)</f>
        <v>45342.66667</v>
      </c>
      <c r="B285" s="2">
        <f>IFERROR(__xludf.DUMMYFUNCTION("""COMPUTED_VALUE"""),140.94)</f>
        <v>140.94</v>
      </c>
      <c r="C285" s="2">
        <f>IFERROR(__xludf.DUMMYFUNCTION("""COMPUTED_VALUE"""),143.33)</f>
        <v>143.33</v>
      </c>
      <c r="D285" s="2">
        <f>IFERROR(__xludf.DUMMYFUNCTION("""COMPUTED_VALUE"""),140.8)</f>
        <v>140.8</v>
      </c>
      <c r="E285" s="2">
        <f>IFERROR(__xludf.DUMMYFUNCTION("""COMPUTED_VALUE"""),142.2)</f>
        <v>142.2</v>
      </c>
      <c r="F285" s="2">
        <f>IFERROR(__xludf.DUMMYFUNCTION("""COMPUTED_VALUE"""),1.8625589E7)</f>
        <v>18625589</v>
      </c>
    </row>
    <row r="286">
      <c r="A286" s="3">
        <f>IFERROR(__xludf.DUMMYFUNCTION("""COMPUTED_VALUE"""),45343.66666666667)</f>
        <v>45343.66667</v>
      </c>
      <c r="B286" s="2">
        <f>IFERROR(__xludf.DUMMYFUNCTION("""COMPUTED_VALUE"""),142.64)</f>
        <v>142.64</v>
      </c>
      <c r="C286" s="2">
        <f>IFERROR(__xludf.DUMMYFUNCTION("""COMPUTED_VALUE"""),143.98)</f>
        <v>143.98</v>
      </c>
      <c r="D286" s="2">
        <f>IFERROR(__xludf.DUMMYFUNCTION("""COMPUTED_VALUE"""),141.91)</f>
        <v>141.91</v>
      </c>
      <c r="E286" s="2">
        <f>IFERROR(__xludf.DUMMYFUNCTION("""COMPUTED_VALUE"""),143.84)</f>
        <v>143.84</v>
      </c>
      <c r="F286" s="2">
        <f>IFERROR(__xludf.DUMMYFUNCTION("""COMPUTED_VALUE"""),1.6499584E7)</f>
        <v>16499584</v>
      </c>
    </row>
    <row r="287">
      <c r="A287" s="3">
        <f>IFERROR(__xludf.DUMMYFUNCTION("""COMPUTED_VALUE"""),45344.66666666667)</f>
        <v>45344.66667</v>
      </c>
      <c r="B287" s="2">
        <f>IFERROR(__xludf.DUMMYFUNCTION("""COMPUTED_VALUE"""),146.12)</f>
        <v>146.12</v>
      </c>
      <c r="C287" s="2">
        <f>IFERROR(__xludf.DUMMYFUNCTION("""COMPUTED_VALUE"""),146.2)</f>
        <v>146.2</v>
      </c>
      <c r="D287" s="2">
        <f>IFERROR(__xludf.DUMMYFUNCTION("""COMPUTED_VALUE"""),144.01)</f>
        <v>144.01</v>
      </c>
      <c r="E287" s="2">
        <f>IFERROR(__xludf.DUMMYFUNCTION("""COMPUTED_VALUE"""),145.32)</f>
        <v>145.32</v>
      </c>
      <c r="F287" s="2">
        <f>IFERROR(__xludf.DUMMYFUNCTION("""COMPUTED_VALUE"""),2.3024707E7)</f>
        <v>23024707</v>
      </c>
    </row>
    <row r="288">
      <c r="A288" s="3">
        <f>IFERROR(__xludf.DUMMYFUNCTION("""COMPUTED_VALUE"""),45345.66666666667)</f>
        <v>45345.66667</v>
      </c>
      <c r="B288" s="2">
        <f>IFERROR(__xludf.DUMMYFUNCTION("""COMPUTED_VALUE"""),144.97)</f>
        <v>144.97</v>
      </c>
      <c r="C288" s="2">
        <f>IFERROR(__xludf.DUMMYFUNCTION("""COMPUTED_VALUE"""),145.96)</f>
        <v>145.96</v>
      </c>
      <c r="D288" s="2">
        <f>IFERROR(__xludf.DUMMYFUNCTION("""COMPUTED_VALUE"""),144.79)</f>
        <v>144.79</v>
      </c>
      <c r="E288" s="2">
        <f>IFERROR(__xludf.DUMMYFUNCTION("""COMPUTED_VALUE"""),145.29)</f>
        <v>145.29</v>
      </c>
      <c r="F288" s="2">
        <f>IFERROR(__xludf.DUMMYFUNCTION("""COMPUTED_VALUE"""),1.4519434E7)</f>
        <v>14519434</v>
      </c>
    </row>
    <row r="289">
      <c r="A289" s="3">
        <f>IFERROR(__xludf.DUMMYFUNCTION("""COMPUTED_VALUE"""),45348.66666666667)</f>
        <v>45348.66667</v>
      </c>
      <c r="B289" s="2">
        <f>IFERROR(__xludf.DUMMYFUNCTION("""COMPUTED_VALUE"""),143.45)</f>
        <v>143.45</v>
      </c>
      <c r="C289" s="2">
        <f>IFERROR(__xludf.DUMMYFUNCTION("""COMPUTED_VALUE"""),143.84)</f>
        <v>143.84</v>
      </c>
      <c r="D289" s="2">
        <f>IFERROR(__xludf.DUMMYFUNCTION("""COMPUTED_VALUE"""),138.74)</f>
        <v>138.74</v>
      </c>
      <c r="E289" s="2">
        <f>IFERROR(__xludf.DUMMYFUNCTION("""COMPUTED_VALUE"""),138.75)</f>
        <v>138.75</v>
      </c>
      <c r="F289" s="2">
        <f>IFERROR(__xludf.DUMMYFUNCTION("""COMPUTED_VALUE"""),3.3513011E7)</f>
        <v>33513011</v>
      </c>
    </row>
    <row r="290">
      <c r="A290" s="3">
        <f>IFERROR(__xludf.DUMMYFUNCTION("""COMPUTED_VALUE"""),45349.66666666667)</f>
        <v>45349.66667</v>
      </c>
      <c r="B290" s="2">
        <f>IFERROR(__xludf.DUMMYFUNCTION("""COMPUTED_VALUE"""),139.41)</f>
        <v>139.41</v>
      </c>
      <c r="C290" s="2">
        <f>IFERROR(__xludf.DUMMYFUNCTION("""COMPUTED_VALUE"""),140.49)</f>
        <v>140.49</v>
      </c>
      <c r="D290" s="2">
        <f>IFERROR(__xludf.DUMMYFUNCTION("""COMPUTED_VALUE"""),138.5)</f>
        <v>138.5</v>
      </c>
      <c r="E290" s="2">
        <f>IFERROR(__xludf.DUMMYFUNCTION("""COMPUTED_VALUE"""),140.1)</f>
        <v>140.1</v>
      </c>
      <c r="F290" s="2">
        <f>IFERROR(__xludf.DUMMYFUNCTION("""COMPUTED_VALUE"""),2.2363981E7)</f>
        <v>22363981</v>
      </c>
    </row>
    <row r="291">
      <c r="A291" s="3">
        <f>IFERROR(__xludf.DUMMYFUNCTION("""COMPUTED_VALUE"""),45350.66666666667)</f>
        <v>45350.66667</v>
      </c>
      <c r="B291" s="2">
        <f>IFERROR(__xludf.DUMMYFUNCTION("""COMPUTED_VALUE"""),139.1)</f>
        <v>139.1</v>
      </c>
      <c r="C291" s="2">
        <f>IFERROR(__xludf.DUMMYFUNCTION("""COMPUTED_VALUE"""),139.28)</f>
        <v>139.28</v>
      </c>
      <c r="D291" s="2">
        <f>IFERROR(__xludf.DUMMYFUNCTION("""COMPUTED_VALUE"""),136.64)</f>
        <v>136.64</v>
      </c>
      <c r="E291" s="2">
        <f>IFERROR(__xludf.DUMMYFUNCTION("""COMPUTED_VALUE"""),137.43)</f>
        <v>137.43</v>
      </c>
      <c r="F291" s="2">
        <f>IFERROR(__xludf.DUMMYFUNCTION("""COMPUTED_VALUE"""),3.0628702E7)</f>
        <v>30628702</v>
      </c>
    </row>
    <row r="292">
      <c r="A292" s="3">
        <f>IFERROR(__xludf.DUMMYFUNCTION("""COMPUTED_VALUE"""),45351.66666666667)</f>
        <v>45351.66667</v>
      </c>
      <c r="B292" s="2">
        <f>IFERROR(__xludf.DUMMYFUNCTION("""COMPUTED_VALUE"""),138.35)</f>
        <v>138.35</v>
      </c>
      <c r="C292" s="2">
        <f>IFERROR(__xludf.DUMMYFUNCTION("""COMPUTED_VALUE"""),139.95)</f>
        <v>139.95</v>
      </c>
      <c r="D292" s="2">
        <f>IFERROR(__xludf.DUMMYFUNCTION("""COMPUTED_VALUE"""),137.57)</f>
        <v>137.57</v>
      </c>
      <c r="E292" s="2">
        <f>IFERROR(__xludf.DUMMYFUNCTION("""COMPUTED_VALUE"""),139.78)</f>
        <v>139.78</v>
      </c>
      <c r="F292" s="2">
        <f>IFERROR(__xludf.DUMMYFUNCTION("""COMPUTED_VALUE"""),3.5485006E7)</f>
        <v>35485006</v>
      </c>
    </row>
    <row r="293">
      <c r="A293" s="3">
        <f>IFERROR(__xludf.DUMMYFUNCTION("""COMPUTED_VALUE"""),45352.66666666667)</f>
        <v>45352.66667</v>
      </c>
      <c r="B293" s="2">
        <f>IFERROR(__xludf.DUMMYFUNCTION("""COMPUTED_VALUE"""),139.61)</f>
        <v>139.61</v>
      </c>
      <c r="C293" s="2">
        <f>IFERROR(__xludf.DUMMYFUNCTION("""COMPUTED_VALUE"""),140.0)</f>
        <v>140</v>
      </c>
      <c r="D293" s="2">
        <f>IFERROR(__xludf.DUMMYFUNCTION("""COMPUTED_VALUE"""),137.98)</f>
        <v>137.98</v>
      </c>
      <c r="E293" s="2">
        <f>IFERROR(__xludf.DUMMYFUNCTION("""COMPUTED_VALUE"""),138.08)</f>
        <v>138.08</v>
      </c>
      <c r="F293" s="2">
        <f>IFERROR(__xludf.DUMMYFUNCTION("""COMPUTED_VALUE"""),2.8551525E7)</f>
        <v>28551525</v>
      </c>
    </row>
    <row r="294">
      <c r="A294" s="3">
        <f>IFERROR(__xludf.DUMMYFUNCTION("""COMPUTED_VALUE"""),45355.66666666667)</f>
        <v>45355.66667</v>
      </c>
      <c r="B294" s="2">
        <f>IFERROR(__xludf.DUMMYFUNCTION("""COMPUTED_VALUE"""),136.54)</f>
        <v>136.54</v>
      </c>
      <c r="C294" s="2">
        <f>IFERROR(__xludf.DUMMYFUNCTION("""COMPUTED_VALUE"""),136.63)</f>
        <v>136.63</v>
      </c>
      <c r="D294" s="2">
        <f>IFERROR(__xludf.DUMMYFUNCTION("""COMPUTED_VALUE"""),132.86)</f>
        <v>132.86</v>
      </c>
      <c r="E294" s="2">
        <f>IFERROR(__xludf.DUMMYFUNCTION("""COMPUTED_VALUE"""),134.2)</f>
        <v>134.2</v>
      </c>
      <c r="F294" s="2">
        <f>IFERROR(__xludf.DUMMYFUNCTION("""COMPUTED_VALUE"""),4.357151E7)</f>
        <v>43571510</v>
      </c>
    </row>
    <row r="295">
      <c r="A295" s="3">
        <f>IFERROR(__xludf.DUMMYFUNCTION("""COMPUTED_VALUE"""),45356.66666666667)</f>
        <v>45356.66667</v>
      </c>
      <c r="B295" s="2">
        <f>IFERROR(__xludf.DUMMYFUNCTION("""COMPUTED_VALUE"""),132.74)</f>
        <v>132.74</v>
      </c>
      <c r="C295" s="2">
        <f>IFERROR(__xludf.DUMMYFUNCTION("""COMPUTED_VALUE"""),134.02)</f>
        <v>134.02</v>
      </c>
      <c r="D295" s="2">
        <f>IFERROR(__xludf.DUMMYFUNCTION("""COMPUTED_VALUE"""),131.55)</f>
        <v>131.55</v>
      </c>
      <c r="E295" s="2">
        <f>IFERROR(__xludf.DUMMYFUNCTION("""COMPUTED_VALUE"""),133.78)</f>
        <v>133.78</v>
      </c>
      <c r="F295" s="2">
        <f>IFERROR(__xludf.DUMMYFUNCTION("""COMPUTED_VALUE"""),2.844755E7)</f>
        <v>28447550</v>
      </c>
    </row>
    <row r="296">
      <c r="A296" s="3">
        <f>IFERROR(__xludf.DUMMYFUNCTION("""COMPUTED_VALUE"""),45357.66666666667)</f>
        <v>45357.66667</v>
      </c>
      <c r="B296" s="2">
        <f>IFERROR(__xludf.DUMMYFUNCTION("""COMPUTED_VALUE"""),134.24)</f>
        <v>134.24</v>
      </c>
      <c r="C296" s="2">
        <f>IFERROR(__xludf.DUMMYFUNCTION("""COMPUTED_VALUE"""),134.74)</f>
        <v>134.74</v>
      </c>
      <c r="D296" s="2">
        <f>IFERROR(__xludf.DUMMYFUNCTION("""COMPUTED_VALUE"""),131.95)</f>
        <v>131.95</v>
      </c>
      <c r="E296" s="2">
        <f>IFERROR(__xludf.DUMMYFUNCTION("""COMPUTED_VALUE"""),132.56)</f>
        <v>132.56</v>
      </c>
      <c r="F296" s="2">
        <f>IFERROR(__xludf.DUMMYFUNCTION("""COMPUTED_VALUE"""),2.31752E7)</f>
        <v>23175200</v>
      </c>
    </row>
    <row r="297">
      <c r="A297" s="3">
        <f>IFERROR(__xludf.DUMMYFUNCTION("""COMPUTED_VALUE"""),45358.66666666667)</f>
        <v>45358.66667</v>
      </c>
      <c r="B297" s="2">
        <f>IFERROR(__xludf.DUMMYFUNCTION("""COMPUTED_VALUE"""),133.89)</f>
        <v>133.89</v>
      </c>
      <c r="C297" s="2">
        <f>IFERROR(__xludf.DUMMYFUNCTION("""COMPUTED_VALUE"""),135.82)</f>
        <v>135.82</v>
      </c>
      <c r="D297" s="2">
        <f>IFERROR(__xludf.DUMMYFUNCTION("""COMPUTED_VALUE"""),132.66)</f>
        <v>132.66</v>
      </c>
      <c r="E297" s="2">
        <f>IFERROR(__xludf.DUMMYFUNCTION("""COMPUTED_VALUE"""),135.24)</f>
        <v>135.24</v>
      </c>
      <c r="F297" s="2">
        <f>IFERROR(__xludf.DUMMYFUNCTION("""COMPUTED_VALUE"""),2.4107282E7)</f>
        <v>24107282</v>
      </c>
    </row>
    <row r="298">
      <c r="A298" s="3">
        <f>IFERROR(__xludf.DUMMYFUNCTION("""COMPUTED_VALUE"""),45359.66666666667)</f>
        <v>45359.66667</v>
      </c>
      <c r="B298" s="2">
        <f>IFERROR(__xludf.DUMMYFUNCTION("""COMPUTED_VALUE"""),135.04)</f>
        <v>135.04</v>
      </c>
      <c r="C298" s="2">
        <f>IFERROR(__xludf.DUMMYFUNCTION("""COMPUTED_VALUE"""),138.99)</f>
        <v>138.99</v>
      </c>
      <c r="D298" s="2">
        <f>IFERROR(__xludf.DUMMYFUNCTION("""COMPUTED_VALUE"""),134.8)</f>
        <v>134.8</v>
      </c>
      <c r="E298" s="2">
        <f>IFERROR(__xludf.DUMMYFUNCTION("""COMPUTED_VALUE"""),136.29)</f>
        <v>136.29</v>
      </c>
      <c r="F298" s="2">
        <f>IFERROR(__xludf.DUMMYFUNCTION("""COMPUTED_VALUE"""),2.649516E7)</f>
        <v>26495160</v>
      </c>
    </row>
    <row r="299">
      <c r="A299" s="3">
        <f>IFERROR(__xludf.DUMMYFUNCTION("""COMPUTED_VALUE"""),45362.66666666667)</f>
        <v>45362.66667</v>
      </c>
      <c r="B299" s="2">
        <f>IFERROR(__xludf.DUMMYFUNCTION("""COMPUTED_VALUE"""),137.07)</f>
        <v>137.07</v>
      </c>
      <c r="C299" s="2">
        <f>IFERROR(__xludf.DUMMYFUNCTION("""COMPUTED_VALUE"""),139.98)</f>
        <v>139.98</v>
      </c>
      <c r="D299" s="2">
        <f>IFERROR(__xludf.DUMMYFUNCTION("""COMPUTED_VALUE"""),137.07)</f>
        <v>137.07</v>
      </c>
      <c r="E299" s="2">
        <f>IFERROR(__xludf.DUMMYFUNCTION("""COMPUTED_VALUE"""),138.94)</f>
        <v>138.94</v>
      </c>
      <c r="F299" s="2">
        <f>IFERROR(__xludf.DUMMYFUNCTION("""COMPUTED_VALUE"""),2.2536365E7)</f>
        <v>22536365</v>
      </c>
    </row>
    <row r="300">
      <c r="A300" s="3">
        <f>IFERROR(__xludf.DUMMYFUNCTION("""COMPUTED_VALUE"""),45363.66666666667)</f>
        <v>45363.66667</v>
      </c>
      <c r="B300" s="2">
        <f>IFERROR(__xludf.DUMMYFUNCTION("""COMPUTED_VALUE"""),138.25)</f>
        <v>138.25</v>
      </c>
      <c r="C300" s="2">
        <f>IFERROR(__xludf.DUMMYFUNCTION("""COMPUTED_VALUE"""),140.28)</f>
        <v>140.28</v>
      </c>
      <c r="D300" s="2">
        <f>IFERROR(__xludf.DUMMYFUNCTION("""COMPUTED_VALUE"""),138.21)</f>
        <v>138.21</v>
      </c>
      <c r="E300" s="2">
        <f>IFERROR(__xludf.DUMMYFUNCTION("""COMPUTED_VALUE"""),139.62)</f>
        <v>139.62</v>
      </c>
      <c r="F300" s="2">
        <f>IFERROR(__xludf.DUMMYFUNCTION("""COMPUTED_VALUE"""),1.9019696E7)</f>
        <v>19019696</v>
      </c>
    </row>
    <row r="301">
      <c r="A301" s="3">
        <f>IFERROR(__xludf.DUMMYFUNCTION("""COMPUTED_VALUE"""),45364.66666666667)</f>
        <v>45364.66667</v>
      </c>
      <c r="B301" s="2">
        <f>IFERROR(__xludf.DUMMYFUNCTION("""COMPUTED_VALUE"""),140.06)</f>
        <v>140.06</v>
      </c>
      <c r="C301" s="2">
        <f>IFERROR(__xludf.DUMMYFUNCTION("""COMPUTED_VALUE"""),142.19)</f>
        <v>142.19</v>
      </c>
      <c r="D301" s="2">
        <f>IFERROR(__xludf.DUMMYFUNCTION("""COMPUTED_VALUE"""),140.01)</f>
        <v>140.01</v>
      </c>
      <c r="E301" s="2">
        <f>IFERROR(__xludf.DUMMYFUNCTION("""COMPUTED_VALUE"""),140.77)</f>
        <v>140.77</v>
      </c>
      <c r="F301" s="2">
        <f>IFERROR(__xludf.DUMMYFUNCTION("""COMPUTED_VALUE"""),1.9636999E7)</f>
        <v>19636999</v>
      </c>
    </row>
    <row r="302">
      <c r="A302" s="3">
        <f>IFERROR(__xludf.DUMMYFUNCTION("""COMPUTED_VALUE"""),45365.66666666667)</f>
        <v>45365.66667</v>
      </c>
      <c r="B302" s="2">
        <f>IFERROR(__xludf.DUMMYFUNCTION("""COMPUTED_VALUE"""),142.3)</f>
        <v>142.3</v>
      </c>
      <c r="C302" s="2">
        <f>IFERROR(__xludf.DUMMYFUNCTION("""COMPUTED_VALUE"""),144.73)</f>
        <v>144.73</v>
      </c>
      <c r="D302" s="2">
        <f>IFERROR(__xludf.DUMMYFUNCTION("""COMPUTED_VALUE"""),141.49)</f>
        <v>141.49</v>
      </c>
      <c r="E302" s="2">
        <f>IFERROR(__xludf.DUMMYFUNCTION("""COMPUTED_VALUE"""),144.34)</f>
        <v>144.34</v>
      </c>
      <c r="F302" s="2">
        <f>IFERROR(__xludf.DUMMYFUNCTION("""COMPUTED_VALUE"""),3.6117913E7)</f>
        <v>36117913</v>
      </c>
    </row>
    <row r="303">
      <c r="A303" s="3">
        <f>IFERROR(__xludf.DUMMYFUNCTION("""COMPUTED_VALUE"""),45366.66666666667)</f>
        <v>45366.66667</v>
      </c>
      <c r="B303" s="2">
        <f>IFERROR(__xludf.DUMMYFUNCTION("""COMPUTED_VALUE"""),143.41)</f>
        <v>143.41</v>
      </c>
      <c r="C303" s="2">
        <f>IFERROR(__xludf.DUMMYFUNCTION("""COMPUTED_VALUE"""),144.34)</f>
        <v>144.34</v>
      </c>
      <c r="D303" s="2">
        <f>IFERROR(__xludf.DUMMYFUNCTION("""COMPUTED_VALUE"""),141.13)</f>
        <v>141.13</v>
      </c>
      <c r="E303" s="2">
        <f>IFERROR(__xludf.DUMMYFUNCTION("""COMPUTED_VALUE"""),142.17)</f>
        <v>142.17</v>
      </c>
      <c r="F303" s="2">
        <f>IFERROR(__xludf.DUMMYFUNCTION("""COMPUTED_VALUE"""),4.1039494E7)</f>
        <v>41039494</v>
      </c>
    </row>
    <row r="304">
      <c r="A304" s="3">
        <f>IFERROR(__xludf.DUMMYFUNCTION("""COMPUTED_VALUE"""),45369.66666666667)</f>
        <v>45369.66667</v>
      </c>
      <c r="B304" s="2">
        <f>IFERROR(__xludf.DUMMYFUNCTION("""COMPUTED_VALUE"""),149.37)</f>
        <v>149.37</v>
      </c>
      <c r="C304" s="2">
        <f>IFERROR(__xludf.DUMMYFUNCTION("""COMPUTED_VALUE"""),152.93)</f>
        <v>152.93</v>
      </c>
      <c r="D304" s="2">
        <f>IFERROR(__xludf.DUMMYFUNCTION("""COMPUTED_VALUE"""),148.14)</f>
        <v>148.14</v>
      </c>
      <c r="E304" s="2">
        <f>IFERROR(__xludf.DUMMYFUNCTION("""COMPUTED_VALUE"""),148.48)</f>
        <v>148.48</v>
      </c>
      <c r="F304" s="2">
        <f>IFERROR(__xludf.DUMMYFUNCTION("""COMPUTED_VALUE"""),4.7676689E7)</f>
        <v>47676689</v>
      </c>
    </row>
    <row r="305">
      <c r="A305" s="3">
        <f>IFERROR(__xludf.DUMMYFUNCTION("""COMPUTED_VALUE"""),45370.66666666667)</f>
        <v>45370.66667</v>
      </c>
      <c r="B305" s="2">
        <f>IFERROR(__xludf.DUMMYFUNCTION("""COMPUTED_VALUE"""),148.98)</f>
        <v>148.98</v>
      </c>
      <c r="C305" s="2">
        <f>IFERROR(__xludf.DUMMYFUNCTION("""COMPUTED_VALUE"""),149.62)</f>
        <v>149.62</v>
      </c>
      <c r="D305" s="2">
        <f>IFERROR(__xludf.DUMMYFUNCTION("""COMPUTED_VALUE"""),147.01)</f>
        <v>147.01</v>
      </c>
      <c r="E305" s="2">
        <f>IFERROR(__xludf.DUMMYFUNCTION("""COMPUTED_VALUE"""),147.92)</f>
        <v>147.92</v>
      </c>
      <c r="F305" s="2">
        <f>IFERROR(__xludf.DUMMYFUNCTION("""COMPUTED_VALUE"""),1.7748367E7)</f>
        <v>17748367</v>
      </c>
    </row>
    <row r="306">
      <c r="A306" s="3">
        <f>IFERROR(__xludf.DUMMYFUNCTION("""COMPUTED_VALUE"""),45371.66666666667)</f>
        <v>45371.66667</v>
      </c>
      <c r="B306" s="2">
        <f>IFERROR(__xludf.DUMMYFUNCTION("""COMPUTED_VALUE"""),148.79)</f>
        <v>148.79</v>
      </c>
      <c r="C306" s="2">
        <f>IFERROR(__xludf.DUMMYFUNCTION("""COMPUTED_VALUE"""),149.76)</f>
        <v>149.76</v>
      </c>
      <c r="D306" s="2">
        <f>IFERROR(__xludf.DUMMYFUNCTION("""COMPUTED_VALUE"""),147.67)</f>
        <v>147.67</v>
      </c>
      <c r="E306" s="2">
        <f>IFERROR(__xludf.DUMMYFUNCTION("""COMPUTED_VALUE"""),149.68)</f>
        <v>149.68</v>
      </c>
      <c r="F306" s="2">
        <f>IFERROR(__xludf.DUMMYFUNCTION("""COMPUTED_VALUE"""),1.7729996E7)</f>
        <v>17729996</v>
      </c>
    </row>
    <row r="307">
      <c r="A307" s="3">
        <f>IFERROR(__xludf.DUMMYFUNCTION("""COMPUTED_VALUE"""),45372.66666666667)</f>
        <v>45372.66667</v>
      </c>
      <c r="B307" s="2">
        <f>IFERROR(__xludf.DUMMYFUNCTION("""COMPUTED_VALUE"""),150.32)</f>
        <v>150.32</v>
      </c>
      <c r="C307" s="2">
        <f>IFERROR(__xludf.DUMMYFUNCTION("""COMPUTED_VALUE"""),151.31)</f>
        <v>151.31</v>
      </c>
      <c r="D307" s="2">
        <f>IFERROR(__xludf.DUMMYFUNCTION("""COMPUTED_VALUE"""),148.01)</f>
        <v>148.01</v>
      </c>
      <c r="E307" s="2">
        <f>IFERROR(__xludf.DUMMYFUNCTION("""COMPUTED_VALUE"""),148.74)</f>
        <v>148.74</v>
      </c>
      <c r="F307" s="2">
        <f>IFERROR(__xludf.DUMMYFUNCTION("""COMPUTED_VALUE"""),1.9843915E7)</f>
        <v>19843915</v>
      </c>
    </row>
    <row r="308">
      <c r="A308" s="3">
        <f>IFERROR(__xludf.DUMMYFUNCTION("""COMPUTED_VALUE"""),45373.66666666667)</f>
        <v>45373.66667</v>
      </c>
      <c r="B308" s="2">
        <f>IFERROR(__xludf.DUMMYFUNCTION("""COMPUTED_VALUE"""),150.24)</f>
        <v>150.24</v>
      </c>
      <c r="C308" s="2">
        <f>IFERROR(__xludf.DUMMYFUNCTION("""COMPUTED_VALUE"""),152.56)</f>
        <v>152.56</v>
      </c>
      <c r="D308" s="2">
        <f>IFERROR(__xludf.DUMMYFUNCTION("""COMPUTED_VALUE"""),150.09)</f>
        <v>150.09</v>
      </c>
      <c r="E308" s="2">
        <f>IFERROR(__xludf.DUMMYFUNCTION("""COMPUTED_VALUE"""),151.77)</f>
        <v>151.77</v>
      </c>
      <c r="F308" s="2">
        <f>IFERROR(__xludf.DUMMYFUNCTION("""COMPUTED_VALUE"""),1.9252925E7)</f>
        <v>19252925</v>
      </c>
    </row>
    <row r="309">
      <c r="A309" s="3">
        <f>IFERROR(__xludf.DUMMYFUNCTION("""COMPUTED_VALUE"""),45376.66666666667)</f>
        <v>45376.66667</v>
      </c>
      <c r="B309" s="2">
        <f>IFERROR(__xludf.DUMMYFUNCTION("""COMPUTED_VALUE"""),150.95)</f>
        <v>150.95</v>
      </c>
      <c r="C309" s="2">
        <f>IFERROR(__xludf.DUMMYFUNCTION("""COMPUTED_VALUE"""),151.46)</f>
        <v>151.46</v>
      </c>
      <c r="D309" s="2">
        <f>IFERROR(__xludf.DUMMYFUNCTION("""COMPUTED_VALUE"""),148.8)</f>
        <v>148.8</v>
      </c>
      <c r="E309" s="2">
        <f>IFERROR(__xludf.DUMMYFUNCTION("""COMPUTED_VALUE"""),151.15)</f>
        <v>151.15</v>
      </c>
      <c r="F309" s="2">
        <f>IFERROR(__xludf.DUMMYFUNCTION("""COMPUTED_VALUE"""),1.5114728E7)</f>
        <v>15114728</v>
      </c>
    </row>
    <row r="310">
      <c r="A310" s="3">
        <f>IFERROR(__xludf.DUMMYFUNCTION("""COMPUTED_VALUE"""),45377.66666666667)</f>
        <v>45377.66667</v>
      </c>
      <c r="B310" s="2">
        <f>IFERROR(__xludf.DUMMYFUNCTION("""COMPUTED_VALUE"""),151.24)</f>
        <v>151.24</v>
      </c>
      <c r="C310" s="2">
        <f>IFERROR(__xludf.DUMMYFUNCTION("""COMPUTED_VALUE"""),153.2)</f>
        <v>153.2</v>
      </c>
      <c r="D310" s="2">
        <f>IFERROR(__xludf.DUMMYFUNCTION("""COMPUTED_VALUE"""),151.03)</f>
        <v>151.03</v>
      </c>
      <c r="E310" s="2">
        <f>IFERROR(__xludf.DUMMYFUNCTION("""COMPUTED_VALUE"""),151.7)</f>
        <v>151.7</v>
      </c>
      <c r="F310" s="2">
        <f>IFERROR(__xludf.DUMMYFUNCTION("""COMPUTED_VALUE"""),1.9312694E7)</f>
        <v>19312694</v>
      </c>
    </row>
    <row r="311">
      <c r="A311" s="3">
        <f>IFERROR(__xludf.DUMMYFUNCTION("""COMPUTED_VALUE"""),45378.66666666667)</f>
        <v>45378.66667</v>
      </c>
      <c r="B311" s="2">
        <f>IFERROR(__xludf.DUMMYFUNCTION("""COMPUTED_VALUE"""),152.15)</f>
        <v>152.15</v>
      </c>
      <c r="C311" s="2">
        <f>IFERROR(__xludf.DUMMYFUNCTION("""COMPUTED_VALUE"""),152.69)</f>
        <v>152.69</v>
      </c>
      <c r="D311" s="2">
        <f>IFERROR(__xludf.DUMMYFUNCTION("""COMPUTED_VALUE"""),150.13)</f>
        <v>150.13</v>
      </c>
      <c r="E311" s="2">
        <f>IFERROR(__xludf.DUMMYFUNCTION("""COMPUTED_VALUE"""),151.94)</f>
        <v>151.94</v>
      </c>
      <c r="F311" s="2">
        <f>IFERROR(__xludf.DUMMYFUNCTION("""COMPUTED_VALUE"""),1.6621964E7)</f>
        <v>16621964</v>
      </c>
    </row>
    <row r="312">
      <c r="A312" s="3">
        <f>IFERROR(__xludf.DUMMYFUNCTION("""COMPUTED_VALUE"""),45379.66666666667)</f>
        <v>45379.66667</v>
      </c>
      <c r="B312" s="2">
        <f>IFERROR(__xludf.DUMMYFUNCTION("""COMPUTED_VALUE"""),152.0)</f>
        <v>152</v>
      </c>
      <c r="C312" s="2">
        <f>IFERROR(__xludf.DUMMYFUNCTION("""COMPUTED_VALUE"""),152.67)</f>
        <v>152.67</v>
      </c>
      <c r="D312" s="2">
        <f>IFERROR(__xludf.DUMMYFUNCTION("""COMPUTED_VALUE"""),151.33)</f>
        <v>151.33</v>
      </c>
      <c r="E312" s="2">
        <f>IFERROR(__xludf.DUMMYFUNCTION("""COMPUTED_VALUE"""),152.26)</f>
        <v>152.26</v>
      </c>
      <c r="F312" s="2">
        <f>IFERROR(__xludf.DUMMYFUNCTION("""COMPUTED_VALUE"""),2.1105628E7)</f>
        <v>21105628</v>
      </c>
    </row>
    <row r="313">
      <c r="A313" s="3">
        <f>IFERROR(__xludf.DUMMYFUNCTION("""COMPUTED_VALUE"""),45383.66666666667)</f>
        <v>45383.66667</v>
      </c>
      <c r="B313" s="2">
        <f>IFERROR(__xludf.DUMMYFUNCTION("""COMPUTED_VALUE"""),151.83)</f>
        <v>151.83</v>
      </c>
      <c r="C313" s="2">
        <f>IFERROR(__xludf.DUMMYFUNCTION("""COMPUTED_VALUE"""),157.0)</f>
        <v>157</v>
      </c>
      <c r="D313" s="2">
        <f>IFERROR(__xludf.DUMMYFUNCTION("""COMPUTED_VALUE"""),151.65)</f>
        <v>151.65</v>
      </c>
      <c r="E313" s="2">
        <f>IFERROR(__xludf.DUMMYFUNCTION("""COMPUTED_VALUE"""),156.5)</f>
        <v>156.5</v>
      </c>
      <c r="F313" s="2">
        <f>IFERROR(__xludf.DUMMYFUNCTION("""COMPUTED_VALUE"""),2.4469815E7)</f>
        <v>24469815</v>
      </c>
    </row>
    <row r="314">
      <c r="A314" s="3">
        <f>IFERROR(__xludf.DUMMYFUNCTION("""COMPUTED_VALUE"""),45384.66666666667)</f>
        <v>45384.66667</v>
      </c>
      <c r="B314" s="2">
        <f>IFERROR(__xludf.DUMMYFUNCTION("""COMPUTED_VALUE"""),154.75)</f>
        <v>154.75</v>
      </c>
      <c r="C314" s="2">
        <f>IFERROR(__xludf.DUMMYFUNCTION("""COMPUTED_VALUE"""),155.99)</f>
        <v>155.99</v>
      </c>
      <c r="D314" s="2">
        <f>IFERROR(__xludf.DUMMYFUNCTION("""COMPUTED_VALUE"""),153.46)</f>
        <v>153.46</v>
      </c>
      <c r="E314" s="2">
        <f>IFERROR(__xludf.DUMMYFUNCTION("""COMPUTED_VALUE"""),155.87)</f>
        <v>155.87</v>
      </c>
      <c r="F314" s="2">
        <f>IFERROR(__xludf.DUMMYFUNCTION("""COMPUTED_VALUE"""),1.7598064E7)</f>
        <v>17598064</v>
      </c>
    </row>
    <row r="315">
      <c r="A315" s="3">
        <f>IFERROR(__xludf.DUMMYFUNCTION("""COMPUTED_VALUE"""),45385.66666666667)</f>
        <v>45385.66667</v>
      </c>
      <c r="B315" s="2">
        <f>IFERROR(__xludf.DUMMYFUNCTION("""COMPUTED_VALUE"""),154.92)</f>
        <v>154.92</v>
      </c>
      <c r="C315" s="2">
        <f>IFERROR(__xludf.DUMMYFUNCTION("""COMPUTED_VALUE"""),156.55)</f>
        <v>156.55</v>
      </c>
      <c r="D315" s="2">
        <f>IFERROR(__xludf.DUMMYFUNCTION("""COMPUTED_VALUE"""),154.13)</f>
        <v>154.13</v>
      </c>
      <c r="E315" s="2">
        <f>IFERROR(__xludf.DUMMYFUNCTION("""COMPUTED_VALUE"""),156.37)</f>
        <v>156.37</v>
      </c>
      <c r="F315" s="2">
        <f>IFERROR(__xludf.DUMMYFUNCTION("""COMPUTED_VALUE"""),1.7266175E7)</f>
        <v>17266175</v>
      </c>
    </row>
    <row r="316">
      <c r="A316" s="3">
        <f>IFERROR(__xludf.DUMMYFUNCTION("""COMPUTED_VALUE"""),45386.66666666667)</f>
        <v>45386.66667</v>
      </c>
      <c r="B316" s="2">
        <f>IFERROR(__xludf.DUMMYFUNCTION("""COMPUTED_VALUE"""),155.08)</f>
        <v>155.08</v>
      </c>
      <c r="C316" s="2">
        <f>IFERROR(__xludf.DUMMYFUNCTION("""COMPUTED_VALUE"""),156.18)</f>
        <v>156.18</v>
      </c>
      <c r="D316" s="2">
        <f>IFERROR(__xludf.DUMMYFUNCTION("""COMPUTED_VALUE"""),151.88)</f>
        <v>151.88</v>
      </c>
      <c r="E316" s="2">
        <f>IFERROR(__xludf.DUMMYFUNCTION("""COMPUTED_VALUE"""),151.94)</f>
        <v>151.94</v>
      </c>
      <c r="F316" s="2">
        <f>IFERROR(__xludf.DUMMYFUNCTION("""COMPUTED_VALUE"""),2.4184842E7)</f>
        <v>24184842</v>
      </c>
    </row>
    <row r="317">
      <c r="A317" s="3">
        <f>IFERROR(__xludf.DUMMYFUNCTION("""COMPUTED_VALUE"""),45387.66666666667)</f>
        <v>45387.66667</v>
      </c>
      <c r="B317" s="2">
        <f>IFERROR(__xludf.DUMMYFUNCTION("""COMPUTED_VALUE"""),151.68)</f>
        <v>151.68</v>
      </c>
      <c r="C317" s="2">
        <f>IFERROR(__xludf.DUMMYFUNCTION("""COMPUTED_VALUE"""),154.84)</f>
        <v>154.84</v>
      </c>
      <c r="D317" s="2">
        <f>IFERROR(__xludf.DUMMYFUNCTION("""COMPUTED_VALUE"""),151.08)</f>
        <v>151.08</v>
      </c>
      <c r="E317" s="2">
        <f>IFERROR(__xludf.DUMMYFUNCTION("""COMPUTED_VALUE"""),153.94)</f>
        <v>153.94</v>
      </c>
      <c r="F317" s="2">
        <f>IFERROR(__xludf.DUMMYFUNCTION("""COMPUTED_VALUE"""),1.6297319E7)</f>
        <v>16297319</v>
      </c>
    </row>
    <row r="318">
      <c r="A318" s="3">
        <f>IFERROR(__xludf.DUMMYFUNCTION("""COMPUTED_VALUE"""),45390.66666666667)</f>
        <v>45390.66667</v>
      </c>
      <c r="B318" s="2">
        <f>IFERROR(__xludf.DUMMYFUNCTION("""COMPUTED_VALUE"""),154.01)</f>
        <v>154.01</v>
      </c>
      <c r="C318" s="2">
        <f>IFERROR(__xludf.DUMMYFUNCTION("""COMPUTED_VALUE"""),156.66)</f>
        <v>156.66</v>
      </c>
      <c r="D318" s="2">
        <f>IFERROR(__xludf.DUMMYFUNCTION("""COMPUTED_VALUE"""),153.99)</f>
        <v>153.99</v>
      </c>
      <c r="E318" s="2">
        <f>IFERROR(__xludf.DUMMYFUNCTION("""COMPUTED_VALUE"""),156.14)</f>
        <v>156.14</v>
      </c>
      <c r="F318" s="2">
        <f>IFERROR(__xludf.DUMMYFUNCTION("""COMPUTED_VALUE"""),1.664153E7)</f>
        <v>16641530</v>
      </c>
    </row>
    <row r="319">
      <c r="A319" s="3">
        <f>IFERROR(__xludf.DUMMYFUNCTION("""COMPUTED_VALUE"""),45391.66666666667)</f>
        <v>45391.66667</v>
      </c>
      <c r="B319" s="2">
        <f>IFERROR(__xludf.DUMMYFUNCTION("""COMPUTED_VALUE"""),157.35)</f>
        <v>157.35</v>
      </c>
      <c r="C319" s="2">
        <f>IFERROR(__xludf.DUMMYFUNCTION("""COMPUTED_VALUE"""),159.89)</f>
        <v>159.89</v>
      </c>
      <c r="D319" s="2">
        <f>IFERROR(__xludf.DUMMYFUNCTION("""COMPUTED_VALUE"""),156.64)</f>
        <v>156.64</v>
      </c>
      <c r="E319" s="2">
        <f>IFERROR(__xludf.DUMMYFUNCTION("""COMPUTED_VALUE"""),158.14)</f>
        <v>158.14</v>
      </c>
      <c r="F319" s="2">
        <f>IFERROR(__xludf.DUMMYFUNCTION("""COMPUTED_VALUE"""),2.153814E7)</f>
        <v>21538140</v>
      </c>
    </row>
    <row r="320">
      <c r="A320" s="3">
        <f>IFERROR(__xludf.DUMMYFUNCTION("""COMPUTED_VALUE"""),45392.66666666667)</f>
        <v>45392.66667</v>
      </c>
      <c r="B320" s="2">
        <f>IFERROR(__xludf.DUMMYFUNCTION("""COMPUTED_VALUE"""),157.88)</f>
        <v>157.88</v>
      </c>
      <c r="C320" s="2">
        <f>IFERROR(__xludf.DUMMYFUNCTION("""COMPUTED_VALUE"""),158.16)</f>
        <v>158.16</v>
      </c>
      <c r="D320" s="2">
        <f>IFERROR(__xludf.DUMMYFUNCTION("""COMPUTED_VALUE"""),156.2)</f>
        <v>156.2</v>
      </c>
      <c r="E320" s="2">
        <f>IFERROR(__xludf.DUMMYFUNCTION("""COMPUTED_VALUE"""),157.66)</f>
        <v>157.66</v>
      </c>
      <c r="F320" s="2">
        <f>IFERROR(__xludf.DUMMYFUNCTION("""COMPUTED_VALUE"""),1.6339174E7)</f>
        <v>16339174</v>
      </c>
    </row>
    <row r="321">
      <c r="A321" s="3">
        <f>IFERROR(__xludf.DUMMYFUNCTION("""COMPUTED_VALUE"""),45393.66666666667)</f>
        <v>45393.66667</v>
      </c>
      <c r="B321" s="2">
        <f>IFERROR(__xludf.DUMMYFUNCTION("""COMPUTED_VALUE"""),158.34)</f>
        <v>158.34</v>
      </c>
      <c r="C321" s="2">
        <f>IFERROR(__xludf.DUMMYFUNCTION("""COMPUTED_VALUE"""),161.12)</f>
        <v>161.12</v>
      </c>
      <c r="D321" s="2">
        <f>IFERROR(__xludf.DUMMYFUNCTION("""COMPUTED_VALUE"""),157.93)</f>
        <v>157.93</v>
      </c>
      <c r="E321" s="2">
        <f>IFERROR(__xludf.DUMMYFUNCTION("""COMPUTED_VALUE"""),160.79)</f>
        <v>160.79</v>
      </c>
      <c r="F321" s="2">
        <f>IFERROR(__xludf.DUMMYFUNCTION("""COMPUTED_VALUE"""),1.7841703E7)</f>
        <v>17841703</v>
      </c>
    </row>
    <row r="322">
      <c r="A322" s="3">
        <f>IFERROR(__xludf.DUMMYFUNCTION("""COMPUTED_VALUE"""),45394.66666666667)</f>
        <v>45394.66667</v>
      </c>
      <c r="B322" s="2">
        <f>IFERROR(__xludf.DUMMYFUNCTION("""COMPUTED_VALUE"""),159.41)</f>
        <v>159.41</v>
      </c>
      <c r="C322" s="2">
        <f>IFERROR(__xludf.DUMMYFUNCTION("""COMPUTED_VALUE"""),161.7)</f>
        <v>161.7</v>
      </c>
      <c r="D322" s="2">
        <f>IFERROR(__xludf.DUMMYFUNCTION("""COMPUTED_VALUE"""),158.6)</f>
        <v>158.6</v>
      </c>
      <c r="E322" s="2">
        <f>IFERROR(__xludf.DUMMYFUNCTION("""COMPUTED_VALUE"""),159.19)</f>
        <v>159.19</v>
      </c>
      <c r="F322" s="2">
        <f>IFERROR(__xludf.DUMMYFUNCTION("""COMPUTED_VALUE"""),1.6989765E7)</f>
        <v>16989765</v>
      </c>
    </row>
    <row r="323">
      <c r="A323" s="3">
        <f>IFERROR(__xludf.DUMMYFUNCTION("""COMPUTED_VALUE"""),45397.66666666667)</f>
        <v>45397.66667</v>
      </c>
      <c r="B323" s="2">
        <f>IFERROR(__xludf.DUMMYFUNCTION("""COMPUTED_VALUE"""),160.28)</f>
        <v>160.28</v>
      </c>
      <c r="C323" s="2">
        <f>IFERROR(__xludf.DUMMYFUNCTION("""COMPUTED_VALUE"""),160.83)</f>
        <v>160.83</v>
      </c>
      <c r="D323" s="2">
        <f>IFERROR(__xludf.DUMMYFUNCTION("""COMPUTED_VALUE"""),156.15)</f>
        <v>156.15</v>
      </c>
      <c r="E323" s="2">
        <f>IFERROR(__xludf.DUMMYFUNCTION("""COMPUTED_VALUE"""),156.33)</f>
        <v>156.33</v>
      </c>
      <c r="F323" s="2">
        <f>IFERROR(__xludf.DUMMYFUNCTION("""COMPUTED_VALUE"""),2.1140948E7)</f>
        <v>21140948</v>
      </c>
    </row>
    <row r="324">
      <c r="A324" s="3">
        <f>IFERROR(__xludf.DUMMYFUNCTION("""COMPUTED_VALUE"""),45398.66666666667)</f>
        <v>45398.66667</v>
      </c>
      <c r="B324" s="2">
        <f>IFERROR(__xludf.DUMMYFUNCTION("""COMPUTED_VALUE"""),155.64)</f>
        <v>155.64</v>
      </c>
      <c r="C324" s="2">
        <f>IFERROR(__xludf.DUMMYFUNCTION("""COMPUTED_VALUE"""),157.23)</f>
        <v>157.23</v>
      </c>
      <c r="D324" s="2">
        <f>IFERROR(__xludf.DUMMYFUNCTION("""COMPUTED_VALUE"""),155.05)</f>
        <v>155.05</v>
      </c>
      <c r="E324" s="2">
        <f>IFERROR(__xludf.DUMMYFUNCTION("""COMPUTED_VALUE"""),156.0)</f>
        <v>156</v>
      </c>
      <c r="F324" s="2">
        <f>IFERROR(__xludf.DUMMYFUNCTION("""COMPUTED_VALUE"""),1.5413201E7)</f>
        <v>15413201</v>
      </c>
    </row>
    <row r="325">
      <c r="A325" s="3">
        <f>IFERROR(__xludf.DUMMYFUNCTION("""COMPUTED_VALUE"""),45399.66666666667)</f>
        <v>45399.66667</v>
      </c>
      <c r="B325" s="2">
        <f>IFERROR(__xludf.DUMMYFUNCTION("""COMPUTED_VALUE"""),157.19)</f>
        <v>157.19</v>
      </c>
      <c r="C325" s="2">
        <f>IFERROR(__xludf.DUMMYFUNCTION("""COMPUTED_VALUE"""),158.68)</f>
        <v>158.68</v>
      </c>
      <c r="D325" s="2">
        <f>IFERROR(__xludf.DUMMYFUNCTION("""COMPUTED_VALUE"""),156.14)</f>
        <v>156.14</v>
      </c>
      <c r="E325" s="2">
        <f>IFERROR(__xludf.DUMMYFUNCTION("""COMPUTED_VALUE"""),156.88)</f>
        <v>156.88</v>
      </c>
      <c r="F325" s="2">
        <f>IFERROR(__xludf.DUMMYFUNCTION("""COMPUTED_VALUE"""),1.6237752E7)</f>
        <v>16237752</v>
      </c>
    </row>
    <row r="326">
      <c r="A326" s="3">
        <f>IFERROR(__xludf.DUMMYFUNCTION("""COMPUTED_VALUE"""),45400.66666666667)</f>
        <v>45400.66667</v>
      </c>
      <c r="B326" s="2">
        <f>IFERROR(__xludf.DUMMYFUNCTION("""COMPUTED_VALUE"""),156.93)</f>
        <v>156.93</v>
      </c>
      <c r="C326" s="2">
        <f>IFERROR(__xludf.DUMMYFUNCTION("""COMPUTED_VALUE"""),158.49)</f>
        <v>158.49</v>
      </c>
      <c r="D326" s="2">
        <f>IFERROR(__xludf.DUMMYFUNCTION("""COMPUTED_VALUE"""),156.21)</f>
        <v>156.21</v>
      </c>
      <c r="E326" s="2">
        <f>IFERROR(__xludf.DUMMYFUNCTION("""COMPUTED_VALUE"""),157.46)</f>
        <v>157.46</v>
      </c>
      <c r="F326" s="2">
        <f>IFERROR(__xludf.DUMMYFUNCTION("""COMPUTED_VALUE"""),1.4016065E7)</f>
        <v>14016065</v>
      </c>
    </row>
    <row r="327">
      <c r="A327" s="3">
        <f>IFERROR(__xludf.DUMMYFUNCTION("""COMPUTED_VALUE"""),45401.66666666667)</f>
        <v>45401.66667</v>
      </c>
      <c r="B327" s="2">
        <f>IFERROR(__xludf.DUMMYFUNCTION("""COMPUTED_VALUE"""),157.75)</f>
        <v>157.75</v>
      </c>
      <c r="C327" s="2">
        <f>IFERROR(__xludf.DUMMYFUNCTION("""COMPUTED_VALUE"""),157.99)</f>
        <v>157.99</v>
      </c>
      <c r="D327" s="2">
        <f>IFERROR(__xludf.DUMMYFUNCTION("""COMPUTED_VALUE"""),153.91)</f>
        <v>153.91</v>
      </c>
      <c r="E327" s="2">
        <f>IFERROR(__xludf.DUMMYFUNCTION("""COMPUTED_VALUE"""),155.72)</f>
        <v>155.72</v>
      </c>
      <c r="F327" s="2">
        <f>IFERROR(__xludf.DUMMYFUNCTION("""COMPUTED_VALUE"""),2.1479881E7)</f>
        <v>21479881</v>
      </c>
    </row>
    <row r="328">
      <c r="A328" s="3">
        <f>IFERROR(__xludf.DUMMYFUNCTION("""COMPUTED_VALUE"""),45404.66666666667)</f>
        <v>45404.66667</v>
      </c>
      <c r="B328" s="2">
        <f>IFERROR(__xludf.DUMMYFUNCTION("""COMPUTED_VALUE"""),156.01)</f>
        <v>156.01</v>
      </c>
      <c r="C328" s="2">
        <f>IFERROR(__xludf.DUMMYFUNCTION("""COMPUTED_VALUE"""),159.19)</f>
        <v>159.19</v>
      </c>
      <c r="D328" s="2">
        <f>IFERROR(__xludf.DUMMYFUNCTION("""COMPUTED_VALUE"""),155.66)</f>
        <v>155.66</v>
      </c>
      <c r="E328" s="2">
        <f>IFERROR(__xludf.DUMMYFUNCTION("""COMPUTED_VALUE"""),157.95)</f>
        <v>157.95</v>
      </c>
      <c r="F328" s="2">
        <f>IFERROR(__xludf.DUMMYFUNCTION("""COMPUTED_VALUE"""),1.724387E7)</f>
        <v>17243870</v>
      </c>
    </row>
    <row r="329">
      <c r="A329" s="3">
        <f>IFERROR(__xludf.DUMMYFUNCTION("""COMPUTED_VALUE"""),45405.66666666667)</f>
        <v>45405.66667</v>
      </c>
      <c r="B329" s="2">
        <f>IFERROR(__xludf.DUMMYFUNCTION("""COMPUTED_VALUE"""),158.59)</f>
        <v>158.59</v>
      </c>
      <c r="C329" s="2">
        <f>IFERROR(__xludf.DUMMYFUNCTION("""COMPUTED_VALUE"""),160.48)</f>
        <v>160.48</v>
      </c>
      <c r="D329" s="2">
        <f>IFERROR(__xludf.DUMMYFUNCTION("""COMPUTED_VALUE"""),157.97)</f>
        <v>157.97</v>
      </c>
      <c r="E329" s="2">
        <f>IFERROR(__xludf.DUMMYFUNCTION("""COMPUTED_VALUE"""),159.92)</f>
        <v>159.92</v>
      </c>
      <c r="F329" s="2">
        <f>IFERROR(__xludf.DUMMYFUNCTION("""COMPUTED_VALUE"""),1.6115408E7)</f>
        <v>16115408</v>
      </c>
    </row>
    <row r="330">
      <c r="A330" s="3">
        <f>IFERROR(__xludf.DUMMYFUNCTION("""COMPUTED_VALUE"""),45406.66666666667)</f>
        <v>45406.66667</v>
      </c>
      <c r="B330" s="2">
        <f>IFERROR(__xludf.DUMMYFUNCTION("""COMPUTED_VALUE"""),159.09)</f>
        <v>159.09</v>
      </c>
      <c r="C330" s="2">
        <f>IFERROR(__xludf.DUMMYFUNCTION("""COMPUTED_VALUE"""),161.39)</f>
        <v>161.39</v>
      </c>
      <c r="D330" s="2">
        <f>IFERROR(__xludf.DUMMYFUNCTION("""COMPUTED_VALUE"""),158.82)</f>
        <v>158.82</v>
      </c>
      <c r="E330" s="2">
        <f>IFERROR(__xludf.DUMMYFUNCTION("""COMPUTED_VALUE"""),161.1)</f>
        <v>161.1</v>
      </c>
      <c r="F330" s="2">
        <f>IFERROR(__xludf.DUMMYFUNCTION("""COMPUTED_VALUE"""),1.9485694E7)</f>
        <v>19485694</v>
      </c>
    </row>
    <row r="331">
      <c r="A331" s="3">
        <f>IFERROR(__xludf.DUMMYFUNCTION("""COMPUTED_VALUE"""),45407.66666666667)</f>
        <v>45407.66667</v>
      </c>
      <c r="B331" s="2">
        <f>IFERROR(__xludf.DUMMYFUNCTION("""COMPUTED_VALUE"""),153.36)</f>
        <v>153.36</v>
      </c>
      <c r="C331" s="2">
        <f>IFERROR(__xludf.DUMMYFUNCTION("""COMPUTED_VALUE"""),158.28)</f>
        <v>158.28</v>
      </c>
      <c r="D331" s="2">
        <f>IFERROR(__xludf.DUMMYFUNCTION("""COMPUTED_VALUE"""),152.77)</f>
        <v>152.77</v>
      </c>
      <c r="E331" s="2">
        <f>IFERROR(__xludf.DUMMYFUNCTION("""COMPUTED_VALUE"""),157.95)</f>
        <v>157.95</v>
      </c>
      <c r="F331" s="2">
        <f>IFERROR(__xludf.DUMMYFUNCTION("""COMPUTED_VALUE"""),3.6197789E7)</f>
        <v>36197789</v>
      </c>
    </row>
    <row r="332">
      <c r="A332" s="3">
        <f>IFERROR(__xludf.DUMMYFUNCTION("""COMPUTED_VALUE"""),45408.66666666667)</f>
        <v>45408.66667</v>
      </c>
      <c r="B332" s="2">
        <f>IFERROR(__xludf.DUMMYFUNCTION("""COMPUTED_VALUE"""),175.99)</f>
        <v>175.99</v>
      </c>
      <c r="C332" s="2">
        <f>IFERROR(__xludf.DUMMYFUNCTION("""COMPUTED_VALUE"""),176.42)</f>
        <v>176.42</v>
      </c>
      <c r="D332" s="2">
        <f>IFERROR(__xludf.DUMMYFUNCTION("""COMPUTED_VALUE"""),171.4)</f>
        <v>171.4</v>
      </c>
      <c r="E332" s="2">
        <f>IFERROR(__xludf.DUMMYFUNCTION("""COMPUTED_VALUE"""),173.69)</f>
        <v>173.69</v>
      </c>
      <c r="F332" s="2">
        <f>IFERROR(__xludf.DUMMYFUNCTION("""COMPUTED_VALUE"""),5.6500787E7)</f>
        <v>56500787</v>
      </c>
    </row>
    <row r="333">
      <c r="A333" s="3">
        <f>IFERROR(__xludf.DUMMYFUNCTION("""COMPUTED_VALUE"""),45411.66666666667)</f>
        <v>45411.66667</v>
      </c>
      <c r="B333" s="2">
        <f>IFERROR(__xludf.DUMMYFUNCTION("""COMPUTED_VALUE"""),170.77)</f>
        <v>170.77</v>
      </c>
      <c r="C333" s="2">
        <f>IFERROR(__xludf.DUMMYFUNCTION("""COMPUTED_VALUE"""),171.38)</f>
        <v>171.38</v>
      </c>
      <c r="D333" s="2">
        <f>IFERROR(__xludf.DUMMYFUNCTION("""COMPUTED_VALUE"""),167.06)</f>
        <v>167.06</v>
      </c>
      <c r="E333" s="2">
        <f>IFERROR(__xludf.DUMMYFUNCTION("""COMPUTED_VALUE"""),167.9)</f>
        <v>167.9</v>
      </c>
      <c r="F333" s="2">
        <f>IFERROR(__xludf.DUMMYFUNCTION("""COMPUTED_VALUE"""),3.5914561E7)</f>
        <v>35914561</v>
      </c>
    </row>
    <row r="334">
      <c r="A334" s="3">
        <f>IFERROR(__xludf.DUMMYFUNCTION("""COMPUTED_VALUE"""),45412.66666666667)</f>
        <v>45412.66667</v>
      </c>
      <c r="B334" s="2">
        <f>IFERROR(__xludf.DUMMYFUNCTION("""COMPUTED_VALUE"""),167.38)</f>
        <v>167.38</v>
      </c>
      <c r="C334" s="2">
        <f>IFERROR(__xludf.DUMMYFUNCTION("""COMPUTED_VALUE"""),169.87)</f>
        <v>169.87</v>
      </c>
      <c r="D334" s="2">
        <f>IFERROR(__xludf.DUMMYFUNCTION("""COMPUTED_VALUE"""),164.5)</f>
        <v>164.5</v>
      </c>
      <c r="E334" s="2">
        <f>IFERROR(__xludf.DUMMYFUNCTION("""COMPUTED_VALUE"""),164.64)</f>
        <v>164.64</v>
      </c>
      <c r="F334" s="2">
        <f>IFERROR(__xludf.DUMMYFUNCTION("""COMPUTED_VALUE"""),2.9420755E7)</f>
        <v>29420755</v>
      </c>
    </row>
    <row r="335">
      <c r="A335" s="3">
        <f>IFERROR(__xludf.DUMMYFUNCTION("""COMPUTED_VALUE"""),45413.66666666667)</f>
        <v>45413.66667</v>
      </c>
      <c r="B335" s="2">
        <f>IFERROR(__xludf.DUMMYFUNCTION("""COMPUTED_VALUE"""),166.18)</f>
        <v>166.18</v>
      </c>
      <c r="C335" s="2">
        <f>IFERROR(__xludf.DUMMYFUNCTION("""COMPUTED_VALUE"""),168.81)</f>
        <v>168.81</v>
      </c>
      <c r="D335" s="2">
        <f>IFERROR(__xludf.DUMMYFUNCTION("""COMPUTED_VALUE"""),164.9)</f>
        <v>164.9</v>
      </c>
      <c r="E335" s="2">
        <f>IFERROR(__xludf.DUMMYFUNCTION("""COMPUTED_VALUE"""),165.57)</f>
        <v>165.57</v>
      </c>
      <c r="F335" s="2">
        <f>IFERROR(__xludf.DUMMYFUNCTION("""COMPUTED_VALUE"""),2.5223245E7)</f>
        <v>25223245</v>
      </c>
    </row>
    <row r="336">
      <c r="A336" s="3">
        <f>IFERROR(__xludf.DUMMYFUNCTION("""COMPUTED_VALUE"""),45414.66666666667)</f>
        <v>45414.66667</v>
      </c>
      <c r="B336" s="2">
        <f>IFERROR(__xludf.DUMMYFUNCTION("""COMPUTED_VALUE"""),166.67)</f>
        <v>166.67</v>
      </c>
      <c r="C336" s="2">
        <f>IFERROR(__xludf.DUMMYFUNCTION("""COMPUTED_VALUE"""),168.53)</f>
        <v>168.53</v>
      </c>
      <c r="D336" s="2">
        <f>IFERROR(__xludf.DUMMYFUNCTION("""COMPUTED_VALUE"""),165.69)</f>
        <v>165.69</v>
      </c>
      <c r="E336" s="2">
        <f>IFERROR(__xludf.DUMMYFUNCTION("""COMPUTED_VALUE"""),168.46)</f>
        <v>168.46</v>
      </c>
      <c r="F336" s="2">
        <f>IFERROR(__xludf.DUMMYFUNCTION("""COMPUTED_VALUE"""),1.7041119E7)</f>
        <v>17041119</v>
      </c>
    </row>
    <row r="337">
      <c r="A337" s="3">
        <f>IFERROR(__xludf.DUMMYFUNCTION("""COMPUTED_VALUE"""),45415.66666666667)</f>
        <v>45415.66667</v>
      </c>
      <c r="B337" s="2">
        <f>IFERROR(__xludf.DUMMYFUNCTION("""COMPUTED_VALUE"""),169.54)</f>
        <v>169.54</v>
      </c>
      <c r="C337" s="2">
        <f>IFERROR(__xludf.DUMMYFUNCTION("""COMPUTED_VALUE"""),169.85)</f>
        <v>169.85</v>
      </c>
      <c r="D337" s="2">
        <f>IFERROR(__xludf.DUMMYFUNCTION("""COMPUTED_VALUE"""),164.98)</f>
        <v>164.98</v>
      </c>
      <c r="E337" s="2">
        <f>IFERROR(__xludf.DUMMYFUNCTION("""COMPUTED_VALUE"""),168.99)</f>
        <v>168.99</v>
      </c>
      <c r="F337" s="2">
        <f>IFERROR(__xludf.DUMMYFUNCTION("""COMPUTED_VALUE"""),2.2767056E7)</f>
        <v>22767056</v>
      </c>
    </row>
    <row r="338">
      <c r="A338" s="3">
        <f>IFERROR(__xludf.DUMMYFUNCTION("""COMPUTED_VALUE"""),45418.66666666667)</f>
        <v>45418.66667</v>
      </c>
      <c r="B338" s="2">
        <f>IFERROR(__xludf.DUMMYFUNCTION("""COMPUTED_VALUE"""),169.22)</f>
        <v>169.22</v>
      </c>
      <c r="C338" s="2">
        <f>IFERROR(__xludf.DUMMYFUNCTION("""COMPUTED_VALUE"""),169.9)</f>
        <v>169.9</v>
      </c>
      <c r="D338" s="2">
        <f>IFERROR(__xludf.DUMMYFUNCTION("""COMPUTED_VALUE"""),167.89)</f>
        <v>167.89</v>
      </c>
      <c r="E338" s="2">
        <f>IFERROR(__xludf.DUMMYFUNCTION("""COMPUTED_VALUE"""),169.83)</f>
        <v>169.83</v>
      </c>
      <c r="F338" s="2">
        <f>IFERROR(__xludf.DUMMYFUNCTION("""COMPUTED_VALUE"""),1.5147906E7)</f>
        <v>15147906</v>
      </c>
    </row>
    <row r="339">
      <c r="A339" s="3">
        <f>IFERROR(__xludf.DUMMYFUNCTION("""COMPUTED_VALUE"""),45419.66666666667)</f>
        <v>45419.66667</v>
      </c>
      <c r="B339" s="2">
        <f>IFERROR(__xludf.DUMMYFUNCTION("""COMPUTED_VALUE"""),170.12)</f>
        <v>170.12</v>
      </c>
      <c r="C339" s="2">
        <f>IFERROR(__xludf.DUMMYFUNCTION("""COMPUTED_VALUE"""),173.47)</f>
        <v>173.47</v>
      </c>
      <c r="D339" s="2">
        <f>IFERROR(__xludf.DUMMYFUNCTION("""COMPUTED_VALUE"""),170.0)</f>
        <v>170</v>
      </c>
      <c r="E339" s="2">
        <f>IFERROR(__xludf.DUMMYFUNCTION("""COMPUTED_VALUE"""),172.98)</f>
        <v>172.98</v>
      </c>
      <c r="F339" s="2">
        <f>IFERROR(__xludf.DUMMYFUNCTION("""COMPUTED_VALUE"""),2.1102434E7)</f>
        <v>21102434</v>
      </c>
    </row>
    <row r="340">
      <c r="A340" s="3">
        <f>IFERROR(__xludf.DUMMYFUNCTION("""COMPUTED_VALUE"""),45420.66666666667)</f>
        <v>45420.66667</v>
      </c>
      <c r="B340" s="2">
        <f>IFERROR(__xludf.DUMMYFUNCTION("""COMPUTED_VALUE"""),170.75)</f>
        <v>170.75</v>
      </c>
      <c r="C340" s="2">
        <f>IFERROR(__xludf.DUMMYFUNCTION("""COMPUTED_VALUE"""),171.91)</f>
        <v>171.91</v>
      </c>
      <c r="D340" s="2">
        <f>IFERROR(__xludf.DUMMYFUNCTION("""COMPUTED_VALUE"""),170.52)</f>
        <v>170.52</v>
      </c>
      <c r="E340" s="2">
        <f>IFERROR(__xludf.DUMMYFUNCTION("""COMPUTED_VALUE"""),171.16)</f>
        <v>171.16</v>
      </c>
      <c r="F340" s="2">
        <f>IFERROR(__xludf.DUMMYFUNCTION("""COMPUTED_VALUE"""),1.4569858E7)</f>
        <v>14569858</v>
      </c>
    </row>
    <row r="341">
      <c r="A341" s="3">
        <f>IFERROR(__xludf.DUMMYFUNCTION("""COMPUTED_VALUE"""),45421.66666666667)</f>
        <v>45421.66667</v>
      </c>
      <c r="B341" s="2">
        <f>IFERROR(__xludf.DUMMYFUNCTION("""COMPUTED_VALUE"""),171.15)</f>
        <v>171.15</v>
      </c>
      <c r="C341" s="2">
        <f>IFERROR(__xludf.DUMMYFUNCTION("""COMPUTED_VALUE"""),172.44)</f>
        <v>172.44</v>
      </c>
      <c r="D341" s="2">
        <f>IFERROR(__xludf.DUMMYFUNCTION("""COMPUTED_VALUE"""),169.93)</f>
        <v>169.93</v>
      </c>
      <c r="E341" s="2">
        <f>IFERROR(__xludf.DUMMYFUNCTION("""COMPUTED_VALUE"""),171.58)</f>
        <v>171.58</v>
      </c>
      <c r="F341" s="2">
        <f>IFERROR(__xludf.DUMMYFUNCTION("""COMPUTED_VALUE"""),1.1937704E7)</f>
        <v>11937704</v>
      </c>
    </row>
    <row r="342">
      <c r="A342" s="3">
        <f>IFERROR(__xludf.DUMMYFUNCTION("""COMPUTED_VALUE"""),45422.66666666667)</f>
        <v>45422.66667</v>
      </c>
      <c r="B342" s="2">
        <f>IFERROR(__xludf.DUMMYFUNCTION("""COMPUTED_VALUE"""),169.69)</f>
        <v>169.69</v>
      </c>
      <c r="C342" s="2">
        <f>IFERROR(__xludf.DUMMYFUNCTION("""COMPUTED_VALUE"""),171.34)</f>
        <v>171.34</v>
      </c>
      <c r="D342" s="2">
        <f>IFERROR(__xludf.DUMMYFUNCTION("""COMPUTED_VALUE"""),167.91)</f>
        <v>167.91</v>
      </c>
      <c r="E342" s="2">
        <f>IFERROR(__xludf.DUMMYFUNCTION("""COMPUTED_VALUE"""),170.29)</f>
        <v>170.29</v>
      </c>
      <c r="F342" s="2">
        <f>IFERROR(__xludf.DUMMYFUNCTION("""COMPUTED_VALUE"""),1.8740458E7)</f>
        <v>18740458</v>
      </c>
    </row>
    <row r="343">
      <c r="A343" s="3">
        <f>IFERROR(__xludf.DUMMYFUNCTION("""COMPUTED_VALUE"""),45425.66666666667)</f>
        <v>45425.66667</v>
      </c>
      <c r="B343" s="2">
        <f>IFERROR(__xludf.DUMMYFUNCTION("""COMPUTED_VALUE"""),165.85)</f>
        <v>165.85</v>
      </c>
      <c r="C343" s="2">
        <f>IFERROR(__xludf.DUMMYFUNCTION("""COMPUTED_VALUE"""),170.95)</f>
        <v>170.95</v>
      </c>
      <c r="D343" s="2">
        <f>IFERROR(__xludf.DUMMYFUNCTION("""COMPUTED_VALUE"""),165.76)</f>
        <v>165.76</v>
      </c>
      <c r="E343" s="2">
        <f>IFERROR(__xludf.DUMMYFUNCTION("""COMPUTED_VALUE"""),170.9)</f>
        <v>170.9</v>
      </c>
      <c r="F343" s="2">
        <f>IFERROR(__xludf.DUMMYFUNCTION("""COMPUTED_VALUE"""),1.9648585E7)</f>
        <v>19648585</v>
      </c>
    </row>
    <row r="344">
      <c r="A344" s="3">
        <f>IFERROR(__xludf.DUMMYFUNCTION("""COMPUTED_VALUE"""),45426.66666666667)</f>
        <v>45426.66667</v>
      </c>
      <c r="B344" s="2">
        <f>IFERROR(__xludf.DUMMYFUNCTION("""COMPUTED_VALUE"""),171.59)</f>
        <v>171.59</v>
      </c>
      <c r="C344" s="2">
        <f>IFERROR(__xludf.DUMMYFUNCTION("""COMPUTED_VALUE"""),172.78)</f>
        <v>172.78</v>
      </c>
      <c r="D344" s="2">
        <f>IFERROR(__xludf.DUMMYFUNCTION("""COMPUTED_VALUE"""),170.42)</f>
        <v>170.42</v>
      </c>
      <c r="E344" s="2">
        <f>IFERROR(__xludf.DUMMYFUNCTION("""COMPUTED_VALUE"""),171.93)</f>
        <v>171.93</v>
      </c>
      <c r="F344" s="2">
        <f>IFERROR(__xludf.DUMMYFUNCTION("""COMPUTED_VALUE"""),1.8729463E7)</f>
        <v>18729463</v>
      </c>
    </row>
    <row r="345">
      <c r="A345" s="3">
        <f>IFERROR(__xludf.DUMMYFUNCTION("""COMPUTED_VALUE"""),45427.66666666667)</f>
        <v>45427.66667</v>
      </c>
      <c r="B345" s="2">
        <f>IFERROR(__xludf.DUMMYFUNCTION("""COMPUTED_VALUE"""),172.3)</f>
        <v>172.3</v>
      </c>
      <c r="C345" s="2">
        <f>IFERROR(__xludf.DUMMYFUNCTION("""COMPUTED_VALUE"""),174.05)</f>
        <v>174.05</v>
      </c>
      <c r="D345" s="2">
        <f>IFERROR(__xludf.DUMMYFUNCTION("""COMPUTED_VALUE"""),172.03)</f>
        <v>172.03</v>
      </c>
      <c r="E345" s="2">
        <f>IFERROR(__xludf.DUMMYFUNCTION("""COMPUTED_VALUE"""),173.88)</f>
        <v>173.88</v>
      </c>
      <c r="F345" s="2">
        <f>IFERROR(__xludf.DUMMYFUNCTION("""COMPUTED_VALUE"""),2.0958245E7)</f>
        <v>20958245</v>
      </c>
    </row>
    <row r="346">
      <c r="A346" s="3">
        <f>IFERROR(__xludf.DUMMYFUNCTION("""COMPUTED_VALUE"""),45428.66666666667)</f>
        <v>45428.66667</v>
      </c>
      <c r="B346" s="2">
        <f>IFERROR(__xludf.DUMMYFUNCTION("""COMPUTED_VALUE"""),174.6)</f>
        <v>174.6</v>
      </c>
      <c r="C346" s="2">
        <f>IFERROR(__xludf.DUMMYFUNCTION("""COMPUTED_VALUE"""),176.34)</f>
        <v>176.34</v>
      </c>
      <c r="D346" s="2">
        <f>IFERROR(__xludf.DUMMYFUNCTION("""COMPUTED_VALUE"""),174.05)</f>
        <v>174.05</v>
      </c>
      <c r="E346" s="2">
        <f>IFERROR(__xludf.DUMMYFUNCTION("""COMPUTED_VALUE"""),175.43)</f>
        <v>175.43</v>
      </c>
      <c r="F346" s="2">
        <f>IFERROR(__xludf.DUMMYFUNCTION("""COMPUTED_VALUE"""),1.7247311E7)</f>
        <v>17247311</v>
      </c>
    </row>
    <row r="347">
      <c r="A347" s="3">
        <f>IFERROR(__xludf.DUMMYFUNCTION("""COMPUTED_VALUE"""),45429.66666666667)</f>
        <v>45429.66667</v>
      </c>
      <c r="B347" s="2">
        <f>IFERROR(__xludf.DUMMYFUNCTION("""COMPUTED_VALUE"""),175.55)</f>
        <v>175.55</v>
      </c>
      <c r="C347" s="2">
        <f>IFERROR(__xludf.DUMMYFUNCTION("""COMPUTED_VALUE"""),177.5)</f>
        <v>177.5</v>
      </c>
      <c r="D347" s="2">
        <f>IFERROR(__xludf.DUMMYFUNCTION("""COMPUTED_VALUE"""),174.98)</f>
        <v>174.98</v>
      </c>
      <c r="E347" s="2">
        <f>IFERROR(__xludf.DUMMYFUNCTION("""COMPUTED_VALUE"""),177.29)</f>
        <v>177.29</v>
      </c>
      <c r="F347" s="2">
        <f>IFERROR(__xludf.DUMMYFUNCTION("""COMPUTED_VALUE"""),1.6546353E7)</f>
        <v>16546353</v>
      </c>
    </row>
    <row r="348">
      <c r="A348" s="3">
        <f>IFERROR(__xludf.DUMMYFUNCTION("""COMPUTED_VALUE"""),45432.66666666667)</f>
        <v>45432.66667</v>
      </c>
      <c r="B348" s="2">
        <f>IFERROR(__xludf.DUMMYFUNCTION("""COMPUTED_VALUE"""),177.31)</f>
        <v>177.31</v>
      </c>
      <c r="C348" s="2">
        <f>IFERROR(__xludf.DUMMYFUNCTION("""COMPUTED_VALUE"""),179.95)</f>
        <v>179.95</v>
      </c>
      <c r="D348" s="2">
        <f>IFERROR(__xludf.DUMMYFUNCTION("""COMPUTED_VALUE"""),177.23)</f>
        <v>177.23</v>
      </c>
      <c r="E348" s="2">
        <f>IFERROR(__xludf.DUMMYFUNCTION("""COMPUTED_VALUE"""),178.46)</f>
        <v>178.46</v>
      </c>
      <c r="F348" s="2">
        <f>IFERROR(__xludf.DUMMYFUNCTION("""COMPUTED_VALUE"""),1.7495122E7)</f>
        <v>17495122</v>
      </c>
    </row>
    <row r="349">
      <c r="A349" s="3">
        <f>IFERROR(__xludf.DUMMYFUNCTION("""COMPUTED_VALUE"""),45433.66666666667)</f>
        <v>45433.66667</v>
      </c>
      <c r="B349" s="2">
        <f>IFERROR(__xludf.DUMMYFUNCTION("""COMPUTED_VALUE"""),178.4)</f>
        <v>178.4</v>
      </c>
      <c r="C349" s="2">
        <f>IFERROR(__xludf.DUMMYFUNCTION("""COMPUTED_VALUE"""),179.82)</f>
        <v>179.82</v>
      </c>
      <c r="D349" s="2">
        <f>IFERROR(__xludf.DUMMYFUNCTION("""COMPUTED_VALUE"""),177.31)</f>
        <v>177.31</v>
      </c>
      <c r="E349" s="2">
        <f>IFERROR(__xludf.DUMMYFUNCTION("""COMPUTED_VALUE"""),179.54)</f>
        <v>179.54</v>
      </c>
      <c r="F349" s="2">
        <f>IFERROR(__xludf.DUMMYFUNCTION("""COMPUTED_VALUE"""),1.4706021E7)</f>
        <v>14706021</v>
      </c>
    </row>
    <row r="350">
      <c r="A350" s="3">
        <f>IFERROR(__xludf.DUMMYFUNCTION("""COMPUTED_VALUE"""),45434.66666666667)</f>
        <v>45434.66667</v>
      </c>
      <c r="B350" s="2">
        <f>IFERROR(__xludf.DUMMYFUNCTION("""COMPUTED_VALUE"""),178.4)</f>
        <v>178.4</v>
      </c>
      <c r="C350" s="2">
        <f>IFERROR(__xludf.DUMMYFUNCTION("""COMPUTED_VALUE"""),178.85)</f>
        <v>178.85</v>
      </c>
      <c r="D350" s="2">
        <f>IFERROR(__xludf.DUMMYFUNCTION("""COMPUTED_VALUE"""),176.78)</f>
        <v>176.78</v>
      </c>
      <c r="E350" s="2">
        <f>IFERROR(__xludf.DUMMYFUNCTION("""COMPUTED_VALUE"""),178.0)</f>
        <v>178</v>
      </c>
      <c r="F350" s="2">
        <f>IFERROR(__xludf.DUMMYFUNCTION("""COMPUTED_VALUE"""),1.6189404E7)</f>
        <v>16189404</v>
      </c>
    </row>
    <row r="351">
      <c r="A351" s="3">
        <f>IFERROR(__xludf.DUMMYFUNCTION("""COMPUTED_VALUE"""),45435.66666666667)</f>
        <v>45435.66667</v>
      </c>
      <c r="B351" s="2">
        <f>IFERROR(__xludf.DUMMYFUNCTION("""COMPUTED_VALUE"""),178.78)</f>
        <v>178.78</v>
      </c>
      <c r="C351" s="2">
        <f>IFERROR(__xludf.DUMMYFUNCTION("""COMPUTED_VALUE"""),179.91)</f>
        <v>179.91</v>
      </c>
      <c r="D351" s="2">
        <f>IFERROR(__xludf.DUMMYFUNCTION("""COMPUTED_VALUE"""),174.54)</f>
        <v>174.54</v>
      </c>
      <c r="E351" s="2">
        <f>IFERROR(__xludf.DUMMYFUNCTION("""COMPUTED_VALUE"""),175.06)</f>
        <v>175.06</v>
      </c>
      <c r="F351" s="2">
        <f>IFERROR(__xludf.DUMMYFUNCTION("""COMPUTED_VALUE"""),1.4928363E7)</f>
        <v>14928363</v>
      </c>
    </row>
    <row r="352">
      <c r="A352" s="3">
        <f>IFERROR(__xludf.DUMMYFUNCTION("""COMPUTED_VALUE"""),45436.66666666667)</f>
        <v>45436.66667</v>
      </c>
      <c r="B352" s="2">
        <f>IFERROR(__xludf.DUMMYFUNCTION("""COMPUTED_VALUE"""),176.52)</f>
        <v>176.52</v>
      </c>
      <c r="C352" s="2">
        <f>IFERROR(__xludf.DUMMYFUNCTION("""COMPUTED_VALUE"""),177.3)</f>
        <v>177.3</v>
      </c>
      <c r="D352" s="2">
        <f>IFERROR(__xludf.DUMMYFUNCTION("""COMPUTED_VALUE"""),175.2)</f>
        <v>175.2</v>
      </c>
      <c r="E352" s="2">
        <f>IFERROR(__xludf.DUMMYFUNCTION("""COMPUTED_VALUE"""),176.33)</f>
        <v>176.33</v>
      </c>
      <c r="F352" s="2">
        <f>IFERROR(__xludf.DUMMYFUNCTION("""COMPUTED_VALUE"""),1.140356E7)</f>
        <v>11403560</v>
      </c>
    </row>
    <row r="353">
      <c r="A353" s="3">
        <f>IFERROR(__xludf.DUMMYFUNCTION("""COMPUTED_VALUE"""),45440.66666666667)</f>
        <v>45440.66667</v>
      </c>
      <c r="B353" s="2">
        <f>IFERROR(__xludf.DUMMYFUNCTION("""COMPUTED_VALUE"""),175.74)</f>
        <v>175.74</v>
      </c>
      <c r="C353" s="2">
        <f>IFERROR(__xludf.DUMMYFUNCTION("""COMPUTED_VALUE"""),178.51)</f>
        <v>178.51</v>
      </c>
      <c r="D353" s="2">
        <f>IFERROR(__xludf.DUMMYFUNCTION("""COMPUTED_VALUE"""),175.68)</f>
        <v>175.68</v>
      </c>
      <c r="E353" s="2">
        <f>IFERROR(__xludf.DUMMYFUNCTION("""COMPUTED_VALUE"""),178.02)</f>
        <v>178.02</v>
      </c>
      <c r="F353" s="2">
        <f>IFERROR(__xludf.DUMMYFUNCTION("""COMPUTED_VALUE"""),1.565534E7)</f>
        <v>15655340</v>
      </c>
    </row>
    <row r="354">
      <c r="A354" s="3">
        <f>IFERROR(__xludf.DUMMYFUNCTION("""COMPUTED_VALUE"""),45441.66666666667)</f>
        <v>45441.66667</v>
      </c>
      <c r="B354" s="2">
        <f>IFERROR(__xludf.DUMMYFUNCTION("""COMPUTED_VALUE"""),176.81)</f>
        <v>176.81</v>
      </c>
      <c r="C354" s="2">
        <f>IFERROR(__xludf.DUMMYFUNCTION("""COMPUTED_VALUE"""),178.23)</f>
        <v>178.23</v>
      </c>
      <c r="D354" s="2">
        <f>IFERROR(__xludf.DUMMYFUNCTION("""COMPUTED_VALUE"""),176.26)</f>
        <v>176.26</v>
      </c>
      <c r="E354" s="2">
        <f>IFERROR(__xludf.DUMMYFUNCTION("""COMPUTED_VALUE"""),177.4)</f>
        <v>177.4</v>
      </c>
      <c r="F354" s="2">
        <f>IFERROR(__xludf.DUMMYFUNCTION("""COMPUTED_VALUE"""),1.5023847E7)</f>
        <v>15023847</v>
      </c>
    </row>
    <row r="355">
      <c r="A355" s="3">
        <f>IFERROR(__xludf.DUMMYFUNCTION("""COMPUTED_VALUE"""),45442.66666666667)</f>
        <v>45442.66667</v>
      </c>
      <c r="B355" s="2">
        <f>IFERROR(__xludf.DUMMYFUNCTION("""COMPUTED_VALUE"""),176.69)</f>
        <v>176.69</v>
      </c>
      <c r="C355" s="2">
        <f>IFERROR(__xludf.DUMMYFUNCTION("""COMPUTED_VALUE"""),176.69)</f>
        <v>176.69</v>
      </c>
      <c r="D355" s="2">
        <f>IFERROR(__xludf.DUMMYFUNCTION("""COMPUTED_VALUE"""),173.23)</f>
        <v>173.23</v>
      </c>
      <c r="E355" s="2">
        <f>IFERROR(__xludf.DUMMYFUNCTION("""COMPUTED_VALUE"""),173.56)</f>
        <v>173.56</v>
      </c>
      <c r="F355" s="2">
        <f>IFERROR(__xludf.DUMMYFUNCTION("""COMPUTED_VALUE"""),1.8844036E7)</f>
        <v>18844036</v>
      </c>
    </row>
    <row r="356">
      <c r="A356" s="3">
        <f>IFERROR(__xludf.DUMMYFUNCTION("""COMPUTED_VALUE"""),45443.66666666667)</f>
        <v>45443.66667</v>
      </c>
      <c r="B356" s="2">
        <f>IFERROR(__xludf.DUMMYFUNCTION("""COMPUTED_VALUE"""),173.4)</f>
        <v>173.4</v>
      </c>
      <c r="C356" s="2">
        <f>IFERROR(__xludf.DUMMYFUNCTION("""COMPUTED_VALUE"""),174.42)</f>
        <v>174.42</v>
      </c>
      <c r="D356" s="2">
        <f>IFERROR(__xludf.DUMMYFUNCTION("""COMPUTED_VALUE"""),170.97)</f>
        <v>170.97</v>
      </c>
      <c r="E356" s="2">
        <f>IFERROR(__xludf.DUMMYFUNCTION("""COMPUTED_VALUE"""),173.96)</f>
        <v>173.96</v>
      </c>
      <c r="F356" s="2">
        <f>IFERROR(__xludf.DUMMYFUNCTION("""COMPUTED_VALUE"""),2.8085151E7)</f>
        <v>28085151</v>
      </c>
    </row>
    <row r="357">
      <c r="A357" s="3">
        <f>IFERROR(__xludf.DUMMYFUNCTION("""COMPUTED_VALUE"""),45446.66666666667)</f>
        <v>45446.66667</v>
      </c>
      <c r="B357" s="2">
        <f>IFERROR(__xludf.DUMMYFUNCTION("""COMPUTED_VALUE"""),173.88)</f>
        <v>173.88</v>
      </c>
      <c r="C357" s="2">
        <f>IFERROR(__xludf.DUMMYFUNCTION("""COMPUTED_VALUE"""),175.86)</f>
        <v>175.86</v>
      </c>
      <c r="D357" s="2">
        <f>IFERROR(__xludf.DUMMYFUNCTION("""COMPUTED_VALUE"""),172.45)</f>
        <v>172.45</v>
      </c>
      <c r="E357" s="2">
        <f>IFERROR(__xludf.DUMMYFUNCTION("""COMPUTED_VALUE"""),174.42)</f>
        <v>174.42</v>
      </c>
      <c r="F357" s="2">
        <f>IFERROR(__xludf.DUMMYFUNCTION("""COMPUTED_VALUE"""),2.0742798E7)</f>
        <v>20742798</v>
      </c>
    </row>
    <row r="358">
      <c r="A358" s="3">
        <f>IFERROR(__xludf.DUMMYFUNCTION("""COMPUTED_VALUE"""),45447.66666666667)</f>
        <v>45447.66667</v>
      </c>
      <c r="B358" s="2">
        <f>IFERROR(__xludf.DUMMYFUNCTION("""COMPUTED_VALUE"""),174.45)</f>
        <v>174.45</v>
      </c>
      <c r="C358" s="2">
        <f>IFERROR(__xludf.DUMMYFUNCTION("""COMPUTED_VALUE"""),175.19)</f>
        <v>175.19</v>
      </c>
      <c r="D358" s="2">
        <f>IFERROR(__xludf.DUMMYFUNCTION("""COMPUTED_VALUE"""),173.22)</f>
        <v>173.22</v>
      </c>
      <c r="E358" s="2">
        <f>IFERROR(__xludf.DUMMYFUNCTION("""COMPUTED_VALUE"""),175.13)</f>
        <v>175.13</v>
      </c>
      <c r="F358" s="2">
        <f>IFERROR(__xludf.DUMMYFUNCTION("""COMPUTED_VALUE"""),1.4066602E7)</f>
        <v>14066602</v>
      </c>
    </row>
    <row r="359">
      <c r="A359" s="3">
        <f>IFERROR(__xludf.DUMMYFUNCTION("""COMPUTED_VALUE"""),45448.66666666667)</f>
        <v>45448.66667</v>
      </c>
      <c r="B359" s="2">
        <f>IFERROR(__xludf.DUMMYFUNCTION("""COMPUTED_VALUE"""),176.54)</f>
        <v>176.54</v>
      </c>
      <c r="C359" s="2">
        <f>IFERROR(__xludf.DUMMYFUNCTION("""COMPUTED_VALUE"""),177.97)</f>
        <v>177.97</v>
      </c>
      <c r="D359" s="2">
        <f>IFERROR(__xludf.DUMMYFUNCTION("""COMPUTED_VALUE"""),175.29)</f>
        <v>175.29</v>
      </c>
      <c r="E359" s="2">
        <f>IFERROR(__xludf.DUMMYFUNCTION("""COMPUTED_VALUE"""),177.07)</f>
        <v>177.07</v>
      </c>
      <c r="F359" s="2">
        <f>IFERROR(__xludf.DUMMYFUNCTION("""COMPUTED_VALUE"""),1.5233861E7)</f>
        <v>15233861</v>
      </c>
    </row>
    <row r="360">
      <c r="A360" s="3">
        <f>IFERROR(__xludf.DUMMYFUNCTION("""COMPUTED_VALUE"""),45449.66666666667)</f>
        <v>45449.66667</v>
      </c>
      <c r="B360" s="2">
        <f>IFERROR(__xludf.DUMMYFUNCTION("""COMPUTED_VALUE"""),177.43)</f>
        <v>177.43</v>
      </c>
      <c r="C360" s="2">
        <f>IFERROR(__xludf.DUMMYFUNCTION("""COMPUTED_VALUE"""),178.71)</f>
        <v>178.71</v>
      </c>
      <c r="D360" s="2">
        <f>IFERROR(__xludf.DUMMYFUNCTION("""COMPUTED_VALUE"""),177.21)</f>
        <v>177.21</v>
      </c>
      <c r="E360" s="2">
        <f>IFERROR(__xludf.DUMMYFUNCTION("""COMPUTED_VALUE"""),178.35)</f>
        <v>178.35</v>
      </c>
      <c r="F360" s="2">
        <f>IFERROR(__xludf.DUMMYFUNCTION("""COMPUTED_VALUE"""),1.4255818E7)</f>
        <v>14255818</v>
      </c>
    </row>
    <row r="361">
      <c r="A361" s="3">
        <f>IFERROR(__xludf.DUMMYFUNCTION("""COMPUTED_VALUE"""),45450.66666666667)</f>
        <v>45450.66667</v>
      </c>
      <c r="B361" s="2">
        <f>IFERROR(__xludf.DUMMYFUNCTION("""COMPUTED_VALUE"""),178.46)</f>
        <v>178.46</v>
      </c>
      <c r="C361" s="2">
        <f>IFERROR(__xludf.DUMMYFUNCTION("""COMPUTED_VALUE"""),179.42)</f>
        <v>179.42</v>
      </c>
      <c r="D361" s="2">
        <f>IFERROR(__xludf.DUMMYFUNCTION("""COMPUTED_VALUE"""),175.79)</f>
        <v>175.79</v>
      </c>
      <c r="E361" s="2">
        <f>IFERROR(__xludf.DUMMYFUNCTION("""COMPUTED_VALUE"""),175.95)</f>
        <v>175.95</v>
      </c>
      <c r="F361" s="2">
        <f>IFERROR(__xludf.DUMMYFUNCTION("""COMPUTED_VALUE"""),1.471627E7)</f>
        <v>14716270</v>
      </c>
    </row>
    <row r="362">
      <c r="A362" s="3">
        <f>IFERROR(__xludf.DUMMYFUNCTION("""COMPUTED_VALUE"""),45453.66666666667)</f>
        <v>45453.66667</v>
      </c>
      <c r="B362" s="2">
        <f>IFERROR(__xludf.DUMMYFUNCTION("""COMPUTED_VALUE"""),176.45)</f>
        <v>176.45</v>
      </c>
      <c r="C362" s="2">
        <f>IFERROR(__xludf.DUMMYFUNCTION("""COMPUTED_VALUE"""),178.47)</f>
        <v>178.47</v>
      </c>
      <c r="D362" s="2">
        <f>IFERROR(__xludf.DUMMYFUNCTION("""COMPUTED_VALUE"""),174.38)</f>
        <v>174.38</v>
      </c>
      <c r="E362" s="2">
        <f>IFERROR(__xludf.DUMMYFUNCTION("""COMPUTED_VALUE"""),176.63)</f>
        <v>176.63</v>
      </c>
      <c r="F362" s="2">
        <f>IFERROR(__xludf.DUMMYFUNCTION("""COMPUTED_VALUE"""),1.7122247E7)</f>
        <v>17122247</v>
      </c>
    </row>
    <row r="363">
      <c r="A363" s="3">
        <f>IFERROR(__xludf.DUMMYFUNCTION("""COMPUTED_VALUE"""),45454.66666666667)</f>
        <v>45454.66667</v>
      </c>
      <c r="B363" s="2">
        <f>IFERROR(__xludf.DUMMYFUNCTION("""COMPUTED_VALUE"""),177.72)</f>
        <v>177.72</v>
      </c>
      <c r="C363" s="2">
        <f>IFERROR(__xludf.DUMMYFUNCTION("""COMPUTED_VALUE"""),178.39)</f>
        <v>178.39</v>
      </c>
      <c r="D363" s="2">
        <f>IFERROR(__xludf.DUMMYFUNCTION("""COMPUTED_VALUE"""),175.44)</f>
        <v>175.44</v>
      </c>
      <c r="E363" s="2">
        <f>IFERROR(__xludf.DUMMYFUNCTION("""COMPUTED_VALUE"""),178.19)</f>
        <v>178.19</v>
      </c>
      <c r="F363" s="2">
        <f>IFERROR(__xludf.DUMMYFUNCTION("""COMPUTED_VALUE"""),1.4402401E7)</f>
        <v>14402401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tr">
        <f>IFERROR(__xludf.DUMMYFUNCTION("(GOOGLEFINANCE(""JPM"", ""all"", DATE(2023, 1, 1), today()))"),"Date")</f>
        <v>Date</v>
      </c>
      <c r="B1" s="2" t="str">
        <f>IFERROR(__xludf.DUMMYFUNCTION("""COMPUTED_VALUE"""),"Open")</f>
        <v>Open</v>
      </c>
      <c r="C1" s="2" t="str">
        <f>IFERROR(__xludf.DUMMYFUNCTION("""COMPUTED_VALUE"""),"High")</f>
        <v>High</v>
      </c>
      <c r="D1" s="2" t="str">
        <f>IFERROR(__xludf.DUMMYFUNCTION("""COMPUTED_VALUE"""),"Low")</f>
        <v>Low</v>
      </c>
      <c r="E1" s="2" t="str">
        <f>IFERROR(__xludf.DUMMYFUNCTION("""COMPUTED_VALUE"""),"Close")</f>
        <v>Close</v>
      </c>
      <c r="F1" s="2" t="str">
        <f>IFERROR(__xludf.DUMMYFUNCTION("""COMPUTED_VALUE"""),"Volume")</f>
        <v>Volume</v>
      </c>
    </row>
    <row r="2">
      <c r="A2" s="3">
        <f>IFERROR(__xludf.DUMMYFUNCTION("""COMPUTED_VALUE"""),44929.66666666667)</f>
        <v>44929.66667</v>
      </c>
      <c r="B2" s="2">
        <f>IFERROR(__xludf.DUMMYFUNCTION("""COMPUTED_VALUE"""),135.24)</f>
        <v>135.24</v>
      </c>
      <c r="C2" s="2">
        <f>IFERROR(__xludf.DUMMYFUNCTION("""COMPUTED_VALUE"""),136.74)</f>
        <v>136.74</v>
      </c>
      <c r="D2" s="2">
        <f>IFERROR(__xludf.DUMMYFUNCTION("""COMPUTED_VALUE"""),133.89)</f>
        <v>133.89</v>
      </c>
      <c r="E2" s="2">
        <f>IFERROR(__xludf.DUMMYFUNCTION("""COMPUTED_VALUE"""),135.12)</f>
        <v>135.12</v>
      </c>
      <c r="F2" s="2">
        <f>IFERROR(__xludf.DUMMYFUNCTION("""COMPUTED_VALUE"""),1.1054778E7)</f>
        <v>11054778</v>
      </c>
    </row>
    <row r="3">
      <c r="A3" s="3">
        <f>IFERROR(__xludf.DUMMYFUNCTION("""COMPUTED_VALUE"""),44930.66666666667)</f>
        <v>44930.66667</v>
      </c>
      <c r="B3" s="2">
        <f>IFERROR(__xludf.DUMMYFUNCTION("""COMPUTED_VALUE"""),135.99)</f>
        <v>135.99</v>
      </c>
      <c r="C3" s="2">
        <f>IFERROR(__xludf.DUMMYFUNCTION("""COMPUTED_VALUE"""),137.68)</f>
        <v>137.68</v>
      </c>
      <c r="D3" s="2">
        <f>IFERROR(__xludf.DUMMYFUNCTION("""COMPUTED_VALUE"""),135.57)</f>
        <v>135.57</v>
      </c>
      <c r="E3" s="2">
        <f>IFERROR(__xludf.DUMMYFUNCTION("""COMPUTED_VALUE"""),136.38)</f>
        <v>136.38</v>
      </c>
      <c r="F3" s="2">
        <f>IFERROR(__xludf.DUMMYFUNCTION("""COMPUTED_VALUE"""),1.1687643E7)</f>
        <v>11687643</v>
      </c>
    </row>
    <row r="4">
      <c r="A4" s="3">
        <f>IFERROR(__xludf.DUMMYFUNCTION("""COMPUTED_VALUE"""),44931.66666666667)</f>
        <v>44931.66667</v>
      </c>
      <c r="B4" s="2">
        <f>IFERROR(__xludf.DUMMYFUNCTION("""COMPUTED_VALUE"""),135.66)</f>
        <v>135.66</v>
      </c>
      <c r="C4" s="2">
        <f>IFERROR(__xludf.DUMMYFUNCTION("""COMPUTED_VALUE"""),135.71)</f>
        <v>135.71</v>
      </c>
      <c r="D4" s="2">
        <f>IFERROR(__xludf.DUMMYFUNCTION("""COMPUTED_VALUE"""),133.7)</f>
        <v>133.7</v>
      </c>
      <c r="E4" s="2">
        <f>IFERROR(__xludf.DUMMYFUNCTION("""COMPUTED_VALUE"""),135.35)</f>
        <v>135.35</v>
      </c>
      <c r="F4" s="2">
        <f>IFERROR(__xludf.DUMMYFUNCTION("""COMPUTED_VALUE"""),8381265.0)</f>
        <v>8381265</v>
      </c>
    </row>
    <row r="5">
      <c r="A5" s="3">
        <f>IFERROR(__xludf.DUMMYFUNCTION("""COMPUTED_VALUE"""),44932.66666666667)</f>
        <v>44932.66667</v>
      </c>
      <c r="B5" s="2">
        <f>IFERROR(__xludf.DUMMYFUNCTION("""COMPUTED_VALUE"""),136.13)</f>
        <v>136.13</v>
      </c>
      <c r="C5" s="2">
        <f>IFERROR(__xludf.DUMMYFUNCTION("""COMPUTED_VALUE"""),138.38)</f>
        <v>138.38</v>
      </c>
      <c r="D5" s="2">
        <f>IFERROR(__xludf.DUMMYFUNCTION("""COMPUTED_VALUE"""),134.49)</f>
        <v>134.49</v>
      </c>
      <c r="E5" s="2">
        <f>IFERROR(__xludf.DUMMYFUNCTION("""COMPUTED_VALUE"""),137.94)</f>
        <v>137.94</v>
      </c>
      <c r="F5" s="2">
        <f>IFERROR(__xludf.DUMMYFUNCTION("""COMPUTED_VALUE"""),1.0029076E7)</f>
        <v>10029076</v>
      </c>
    </row>
    <row r="6">
      <c r="A6" s="3">
        <f>IFERROR(__xludf.DUMMYFUNCTION("""COMPUTED_VALUE"""),44935.66666666667)</f>
        <v>44935.66667</v>
      </c>
      <c r="B6" s="2">
        <f>IFERROR(__xludf.DUMMYFUNCTION("""COMPUTED_VALUE"""),138.6)</f>
        <v>138.6</v>
      </c>
      <c r="C6" s="2">
        <f>IFERROR(__xludf.DUMMYFUNCTION("""COMPUTED_VALUE"""),138.88)</f>
        <v>138.88</v>
      </c>
      <c r="D6" s="2">
        <f>IFERROR(__xludf.DUMMYFUNCTION("""COMPUTED_VALUE"""),136.88)</f>
        <v>136.88</v>
      </c>
      <c r="E6" s="2">
        <f>IFERROR(__xludf.DUMMYFUNCTION("""COMPUTED_VALUE"""),137.37)</f>
        <v>137.37</v>
      </c>
      <c r="F6" s="2">
        <f>IFERROR(__xludf.DUMMYFUNCTION("""COMPUTED_VALUE"""),8482297.0)</f>
        <v>8482297</v>
      </c>
    </row>
    <row r="7">
      <c r="A7" s="3">
        <f>IFERROR(__xludf.DUMMYFUNCTION("""COMPUTED_VALUE"""),44936.66666666667)</f>
        <v>44936.66667</v>
      </c>
      <c r="B7" s="2">
        <f>IFERROR(__xludf.DUMMYFUNCTION("""COMPUTED_VALUE"""),137.79)</f>
        <v>137.79</v>
      </c>
      <c r="C7" s="2">
        <f>IFERROR(__xludf.DUMMYFUNCTION("""COMPUTED_VALUE"""),138.72)</f>
        <v>138.72</v>
      </c>
      <c r="D7" s="2">
        <f>IFERROR(__xludf.DUMMYFUNCTION("""COMPUTED_VALUE"""),137.31)</f>
        <v>137.31</v>
      </c>
      <c r="E7" s="2">
        <f>IFERROR(__xludf.DUMMYFUNCTION("""COMPUTED_VALUE"""),138.6)</f>
        <v>138.6</v>
      </c>
      <c r="F7" s="2">
        <f>IFERROR(__xludf.DUMMYFUNCTION("""COMPUTED_VALUE"""),9048665.0)</f>
        <v>9048665</v>
      </c>
    </row>
    <row r="8">
      <c r="A8" s="3">
        <f>IFERROR(__xludf.DUMMYFUNCTION("""COMPUTED_VALUE"""),44937.66666666667)</f>
        <v>44937.66667</v>
      </c>
      <c r="B8" s="2">
        <f>IFERROR(__xludf.DUMMYFUNCTION("""COMPUTED_VALUE"""),138.9)</f>
        <v>138.9</v>
      </c>
      <c r="C8" s="2">
        <f>IFERROR(__xludf.DUMMYFUNCTION("""COMPUTED_VALUE"""),139.75)</f>
        <v>139.75</v>
      </c>
      <c r="D8" s="2">
        <f>IFERROR(__xludf.DUMMYFUNCTION("""COMPUTED_VALUE"""),138.1)</f>
        <v>138.1</v>
      </c>
      <c r="E8" s="2">
        <f>IFERROR(__xludf.DUMMYFUNCTION("""COMPUTED_VALUE"""),139.63)</f>
        <v>139.63</v>
      </c>
      <c r="F8" s="2">
        <f>IFERROR(__xludf.DUMMYFUNCTION("""COMPUTED_VALUE"""),8703698.0)</f>
        <v>8703698</v>
      </c>
    </row>
    <row r="9">
      <c r="A9" s="3">
        <f>IFERROR(__xludf.DUMMYFUNCTION("""COMPUTED_VALUE"""),44938.66666666667)</f>
        <v>44938.66667</v>
      </c>
      <c r="B9" s="2">
        <f>IFERROR(__xludf.DUMMYFUNCTION("""COMPUTED_VALUE"""),140.0)</f>
        <v>140</v>
      </c>
      <c r="C9" s="2">
        <f>IFERROR(__xludf.DUMMYFUNCTION("""COMPUTED_VALUE"""),140.86)</f>
        <v>140.86</v>
      </c>
      <c r="D9" s="2">
        <f>IFERROR(__xludf.DUMMYFUNCTION("""COMPUTED_VALUE"""),139.22)</f>
        <v>139.22</v>
      </c>
      <c r="E9" s="2">
        <f>IFERROR(__xludf.DUMMYFUNCTION("""COMPUTED_VALUE"""),139.49)</f>
        <v>139.49</v>
      </c>
      <c r="F9" s="2">
        <f>IFERROR(__xludf.DUMMYFUNCTION("""COMPUTED_VALUE"""),1.1001666E7)</f>
        <v>11001666</v>
      </c>
    </row>
    <row r="10">
      <c r="A10" s="3">
        <f>IFERROR(__xludf.DUMMYFUNCTION("""COMPUTED_VALUE"""),44939.66666666667)</f>
        <v>44939.66667</v>
      </c>
      <c r="B10" s="2">
        <f>IFERROR(__xludf.DUMMYFUNCTION("""COMPUTED_VALUE"""),135.6)</f>
        <v>135.6</v>
      </c>
      <c r="C10" s="2">
        <f>IFERROR(__xludf.DUMMYFUNCTION("""COMPUTED_VALUE"""),143.49)</f>
        <v>143.49</v>
      </c>
      <c r="D10" s="2">
        <f>IFERROR(__xludf.DUMMYFUNCTION("""COMPUTED_VALUE"""),134.8)</f>
        <v>134.8</v>
      </c>
      <c r="E10" s="2">
        <f>IFERROR(__xludf.DUMMYFUNCTION("""COMPUTED_VALUE"""),143.01)</f>
        <v>143.01</v>
      </c>
      <c r="F10" s="2">
        <f>IFERROR(__xludf.DUMMYFUNCTION("""COMPUTED_VALUE"""),2.0200047E7)</f>
        <v>20200047</v>
      </c>
    </row>
    <row r="11">
      <c r="A11" s="3">
        <f>IFERROR(__xludf.DUMMYFUNCTION("""COMPUTED_VALUE"""),44943.66666666667)</f>
        <v>44943.66667</v>
      </c>
      <c r="B11" s="2">
        <f>IFERROR(__xludf.DUMMYFUNCTION("""COMPUTED_VALUE"""),141.17)</f>
        <v>141.17</v>
      </c>
      <c r="C11" s="2">
        <f>IFERROR(__xludf.DUMMYFUNCTION("""COMPUTED_VALUE"""),141.54)</f>
        <v>141.54</v>
      </c>
      <c r="D11" s="2">
        <f>IFERROR(__xludf.DUMMYFUNCTION("""COMPUTED_VALUE"""),139.23)</f>
        <v>139.23</v>
      </c>
      <c r="E11" s="2">
        <f>IFERROR(__xludf.DUMMYFUNCTION("""COMPUTED_VALUE"""),140.8)</f>
        <v>140.8</v>
      </c>
      <c r="F11" s="2">
        <f>IFERROR(__xludf.DUMMYFUNCTION("""COMPUTED_VALUE"""),1.4292881E7)</f>
        <v>14292881</v>
      </c>
    </row>
    <row r="12">
      <c r="A12" s="3">
        <f>IFERROR(__xludf.DUMMYFUNCTION("""COMPUTED_VALUE"""),44944.66666666667)</f>
        <v>44944.66667</v>
      </c>
      <c r="B12" s="2">
        <f>IFERROR(__xludf.DUMMYFUNCTION("""COMPUTED_VALUE"""),138.92)</f>
        <v>138.92</v>
      </c>
      <c r="C12" s="2">
        <f>IFERROR(__xludf.DUMMYFUNCTION("""COMPUTED_VALUE"""),140.73)</f>
        <v>140.73</v>
      </c>
      <c r="D12" s="2">
        <f>IFERROR(__xludf.DUMMYFUNCTION("""COMPUTED_VALUE"""),136.41)</f>
        <v>136.41</v>
      </c>
      <c r="E12" s="2">
        <f>IFERROR(__xludf.DUMMYFUNCTION("""COMPUTED_VALUE"""),136.57)</f>
        <v>136.57</v>
      </c>
      <c r="F12" s="2">
        <f>IFERROR(__xludf.DUMMYFUNCTION("""COMPUTED_VALUE"""),1.3392601E7)</f>
        <v>13392601</v>
      </c>
    </row>
    <row r="13">
      <c r="A13" s="3">
        <f>IFERROR(__xludf.DUMMYFUNCTION("""COMPUTED_VALUE"""),44945.66666666667)</f>
        <v>44945.66667</v>
      </c>
      <c r="B13" s="2">
        <f>IFERROR(__xludf.DUMMYFUNCTION("""COMPUTED_VALUE"""),135.32)</f>
        <v>135.32</v>
      </c>
      <c r="C13" s="2">
        <f>IFERROR(__xludf.DUMMYFUNCTION("""COMPUTED_VALUE"""),135.9)</f>
        <v>135.9</v>
      </c>
      <c r="D13" s="2">
        <f>IFERROR(__xludf.DUMMYFUNCTION("""COMPUTED_VALUE"""),133.59)</f>
        <v>133.59</v>
      </c>
      <c r="E13" s="2">
        <f>IFERROR(__xludf.DUMMYFUNCTION("""COMPUTED_VALUE"""),134.75)</f>
        <v>134.75</v>
      </c>
      <c r="F13" s="2">
        <f>IFERROR(__xludf.DUMMYFUNCTION("""COMPUTED_VALUE"""),1.3303371E7)</f>
        <v>13303371</v>
      </c>
    </row>
    <row r="14">
      <c r="A14" s="3">
        <f>IFERROR(__xludf.DUMMYFUNCTION("""COMPUTED_VALUE"""),44946.66666666667)</f>
        <v>44946.66667</v>
      </c>
      <c r="B14" s="2">
        <f>IFERROR(__xludf.DUMMYFUNCTION("""COMPUTED_VALUE"""),135.16)</f>
        <v>135.16</v>
      </c>
      <c r="C14" s="2">
        <f>IFERROR(__xludf.DUMMYFUNCTION("""COMPUTED_VALUE"""),135.49)</f>
        <v>135.49</v>
      </c>
      <c r="D14" s="2">
        <f>IFERROR(__xludf.DUMMYFUNCTION("""COMPUTED_VALUE"""),133.55)</f>
        <v>133.55</v>
      </c>
      <c r="E14" s="2">
        <f>IFERROR(__xludf.DUMMYFUNCTION("""COMPUTED_VALUE"""),135.08)</f>
        <v>135.08</v>
      </c>
      <c r="F14" s="2">
        <f>IFERROR(__xludf.DUMMYFUNCTION("""COMPUTED_VALUE"""),1.3092492E7)</f>
        <v>13092492</v>
      </c>
    </row>
    <row r="15">
      <c r="A15" s="3">
        <f>IFERROR(__xludf.DUMMYFUNCTION("""COMPUTED_VALUE"""),44949.66666666667)</f>
        <v>44949.66667</v>
      </c>
      <c r="B15" s="2">
        <f>IFERROR(__xludf.DUMMYFUNCTION("""COMPUTED_VALUE"""),135.12)</f>
        <v>135.12</v>
      </c>
      <c r="C15" s="2">
        <f>IFERROR(__xludf.DUMMYFUNCTION("""COMPUTED_VALUE"""),137.96)</f>
        <v>137.96</v>
      </c>
      <c r="D15" s="2">
        <f>IFERROR(__xludf.DUMMYFUNCTION("""COMPUTED_VALUE"""),134.82)</f>
        <v>134.82</v>
      </c>
      <c r="E15" s="2">
        <f>IFERROR(__xludf.DUMMYFUNCTION("""COMPUTED_VALUE"""),137.27)</f>
        <v>137.27</v>
      </c>
      <c r="F15" s="2">
        <f>IFERROR(__xludf.DUMMYFUNCTION("""COMPUTED_VALUE"""),1.0487128E7)</f>
        <v>10487128</v>
      </c>
    </row>
    <row r="16">
      <c r="A16" s="3">
        <f>IFERROR(__xludf.DUMMYFUNCTION("""COMPUTED_VALUE"""),44950.66666666667)</f>
        <v>44950.66667</v>
      </c>
      <c r="B16" s="2">
        <f>IFERROR(__xludf.DUMMYFUNCTION("""COMPUTED_VALUE"""),136.42)</f>
        <v>136.42</v>
      </c>
      <c r="C16" s="2">
        <f>IFERROR(__xludf.DUMMYFUNCTION("""COMPUTED_VALUE"""),140.29)</f>
        <v>140.29</v>
      </c>
      <c r="D16" s="2">
        <f>IFERROR(__xludf.DUMMYFUNCTION("""COMPUTED_VALUE"""),135.0)</f>
        <v>135</v>
      </c>
      <c r="E16" s="2">
        <f>IFERROR(__xludf.DUMMYFUNCTION("""COMPUTED_VALUE"""),138.45)</f>
        <v>138.45</v>
      </c>
      <c r="F16" s="2">
        <f>IFERROR(__xludf.DUMMYFUNCTION("""COMPUTED_VALUE"""),6944991.0)</f>
        <v>6944991</v>
      </c>
    </row>
    <row r="17">
      <c r="A17" s="3">
        <f>IFERROR(__xludf.DUMMYFUNCTION("""COMPUTED_VALUE"""),44951.66666666667)</f>
        <v>44951.66667</v>
      </c>
      <c r="B17" s="2">
        <f>IFERROR(__xludf.DUMMYFUNCTION("""COMPUTED_VALUE"""),138.05)</f>
        <v>138.05</v>
      </c>
      <c r="C17" s="2">
        <f>IFERROR(__xludf.DUMMYFUNCTION("""COMPUTED_VALUE"""),139.12)</f>
        <v>139.12</v>
      </c>
      <c r="D17" s="2">
        <f>IFERROR(__xludf.DUMMYFUNCTION("""COMPUTED_VALUE"""),137.25)</f>
        <v>137.25</v>
      </c>
      <c r="E17" s="2">
        <f>IFERROR(__xludf.DUMMYFUNCTION("""COMPUTED_VALUE"""),139.12)</f>
        <v>139.12</v>
      </c>
      <c r="F17" s="2">
        <f>IFERROR(__xludf.DUMMYFUNCTION("""COMPUTED_VALUE"""),8967007.0)</f>
        <v>8967007</v>
      </c>
    </row>
    <row r="18">
      <c r="A18" s="3">
        <f>IFERROR(__xludf.DUMMYFUNCTION("""COMPUTED_VALUE"""),44952.66666666667)</f>
        <v>44952.66667</v>
      </c>
      <c r="B18" s="2">
        <f>IFERROR(__xludf.DUMMYFUNCTION("""COMPUTED_VALUE"""),139.42)</f>
        <v>139.42</v>
      </c>
      <c r="C18" s="2">
        <f>IFERROR(__xludf.DUMMYFUNCTION("""COMPUTED_VALUE"""),140.06)</f>
        <v>140.06</v>
      </c>
      <c r="D18" s="2">
        <f>IFERROR(__xludf.DUMMYFUNCTION("""COMPUTED_VALUE"""),138.36)</f>
        <v>138.36</v>
      </c>
      <c r="E18" s="2">
        <f>IFERROR(__xludf.DUMMYFUNCTION("""COMPUTED_VALUE"""),139.98)</f>
        <v>139.98</v>
      </c>
      <c r="F18" s="2">
        <f>IFERROR(__xludf.DUMMYFUNCTION("""COMPUTED_VALUE"""),7487631.0)</f>
        <v>7487631</v>
      </c>
    </row>
    <row r="19">
      <c r="A19" s="3">
        <f>IFERROR(__xludf.DUMMYFUNCTION("""COMPUTED_VALUE"""),44953.66666666667)</f>
        <v>44953.66667</v>
      </c>
      <c r="B19" s="2">
        <f>IFERROR(__xludf.DUMMYFUNCTION("""COMPUTED_VALUE"""),140.61)</f>
        <v>140.61</v>
      </c>
      <c r="C19" s="2">
        <f>IFERROR(__xludf.DUMMYFUNCTION("""COMPUTED_VALUE"""),141.26)</f>
        <v>141.26</v>
      </c>
      <c r="D19" s="2">
        <f>IFERROR(__xludf.DUMMYFUNCTION("""COMPUTED_VALUE"""),139.75)</f>
        <v>139.75</v>
      </c>
      <c r="E19" s="2">
        <f>IFERROR(__xludf.DUMMYFUNCTION("""COMPUTED_VALUE"""),140.32)</f>
        <v>140.32</v>
      </c>
      <c r="F19" s="2">
        <f>IFERROR(__xludf.DUMMYFUNCTION("""COMPUTED_VALUE"""),7489946.0)</f>
        <v>7489946</v>
      </c>
    </row>
    <row r="20">
      <c r="A20" s="3">
        <f>IFERROR(__xludf.DUMMYFUNCTION("""COMPUTED_VALUE"""),44956.66666666667)</f>
        <v>44956.66667</v>
      </c>
      <c r="B20" s="2">
        <f>IFERROR(__xludf.DUMMYFUNCTION("""COMPUTED_VALUE"""),139.23)</f>
        <v>139.23</v>
      </c>
      <c r="C20" s="2">
        <f>IFERROR(__xludf.DUMMYFUNCTION("""COMPUTED_VALUE"""),140.09)</f>
        <v>140.09</v>
      </c>
      <c r="D20" s="2">
        <f>IFERROR(__xludf.DUMMYFUNCTION("""COMPUTED_VALUE"""),138.91)</f>
        <v>138.91</v>
      </c>
      <c r="E20" s="2">
        <f>IFERROR(__xludf.DUMMYFUNCTION("""COMPUTED_VALUE"""),139.13)</f>
        <v>139.13</v>
      </c>
      <c r="F20" s="2">
        <f>IFERROR(__xludf.DUMMYFUNCTION("""COMPUTED_VALUE"""),6729255.0)</f>
        <v>6729255</v>
      </c>
    </row>
    <row r="21">
      <c r="A21" s="3">
        <f>IFERROR(__xludf.DUMMYFUNCTION("""COMPUTED_VALUE"""),44957.66666666667)</f>
        <v>44957.66667</v>
      </c>
      <c r="B21" s="2">
        <f>IFERROR(__xludf.DUMMYFUNCTION("""COMPUTED_VALUE"""),139.88)</f>
        <v>139.88</v>
      </c>
      <c r="C21" s="2">
        <f>IFERROR(__xludf.DUMMYFUNCTION("""COMPUTED_VALUE"""),140.07)</f>
        <v>140.07</v>
      </c>
      <c r="D21" s="2">
        <f>IFERROR(__xludf.DUMMYFUNCTION("""COMPUTED_VALUE"""),138.25)</f>
        <v>138.25</v>
      </c>
      <c r="E21" s="2">
        <f>IFERROR(__xludf.DUMMYFUNCTION("""COMPUTED_VALUE"""),139.96)</f>
        <v>139.96</v>
      </c>
      <c r="F21" s="2">
        <f>IFERROR(__xludf.DUMMYFUNCTION("""COMPUTED_VALUE"""),9188738.0)</f>
        <v>9188738</v>
      </c>
    </row>
    <row r="22">
      <c r="A22" s="3">
        <f>IFERROR(__xludf.DUMMYFUNCTION("""COMPUTED_VALUE"""),44958.66666666667)</f>
        <v>44958.66667</v>
      </c>
      <c r="B22" s="2">
        <f>IFERROR(__xludf.DUMMYFUNCTION("""COMPUTED_VALUE"""),138.21)</f>
        <v>138.21</v>
      </c>
      <c r="C22" s="2">
        <f>IFERROR(__xludf.DUMMYFUNCTION("""COMPUTED_VALUE"""),140.88)</f>
        <v>140.88</v>
      </c>
      <c r="D22" s="2">
        <f>IFERROR(__xludf.DUMMYFUNCTION("""COMPUTED_VALUE"""),138.12)</f>
        <v>138.12</v>
      </c>
      <c r="E22" s="2">
        <f>IFERROR(__xludf.DUMMYFUNCTION("""COMPUTED_VALUE"""),139.59)</f>
        <v>139.59</v>
      </c>
      <c r="F22" s="2">
        <f>IFERROR(__xludf.DUMMYFUNCTION("""COMPUTED_VALUE"""),8841846.0)</f>
        <v>8841846</v>
      </c>
    </row>
    <row r="23">
      <c r="A23" s="3">
        <f>IFERROR(__xludf.DUMMYFUNCTION("""COMPUTED_VALUE"""),44959.66666666667)</f>
        <v>44959.66667</v>
      </c>
      <c r="B23" s="2">
        <f>IFERROR(__xludf.DUMMYFUNCTION("""COMPUTED_VALUE"""),140.0)</f>
        <v>140</v>
      </c>
      <c r="C23" s="2">
        <f>IFERROR(__xludf.DUMMYFUNCTION("""COMPUTED_VALUE"""),140.46)</f>
        <v>140.46</v>
      </c>
      <c r="D23" s="2">
        <f>IFERROR(__xludf.DUMMYFUNCTION("""COMPUTED_VALUE"""),138.0)</f>
        <v>138</v>
      </c>
      <c r="E23" s="2">
        <f>IFERROR(__xludf.DUMMYFUNCTION("""COMPUTED_VALUE"""),138.94)</f>
        <v>138.94</v>
      </c>
      <c r="F23" s="2">
        <f>IFERROR(__xludf.DUMMYFUNCTION("""COMPUTED_VALUE"""),1.1822064E7)</f>
        <v>11822064</v>
      </c>
    </row>
    <row r="24">
      <c r="A24" s="3">
        <f>IFERROR(__xludf.DUMMYFUNCTION("""COMPUTED_VALUE"""),44960.66666666667)</f>
        <v>44960.66667</v>
      </c>
      <c r="B24" s="2">
        <f>IFERROR(__xludf.DUMMYFUNCTION("""COMPUTED_VALUE"""),138.18)</f>
        <v>138.18</v>
      </c>
      <c r="C24" s="2">
        <f>IFERROR(__xludf.DUMMYFUNCTION("""COMPUTED_VALUE"""),142.33)</f>
        <v>142.33</v>
      </c>
      <c r="D24" s="2">
        <f>IFERROR(__xludf.DUMMYFUNCTION("""COMPUTED_VALUE"""),138.13)</f>
        <v>138.13</v>
      </c>
      <c r="E24" s="2">
        <f>IFERROR(__xludf.DUMMYFUNCTION("""COMPUTED_VALUE"""),141.09)</f>
        <v>141.09</v>
      </c>
      <c r="F24" s="2">
        <f>IFERROR(__xludf.DUMMYFUNCTION("""COMPUTED_VALUE"""),1.1501232E7)</f>
        <v>11501232</v>
      </c>
    </row>
    <row r="25">
      <c r="A25" s="3">
        <f>IFERROR(__xludf.DUMMYFUNCTION("""COMPUTED_VALUE"""),44963.66666666667)</f>
        <v>44963.66667</v>
      </c>
      <c r="B25" s="2">
        <f>IFERROR(__xludf.DUMMYFUNCTION("""COMPUTED_VALUE"""),140.23)</f>
        <v>140.23</v>
      </c>
      <c r="C25" s="2">
        <f>IFERROR(__xludf.DUMMYFUNCTION("""COMPUTED_VALUE"""),142.24)</f>
        <v>142.24</v>
      </c>
      <c r="D25" s="2">
        <f>IFERROR(__xludf.DUMMYFUNCTION("""COMPUTED_VALUE"""),140.03)</f>
        <v>140.03</v>
      </c>
      <c r="E25" s="2">
        <f>IFERROR(__xludf.DUMMYFUNCTION("""COMPUTED_VALUE"""),141.92)</f>
        <v>141.92</v>
      </c>
      <c r="F25" s="2">
        <f>IFERROR(__xludf.DUMMYFUNCTION("""COMPUTED_VALUE"""),8406231.0)</f>
        <v>8406231</v>
      </c>
    </row>
    <row r="26">
      <c r="A26" s="3">
        <f>IFERROR(__xludf.DUMMYFUNCTION("""COMPUTED_VALUE"""),44964.66666666667)</f>
        <v>44964.66667</v>
      </c>
      <c r="B26" s="2">
        <f>IFERROR(__xludf.DUMMYFUNCTION("""COMPUTED_VALUE"""),141.38)</f>
        <v>141.38</v>
      </c>
      <c r="C26" s="2">
        <f>IFERROR(__xludf.DUMMYFUNCTION("""COMPUTED_VALUE"""),144.34)</f>
        <v>144.34</v>
      </c>
      <c r="D26" s="2">
        <f>IFERROR(__xludf.DUMMYFUNCTION("""COMPUTED_VALUE"""),141.18)</f>
        <v>141.18</v>
      </c>
      <c r="E26" s="2">
        <f>IFERROR(__xludf.DUMMYFUNCTION("""COMPUTED_VALUE"""),143.65)</f>
        <v>143.65</v>
      </c>
      <c r="F26" s="2">
        <f>IFERROR(__xludf.DUMMYFUNCTION("""COMPUTED_VALUE"""),1.0447888E7)</f>
        <v>10447888</v>
      </c>
    </row>
    <row r="27">
      <c r="A27" s="3">
        <f>IFERROR(__xludf.DUMMYFUNCTION("""COMPUTED_VALUE"""),44965.66666666667)</f>
        <v>44965.66667</v>
      </c>
      <c r="B27" s="2">
        <f>IFERROR(__xludf.DUMMYFUNCTION("""COMPUTED_VALUE"""),142.65)</f>
        <v>142.65</v>
      </c>
      <c r="C27" s="2">
        <f>IFERROR(__xludf.DUMMYFUNCTION("""COMPUTED_VALUE"""),144.04)</f>
        <v>144.04</v>
      </c>
      <c r="D27" s="2">
        <f>IFERROR(__xludf.DUMMYFUNCTION("""COMPUTED_VALUE"""),142.28)</f>
        <v>142.28</v>
      </c>
      <c r="E27" s="2">
        <f>IFERROR(__xludf.DUMMYFUNCTION("""COMPUTED_VALUE"""),142.64)</f>
        <v>142.64</v>
      </c>
      <c r="F27" s="2">
        <f>IFERROR(__xludf.DUMMYFUNCTION("""COMPUTED_VALUE"""),6957965.0)</f>
        <v>6957965</v>
      </c>
    </row>
    <row r="28">
      <c r="A28" s="3">
        <f>IFERROR(__xludf.DUMMYFUNCTION("""COMPUTED_VALUE"""),44966.66666666667)</f>
        <v>44966.66667</v>
      </c>
      <c r="B28" s="2">
        <f>IFERROR(__xludf.DUMMYFUNCTION("""COMPUTED_VALUE"""),143.12)</f>
        <v>143.12</v>
      </c>
      <c r="C28" s="2">
        <f>IFERROR(__xludf.DUMMYFUNCTION("""COMPUTED_VALUE"""),143.34)</f>
        <v>143.34</v>
      </c>
      <c r="D28" s="2">
        <f>IFERROR(__xludf.DUMMYFUNCTION("""COMPUTED_VALUE"""),139.87)</f>
        <v>139.87</v>
      </c>
      <c r="E28" s="2">
        <f>IFERROR(__xludf.DUMMYFUNCTION("""COMPUTED_VALUE"""),140.42)</f>
        <v>140.42</v>
      </c>
      <c r="F28" s="2">
        <f>IFERROR(__xludf.DUMMYFUNCTION("""COMPUTED_VALUE"""),6443109.0)</f>
        <v>6443109</v>
      </c>
    </row>
    <row r="29">
      <c r="A29" s="3">
        <f>IFERROR(__xludf.DUMMYFUNCTION("""COMPUTED_VALUE"""),44967.66666666667)</f>
        <v>44967.66667</v>
      </c>
      <c r="B29" s="2">
        <f>IFERROR(__xludf.DUMMYFUNCTION("""COMPUTED_VALUE"""),139.78)</f>
        <v>139.78</v>
      </c>
      <c r="C29" s="2">
        <f>IFERROR(__xludf.DUMMYFUNCTION("""COMPUTED_VALUE"""),141.28)</f>
        <v>141.28</v>
      </c>
      <c r="D29" s="2">
        <f>IFERROR(__xludf.DUMMYFUNCTION("""COMPUTED_VALUE"""),138.59)</f>
        <v>138.59</v>
      </c>
      <c r="E29" s="2">
        <f>IFERROR(__xludf.DUMMYFUNCTION("""COMPUTED_VALUE"""),141.04)</f>
        <v>141.04</v>
      </c>
      <c r="F29" s="2">
        <f>IFERROR(__xludf.DUMMYFUNCTION("""COMPUTED_VALUE"""),6582853.0)</f>
        <v>6582853</v>
      </c>
    </row>
    <row r="30">
      <c r="A30" s="3">
        <f>IFERROR(__xludf.DUMMYFUNCTION("""COMPUTED_VALUE"""),44970.66666666667)</f>
        <v>44970.66667</v>
      </c>
      <c r="B30" s="2">
        <f>IFERROR(__xludf.DUMMYFUNCTION("""COMPUTED_VALUE"""),141.3)</f>
        <v>141.3</v>
      </c>
      <c r="C30" s="2">
        <f>IFERROR(__xludf.DUMMYFUNCTION("""COMPUTED_VALUE"""),142.73)</f>
        <v>142.73</v>
      </c>
      <c r="D30" s="2">
        <f>IFERROR(__xludf.DUMMYFUNCTION("""COMPUTED_VALUE"""),140.74)</f>
        <v>140.74</v>
      </c>
      <c r="E30" s="2">
        <f>IFERROR(__xludf.DUMMYFUNCTION("""COMPUTED_VALUE"""),142.57)</f>
        <v>142.57</v>
      </c>
      <c r="F30" s="2">
        <f>IFERROR(__xludf.DUMMYFUNCTION("""COMPUTED_VALUE"""),7134607.0)</f>
        <v>7134607</v>
      </c>
    </row>
    <row r="31">
      <c r="A31" s="3">
        <f>IFERROR(__xludf.DUMMYFUNCTION("""COMPUTED_VALUE"""),44971.66666666667)</f>
        <v>44971.66667</v>
      </c>
      <c r="B31" s="2">
        <f>IFERROR(__xludf.DUMMYFUNCTION("""COMPUTED_VALUE"""),142.5)</f>
        <v>142.5</v>
      </c>
      <c r="C31" s="2">
        <f>IFERROR(__xludf.DUMMYFUNCTION("""COMPUTED_VALUE"""),143.81)</f>
        <v>143.81</v>
      </c>
      <c r="D31" s="2">
        <f>IFERROR(__xludf.DUMMYFUNCTION("""COMPUTED_VALUE"""),141.6)</f>
        <v>141.6</v>
      </c>
      <c r="E31" s="2">
        <f>IFERROR(__xludf.DUMMYFUNCTION("""COMPUTED_VALUE"""),143.2)</f>
        <v>143.2</v>
      </c>
      <c r="F31" s="2">
        <f>IFERROR(__xludf.DUMMYFUNCTION("""COMPUTED_VALUE"""),9249399.0)</f>
        <v>9249399</v>
      </c>
    </row>
    <row r="32">
      <c r="A32" s="3">
        <f>IFERROR(__xludf.DUMMYFUNCTION("""COMPUTED_VALUE"""),44972.66666666667)</f>
        <v>44972.66667</v>
      </c>
      <c r="B32" s="2">
        <f>IFERROR(__xludf.DUMMYFUNCTION("""COMPUTED_VALUE"""),141.61)</f>
        <v>141.61</v>
      </c>
      <c r="C32" s="2">
        <f>IFERROR(__xludf.DUMMYFUNCTION("""COMPUTED_VALUE"""),143.89)</f>
        <v>143.89</v>
      </c>
      <c r="D32" s="2">
        <f>IFERROR(__xludf.DUMMYFUNCTION("""COMPUTED_VALUE"""),141.3)</f>
        <v>141.3</v>
      </c>
      <c r="E32" s="2">
        <f>IFERROR(__xludf.DUMMYFUNCTION("""COMPUTED_VALUE"""),143.8)</f>
        <v>143.8</v>
      </c>
      <c r="F32" s="2">
        <f>IFERROR(__xludf.DUMMYFUNCTION("""COMPUTED_VALUE"""),6731172.0)</f>
        <v>6731172</v>
      </c>
    </row>
    <row r="33">
      <c r="A33" s="3">
        <f>IFERROR(__xludf.DUMMYFUNCTION("""COMPUTED_VALUE"""),44973.66666666667)</f>
        <v>44973.66667</v>
      </c>
      <c r="B33" s="2">
        <f>IFERROR(__xludf.DUMMYFUNCTION("""COMPUTED_VALUE"""),142.91)</f>
        <v>142.91</v>
      </c>
      <c r="C33" s="2">
        <f>IFERROR(__xludf.DUMMYFUNCTION("""COMPUTED_VALUE"""),143.39)</f>
        <v>143.39</v>
      </c>
      <c r="D33" s="2">
        <f>IFERROR(__xludf.DUMMYFUNCTION("""COMPUTED_VALUE"""),141.68)</f>
        <v>141.68</v>
      </c>
      <c r="E33" s="2">
        <f>IFERROR(__xludf.DUMMYFUNCTION("""COMPUTED_VALUE"""),141.82)</f>
        <v>141.82</v>
      </c>
      <c r="F33" s="2">
        <f>IFERROR(__xludf.DUMMYFUNCTION("""COMPUTED_VALUE"""),8165306.0)</f>
        <v>8165306</v>
      </c>
    </row>
    <row r="34">
      <c r="A34" s="3">
        <f>IFERROR(__xludf.DUMMYFUNCTION("""COMPUTED_VALUE"""),44974.66666666667)</f>
        <v>44974.66667</v>
      </c>
      <c r="B34" s="2">
        <f>IFERROR(__xludf.DUMMYFUNCTION("""COMPUTED_VALUE"""),140.98)</f>
        <v>140.98</v>
      </c>
      <c r="C34" s="2">
        <f>IFERROR(__xludf.DUMMYFUNCTION("""COMPUTED_VALUE"""),142.83)</f>
        <v>142.83</v>
      </c>
      <c r="D34" s="2">
        <f>IFERROR(__xludf.DUMMYFUNCTION("""COMPUTED_VALUE"""),140.07)</f>
        <v>140.07</v>
      </c>
      <c r="E34" s="2">
        <f>IFERROR(__xludf.DUMMYFUNCTION("""COMPUTED_VALUE"""),142.24)</f>
        <v>142.24</v>
      </c>
      <c r="F34" s="2">
        <f>IFERROR(__xludf.DUMMYFUNCTION("""COMPUTED_VALUE"""),7948829.0)</f>
        <v>7948829</v>
      </c>
    </row>
    <row r="35">
      <c r="A35" s="3">
        <f>IFERROR(__xludf.DUMMYFUNCTION("""COMPUTED_VALUE"""),44978.66666666667)</f>
        <v>44978.66667</v>
      </c>
      <c r="B35" s="2">
        <f>IFERROR(__xludf.DUMMYFUNCTION("""COMPUTED_VALUE"""),140.69)</f>
        <v>140.69</v>
      </c>
      <c r="C35" s="2">
        <f>IFERROR(__xludf.DUMMYFUNCTION("""COMPUTED_VALUE"""),141.34)</f>
        <v>141.34</v>
      </c>
      <c r="D35" s="2">
        <f>IFERROR(__xludf.DUMMYFUNCTION("""COMPUTED_VALUE"""),138.75)</f>
        <v>138.75</v>
      </c>
      <c r="E35" s="2">
        <f>IFERROR(__xludf.DUMMYFUNCTION("""COMPUTED_VALUE"""),139.63)</f>
        <v>139.63</v>
      </c>
      <c r="F35" s="2">
        <f>IFERROR(__xludf.DUMMYFUNCTION("""COMPUTED_VALUE"""),9996283.0)</f>
        <v>9996283</v>
      </c>
    </row>
    <row r="36">
      <c r="A36" s="3">
        <f>IFERROR(__xludf.DUMMYFUNCTION("""COMPUTED_VALUE"""),44979.66666666667)</f>
        <v>44979.66667</v>
      </c>
      <c r="B36" s="2">
        <f>IFERROR(__xludf.DUMMYFUNCTION("""COMPUTED_VALUE"""),138.92)</f>
        <v>138.92</v>
      </c>
      <c r="C36" s="2">
        <f>IFERROR(__xludf.DUMMYFUNCTION("""COMPUTED_VALUE"""),139.43)</f>
        <v>139.43</v>
      </c>
      <c r="D36" s="2">
        <f>IFERROR(__xludf.DUMMYFUNCTION("""COMPUTED_VALUE"""),137.44)</f>
        <v>137.44</v>
      </c>
      <c r="E36" s="2">
        <f>IFERROR(__xludf.DUMMYFUNCTION("""COMPUTED_VALUE"""),138.56)</f>
        <v>138.56</v>
      </c>
      <c r="F36" s="2">
        <f>IFERROR(__xludf.DUMMYFUNCTION("""COMPUTED_VALUE"""),1.1107501E7)</f>
        <v>11107501</v>
      </c>
    </row>
    <row r="37">
      <c r="A37" s="3">
        <f>IFERROR(__xludf.DUMMYFUNCTION("""COMPUTED_VALUE"""),44980.66666666667)</f>
        <v>44980.66667</v>
      </c>
      <c r="B37" s="2">
        <f>IFERROR(__xludf.DUMMYFUNCTION("""COMPUTED_VALUE"""),138.73)</f>
        <v>138.73</v>
      </c>
      <c r="C37" s="2">
        <f>IFERROR(__xludf.DUMMYFUNCTION("""COMPUTED_VALUE"""),140.17)</f>
        <v>140.17</v>
      </c>
      <c r="D37" s="2">
        <f>IFERROR(__xludf.DUMMYFUNCTION("""COMPUTED_VALUE"""),137.94)</f>
        <v>137.94</v>
      </c>
      <c r="E37" s="2">
        <f>IFERROR(__xludf.DUMMYFUNCTION("""COMPUTED_VALUE"""),139.67)</f>
        <v>139.67</v>
      </c>
      <c r="F37" s="2">
        <f>IFERROR(__xludf.DUMMYFUNCTION("""COMPUTED_VALUE"""),8068010.0)</f>
        <v>8068010</v>
      </c>
    </row>
    <row r="38">
      <c r="A38" s="3">
        <f>IFERROR(__xludf.DUMMYFUNCTION("""COMPUTED_VALUE"""),44981.66666666667)</f>
        <v>44981.66667</v>
      </c>
      <c r="B38" s="2">
        <f>IFERROR(__xludf.DUMMYFUNCTION("""COMPUTED_VALUE"""),139.11)</f>
        <v>139.11</v>
      </c>
      <c r="C38" s="2">
        <f>IFERROR(__xludf.DUMMYFUNCTION("""COMPUTED_VALUE"""),141.36)</f>
        <v>141.36</v>
      </c>
      <c r="D38" s="2">
        <f>IFERROR(__xludf.DUMMYFUNCTION("""COMPUTED_VALUE"""),138.93)</f>
        <v>138.93</v>
      </c>
      <c r="E38" s="2">
        <f>IFERROR(__xludf.DUMMYFUNCTION("""COMPUTED_VALUE"""),140.93)</f>
        <v>140.93</v>
      </c>
      <c r="F38" s="2">
        <f>IFERROR(__xludf.DUMMYFUNCTION("""COMPUTED_VALUE"""),9126888.0)</f>
        <v>9126888</v>
      </c>
    </row>
    <row r="39">
      <c r="A39" s="3">
        <f>IFERROR(__xludf.DUMMYFUNCTION("""COMPUTED_VALUE"""),44984.66666666667)</f>
        <v>44984.66667</v>
      </c>
      <c r="B39" s="2">
        <f>IFERROR(__xludf.DUMMYFUNCTION("""COMPUTED_VALUE"""),142.11)</f>
        <v>142.11</v>
      </c>
      <c r="C39" s="2">
        <f>IFERROR(__xludf.DUMMYFUNCTION("""COMPUTED_VALUE"""),143.31)</f>
        <v>143.31</v>
      </c>
      <c r="D39" s="2">
        <f>IFERROR(__xludf.DUMMYFUNCTION("""COMPUTED_VALUE"""),141.72)</f>
        <v>141.72</v>
      </c>
      <c r="E39" s="2">
        <f>IFERROR(__xludf.DUMMYFUNCTION("""COMPUTED_VALUE"""),142.16)</f>
        <v>142.16</v>
      </c>
      <c r="F39" s="2">
        <f>IFERROR(__xludf.DUMMYFUNCTION("""COMPUTED_VALUE"""),1.0014654E7)</f>
        <v>10014654</v>
      </c>
    </row>
    <row r="40">
      <c r="A40" s="3">
        <f>IFERROR(__xludf.DUMMYFUNCTION("""COMPUTED_VALUE"""),44985.66666666667)</f>
        <v>44985.66667</v>
      </c>
      <c r="B40" s="2">
        <f>IFERROR(__xludf.DUMMYFUNCTION("""COMPUTED_VALUE"""),142.94)</f>
        <v>142.94</v>
      </c>
      <c r="C40" s="2">
        <f>IFERROR(__xludf.DUMMYFUNCTION("""COMPUTED_VALUE"""),143.76)</f>
        <v>143.76</v>
      </c>
      <c r="D40" s="2">
        <f>IFERROR(__xludf.DUMMYFUNCTION("""COMPUTED_VALUE"""),141.9)</f>
        <v>141.9</v>
      </c>
      <c r="E40" s="2">
        <f>IFERROR(__xludf.DUMMYFUNCTION("""COMPUTED_VALUE"""),143.35)</f>
        <v>143.35</v>
      </c>
      <c r="F40" s="2">
        <f>IFERROR(__xludf.DUMMYFUNCTION("""COMPUTED_VALUE"""),1.1019757E7)</f>
        <v>11019757</v>
      </c>
    </row>
    <row r="41">
      <c r="A41" s="3">
        <f>IFERROR(__xludf.DUMMYFUNCTION("""COMPUTED_VALUE"""),44986.66666666667)</f>
        <v>44986.66667</v>
      </c>
      <c r="B41" s="2">
        <f>IFERROR(__xludf.DUMMYFUNCTION("""COMPUTED_VALUE"""),142.1)</f>
        <v>142.1</v>
      </c>
      <c r="C41" s="2">
        <f>IFERROR(__xludf.DUMMYFUNCTION("""COMPUTED_VALUE"""),143.46)</f>
        <v>143.46</v>
      </c>
      <c r="D41" s="2">
        <f>IFERROR(__xludf.DUMMYFUNCTION("""COMPUTED_VALUE"""),141.8)</f>
        <v>141.8</v>
      </c>
      <c r="E41" s="2">
        <f>IFERROR(__xludf.DUMMYFUNCTION("""COMPUTED_VALUE"""),142.55)</f>
        <v>142.55</v>
      </c>
      <c r="F41" s="2">
        <f>IFERROR(__xludf.DUMMYFUNCTION("""COMPUTED_VALUE"""),7139155.0)</f>
        <v>7139155</v>
      </c>
    </row>
    <row r="42">
      <c r="A42" s="3">
        <f>IFERROR(__xludf.DUMMYFUNCTION("""COMPUTED_VALUE"""),44987.66666666667)</f>
        <v>44987.66667</v>
      </c>
      <c r="B42" s="2">
        <f>IFERROR(__xludf.DUMMYFUNCTION("""COMPUTED_VALUE"""),142.24)</f>
        <v>142.24</v>
      </c>
      <c r="C42" s="2">
        <f>IFERROR(__xludf.DUMMYFUNCTION("""COMPUTED_VALUE"""),142.43)</f>
        <v>142.43</v>
      </c>
      <c r="D42" s="2">
        <f>IFERROR(__xludf.DUMMYFUNCTION("""COMPUTED_VALUE"""),139.54)</f>
        <v>139.54</v>
      </c>
      <c r="E42" s="2">
        <f>IFERROR(__xludf.DUMMYFUNCTION("""COMPUTED_VALUE"""),141.07)</f>
        <v>141.07</v>
      </c>
      <c r="F42" s="2">
        <f>IFERROR(__xludf.DUMMYFUNCTION("""COMPUTED_VALUE"""),1.1107549E7)</f>
        <v>11107549</v>
      </c>
    </row>
    <row r="43">
      <c r="A43" s="3">
        <f>IFERROR(__xludf.DUMMYFUNCTION("""COMPUTED_VALUE"""),44988.66666666667)</f>
        <v>44988.66667</v>
      </c>
      <c r="B43" s="2">
        <f>IFERROR(__xludf.DUMMYFUNCTION("""COMPUTED_VALUE"""),141.51)</f>
        <v>141.51</v>
      </c>
      <c r="C43" s="2">
        <f>IFERROR(__xludf.DUMMYFUNCTION("""COMPUTED_VALUE"""),143.74)</f>
        <v>143.74</v>
      </c>
      <c r="D43" s="2">
        <f>IFERROR(__xludf.DUMMYFUNCTION("""COMPUTED_VALUE"""),141.08)</f>
        <v>141.08</v>
      </c>
      <c r="E43" s="2">
        <f>IFERROR(__xludf.DUMMYFUNCTION("""COMPUTED_VALUE"""),143.66)</f>
        <v>143.66</v>
      </c>
      <c r="F43" s="2">
        <f>IFERROR(__xludf.DUMMYFUNCTION("""COMPUTED_VALUE"""),9513063.0)</f>
        <v>9513063</v>
      </c>
    </row>
    <row r="44">
      <c r="A44" s="3">
        <f>IFERROR(__xludf.DUMMYFUNCTION("""COMPUTED_VALUE"""),44991.66666666667)</f>
        <v>44991.66667</v>
      </c>
      <c r="B44" s="2">
        <f>IFERROR(__xludf.DUMMYFUNCTION("""COMPUTED_VALUE"""),143.44)</f>
        <v>143.44</v>
      </c>
      <c r="C44" s="2">
        <f>IFERROR(__xludf.DUMMYFUNCTION("""COMPUTED_VALUE"""),144.04)</f>
        <v>144.04</v>
      </c>
      <c r="D44" s="2">
        <f>IFERROR(__xludf.DUMMYFUNCTION("""COMPUTED_VALUE"""),142.66)</f>
        <v>142.66</v>
      </c>
      <c r="E44" s="2">
        <f>IFERROR(__xludf.DUMMYFUNCTION("""COMPUTED_VALUE"""),142.82)</f>
        <v>142.82</v>
      </c>
      <c r="F44" s="2">
        <f>IFERROR(__xludf.DUMMYFUNCTION("""COMPUTED_VALUE"""),9261255.0)</f>
        <v>9261255</v>
      </c>
    </row>
    <row r="45">
      <c r="A45" s="3">
        <f>IFERROR(__xludf.DUMMYFUNCTION("""COMPUTED_VALUE"""),44992.66666666667)</f>
        <v>44992.66667</v>
      </c>
      <c r="B45" s="2">
        <f>IFERROR(__xludf.DUMMYFUNCTION("""COMPUTED_VALUE"""),142.01)</f>
        <v>142.01</v>
      </c>
      <c r="C45" s="2">
        <f>IFERROR(__xludf.DUMMYFUNCTION("""COMPUTED_VALUE"""),142.31)</f>
        <v>142.31</v>
      </c>
      <c r="D45" s="2">
        <f>IFERROR(__xludf.DUMMYFUNCTION("""COMPUTED_VALUE"""),137.81)</f>
        <v>137.81</v>
      </c>
      <c r="E45" s="2">
        <f>IFERROR(__xludf.DUMMYFUNCTION("""COMPUTED_VALUE"""),138.62)</f>
        <v>138.62</v>
      </c>
      <c r="F45" s="2">
        <f>IFERROR(__xludf.DUMMYFUNCTION("""COMPUTED_VALUE"""),1.174762E7)</f>
        <v>11747620</v>
      </c>
    </row>
    <row r="46">
      <c r="A46" s="3">
        <f>IFERROR(__xludf.DUMMYFUNCTION("""COMPUTED_VALUE"""),44993.66666666667)</f>
        <v>44993.66667</v>
      </c>
      <c r="B46" s="2">
        <f>IFERROR(__xludf.DUMMYFUNCTION("""COMPUTED_VALUE"""),138.0)</f>
        <v>138</v>
      </c>
      <c r="C46" s="2">
        <f>IFERROR(__xludf.DUMMYFUNCTION("""COMPUTED_VALUE"""),138.59)</f>
        <v>138.59</v>
      </c>
      <c r="D46" s="2">
        <f>IFERROR(__xludf.DUMMYFUNCTION("""COMPUTED_VALUE"""),136.89)</f>
        <v>136.89</v>
      </c>
      <c r="E46" s="2">
        <f>IFERROR(__xludf.DUMMYFUNCTION("""COMPUTED_VALUE"""),137.8)</f>
        <v>137.8</v>
      </c>
      <c r="F46" s="2">
        <f>IFERROR(__xludf.DUMMYFUNCTION("""COMPUTED_VALUE"""),1.0002548E7)</f>
        <v>10002548</v>
      </c>
    </row>
    <row r="47">
      <c r="A47" s="3">
        <f>IFERROR(__xludf.DUMMYFUNCTION("""COMPUTED_VALUE"""),44994.66666666667)</f>
        <v>44994.66667</v>
      </c>
      <c r="B47" s="2">
        <f>IFERROR(__xludf.DUMMYFUNCTION("""COMPUTED_VALUE"""),136.76)</f>
        <v>136.76</v>
      </c>
      <c r="C47" s="2">
        <f>IFERROR(__xludf.DUMMYFUNCTION("""COMPUTED_VALUE"""),137.35)</f>
        <v>137.35</v>
      </c>
      <c r="D47" s="2">
        <f>IFERROR(__xludf.DUMMYFUNCTION("""COMPUTED_VALUE"""),129.22)</f>
        <v>129.22</v>
      </c>
      <c r="E47" s="2">
        <f>IFERROR(__xludf.DUMMYFUNCTION("""COMPUTED_VALUE"""),130.34)</f>
        <v>130.34</v>
      </c>
      <c r="F47" s="2">
        <f>IFERROR(__xludf.DUMMYFUNCTION("""COMPUTED_VALUE"""),2.5888097E7)</f>
        <v>25888097</v>
      </c>
    </row>
    <row r="48">
      <c r="A48" s="3">
        <f>IFERROR(__xludf.DUMMYFUNCTION("""COMPUTED_VALUE"""),44995.66666666667)</f>
        <v>44995.66667</v>
      </c>
      <c r="B48" s="2">
        <f>IFERROR(__xludf.DUMMYFUNCTION("""COMPUTED_VALUE"""),128.96)</f>
        <v>128.96</v>
      </c>
      <c r="C48" s="2">
        <f>IFERROR(__xludf.DUMMYFUNCTION("""COMPUTED_VALUE"""),135.26)</f>
        <v>135.26</v>
      </c>
      <c r="D48" s="2">
        <f>IFERROR(__xludf.DUMMYFUNCTION("""COMPUTED_VALUE"""),127.82)</f>
        <v>127.82</v>
      </c>
      <c r="E48" s="2">
        <f>IFERROR(__xludf.DUMMYFUNCTION("""COMPUTED_VALUE"""),133.65)</f>
        <v>133.65</v>
      </c>
      <c r="F48" s="2">
        <f>IFERROR(__xludf.DUMMYFUNCTION("""COMPUTED_VALUE"""),3.7599655E7)</f>
        <v>37599655</v>
      </c>
    </row>
    <row r="49">
      <c r="A49" s="3">
        <f>IFERROR(__xludf.DUMMYFUNCTION("""COMPUTED_VALUE"""),44998.66666666667)</f>
        <v>44998.66667</v>
      </c>
      <c r="B49" s="2">
        <f>IFERROR(__xludf.DUMMYFUNCTION("""COMPUTED_VALUE"""),131.21)</f>
        <v>131.21</v>
      </c>
      <c r="C49" s="2">
        <f>IFERROR(__xludf.DUMMYFUNCTION("""COMPUTED_VALUE"""),133.88)</f>
        <v>133.88</v>
      </c>
      <c r="D49" s="2">
        <f>IFERROR(__xludf.DUMMYFUNCTION("""COMPUTED_VALUE"""),129.41)</f>
        <v>129.41</v>
      </c>
      <c r="E49" s="2">
        <f>IFERROR(__xludf.DUMMYFUNCTION("""COMPUTED_VALUE"""),131.25)</f>
        <v>131.25</v>
      </c>
      <c r="F49" s="2">
        <f>IFERROR(__xludf.DUMMYFUNCTION("""COMPUTED_VALUE"""),4.2901132E7)</f>
        <v>42901132</v>
      </c>
    </row>
    <row r="50">
      <c r="A50" s="3">
        <f>IFERROR(__xludf.DUMMYFUNCTION("""COMPUTED_VALUE"""),44999.66666666667)</f>
        <v>44999.66667</v>
      </c>
      <c r="B50" s="2">
        <f>IFERROR(__xludf.DUMMYFUNCTION("""COMPUTED_VALUE"""),135.28)</f>
        <v>135.28</v>
      </c>
      <c r="C50" s="2">
        <f>IFERROR(__xludf.DUMMYFUNCTION("""COMPUTED_VALUE"""),135.53)</f>
        <v>135.53</v>
      </c>
      <c r="D50" s="2">
        <f>IFERROR(__xludf.DUMMYFUNCTION("""COMPUTED_VALUE"""),131.29)</f>
        <v>131.29</v>
      </c>
      <c r="E50" s="2">
        <f>IFERROR(__xludf.DUMMYFUNCTION("""COMPUTED_VALUE"""),134.62)</f>
        <v>134.62</v>
      </c>
      <c r="F50" s="2">
        <f>IFERROR(__xludf.DUMMYFUNCTION("""COMPUTED_VALUE"""),2.9648116E7)</f>
        <v>29648116</v>
      </c>
    </row>
    <row r="51">
      <c r="A51" s="3">
        <f>IFERROR(__xludf.DUMMYFUNCTION("""COMPUTED_VALUE"""),45000.66666666667)</f>
        <v>45000.66667</v>
      </c>
      <c r="B51" s="2">
        <f>IFERROR(__xludf.DUMMYFUNCTION("""COMPUTED_VALUE"""),130.98)</f>
        <v>130.98</v>
      </c>
      <c r="C51" s="2">
        <f>IFERROR(__xludf.DUMMYFUNCTION("""COMPUTED_VALUE"""),130.99)</f>
        <v>130.99</v>
      </c>
      <c r="D51" s="2">
        <f>IFERROR(__xludf.DUMMYFUNCTION("""COMPUTED_VALUE"""),126.73)</f>
        <v>126.73</v>
      </c>
      <c r="E51" s="2">
        <f>IFERROR(__xludf.DUMMYFUNCTION("""COMPUTED_VALUE"""),128.26)</f>
        <v>128.26</v>
      </c>
      <c r="F51" s="2">
        <f>IFERROR(__xludf.DUMMYFUNCTION("""COMPUTED_VALUE"""),3.4280607E7)</f>
        <v>34280607</v>
      </c>
    </row>
    <row r="52">
      <c r="A52" s="3">
        <f>IFERROR(__xludf.DUMMYFUNCTION("""COMPUTED_VALUE"""),45001.66666666667)</f>
        <v>45001.66667</v>
      </c>
      <c r="B52" s="2">
        <f>IFERROR(__xludf.DUMMYFUNCTION("""COMPUTED_VALUE"""),128.01)</f>
        <v>128.01</v>
      </c>
      <c r="C52" s="2">
        <f>IFERROR(__xludf.DUMMYFUNCTION("""COMPUTED_VALUE"""),131.95)</f>
        <v>131.95</v>
      </c>
      <c r="D52" s="2">
        <f>IFERROR(__xludf.DUMMYFUNCTION("""COMPUTED_VALUE"""),126.02)</f>
        <v>126.02</v>
      </c>
      <c r="E52" s="2">
        <f>IFERROR(__xludf.DUMMYFUNCTION("""COMPUTED_VALUE"""),130.75)</f>
        <v>130.75</v>
      </c>
      <c r="F52" s="2">
        <f>IFERROR(__xludf.DUMMYFUNCTION("""COMPUTED_VALUE"""),2.4570587E7)</f>
        <v>24570587</v>
      </c>
    </row>
    <row r="53">
      <c r="A53" s="3">
        <f>IFERROR(__xludf.DUMMYFUNCTION("""COMPUTED_VALUE"""),45002.66666666667)</f>
        <v>45002.66667</v>
      </c>
      <c r="B53" s="2">
        <f>IFERROR(__xludf.DUMMYFUNCTION("""COMPUTED_VALUE"""),128.38)</f>
        <v>128.38</v>
      </c>
      <c r="C53" s="2">
        <f>IFERROR(__xludf.DUMMYFUNCTION("""COMPUTED_VALUE"""),128.48)</f>
        <v>128.48</v>
      </c>
      <c r="D53" s="2">
        <f>IFERROR(__xludf.DUMMYFUNCTION("""COMPUTED_VALUE"""),125.45)</f>
        <v>125.45</v>
      </c>
      <c r="E53" s="2">
        <f>IFERROR(__xludf.DUMMYFUNCTION("""COMPUTED_VALUE"""),125.81)</f>
        <v>125.81</v>
      </c>
      <c r="F53" s="2">
        <f>IFERROR(__xludf.DUMMYFUNCTION("""COMPUTED_VALUE"""),3.8395982E7)</f>
        <v>38395982</v>
      </c>
    </row>
    <row r="54">
      <c r="A54" s="3">
        <f>IFERROR(__xludf.DUMMYFUNCTION("""COMPUTED_VALUE"""),45005.66666666667)</f>
        <v>45005.66667</v>
      </c>
      <c r="B54" s="2">
        <f>IFERROR(__xludf.DUMMYFUNCTION("""COMPUTED_VALUE"""),126.99)</f>
        <v>126.99</v>
      </c>
      <c r="C54" s="2">
        <f>IFERROR(__xludf.DUMMYFUNCTION("""COMPUTED_VALUE"""),129.47)</f>
        <v>129.47</v>
      </c>
      <c r="D54" s="2">
        <f>IFERROR(__xludf.DUMMYFUNCTION("""COMPUTED_VALUE"""),126.01)</f>
        <v>126.01</v>
      </c>
      <c r="E54" s="2">
        <f>IFERROR(__xludf.DUMMYFUNCTION("""COMPUTED_VALUE"""),127.14)</f>
        <v>127.14</v>
      </c>
      <c r="F54" s="2">
        <f>IFERROR(__xludf.DUMMYFUNCTION("""COMPUTED_VALUE"""),2.2875505E7)</f>
        <v>22875505</v>
      </c>
    </row>
    <row r="55">
      <c r="A55" s="3">
        <f>IFERROR(__xludf.DUMMYFUNCTION("""COMPUTED_VALUE"""),45006.66666666667)</f>
        <v>45006.66667</v>
      </c>
      <c r="B55" s="2">
        <f>IFERROR(__xludf.DUMMYFUNCTION("""COMPUTED_VALUE"""),130.59)</f>
        <v>130.59</v>
      </c>
      <c r="C55" s="2">
        <f>IFERROR(__xludf.DUMMYFUNCTION("""COMPUTED_VALUE"""),131.73)</f>
        <v>131.73</v>
      </c>
      <c r="D55" s="2">
        <f>IFERROR(__xludf.DUMMYFUNCTION("""COMPUTED_VALUE"""),130.19)</f>
        <v>130.19</v>
      </c>
      <c r="E55" s="2">
        <f>IFERROR(__xludf.DUMMYFUNCTION("""COMPUTED_VALUE"""),130.55)</f>
        <v>130.55</v>
      </c>
      <c r="F55" s="2">
        <f>IFERROR(__xludf.DUMMYFUNCTION("""COMPUTED_VALUE"""),1.7807808E7)</f>
        <v>17807808</v>
      </c>
    </row>
    <row r="56">
      <c r="A56" s="3">
        <f>IFERROR(__xludf.DUMMYFUNCTION("""COMPUTED_VALUE"""),45007.66666666667)</f>
        <v>45007.66667</v>
      </c>
      <c r="B56" s="2">
        <f>IFERROR(__xludf.DUMMYFUNCTION("""COMPUTED_VALUE"""),130.56)</f>
        <v>130.56</v>
      </c>
      <c r="C56" s="2">
        <f>IFERROR(__xludf.DUMMYFUNCTION("""COMPUTED_VALUE"""),130.66)</f>
        <v>130.66</v>
      </c>
      <c r="D56" s="2">
        <f>IFERROR(__xludf.DUMMYFUNCTION("""COMPUTED_VALUE"""),127.08)</f>
        <v>127.08</v>
      </c>
      <c r="E56" s="2">
        <f>IFERROR(__xludf.DUMMYFUNCTION("""COMPUTED_VALUE"""),127.18)</f>
        <v>127.18</v>
      </c>
      <c r="F56" s="2">
        <f>IFERROR(__xludf.DUMMYFUNCTION("""COMPUTED_VALUE"""),1.7250168E7)</f>
        <v>17250168</v>
      </c>
    </row>
    <row r="57">
      <c r="A57" s="3">
        <f>IFERROR(__xludf.DUMMYFUNCTION("""COMPUTED_VALUE"""),45008.66666666667)</f>
        <v>45008.66667</v>
      </c>
      <c r="B57" s="2">
        <f>IFERROR(__xludf.DUMMYFUNCTION("""COMPUTED_VALUE"""),127.9)</f>
        <v>127.9</v>
      </c>
      <c r="C57" s="2">
        <f>IFERROR(__xludf.DUMMYFUNCTION("""COMPUTED_VALUE"""),129.53)</f>
        <v>129.53</v>
      </c>
      <c r="D57" s="2">
        <f>IFERROR(__xludf.DUMMYFUNCTION("""COMPUTED_VALUE"""),126.02)</f>
        <v>126.02</v>
      </c>
      <c r="E57" s="2">
        <f>IFERROR(__xludf.DUMMYFUNCTION("""COMPUTED_VALUE"""),126.84)</f>
        <v>126.84</v>
      </c>
      <c r="F57" s="2">
        <f>IFERROR(__xludf.DUMMYFUNCTION("""COMPUTED_VALUE"""),1.667764E7)</f>
        <v>16677640</v>
      </c>
    </row>
    <row r="58">
      <c r="A58" s="3">
        <f>IFERROR(__xludf.DUMMYFUNCTION("""COMPUTED_VALUE"""),45009.66666666667)</f>
        <v>45009.66667</v>
      </c>
      <c r="B58" s="2">
        <f>IFERROR(__xludf.DUMMYFUNCTION("""COMPUTED_VALUE"""),125.63)</f>
        <v>125.63</v>
      </c>
      <c r="C58" s="2">
        <f>IFERROR(__xludf.DUMMYFUNCTION("""COMPUTED_VALUE"""),125.68)</f>
        <v>125.68</v>
      </c>
      <c r="D58" s="2">
        <f>IFERROR(__xludf.DUMMYFUNCTION("""COMPUTED_VALUE"""),123.11)</f>
        <v>123.11</v>
      </c>
      <c r="E58" s="2">
        <f>IFERROR(__xludf.DUMMYFUNCTION("""COMPUTED_VALUE"""),124.91)</f>
        <v>124.91</v>
      </c>
      <c r="F58" s="2">
        <f>IFERROR(__xludf.DUMMYFUNCTION("""COMPUTED_VALUE"""),2.2326916E7)</f>
        <v>22326916</v>
      </c>
    </row>
    <row r="59">
      <c r="A59" s="3">
        <f>IFERROR(__xludf.DUMMYFUNCTION("""COMPUTED_VALUE"""),45012.66666666667)</f>
        <v>45012.66667</v>
      </c>
      <c r="B59" s="2">
        <f>IFERROR(__xludf.DUMMYFUNCTION("""COMPUTED_VALUE"""),126.79)</f>
        <v>126.79</v>
      </c>
      <c r="C59" s="2">
        <f>IFERROR(__xludf.DUMMYFUNCTION("""COMPUTED_VALUE"""),129.38)</f>
        <v>129.38</v>
      </c>
      <c r="D59" s="2">
        <f>IFERROR(__xludf.DUMMYFUNCTION("""COMPUTED_VALUE"""),126.29)</f>
        <v>126.29</v>
      </c>
      <c r="E59" s="2">
        <f>IFERROR(__xludf.DUMMYFUNCTION("""COMPUTED_VALUE"""),128.49)</f>
        <v>128.49</v>
      </c>
      <c r="F59" s="2">
        <f>IFERROR(__xludf.DUMMYFUNCTION("""COMPUTED_VALUE"""),1.8853935E7)</f>
        <v>18853935</v>
      </c>
    </row>
    <row r="60">
      <c r="A60" s="3">
        <f>IFERROR(__xludf.DUMMYFUNCTION("""COMPUTED_VALUE"""),45013.66666666667)</f>
        <v>45013.66667</v>
      </c>
      <c r="B60" s="2">
        <f>IFERROR(__xludf.DUMMYFUNCTION("""COMPUTED_VALUE"""),128.71)</f>
        <v>128.71</v>
      </c>
      <c r="C60" s="2">
        <f>IFERROR(__xludf.DUMMYFUNCTION("""COMPUTED_VALUE"""),129.34)</f>
        <v>129.34</v>
      </c>
      <c r="D60" s="2">
        <f>IFERROR(__xludf.DUMMYFUNCTION("""COMPUTED_VALUE"""),127.74)</f>
        <v>127.74</v>
      </c>
      <c r="E60" s="2">
        <f>IFERROR(__xludf.DUMMYFUNCTION("""COMPUTED_VALUE"""),128.88)</f>
        <v>128.88</v>
      </c>
      <c r="F60" s="2">
        <f>IFERROR(__xludf.DUMMYFUNCTION("""COMPUTED_VALUE"""),1.0820466E7)</f>
        <v>10820466</v>
      </c>
    </row>
    <row r="61">
      <c r="A61" s="3">
        <f>IFERROR(__xludf.DUMMYFUNCTION("""COMPUTED_VALUE"""),45014.66666666667)</f>
        <v>45014.66667</v>
      </c>
      <c r="B61" s="2">
        <f>IFERROR(__xludf.DUMMYFUNCTION("""COMPUTED_VALUE"""),130.1)</f>
        <v>130.1</v>
      </c>
      <c r="C61" s="2">
        <f>IFERROR(__xludf.DUMMYFUNCTION("""COMPUTED_VALUE"""),130.22)</f>
        <v>130.22</v>
      </c>
      <c r="D61" s="2">
        <f>IFERROR(__xludf.DUMMYFUNCTION("""COMPUTED_VALUE"""),127.77)</f>
        <v>127.77</v>
      </c>
      <c r="E61" s="2">
        <f>IFERROR(__xludf.DUMMYFUNCTION("""COMPUTED_VALUE"""),129.14)</f>
        <v>129.14</v>
      </c>
      <c r="F61" s="2">
        <f>IFERROR(__xludf.DUMMYFUNCTION("""COMPUTED_VALUE"""),1.459526E7)</f>
        <v>14595260</v>
      </c>
    </row>
    <row r="62">
      <c r="A62" s="3">
        <f>IFERROR(__xludf.DUMMYFUNCTION("""COMPUTED_VALUE"""),45015.66666666667)</f>
        <v>45015.66667</v>
      </c>
      <c r="B62" s="2">
        <f>IFERROR(__xludf.DUMMYFUNCTION("""COMPUTED_VALUE"""),129.95)</f>
        <v>129.95</v>
      </c>
      <c r="C62" s="2">
        <f>IFERROR(__xludf.DUMMYFUNCTION("""COMPUTED_VALUE"""),130.12)</f>
        <v>130.12</v>
      </c>
      <c r="D62" s="2">
        <f>IFERROR(__xludf.DUMMYFUNCTION("""COMPUTED_VALUE"""),127.65)</f>
        <v>127.65</v>
      </c>
      <c r="E62" s="2">
        <f>IFERROR(__xludf.DUMMYFUNCTION("""COMPUTED_VALUE"""),128.75)</f>
        <v>128.75</v>
      </c>
      <c r="F62" s="2">
        <f>IFERROR(__xludf.DUMMYFUNCTION("""COMPUTED_VALUE"""),1.2134675E7)</f>
        <v>12134675</v>
      </c>
    </row>
    <row r="63">
      <c r="A63" s="3">
        <f>IFERROR(__xludf.DUMMYFUNCTION("""COMPUTED_VALUE"""),45016.66666666667)</f>
        <v>45016.66667</v>
      </c>
      <c r="B63" s="2">
        <f>IFERROR(__xludf.DUMMYFUNCTION("""COMPUTED_VALUE"""),129.66)</f>
        <v>129.66</v>
      </c>
      <c r="C63" s="2">
        <f>IFERROR(__xludf.DUMMYFUNCTION("""COMPUTED_VALUE"""),130.34)</f>
        <v>130.34</v>
      </c>
      <c r="D63" s="2">
        <f>IFERROR(__xludf.DUMMYFUNCTION("""COMPUTED_VALUE"""),128.85)</f>
        <v>128.85</v>
      </c>
      <c r="E63" s="2">
        <f>IFERROR(__xludf.DUMMYFUNCTION("""COMPUTED_VALUE"""),130.31)</f>
        <v>130.31</v>
      </c>
      <c r="F63" s="2">
        <f>IFERROR(__xludf.DUMMYFUNCTION("""COMPUTED_VALUE"""),1.3105215E7)</f>
        <v>13105215</v>
      </c>
    </row>
    <row r="64">
      <c r="A64" s="3">
        <f>IFERROR(__xludf.DUMMYFUNCTION("""COMPUTED_VALUE"""),45019.66666666667)</f>
        <v>45019.66667</v>
      </c>
      <c r="B64" s="2">
        <f>IFERROR(__xludf.DUMMYFUNCTION("""COMPUTED_VALUE"""),129.91)</f>
        <v>129.91</v>
      </c>
      <c r="C64" s="2">
        <f>IFERROR(__xludf.DUMMYFUNCTION("""COMPUTED_VALUE"""),131.44)</f>
        <v>131.44</v>
      </c>
      <c r="D64" s="2">
        <f>IFERROR(__xludf.DUMMYFUNCTION("""COMPUTED_VALUE"""),129.41)</f>
        <v>129.41</v>
      </c>
      <c r="E64" s="2">
        <f>IFERROR(__xludf.DUMMYFUNCTION("""COMPUTED_VALUE"""),130.16)</f>
        <v>130.16</v>
      </c>
      <c r="F64" s="2">
        <f>IFERROR(__xludf.DUMMYFUNCTION("""COMPUTED_VALUE"""),1.1775388E7)</f>
        <v>11775388</v>
      </c>
    </row>
    <row r="65">
      <c r="A65" s="3">
        <f>IFERROR(__xludf.DUMMYFUNCTION("""COMPUTED_VALUE"""),45020.66666666667)</f>
        <v>45020.66667</v>
      </c>
      <c r="B65" s="2">
        <f>IFERROR(__xludf.DUMMYFUNCTION("""COMPUTED_VALUE"""),130.5)</f>
        <v>130.5</v>
      </c>
      <c r="C65" s="2">
        <f>IFERROR(__xludf.DUMMYFUNCTION("""COMPUTED_VALUE"""),130.59)</f>
        <v>130.59</v>
      </c>
      <c r="D65" s="2">
        <f>IFERROR(__xludf.DUMMYFUNCTION("""COMPUTED_VALUE"""),127.41)</f>
        <v>127.41</v>
      </c>
      <c r="E65" s="2">
        <f>IFERROR(__xludf.DUMMYFUNCTION("""COMPUTED_VALUE"""),128.42)</f>
        <v>128.42</v>
      </c>
      <c r="F65" s="2">
        <f>IFERROR(__xludf.DUMMYFUNCTION("""COMPUTED_VALUE"""),1.1579916E7)</f>
        <v>11579916</v>
      </c>
    </row>
    <row r="66">
      <c r="A66" s="3">
        <f>IFERROR(__xludf.DUMMYFUNCTION("""COMPUTED_VALUE"""),45021.66666666667)</f>
        <v>45021.66667</v>
      </c>
      <c r="B66" s="2">
        <f>IFERROR(__xludf.DUMMYFUNCTION("""COMPUTED_VALUE"""),126.8)</f>
        <v>126.8</v>
      </c>
      <c r="C66" s="2">
        <f>IFERROR(__xludf.DUMMYFUNCTION("""COMPUTED_VALUE"""),128.15)</f>
        <v>128.15</v>
      </c>
      <c r="D66" s="2">
        <f>IFERROR(__xludf.DUMMYFUNCTION("""COMPUTED_VALUE"""),126.46)</f>
        <v>126.46</v>
      </c>
      <c r="E66" s="2">
        <f>IFERROR(__xludf.DUMMYFUNCTION("""COMPUTED_VALUE"""),127.61)</f>
        <v>127.61</v>
      </c>
      <c r="F66" s="2">
        <f>IFERROR(__xludf.DUMMYFUNCTION("""COMPUTED_VALUE"""),9614692.0)</f>
        <v>9614692</v>
      </c>
    </row>
    <row r="67">
      <c r="A67" s="3">
        <f>IFERROR(__xludf.DUMMYFUNCTION("""COMPUTED_VALUE"""),45022.66666666667)</f>
        <v>45022.66667</v>
      </c>
      <c r="B67" s="2">
        <f>IFERROR(__xludf.DUMMYFUNCTION("""COMPUTED_VALUE"""),127.0)</f>
        <v>127</v>
      </c>
      <c r="C67" s="2">
        <f>IFERROR(__xludf.DUMMYFUNCTION("""COMPUTED_VALUE"""),128.08)</f>
        <v>128.08</v>
      </c>
      <c r="D67" s="2">
        <f>IFERROR(__xludf.DUMMYFUNCTION("""COMPUTED_VALUE"""),126.86)</f>
        <v>126.86</v>
      </c>
      <c r="E67" s="2">
        <f>IFERROR(__xludf.DUMMYFUNCTION("""COMPUTED_VALUE"""),127.47)</f>
        <v>127.47</v>
      </c>
      <c r="F67" s="2">
        <f>IFERROR(__xludf.DUMMYFUNCTION("""COMPUTED_VALUE"""),8760220.0)</f>
        <v>8760220</v>
      </c>
    </row>
    <row r="68">
      <c r="A68" s="3">
        <f>IFERROR(__xludf.DUMMYFUNCTION("""COMPUTED_VALUE"""),45026.66666666667)</f>
        <v>45026.66667</v>
      </c>
      <c r="B68" s="2">
        <f>IFERROR(__xludf.DUMMYFUNCTION("""COMPUTED_VALUE"""),126.54)</f>
        <v>126.54</v>
      </c>
      <c r="C68" s="2">
        <f>IFERROR(__xludf.DUMMYFUNCTION("""COMPUTED_VALUE"""),128.23)</f>
        <v>128.23</v>
      </c>
      <c r="D68" s="2">
        <f>IFERROR(__xludf.DUMMYFUNCTION("""COMPUTED_VALUE"""),126.22)</f>
        <v>126.22</v>
      </c>
      <c r="E68" s="2">
        <f>IFERROR(__xludf.DUMMYFUNCTION("""COMPUTED_VALUE"""),127.89)</f>
        <v>127.89</v>
      </c>
      <c r="F68" s="2">
        <f>IFERROR(__xludf.DUMMYFUNCTION("""COMPUTED_VALUE"""),9477292.0)</f>
        <v>9477292</v>
      </c>
    </row>
    <row r="69">
      <c r="A69" s="3">
        <f>IFERROR(__xludf.DUMMYFUNCTION("""COMPUTED_VALUE"""),45027.66666666667)</f>
        <v>45027.66667</v>
      </c>
      <c r="B69" s="2">
        <f>IFERROR(__xludf.DUMMYFUNCTION("""COMPUTED_VALUE"""),128.3)</f>
        <v>128.3</v>
      </c>
      <c r="C69" s="2">
        <f>IFERROR(__xludf.DUMMYFUNCTION("""COMPUTED_VALUE"""),128.94)</f>
        <v>128.94</v>
      </c>
      <c r="D69" s="2">
        <f>IFERROR(__xludf.DUMMYFUNCTION("""COMPUTED_VALUE"""),127.54)</f>
        <v>127.54</v>
      </c>
      <c r="E69" s="2">
        <f>IFERROR(__xludf.DUMMYFUNCTION("""COMPUTED_VALUE"""),128.52)</f>
        <v>128.52</v>
      </c>
      <c r="F69" s="2">
        <f>IFERROR(__xludf.DUMMYFUNCTION("""COMPUTED_VALUE"""),1.0516267E7)</f>
        <v>10516267</v>
      </c>
    </row>
    <row r="70">
      <c r="A70" s="3">
        <f>IFERROR(__xludf.DUMMYFUNCTION("""COMPUTED_VALUE"""),45028.66666666667)</f>
        <v>45028.66667</v>
      </c>
      <c r="B70" s="2">
        <f>IFERROR(__xludf.DUMMYFUNCTION("""COMPUTED_VALUE"""),129.18)</f>
        <v>129.18</v>
      </c>
      <c r="C70" s="2">
        <f>IFERROR(__xludf.DUMMYFUNCTION("""COMPUTED_VALUE"""),130.43)</f>
        <v>130.43</v>
      </c>
      <c r="D70" s="2">
        <f>IFERROR(__xludf.DUMMYFUNCTION("""COMPUTED_VALUE"""),128.06)</f>
        <v>128.06</v>
      </c>
      <c r="E70" s="2">
        <f>IFERROR(__xludf.DUMMYFUNCTION("""COMPUTED_VALUE"""),128.5)</f>
        <v>128.5</v>
      </c>
      <c r="F70" s="2">
        <f>IFERROR(__xludf.DUMMYFUNCTION("""COMPUTED_VALUE"""),1.1820995E7)</f>
        <v>11820995</v>
      </c>
    </row>
    <row r="71">
      <c r="A71" s="3">
        <f>IFERROR(__xludf.DUMMYFUNCTION("""COMPUTED_VALUE"""),45029.66666666667)</f>
        <v>45029.66667</v>
      </c>
      <c r="B71" s="2">
        <f>IFERROR(__xludf.DUMMYFUNCTION("""COMPUTED_VALUE"""),128.46)</f>
        <v>128.46</v>
      </c>
      <c r="C71" s="2">
        <f>IFERROR(__xludf.DUMMYFUNCTION("""COMPUTED_VALUE"""),129.04)</f>
        <v>129.04</v>
      </c>
      <c r="D71" s="2">
        <f>IFERROR(__xludf.DUMMYFUNCTION("""COMPUTED_VALUE"""),126.83)</f>
        <v>126.83</v>
      </c>
      <c r="E71" s="2">
        <f>IFERROR(__xludf.DUMMYFUNCTION("""COMPUTED_VALUE"""),128.99)</f>
        <v>128.99</v>
      </c>
      <c r="F71" s="2">
        <f>IFERROR(__xludf.DUMMYFUNCTION("""COMPUTED_VALUE"""),1.2450242E7)</f>
        <v>12450242</v>
      </c>
    </row>
    <row r="72">
      <c r="A72" s="3">
        <f>IFERROR(__xludf.DUMMYFUNCTION("""COMPUTED_VALUE"""),45030.66666666667)</f>
        <v>45030.66667</v>
      </c>
      <c r="B72" s="2">
        <f>IFERROR(__xludf.DUMMYFUNCTION("""COMPUTED_VALUE"""),135.15)</f>
        <v>135.15</v>
      </c>
      <c r="C72" s="2">
        <f>IFERROR(__xludf.DUMMYFUNCTION("""COMPUTED_VALUE"""),139.12)</f>
        <v>139.12</v>
      </c>
      <c r="D72" s="2">
        <f>IFERROR(__xludf.DUMMYFUNCTION("""COMPUTED_VALUE"""),134.9)</f>
        <v>134.9</v>
      </c>
      <c r="E72" s="2">
        <f>IFERROR(__xludf.DUMMYFUNCTION("""COMPUTED_VALUE"""),138.73)</f>
        <v>138.73</v>
      </c>
      <c r="F72" s="2">
        <f>IFERROR(__xludf.DUMMYFUNCTION("""COMPUTED_VALUE"""),4.3931328E7)</f>
        <v>43931328</v>
      </c>
    </row>
    <row r="73">
      <c r="A73" s="3">
        <f>IFERROR(__xludf.DUMMYFUNCTION("""COMPUTED_VALUE"""),45033.66666666667)</f>
        <v>45033.66667</v>
      </c>
      <c r="B73" s="2">
        <f>IFERROR(__xludf.DUMMYFUNCTION("""COMPUTED_VALUE"""),139.95)</f>
        <v>139.95</v>
      </c>
      <c r="C73" s="2">
        <f>IFERROR(__xludf.DUMMYFUNCTION("""COMPUTED_VALUE"""),140.06)</f>
        <v>140.06</v>
      </c>
      <c r="D73" s="2">
        <f>IFERROR(__xludf.DUMMYFUNCTION("""COMPUTED_VALUE"""),137.66)</f>
        <v>137.66</v>
      </c>
      <c r="E73" s="2">
        <f>IFERROR(__xludf.DUMMYFUNCTION("""COMPUTED_VALUE"""),139.83)</f>
        <v>139.83</v>
      </c>
      <c r="F73" s="2">
        <f>IFERROR(__xludf.DUMMYFUNCTION("""COMPUTED_VALUE"""),1.6050486E7)</f>
        <v>16050486</v>
      </c>
    </row>
    <row r="74">
      <c r="A74" s="3">
        <f>IFERROR(__xludf.DUMMYFUNCTION("""COMPUTED_VALUE"""),45034.66666666667)</f>
        <v>45034.66667</v>
      </c>
      <c r="B74" s="2">
        <f>IFERROR(__xludf.DUMMYFUNCTION("""COMPUTED_VALUE"""),140.27)</f>
        <v>140.27</v>
      </c>
      <c r="C74" s="2">
        <f>IFERROR(__xludf.DUMMYFUNCTION("""COMPUTED_VALUE"""),141.78)</f>
        <v>141.78</v>
      </c>
      <c r="D74" s="2">
        <f>IFERROR(__xludf.DUMMYFUNCTION("""COMPUTED_VALUE"""),139.03)</f>
        <v>139.03</v>
      </c>
      <c r="E74" s="2">
        <f>IFERROR(__xludf.DUMMYFUNCTION("""COMPUTED_VALUE"""),141.4)</f>
        <v>141.4</v>
      </c>
      <c r="F74" s="2">
        <f>IFERROR(__xludf.DUMMYFUNCTION("""COMPUTED_VALUE"""),1.3760139E7)</f>
        <v>13760139</v>
      </c>
    </row>
    <row r="75">
      <c r="A75" s="3">
        <f>IFERROR(__xludf.DUMMYFUNCTION("""COMPUTED_VALUE"""),45035.66666666667)</f>
        <v>45035.66667</v>
      </c>
      <c r="B75" s="2">
        <f>IFERROR(__xludf.DUMMYFUNCTION("""COMPUTED_VALUE"""),141.23)</f>
        <v>141.23</v>
      </c>
      <c r="C75" s="2">
        <f>IFERROR(__xludf.DUMMYFUNCTION("""COMPUTED_VALUE"""),141.5)</f>
        <v>141.5</v>
      </c>
      <c r="D75" s="2">
        <f>IFERROR(__xludf.DUMMYFUNCTION("""COMPUTED_VALUE"""),140.4)</f>
        <v>140.4</v>
      </c>
      <c r="E75" s="2">
        <f>IFERROR(__xludf.DUMMYFUNCTION("""COMPUTED_VALUE"""),141.22)</f>
        <v>141.22</v>
      </c>
      <c r="F75" s="2">
        <f>IFERROR(__xludf.DUMMYFUNCTION("""COMPUTED_VALUE"""),9158112.0)</f>
        <v>9158112</v>
      </c>
    </row>
    <row r="76">
      <c r="A76" s="3">
        <f>IFERROR(__xludf.DUMMYFUNCTION("""COMPUTED_VALUE"""),45036.66666666667)</f>
        <v>45036.66667</v>
      </c>
      <c r="B76" s="2">
        <f>IFERROR(__xludf.DUMMYFUNCTION("""COMPUTED_VALUE"""),139.91)</f>
        <v>139.91</v>
      </c>
      <c r="C76" s="2">
        <f>IFERROR(__xludf.DUMMYFUNCTION("""COMPUTED_VALUE"""),141.43)</f>
        <v>141.43</v>
      </c>
      <c r="D76" s="2">
        <f>IFERROR(__xludf.DUMMYFUNCTION("""COMPUTED_VALUE"""),139.84)</f>
        <v>139.84</v>
      </c>
      <c r="E76" s="2">
        <f>IFERROR(__xludf.DUMMYFUNCTION("""COMPUTED_VALUE"""),140.81)</f>
        <v>140.81</v>
      </c>
      <c r="F76" s="2">
        <f>IFERROR(__xludf.DUMMYFUNCTION("""COMPUTED_VALUE"""),1.0586245E7)</f>
        <v>10586245</v>
      </c>
    </row>
    <row r="77">
      <c r="A77" s="3">
        <f>IFERROR(__xludf.DUMMYFUNCTION("""COMPUTED_VALUE"""),45037.66666666667)</f>
        <v>45037.66667</v>
      </c>
      <c r="B77" s="2">
        <f>IFERROR(__xludf.DUMMYFUNCTION("""COMPUTED_VALUE"""),139.74)</f>
        <v>139.74</v>
      </c>
      <c r="C77" s="2">
        <f>IFERROR(__xludf.DUMMYFUNCTION("""COMPUTED_VALUE"""),141.11)</f>
        <v>141.11</v>
      </c>
      <c r="D77" s="2">
        <f>IFERROR(__xludf.DUMMYFUNCTION("""COMPUTED_VALUE"""),138.78)</f>
        <v>138.78</v>
      </c>
      <c r="E77" s="2">
        <f>IFERROR(__xludf.DUMMYFUNCTION("""COMPUTED_VALUE"""),140.54)</f>
        <v>140.54</v>
      </c>
      <c r="F77" s="2">
        <f>IFERROR(__xludf.DUMMYFUNCTION("""COMPUTED_VALUE"""),1.1842537E7)</f>
        <v>11842537</v>
      </c>
    </row>
    <row r="78">
      <c r="A78" s="3">
        <f>IFERROR(__xludf.DUMMYFUNCTION("""COMPUTED_VALUE"""),45040.66666666667)</f>
        <v>45040.66667</v>
      </c>
      <c r="B78" s="2">
        <f>IFERROR(__xludf.DUMMYFUNCTION("""COMPUTED_VALUE"""),140.46)</f>
        <v>140.46</v>
      </c>
      <c r="C78" s="2">
        <f>IFERROR(__xludf.DUMMYFUNCTION("""COMPUTED_VALUE"""),141.1)</f>
        <v>141.1</v>
      </c>
      <c r="D78" s="2">
        <f>IFERROR(__xludf.DUMMYFUNCTION("""COMPUTED_VALUE"""),140.04)</f>
        <v>140.04</v>
      </c>
      <c r="E78" s="2">
        <f>IFERROR(__xludf.DUMMYFUNCTION("""COMPUTED_VALUE"""),140.73)</f>
        <v>140.73</v>
      </c>
      <c r="F78" s="2">
        <f>IFERROR(__xludf.DUMMYFUNCTION("""COMPUTED_VALUE"""),7567666.0)</f>
        <v>7567666</v>
      </c>
    </row>
    <row r="79">
      <c r="A79" s="3">
        <f>IFERROR(__xludf.DUMMYFUNCTION("""COMPUTED_VALUE"""),45041.66666666667)</f>
        <v>45041.66667</v>
      </c>
      <c r="B79" s="2">
        <f>IFERROR(__xludf.DUMMYFUNCTION("""COMPUTED_VALUE"""),139.6)</f>
        <v>139.6</v>
      </c>
      <c r="C79" s="2">
        <f>IFERROR(__xludf.DUMMYFUNCTION("""COMPUTED_VALUE"""),139.96)</f>
        <v>139.96</v>
      </c>
      <c r="D79" s="2">
        <f>IFERROR(__xludf.DUMMYFUNCTION("""COMPUTED_VALUE"""),137.63)</f>
        <v>137.63</v>
      </c>
      <c r="E79" s="2">
        <f>IFERROR(__xludf.DUMMYFUNCTION("""COMPUTED_VALUE"""),137.67)</f>
        <v>137.67</v>
      </c>
      <c r="F79" s="2">
        <f>IFERROR(__xludf.DUMMYFUNCTION("""COMPUTED_VALUE"""),1.0629325E7)</f>
        <v>10629325</v>
      </c>
    </row>
    <row r="80">
      <c r="A80" s="3">
        <f>IFERROR(__xludf.DUMMYFUNCTION("""COMPUTED_VALUE"""),45042.66666666667)</f>
        <v>45042.66667</v>
      </c>
      <c r="B80" s="2">
        <f>IFERROR(__xludf.DUMMYFUNCTION("""COMPUTED_VALUE"""),137.62)</f>
        <v>137.62</v>
      </c>
      <c r="C80" s="2">
        <f>IFERROR(__xludf.DUMMYFUNCTION("""COMPUTED_VALUE"""),137.81)</f>
        <v>137.81</v>
      </c>
      <c r="D80" s="2">
        <f>IFERROR(__xludf.DUMMYFUNCTION("""COMPUTED_VALUE"""),134.0)</f>
        <v>134</v>
      </c>
      <c r="E80" s="2">
        <f>IFERROR(__xludf.DUMMYFUNCTION("""COMPUTED_VALUE"""),135.23)</f>
        <v>135.23</v>
      </c>
      <c r="F80" s="2">
        <f>IFERROR(__xludf.DUMMYFUNCTION("""COMPUTED_VALUE"""),1.4416145E7)</f>
        <v>14416145</v>
      </c>
    </row>
    <row r="81">
      <c r="A81" s="3">
        <f>IFERROR(__xludf.DUMMYFUNCTION("""COMPUTED_VALUE"""),45043.66666666667)</f>
        <v>45043.66667</v>
      </c>
      <c r="B81" s="2">
        <f>IFERROR(__xludf.DUMMYFUNCTION("""COMPUTED_VALUE"""),136.0)</f>
        <v>136</v>
      </c>
      <c r="C81" s="2">
        <f>IFERROR(__xludf.DUMMYFUNCTION("""COMPUTED_VALUE"""),137.91)</f>
        <v>137.91</v>
      </c>
      <c r="D81" s="2">
        <f>IFERROR(__xludf.DUMMYFUNCTION("""COMPUTED_VALUE"""),135.66)</f>
        <v>135.66</v>
      </c>
      <c r="E81" s="2">
        <f>IFERROR(__xludf.DUMMYFUNCTION("""COMPUTED_VALUE"""),137.05)</f>
        <v>137.05</v>
      </c>
      <c r="F81" s="2">
        <f>IFERROR(__xludf.DUMMYFUNCTION("""COMPUTED_VALUE"""),9041092.0)</f>
        <v>9041092</v>
      </c>
    </row>
    <row r="82">
      <c r="A82" s="3">
        <f>IFERROR(__xludf.DUMMYFUNCTION("""COMPUTED_VALUE"""),45044.66666666667)</f>
        <v>45044.66667</v>
      </c>
      <c r="B82" s="2">
        <f>IFERROR(__xludf.DUMMYFUNCTION("""COMPUTED_VALUE"""),136.56)</f>
        <v>136.56</v>
      </c>
      <c r="C82" s="2">
        <f>IFERROR(__xludf.DUMMYFUNCTION("""COMPUTED_VALUE"""),138.32)</f>
        <v>138.32</v>
      </c>
      <c r="D82" s="2">
        <f>IFERROR(__xludf.DUMMYFUNCTION("""COMPUTED_VALUE"""),135.67)</f>
        <v>135.67</v>
      </c>
      <c r="E82" s="2">
        <f>IFERROR(__xludf.DUMMYFUNCTION("""COMPUTED_VALUE"""),138.24)</f>
        <v>138.24</v>
      </c>
      <c r="F82" s="2">
        <f>IFERROR(__xludf.DUMMYFUNCTION("""COMPUTED_VALUE"""),9887262.0)</f>
        <v>9887262</v>
      </c>
    </row>
    <row r="83">
      <c r="A83" s="3">
        <f>IFERROR(__xludf.DUMMYFUNCTION("""COMPUTED_VALUE"""),45047.66666666667)</f>
        <v>45047.66667</v>
      </c>
      <c r="B83" s="2">
        <f>IFERROR(__xludf.DUMMYFUNCTION("""COMPUTED_VALUE"""),142.26)</f>
        <v>142.26</v>
      </c>
      <c r="C83" s="2">
        <f>IFERROR(__xludf.DUMMYFUNCTION("""COMPUTED_VALUE"""),143.37)</f>
        <v>143.37</v>
      </c>
      <c r="D83" s="2">
        <f>IFERROR(__xludf.DUMMYFUNCTION("""COMPUTED_VALUE"""),140.83)</f>
        <v>140.83</v>
      </c>
      <c r="E83" s="2">
        <f>IFERROR(__xludf.DUMMYFUNCTION("""COMPUTED_VALUE"""),141.2)</f>
        <v>141.2</v>
      </c>
      <c r="F83" s="2">
        <f>IFERROR(__xludf.DUMMYFUNCTION("""COMPUTED_VALUE"""),2.0415762E7)</f>
        <v>20415762</v>
      </c>
    </row>
    <row r="84">
      <c r="A84" s="3">
        <f>IFERROR(__xludf.DUMMYFUNCTION("""COMPUTED_VALUE"""),45048.66666666667)</f>
        <v>45048.66667</v>
      </c>
      <c r="B84" s="2">
        <f>IFERROR(__xludf.DUMMYFUNCTION("""COMPUTED_VALUE"""),141.4)</f>
        <v>141.4</v>
      </c>
      <c r="C84" s="2">
        <f>IFERROR(__xludf.DUMMYFUNCTION("""COMPUTED_VALUE"""),142.41)</f>
        <v>142.41</v>
      </c>
      <c r="D84" s="2">
        <f>IFERROR(__xludf.DUMMYFUNCTION("""COMPUTED_VALUE"""),138.43)</f>
        <v>138.43</v>
      </c>
      <c r="E84" s="2">
        <f>IFERROR(__xludf.DUMMYFUNCTION("""COMPUTED_VALUE"""),138.92)</f>
        <v>138.92</v>
      </c>
      <c r="F84" s="2">
        <f>IFERROR(__xludf.DUMMYFUNCTION("""COMPUTED_VALUE"""),1.4113447E7)</f>
        <v>14113447</v>
      </c>
    </row>
    <row r="85">
      <c r="A85" s="3">
        <f>IFERROR(__xludf.DUMMYFUNCTION("""COMPUTED_VALUE"""),45049.66666666667)</f>
        <v>45049.66667</v>
      </c>
      <c r="B85" s="2">
        <f>IFERROR(__xludf.DUMMYFUNCTION("""COMPUTED_VALUE"""),138.44)</f>
        <v>138.44</v>
      </c>
      <c r="C85" s="2">
        <f>IFERROR(__xludf.DUMMYFUNCTION("""COMPUTED_VALUE"""),138.67)</f>
        <v>138.67</v>
      </c>
      <c r="D85" s="2">
        <f>IFERROR(__xludf.DUMMYFUNCTION("""COMPUTED_VALUE"""),135.76)</f>
        <v>135.76</v>
      </c>
      <c r="E85" s="2">
        <f>IFERROR(__xludf.DUMMYFUNCTION("""COMPUTED_VALUE"""),135.98)</f>
        <v>135.98</v>
      </c>
      <c r="F85" s="2">
        <f>IFERROR(__xludf.DUMMYFUNCTION("""COMPUTED_VALUE"""),1.2930906E7)</f>
        <v>12930906</v>
      </c>
    </row>
    <row r="86">
      <c r="A86" s="3">
        <f>IFERROR(__xludf.DUMMYFUNCTION("""COMPUTED_VALUE"""),45050.66666666667)</f>
        <v>45050.66667</v>
      </c>
      <c r="B86" s="2">
        <f>IFERROR(__xludf.DUMMYFUNCTION("""COMPUTED_VALUE"""),134.96)</f>
        <v>134.96</v>
      </c>
      <c r="C86" s="2">
        <f>IFERROR(__xludf.DUMMYFUNCTION("""COMPUTED_VALUE"""),135.72)</f>
        <v>135.72</v>
      </c>
      <c r="D86" s="2">
        <f>IFERROR(__xludf.DUMMYFUNCTION("""COMPUTED_VALUE"""),131.81)</f>
        <v>131.81</v>
      </c>
      <c r="E86" s="2">
        <f>IFERROR(__xludf.DUMMYFUNCTION("""COMPUTED_VALUE"""),134.12)</f>
        <v>134.12</v>
      </c>
      <c r="F86" s="2">
        <f>IFERROR(__xludf.DUMMYFUNCTION("""COMPUTED_VALUE"""),1.7089164E7)</f>
        <v>17089164</v>
      </c>
    </row>
    <row r="87">
      <c r="A87" s="3">
        <f>IFERROR(__xludf.DUMMYFUNCTION("""COMPUTED_VALUE"""),45051.66666666667)</f>
        <v>45051.66667</v>
      </c>
      <c r="B87" s="2">
        <f>IFERROR(__xludf.DUMMYFUNCTION("""COMPUTED_VALUE"""),136.44)</f>
        <v>136.44</v>
      </c>
      <c r="C87" s="2">
        <f>IFERROR(__xludf.DUMMYFUNCTION("""COMPUTED_VALUE"""),137.88)</f>
        <v>137.88</v>
      </c>
      <c r="D87" s="2">
        <f>IFERROR(__xludf.DUMMYFUNCTION("""COMPUTED_VALUE"""),135.91)</f>
        <v>135.91</v>
      </c>
      <c r="E87" s="2">
        <f>IFERROR(__xludf.DUMMYFUNCTION("""COMPUTED_VALUE"""),136.74)</f>
        <v>136.74</v>
      </c>
      <c r="F87" s="2">
        <f>IFERROR(__xludf.DUMMYFUNCTION("""COMPUTED_VALUE"""),1.1261394E7)</f>
        <v>11261394</v>
      </c>
    </row>
    <row r="88">
      <c r="A88" s="3">
        <f>IFERROR(__xludf.DUMMYFUNCTION("""COMPUTED_VALUE"""),45054.66666666667)</f>
        <v>45054.66667</v>
      </c>
      <c r="B88" s="2">
        <f>IFERROR(__xludf.DUMMYFUNCTION("""COMPUTED_VALUE"""),137.49)</f>
        <v>137.49</v>
      </c>
      <c r="C88" s="2">
        <f>IFERROR(__xludf.DUMMYFUNCTION("""COMPUTED_VALUE"""),137.97)</f>
        <v>137.97</v>
      </c>
      <c r="D88" s="2">
        <f>IFERROR(__xludf.DUMMYFUNCTION("""COMPUTED_VALUE"""),136.48)</f>
        <v>136.48</v>
      </c>
      <c r="E88" s="2">
        <f>IFERROR(__xludf.DUMMYFUNCTION("""COMPUTED_VALUE"""),137.07)</f>
        <v>137.07</v>
      </c>
      <c r="F88" s="2">
        <f>IFERROR(__xludf.DUMMYFUNCTION("""COMPUTED_VALUE"""),7484872.0)</f>
        <v>7484872</v>
      </c>
    </row>
    <row r="89">
      <c r="A89" s="3">
        <f>IFERROR(__xludf.DUMMYFUNCTION("""COMPUTED_VALUE"""),45055.66666666667)</f>
        <v>45055.66667</v>
      </c>
      <c r="B89" s="2">
        <f>IFERROR(__xludf.DUMMYFUNCTION("""COMPUTED_VALUE"""),135.93)</f>
        <v>135.93</v>
      </c>
      <c r="C89" s="2">
        <f>IFERROR(__xludf.DUMMYFUNCTION("""COMPUTED_VALUE"""),136.95)</f>
        <v>136.95</v>
      </c>
      <c r="D89" s="2">
        <f>IFERROR(__xludf.DUMMYFUNCTION("""COMPUTED_VALUE"""),135.21)</f>
        <v>135.21</v>
      </c>
      <c r="E89" s="2">
        <f>IFERROR(__xludf.DUMMYFUNCTION("""COMPUTED_VALUE"""),136.41)</f>
        <v>136.41</v>
      </c>
      <c r="F89" s="2">
        <f>IFERROR(__xludf.DUMMYFUNCTION("""COMPUTED_VALUE"""),7343573.0)</f>
        <v>7343573</v>
      </c>
    </row>
    <row r="90">
      <c r="A90" s="3">
        <f>IFERROR(__xludf.DUMMYFUNCTION("""COMPUTED_VALUE"""),45056.66666666667)</f>
        <v>45056.66667</v>
      </c>
      <c r="B90" s="2">
        <f>IFERROR(__xludf.DUMMYFUNCTION("""COMPUTED_VALUE"""),137.95)</f>
        <v>137.95</v>
      </c>
      <c r="C90" s="2">
        <f>IFERROR(__xludf.DUMMYFUNCTION("""COMPUTED_VALUE"""),138.06)</f>
        <v>138.06</v>
      </c>
      <c r="D90" s="2">
        <f>IFERROR(__xludf.DUMMYFUNCTION("""COMPUTED_VALUE"""),134.87)</f>
        <v>134.87</v>
      </c>
      <c r="E90" s="2">
        <f>IFERROR(__xludf.DUMMYFUNCTION("""COMPUTED_VALUE"""),136.48)</f>
        <v>136.48</v>
      </c>
      <c r="F90" s="2">
        <f>IFERROR(__xludf.DUMMYFUNCTION("""COMPUTED_VALUE"""),8133416.0)</f>
        <v>8133416</v>
      </c>
    </row>
    <row r="91">
      <c r="A91" s="3">
        <f>IFERROR(__xludf.DUMMYFUNCTION("""COMPUTED_VALUE"""),45057.66666666667)</f>
        <v>45057.66667</v>
      </c>
      <c r="B91" s="2">
        <f>IFERROR(__xludf.DUMMYFUNCTION("""COMPUTED_VALUE"""),135.0)</f>
        <v>135</v>
      </c>
      <c r="C91" s="2">
        <f>IFERROR(__xludf.DUMMYFUNCTION("""COMPUTED_VALUE"""),136.81)</f>
        <v>136.81</v>
      </c>
      <c r="D91" s="2">
        <f>IFERROR(__xludf.DUMMYFUNCTION("""COMPUTED_VALUE"""),134.9)</f>
        <v>134.9</v>
      </c>
      <c r="E91" s="2">
        <f>IFERROR(__xludf.DUMMYFUNCTION("""COMPUTED_VALUE"""),136.05)</f>
        <v>136.05</v>
      </c>
      <c r="F91" s="2">
        <f>IFERROR(__xludf.DUMMYFUNCTION("""COMPUTED_VALUE"""),7057277.0)</f>
        <v>7057277</v>
      </c>
    </row>
    <row r="92">
      <c r="A92" s="3">
        <f>IFERROR(__xludf.DUMMYFUNCTION("""COMPUTED_VALUE"""),45058.66666666667)</f>
        <v>45058.66667</v>
      </c>
      <c r="B92" s="2">
        <f>IFERROR(__xludf.DUMMYFUNCTION("""COMPUTED_VALUE"""),136.82)</f>
        <v>136.82</v>
      </c>
      <c r="C92" s="2">
        <f>IFERROR(__xludf.DUMMYFUNCTION("""COMPUTED_VALUE"""),136.99)</f>
        <v>136.99</v>
      </c>
      <c r="D92" s="2">
        <f>IFERROR(__xludf.DUMMYFUNCTION("""COMPUTED_VALUE"""),133.13)</f>
        <v>133.13</v>
      </c>
      <c r="E92" s="2">
        <f>IFERROR(__xludf.DUMMYFUNCTION("""COMPUTED_VALUE"""),134.1)</f>
        <v>134.1</v>
      </c>
      <c r="F92" s="2">
        <f>IFERROR(__xludf.DUMMYFUNCTION("""COMPUTED_VALUE"""),9988598.0)</f>
        <v>9988598</v>
      </c>
    </row>
    <row r="93">
      <c r="A93" s="3">
        <f>IFERROR(__xludf.DUMMYFUNCTION("""COMPUTED_VALUE"""),45061.66666666667)</f>
        <v>45061.66667</v>
      </c>
      <c r="B93" s="2">
        <f>IFERROR(__xludf.DUMMYFUNCTION("""COMPUTED_VALUE"""),134.27)</f>
        <v>134.27</v>
      </c>
      <c r="C93" s="2">
        <f>IFERROR(__xludf.DUMMYFUNCTION("""COMPUTED_VALUE"""),135.67)</f>
        <v>135.67</v>
      </c>
      <c r="D93" s="2">
        <f>IFERROR(__xludf.DUMMYFUNCTION("""COMPUTED_VALUE"""),133.96)</f>
        <v>133.96</v>
      </c>
      <c r="E93" s="2">
        <f>IFERROR(__xludf.DUMMYFUNCTION("""COMPUTED_VALUE"""),135.23)</f>
        <v>135.23</v>
      </c>
      <c r="F93" s="2">
        <f>IFERROR(__xludf.DUMMYFUNCTION("""COMPUTED_VALUE"""),7639451.0)</f>
        <v>7639451</v>
      </c>
    </row>
    <row r="94">
      <c r="A94" s="3">
        <f>IFERROR(__xludf.DUMMYFUNCTION("""COMPUTED_VALUE"""),45062.66666666667)</f>
        <v>45062.66667</v>
      </c>
      <c r="B94" s="2">
        <f>IFERROR(__xludf.DUMMYFUNCTION("""COMPUTED_VALUE"""),135.46)</f>
        <v>135.46</v>
      </c>
      <c r="C94" s="2">
        <f>IFERROR(__xludf.DUMMYFUNCTION("""COMPUTED_VALUE"""),135.94)</f>
        <v>135.94</v>
      </c>
      <c r="D94" s="2">
        <f>IFERROR(__xludf.DUMMYFUNCTION("""COMPUTED_VALUE"""),133.96)</f>
        <v>133.96</v>
      </c>
      <c r="E94" s="2">
        <f>IFERROR(__xludf.DUMMYFUNCTION("""COMPUTED_VALUE"""),134.32)</f>
        <v>134.32</v>
      </c>
      <c r="F94" s="2">
        <f>IFERROR(__xludf.DUMMYFUNCTION("""COMPUTED_VALUE"""),6483267.0)</f>
        <v>6483267</v>
      </c>
    </row>
    <row r="95">
      <c r="A95" s="3">
        <f>IFERROR(__xludf.DUMMYFUNCTION("""COMPUTED_VALUE"""),45063.66666666667)</f>
        <v>45063.66667</v>
      </c>
      <c r="B95" s="2">
        <f>IFERROR(__xludf.DUMMYFUNCTION("""COMPUTED_VALUE"""),135.9)</f>
        <v>135.9</v>
      </c>
      <c r="C95" s="2">
        <f>IFERROR(__xludf.DUMMYFUNCTION("""COMPUTED_VALUE"""),138.59)</f>
        <v>138.59</v>
      </c>
      <c r="D95" s="2">
        <f>IFERROR(__xludf.DUMMYFUNCTION("""COMPUTED_VALUE"""),135.46)</f>
        <v>135.46</v>
      </c>
      <c r="E95" s="2">
        <f>IFERROR(__xludf.DUMMYFUNCTION("""COMPUTED_VALUE"""),138.45)</f>
        <v>138.45</v>
      </c>
      <c r="F95" s="2">
        <f>IFERROR(__xludf.DUMMYFUNCTION("""COMPUTED_VALUE"""),1.2711522E7)</f>
        <v>12711522</v>
      </c>
    </row>
    <row r="96">
      <c r="A96" s="3">
        <f>IFERROR(__xludf.DUMMYFUNCTION("""COMPUTED_VALUE"""),45064.66666666667)</f>
        <v>45064.66667</v>
      </c>
      <c r="B96" s="2">
        <f>IFERROR(__xludf.DUMMYFUNCTION("""COMPUTED_VALUE"""),138.27)</f>
        <v>138.27</v>
      </c>
      <c r="C96" s="2">
        <f>IFERROR(__xludf.DUMMYFUNCTION("""COMPUTED_VALUE"""),139.73)</f>
        <v>139.73</v>
      </c>
      <c r="D96" s="2">
        <f>IFERROR(__xludf.DUMMYFUNCTION("""COMPUTED_VALUE"""),137.76)</f>
        <v>137.76</v>
      </c>
      <c r="E96" s="2">
        <f>IFERROR(__xludf.DUMMYFUNCTION("""COMPUTED_VALUE"""),139.5)</f>
        <v>139.5</v>
      </c>
      <c r="F96" s="2">
        <f>IFERROR(__xludf.DUMMYFUNCTION("""COMPUTED_VALUE"""),1.0999607E7)</f>
        <v>10999607</v>
      </c>
    </row>
    <row r="97">
      <c r="A97" s="3">
        <f>IFERROR(__xludf.DUMMYFUNCTION("""COMPUTED_VALUE"""),45065.66666666667)</f>
        <v>45065.66667</v>
      </c>
      <c r="B97" s="2">
        <f>IFERROR(__xludf.DUMMYFUNCTION("""COMPUTED_VALUE"""),139.79)</f>
        <v>139.79</v>
      </c>
      <c r="C97" s="2">
        <f>IFERROR(__xludf.DUMMYFUNCTION("""COMPUTED_VALUE"""),140.49)</f>
        <v>140.49</v>
      </c>
      <c r="D97" s="2">
        <f>IFERROR(__xludf.DUMMYFUNCTION("""COMPUTED_VALUE"""),138.13)</f>
        <v>138.13</v>
      </c>
      <c r="E97" s="2">
        <f>IFERROR(__xludf.DUMMYFUNCTION("""COMPUTED_VALUE"""),139.18)</f>
        <v>139.18</v>
      </c>
      <c r="F97" s="2">
        <f>IFERROR(__xludf.DUMMYFUNCTION("""COMPUTED_VALUE"""),1.3492239E7)</f>
        <v>13492239</v>
      </c>
    </row>
    <row r="98">
      <c r="A98" s="3">
        <f>IFERROR(__xludf.DUMMYFUNCTION("""COMPUTED_VALUE"""),45068.66666666667)</f>
        <v>45068.66667</v>
      </c>
      <c r="B98" s="2">
        <f>IFERROR(__xludf.DUMMYFUNCTION("""COMPUTED_VALUE"""),141.0)</f>
        <v>141</v>
      </c>
      <c r="C98" s="2">
        <f>IFERROR(__xludf.DUMMYFUNCTION("""COMPUTED_VALUE"""),141.64)</f>
        <v>141.64</v>
      </c>
      <c r="D98" s="2">
        <f>IFERROR(__xludf.DUMMYFUNCTION("""COMPUTED_VALUE"""),137.66)</f>
        <v>137.66</v>
      </c>
      <c r="E98" s="2">
        <f>IFERROR(__xludf.DUMMYFUNCTION("""COMPUTED_VALUE"""),138.03)</f>
        <v>138.03</v>
      </c>
      <c r="F98" s="2">
        <f>IFERROR(__xludf.DUMMYFUNCTION("""COMPUTED_VALUE"""),1.1402476E7)</f>
        <v>11402476</v>
      </c>
    </row>
    <row r="99">
      <c r="A99" s="3">
        <f>IFERROR(__xludf.DUMMYFUNCTION("""COMPUTED_VALUE"""),45069.66666666667)</f>
        <v>45069.66667</v>
      </c>
      <c r="B99" s="2">
        <f>IFERROR(__xludf.DUMMYFUNCTION("""COMPUTED_VALUE"""),137.54)</f>
        <v>137.54</v>
      </c>
      <c r="C99" s="2">
        <f>IFERROR(__xludf.DUMMYFUNCTION("""COMPUTED_VALUE"""),139.03)</f>
        <v>139.03</v>
      </c>
      <c r="D99" s="2">
        <f>IFERROR(__xludf.DUMMYFUNCTION("""COMPUTED_VALUE"""),136.46)</f>
        <v>136.46</v>
      </c>
      <c r="E99" s="2">
        <f>IFERROR(__xludf.DUMMYFUNCTION("""COMPUTED_VALUE"""),136.59)</f>
        <v>136.59</v>
      </c>
      <c r="F99" s="2">
        <f>IFERROR(__xludf.DUMMYFUNCTION("""COMPUTED_VALUE"""),9514897.0)</f>
        <v>9514897</v>
      </c>
    </row>
    <row r="100">
      <c r="A100" s="3">
        <f>IFERROR(__xludf.DUMMYFUNCTION("""COMPUTED_VALUE"""),45070.66666666667)</f>
        <v>45070.66667</v>
      </c>
      <c r="B100" s="2">
        <f>IFERROR(__xludf.DUMMYFUNCTION("""COMPUTED_VALUE"""),135.4)</f>
        <v>135.4</v>
      </c>
      <c r="C100" s="2">
        <f>IFERROR(__xludf.DUMMYFUNCTION("""COMPUTED_VALUE"""),136.35)</f>
        <v>136.35</v>
      </c>
      <c r="D100" s="2">
        <f>IFERROR(__xludf.DUMMYFUNCTION("""COMPUTED_VALUE"""),135.08)</f>
        <v>135.08</v>
      </c>
      <c r="E100" s="2">
        <f>IFERROR(__xludf.DUMMYFUNCTION("""COMPUTED_VALUE"""),135.34)</f>
        <v>135.34</v>
      </c>
      <c r="F100" s="2">
        <f>IFERROR(__xludf.DUMMYFUNCTION("""COMPUTED_VALUE"""),8577997.0)</f>
        <v>8577997</v>
      </c>
    </row>
    <row r="101">
      <c r="A101" s="3">
        <f>IFERROR(__xludf.DUMMYFUNCTION("""COMPUTED_VALUE"""),45071.66666666667)</f>
        <v>45071.66667</v>
      </c>
      <c r="B101" s="2">
        <f>IFERROR(__xludf.DUMMYFUNCTION("""COMPUTED_VALUE"""),134.82)</f>
        <v>134.82</v>
      </c>
      <c r="C101" s="2">
        <f>IFERROR(__xludf.DUMMYFUNCTION("""COMPUTED_VALUE"""),136.27)</f>
        <v>136.27</v>
      </c>
      <c r="D101" s="2">
        <f>IFERROR(__xludf.DUMMYFUNCTION("""COMPUTED_VALUE"""),134.58)</f>
        <v>134.58</v>
      </c>
      <c r="E101" s="2">
        <f>IFERROR(__xludf.DUMMYFUNCTION("""COMPUTED_VALUE"""),135.67)</f>
        <v>135.67</v>
      </c>
      <c r="F101" s="2">
        <f>IFERROR(__xludf.DUMMYFUNCTION("""COMPUTED_VALUE"""),8472505.0)</f>
        <v>8472505</v>
      </c>
    </row>
    <row r="102">
      <c r="A102" s="3">
        <f>IFERROR(__xludf.DUMMYFUNCTION("""COMPUTED_VALUE"""),45072.66666666667)</f>
        <v>45072.66667</v>
      </c>
      <c r="B102" s="2">
        <f>IFERROR(__xludf.DUMMYFUNCTION("""COMPUTED_VALUE"""),136.11)</f>
        <v>136.11</v>
      </c>
      <c r="C102" s="2">
        <f>IFERROR(__xludf.DUMMYFUNCTION("""COMPUTED_VALUE"""),137.6)</f>
        <v>137.6</v>
      </c>
      <c r="D102" s="2">
        <f>IFERROR(__xludf.DUMMYFUNCTION("""COMPUTED_VALUE"""),135.63)</f>
        <v>135.63</v>
      </c>
      <c r="E102" s="2">
        <f>IFERROR(__xludf.DUMMYFUNCTION("""COMPUTED_VALUE"""),136.94)</f>
        <v>136.94</v>
      </c>
      <c r="F102" s="2">
        <f>IFERROR(__xludf.DUMMYFUNCTION("""COMPUTED_VALUE"""),8579941.0)</f>
        <v>8579941</v>
      </c>
    </row>
    <row r="103">
      <c r="A103" s="3">
        <f>IFERROR(__xludf.DUMMYFUNCTION("""COMPUTED_VALUE"""),45076.66666666667)</f>
        <v>45076.66667</v>
      </c>
      <c r="B103" s="2">
        <f>IFERROR(__xludf.DUMMYFUNCTION("""COMPUTED_VALUE"""),136.8)</f>
        <v>136.8</v>
      </c>
      <c r="C103" s="2">
        <f>IFERROR(__xludf.DUMMYFUNCTION("""COMPUTED_VALUE"""),137.72)</f>
        <v>137.72</v>
      </c>
      <c r="D103" s="2">
        <f>IFERROR(__xludf.DUMMYFUNCTION("""COMPUTED_VALUE"""),136.02)</f>
        <v>136.02</v>
      </c>
      <c r="E103" s="2">
        <f>IFERROR(__xludf.DUMMYFUNCTION("""COMPUTED_VALUE"""),137.46)</f>
        <v>137.46</v>
      </c>
      <c r="F103" s="2">
        <f>IFERROR(__xludf.DUMMYFUNCTION("""COMPUTED_VALUE"""),7399867.0)</f>
        <v>7399867</v>
      </c>
    </row>
    <row r="104">
      <c r="A104" s="3">
        <f>IFERROR(__xludf.DUMMYFUNCTION("""COMPUTED_VALUE"""),45077.66666666667)</f>
        <v>45077.66667</v>
      </c>
      <c r="B104" s="2">
        <f>IFERROR(__xludf.DUMMYFUNCTION("""COMPUTED_VALUE"""),136.73)</f>
        <v>136.73</v>
      </c>
      <c r="C104" s="2">
        <f>IFERROR(__xludf.DUMMYFUNCTION("""COMPUTED_VALUE"""),136.84)</f>
        <v>136.84</v>
      </c>
      <c r="D104" s="2">
        <f>IFERROR(__xludf.DUMMYFUNCTION("""COMPUTED_VALUE"""),134.4)</f>
        <v>134.4</v>
      </c>
      <c r="E104" s="2">
        <f>IFERROR(__xludf.DUMMYFUNCTION("""COMPUTED_VALUE"""),135.71)</f>
        <v>135.71</v>
      </c>
      <c r="F104" s="2">
        <f>IFERROR(__xludf.DUMMYFUNCTION("""COMPUTED_VALUE"""),1.4219906E7)</f>
        <v>14219906</v>
      </c>
    </row>
    <row r="105">
      <c r="A105" s="3">
        <f>IFERROR(__xludf.DUMMYFUNCTION("""COMPUTED_VALUE"""),45078.66666666667)</f>
        <v>45078.66667</v>
      </c>
      <c r="B105" s="2">
        <f>IFERROR(__xludf.DUMMYFUNCTION("""COMPUTED_VALUE"""),136.52)</f>
        <v>136.52</v>
      </c>
      <c r="C105" s="2">
        <f>IFERROR(__xludf.DUMMYFUNCTION("""COMPUTED_VALUE"""),138.23)</f>
        <v>138.23</v>
      </c>
      <c r="D105" s="2">
        <f>IFERROR(__xludf.DUMMYFUNCTION("""COMPUTED_VALUE"""),135.45)</f>
        <v>135.45</v>
      </c>
      <c r="E105" s="2">
        <f>IFERROR(__xludf.DUMMYFUNCTION("""COMPUTED_VALUE"""),137.58)</f>
        <v>137.58</v>
      </c>
      <c r="F105" s="2">
        <f>IFERROR(__xludf.DUMMYFUNCTION("""COMPUTED_VALUE"""),1.2248094E7)</f>
        <v>12248094</v>
      </c>
    </row>
    <row r="106">
      <c r="A106" s="3">
        <f>IFERROR(__xludf.DUMMYFUNCTION("""COMPUTED_VALUE"""),45079.66666666667)</f>
        <v>45079.66667</v>
      </c>
      <c r="B106" s="2">
        <f>IFERROR(__xludf.DUMMYFUNCTION("""COMPUTED_VALUE"""),139.56)</f>
        <v>139.56</v>
      </c>
      <c r="C106" s="2">
        <f>IFERROR(__xludf.DUMMYFUNCTION("""COMPUTED_VALUE"""),141.48)</f>
        <v>141.48</v>
      </c>
      <c r="D106" s="2">
        <f>IFERROR(__xludf.DUMMYFUNCTION("""COMPUTED_VALUE"""),139.34)</f>
        <v>139.34</v>
      </c>
      <c r="E106" s="2">
        <f>IFERROR(__xludf.DUMMYFUNCTION("""COMPUTED_VALUE"""),140.47)</f>
        <v>140.47</v>
      </c>
      <c r="F106" s="2">
        <f>IFERROR(__xludf.DUMMYFUNCTION("""COMPUTED_VALUE"""),1.2922471E7)</f>
        <v>12922471</v>
      </c>
    </row>
    <row r="107">
      <c r="A107" s="3">
        <f>IFERROR(__xludf.DUMMYFUNCTION("""COMPUTED_VALUE"""),45082.66666666667)</f>
        <v>45082.66667</v>
      </c>
      <c r="B107" s="2">
        <f>IFERROR(__xludf.DUMMYFUNCTION("""COMPUTED_VALUE"""),140.11)</f>
        <v>140.11</v>
      </c>
      <c r="C107" s="2">
        <f>IFERROR(__xludf.DUMMYFUNCTION("""COMPUTED_VALUE"""),140.11)</f>
        <v>140.11</v>
      </c>
      <c r="D107" s="2">
        <f>IFERROR(__xludf.DUMMYFUNCTION("""COMPUTED_VALUE"""),138.13)</f>
        <v>138.13</v>
      </c>
      <c r="E107" s="2">
        <f>IFERROR(__xludf.DUMMYFUNCTION("""COMPUTED_VALUE"""),139.09)</f>
        <v>139.09</v>
      </c>
      <c r="F107" s="2">
        <f>IFERROR(__xludf.DUMMYFUNCTION("""COMPUTED_VALUE"""),8511902.0)</f>
        <v>8511902</v>
      </c>
    </row>
    <row r="108">
      <c r="A108" s="3">
        <f>IFERROR(__xludf.DUMMYFUNCTION("""COMPUTED_VALUE"""),45083.66666666667)</f>
        <v>45083.66667</v>
      </c>
      <c r="B108" s="2">
        <f>IFERROR(__xludf.DUMMYFUNCTION("""COMPUTED_VALUE"""),138.68)</f>
        <v>138.68</v>
      </c>
      <c r="C108" s="2">
        <f>IFERROR(__xludf.DUMMYFUNCTION("""COMPUTED_VALUE"""),140.1)</f>
        <v>140.1</v>
      </c>
      <c r="D108" s="2">
        <f>IFERROR(__xludf.DUMMYFUNCTION("""COMPUTED_VALUE"""),138.21)</f>
        <v>138.21</v>
      </c>
      <c r="E108" s="2">
        <f>IFERROR(__xludf.DUMMYFUNCTION("""COMPUTED_VALUE"""),139.34)</f>
        <v>139.34</v>
      </c>
      <c r="F108" s="2">
        <f>IFERROR(__xludf.DUMMYFUNCTION("""COMPUTED_VALUE"""),9329541.0)</f>
        <v>9329541</v>
      </c>
    </row>
    <row r="109">
      <c r="A109" s="3">
        <f>IFERROR(__xludf.DUMMYFUNCTION("""COMPUTED_VALUE"""),45084.66666666667)</f>
        <v>45084.66667</v>
      </c>
      <c r="B109" s="2">
        <f>IFERROR(__xludf.DUMMYFUNCTION("""COMPUTED_VALUE"""),139.55)</f>
        <v>139.55</v>
      </c>
      <c r="C109" s="2">
        <f>IFERROR(__xludf.DUMMYFUNCTION("""COMPUTED_VALUE"""),141.27)</f>
        <v>141.27</v>
      </c>
      <c r="D109" s="2">
        <f>IFERROR(__xludf.DUMMYFUNCTION("""COMPUTED_VALUE"""),138.83)</f>
        <v>138.83</v>
      </c>
      <c r="E109" s="2">
        <f>IFERROR(__xludf.DUMMYFUNCTION("""COMPUTED_VALUE"""),140.69)</f>
        <v>140.69</v>
      </c>
      <c r="F109" s="2">
        <f>IFERROR(__xludf.DUMMYFUNCTION("""COMPUTED_VALUE"""),9281389.0)</f>
        <v>9281389</v>
      </c>
    </row>
    <row r="110">
      <c r="A110" s="3">
        <f>IFERROR(__xludf.DUMMYFUNCTION("""COMPUTED_VALUE"""),45085.66666666667)</f>
        <v>45085.66667</v>
      </c>
      <c r="B110" s="2">
        <f>IFERROR(__xludf.DUMMYFUNCTION("""COMPUTED_VALUE"""),140.67)</f>
        <v>140.67</v>
      </c>
      <c r="C110" s="2">
        <f>IFERROR(__xludf.DUMMYFUNCTION("""COMPUTED_VALUE"""),140.89)</f>
        <v>140.89</v>
      </c>
      <c r="D110" s="2">
        <f>IFERROR(__xludf.DUMMYFUNCTION("""COMPUTED_VALUE"""),139.48)</f>
        <v>139.48</v>
      </c>
      <c r="E110" s="2">
        <f>IFERROR(__xludf.DUMMYFUNCTION("""COMPUTED_VALUE"""),140.73)</f>
        <v>140.73</v>
      </c>
      <c r="F110" s="2">
        <f>IFERROR(__xludf.DUMMYFUNCTION("""COMPUTED_VALUE"""),7370043.0)</f>
        <v>7370043</v>
      </c>
    </row>
    <row r="111">
      <c r="A111" s="3">
        <f>IFERROR(__xludf.DUMMYFUNCTION("""COMPUTED_VALUE"""),45086.66666666667)</f>
        <v>45086.66667</v>
      </c>
      <c r="B111" s="2">
        <f>IFERROR(__xludf.DUMMYFUNCTION("""COMPUTED_VALUE"""),140.35)</f>
        <v>140.35</v>
      </c>
      <c r="C111" s="2">
        <f>IFERROR(__xludf.DUMMYFUNCTION("""COMPUTED_VALUE"""),141.8)</f>
        <v>141.8</v>
      </c>
      <c r="D111" s="2">
        <f>IFERROR(__xludf.DUMMYFUNCTION("""COMPUTED_VALUE"""),140.21)</f>
        <v>140.21</v>
      </c>
      <c r="E111" s="2">
        <f>IFERROR(__xludf.DUMMYFUNCTION("""COMPUTED_VALUE"""),141.01)</f>
        <v>141.01</v>
      </c>
      <c r="F111" s="2">
        <f>IFERROR(__xludf.DUMMYFUNCTION("""COMPUTED_VALUE"""),7253946.0)</f>
        <v>7253946</v>
      </c>
    </row>
    <row r="112">
      <c r="A112" s="3">
        <f>IFERROR(__xludf.DUMMYFUNCTION("""COMPUTED_VALUE"""),45089.66666666667)</f>
        <v>45089.66667</v>
      </c>
      <c r="B112" s="2">
        <f>IFERROR(__xludf.DUMMYFUNCTION("""COMPUTED_VALUE"""),141.07)</f>
        <v>141.07</v>
      </c>
      <c r="C112" s="2">
        <f>IFERROR(__xludf.DUMMYFUNCTION("""COMPUTED_VALUE"""),141.32)</f>
        <v>141.32</v>
      </c>
      <c r="D112" s="2">
        <f>IFERROR(__xludf.DUMMYFUNCTION("""COMPUTED_VALUE"""),139.76)</f>
        <v>139.76</v>
      </c>
      <c r="E112" s="2">
        <f>IFERROR(__xludf.DUMMYFUNCTION("""COMPUTED_VALUE"""),141.0)</f>
        <v>141</v>
      </c>
      <c r="F112" s="2">
        <f>IFERROR(__xludf.DUMMYFUNCTION("""COMPUTED_VALUE"""),7600196.0)</f>
        <v>7600196</v>
      </c>
    </row>
    <row r="113">
      <c r="A113" s="3">
        <f>IFERROR(__xludf.DUMMYFUNCTION("""COMPUTED_VALUE"""),45090.66666666667)</f>
        <v>45090.66667</v>
      </c>
      <c r="B113" s="2">
        <f>IFERROR(__xludf.DUMMYFUNCTION("""COMPUTED_VALUE"""),140.48)</f>
        <v>140.48</v>
      </c>
      <c r="C113" s="2">
        <f>IFERROR(__xludf.DUMMYFUNCTION("""COMPUTED_VALUE"""),142.87)</f>
        <v>142.87</v>
      </c>
      <c r="D113" s="2">
        <f>IFERROR(__xludf.DUMMYFUNCTION("""COMPUTED_VALUE"""),140.14)</f>
        <v>140.14</v>
      </c>
      <c r="E113" s="2">
        <f>IFERROR(__xludf.DUMMYFUNCTION("""COMPUTED_VALUE"""),142.02)</f>
        <v>142.02</v>
      </c>
      <c r="F113" s="2">
        <f>IFERROR(__xludf.DUMMYFUNCTION("""COMPUTED_VALUE"""),7701567.0)</f>
        <v>7701567</v>
      </c>
    </row>
    <row r="114">
      <c r="A114" s="3">
        <f>IFERROR(__xludf.DUMMYFUNCTION("""COMPUTED_VALUE"""),45091.66666666667)</f>
        <v>45091.66667</v>
      </c>
      <c r="B114" s="2">
        <f>IFERROR(__xludf.DUMMYFUNCTION("""COMPUTED_VALUE"""),143.0)</f>
        <v>143</v>
      </c>
      <c r="C114" s="2">
        <f>IFERROR(__xludf.DUMMYFUNCTION("""COMPUTED_VALUE"""),143.61)</f>
        <v>143.61</v>
      </c>
      <c r="D114" s="2">
        <f>IFERROR(__xludf.DUMMYFUNCTION("""COMPUTED_VALUE"""),140.7)</f>
        <v>140.7</v>
      </c>
      <c r="E114" s="2">
        <f>IFERROR(__xludf.DUMMYFUNCTION("""COMPUTED_VALUE"""),141.49)</f>
        <v>141.49</v>
      </c>
      <c r="F114" s="2">
        <f>IFERROR(__xludf.DUMMYFUNCTION("""COMPUTED_VALUE"""),9068729.0)</f>
        <v>9068729</v>
      </c>
    </row>
    <row r="115">
      <c r="A115" s="3">
        <f>IFERROR(__xludf.DUMMYFUNCTION("""COMPUTED_VALUE"""),45092.66666666667)</f>
        <v>45092.66667</v>
      </c>
      <c r="B115" s="2">
        <f>IFERROR(__xludf.DUMMYFUNCTION("""COMPUTED_VALUE"""),140.59)</f>
        <v>140.59</v>
      </c>
      <c r="C115" s="2">
        <f>IFERROR(__xludf.DUMMYFUNCTION("""COMPUTED_VALUE"""),143.4)</f>
        <v>143.4</v>
      </c>
      <c r="D115" s="2">
        <f>IFERROR(__xludf.DUMMYFUNCTION("""COMPUTED_VALUE"""),140.03)</f>
        <v>140.03</v>
      </c>
      <c r="E115" s="2">
        <f>IFERROR(__xludf.DUMMYFUNCTION("""COMPUTED_VALUE"""),143.09)</f>
        <v>143.09</v>
      </c>
      <c r="F115" s="2">
        <f>IFERROR(__xludf.DUMMYFUNCTION("""COMPUTED_VALUE"""),9343096.0)</f>
        <v>9343096</v>
      </c>
    </row>
    <row r="116">
      <c r="A116" s="3">
        <f>IFERROR(__xludf.DUMMYFUNCTION("""COMPUTED_VALUE"""),45093.66666666667)</f>
        <v>45093.66667</v>
      </c>
      <c r="B116" s="2">
        <f>IFERROR(__xludf.DUMMYFUNCTION("""COMPUTED_VALUE"""),143.05)</f>
        <v>143.05</v>
      </c>
      <c r="C116" s="2">
        <f>IFERROR(__xludf.DUMMYFUNCTION("""COMPUTED_VALUE"""),143.97)</f>
        <v>143.97</v>
      </c>
      <c r="D116" s="2">
        <f>IFERROR(__xludf.DUMMYFUNCTION("""COMPUTED_VALUE"""),142.5)</f>
        <v>142.5</v>
      </c>
      <c r="E116" s="2">
        <f>IFERROR(__xludf.DUMMYFUNCTION("""COMPUTED_VALUE"""),143.26)</f>
        <v>143.26</v>
      </c>
      <c r="F116" s="2">
        <f>IFERROR(__xludf.DUMMYFUNCTION("""COMPUTED_VALUE"""),1.3813512E7)</f>
        <v>13813512</v>
      </c>
    </row>
    <row r="117">
      <c r="A117" s="3">
        <f>IFERROR(__xludf.DUMMYFUNCTION("""COMPUTED_VALUE"""),45097.66666666667)</f>
        <v>45097.66667</v>
      </c>
      <c r="B117" s="2">
        <f>IFERROR(__xludf.DUMMYFUNCTION("""COMPUTED_VALUE"""),142.61)</f>
        <v>142.61</v>
      </c>
      <c r="C117" s="2">
        <f>IFERROR(__xludf.DUMMYFUNCTION("""COMPUTED_VALUE"""),143.0)</f>
        <v>143</v>
      </c>
      <c r="D117" s="2">
        <f>IFERROR(__xludf.DUMMYFUNCTION("""COMPUTED_VALUE"""),141.04)</f>
        <v>141.04</v>
      </c>
      <c r="E117" s="2">
        <f>IFERROR(__xludf.DUMMYFUNCTION("""COMPUTED_VALUE"""),142.53)</f>
        <v>142.53</v>
      </c>
      <c r="F117" s="2">
        <f>IFERROR(__xludf.DUMMYFUNCTION("""COMPUTED_VALUE"""),8431008.0)</f>
        <v>8431008</v>
      </c>
    </row>
    <row r="118">
      <c r="A118" s="3">
        <f>IFERROR(__xludf.DUMMYFUNCTION("""COMPUTED_VALUE"""),45098.66666666667)</f>
        <v>45098.66667</v>
      </c>
      <c r="B118" s="2">
        <f>IFERROR(__xludf.DUMMYFUNCTION("""COMPUTED_VALUE"""),142.9)</f>
        <v>142.9</v>
      </c>
      <c r="C118" s="2">
        <f>IFERROR(__xludf.DUMMYFUNCTION("""COMPUTED_VALUE"""),144.02)</f>
        <v>144.02</v>
      </c>
      <c r="D118" s="2">
        <f>IFERROR(__xludf.DUMMYFUNCTION("""COMPUTED_VALUE"""),141.69)</f>
        <v>141.69</v>
      </c>
      <c r="E118" s="2">
        <f>IFERROR(__xludf.DUMMYFUNCTION("""COMPUTED_VALUE"""),142.32)</f>
        <v>142.32</v>
      </c>
      <c r="F118" s="2">
        <f>IFERROR(__xludf.DUMMYFUNCTION("""COMPUTED_VALUE"""),9926459.0)</f>
        <v>9926459</v>
      </c>
    </row>
    <row r="119">
      <c r="A119" s="3">
        <f>IFERROR(__xludf.DUMMYFUNCTION("""COMPUTED_VALUE"""),45099.66666666667)</f>
        <v>45099.66667</v>
      </c>
      <c r="B119" s="2">
        <f>IFERROR(__xludf.DUMMYFUNCTION("""COMPUTED_VALUE"""),142.31)</f>
        <v>142.31</v>
      </c>
      <c r="C119" s="2">
        <f>IFERROR(__xludf.DUMMYFUNCTION("""COMPUTED_VALUE"""),142.6)</f>
        <v>142.6</v>
      </c>
      <c r="D119" s="2">
        <f>IFERROR(__xludf.DUMMYFUNCTION("""COMPUTED_VALUE"""),138.95)</f>
        <v>138.95</v>
      </c>
      <c r="E119" s="2">
        <f>IFERROR(__xludf.DUMMYFUNCTION("""COMPUTED_VALUE"""),139.58)</f>
        <v>139.58</v>
      </c>
      <c r="F119" s="2">
        <f>IFERROR(__xludf.DUMMYFUNCTION("""COMPUTED_VALUE"""),1.0076325E7)</f>
        <v>10076325</v>
      </c>
    </row>
    <row r="120">
      <c r="A120" s="3">
        <f>IFERROR(__xludf.DUMMYFUNCTION("""COMPUTED_VALUE"""),45100.66666666667)</f>
        <v>45100.66667</v>
      </c>
      <c r="B120" s="2">
        <f>IFERROR(__xludf.DUMMYFUNCTION("""COMPUTED_VALUE"""),138.54)</f>
        <v>138.54</v>
      </c>
      <c r="C120" s="2">
        <f>IFERROR(__xludf.DUMMYFUNCTION("""COMPUTED_VALUE"""),139.18)</f>
        <v>139.18</v>
      </c>
      <c r="D120" s="2">
        <f>IFERROR(__xludf.DUMMYFUNCTION("""COMPUTED_VALUE"""),137.62)</f>
        <v>137.62</v>
      </c>
      <c r="E120" s="2">
        <f>IFERROR(__xludf.DUMMYFUNCTION("""COMPUTED_VALUE"""),138.85)</f>
        <v>138.85</v>
      </c>
      <c r="F120" s="2">
        <f>IFERROR(__xludf.DUMMYFUNCTION("""COMPUTED_VALUE"""),9919539.0)</f>
        <v>9919539</v>
      </c>
    </row>
    <row r="121">
      <c r="A121" s="3">
        <f>IFERROR(__xludf.DUMMYFUNCTION("""COMPUTED_VALUE"""),45103.66666666667)</f>
        <v>45103.66667</v>
      </c>
      <c r="B121" s="2">
        <f>IFERROR(__xludf.DUMMYFUNCTION("""COMPUTED_VALUE"""),138.87)</f>
        <v>138.87</v>
      </c>
      <c r="C121" s="2">
        <f>IFERROR(__xludf.DUMMYFUNCTION("""COMPUTED_VALUE"""),140.01)</f>
        <v>140.01</v>
      </c>
      <c r="D121" s="2">
        <f>IFERROR(__xludf.DUMMYFUNCTION("""COMPUTED_VALUE"""),137.69)</f>
        <v>137.69</v>
      </c>
      <c r="E121" s="2">
        <f>IFERROR(__xludf.DUMMYFUNCTION("""COMPUTED_VALUE"""),139.19)</f>
        <v>139.19</v>
      </c>
      <c r="F121" s="2">
        <f>IFERROR(__xludf.DUMMYFUNCTION("""COMPUTED_VALUE"""),8429727.0)</f>
        <v>8429727</v>
      </c>
    </row>
    <row r="122">
      <c r="A122" s="3">
        <f>IFERROR(__xludf.DUMMYFUNCTION("""COMPUTED_VALUE"""),45104.66666666667)</f>
        <v>45104.66667</v>
      </c>
      <c r="B122" s="2">
        <f>IFERROR(__xludf.DUMMYFUNCTION("""COMPUTED_VALUE"""),139.0)</f>
        <v>139</v>
      </c>
      <c r="C122" s="2">
        <f>IFERROR(__xludf.DUMMYFUNCTION("""COMPUTED_VALUE"""),139.84)</f>
        <v>139.84</v>
      </c>
      <c r="D122" s="2">
        <f>IFERROR(__xludf.DUMMYFUNCTION("""COMPUTED_VALUE"""),138.54)</f>
        <v>138.54</v>
      </c>
      <c r="E122" s="2">
        <f>IFERROR(__xludf.DUMMYFUNCTION("""COMPUTED_VALUE"""),139.2)</f>
        <v>139.2</v>
      </c>
      <c r="F122" s="2">
        <f>IFERROR(__xludf.DUMMYFUNCTION("""COMPUTED_VALUE"""),8154024.0)</f>
        <v>8154024</v>
      </c>
    </row>
    <row r="123">
      <c r="A123" s="3">
        <f>IFERROR(__xludf.DUMMYFUNCTION("""COMPUTED_VALUE"""),45105.66666666667)</f>
        <v>45105.66667</v>
      </c>
      <c r="B123" s="2">
        <f>IFERROR(__xludf.DUMMYFUNCTION("""COMPUTED_VALUE"""),139.16)</f>
        <v>139.16</v>
      </c>
      <c r="C123" s="2">
        <f>IFERROR(__xludf.DUMMYFUNCTION("""COMPUTED_VALUE"""),139.21)</f>
        <v>139.21</v>
      </c>
      <c r="D123" s="2">
        <f>IFERROR(__xludf.DUMMYFUNCTION("""COMPUTED_VALUE"""),137.96)</f>
        <v>137.96</v>
      </c>
      <c r="E123" s="2">
        <f>IFERROR(__xludf.DUMMYFUNCTION("""COMPUTED_VALUE"""),138.59)</f>
        <v>138.59</v>
      </c>
      <c r="F123" s="2">
        <f>IFERROR(__xludf.DUMMYFUNCTION("""COMPUTED_VALUE"""),7558644.0)</f>
        <v>7558644</v>
      </c>
    </row>
    <row r="124">
      <c r="A124" s="3">
        <f>IFERROR(__xludf.DUMMYFUNCTION("""COMPUTED_VALUE"""),45106.66666666667)</f>
        <v>45106.66667</v>
      </c>
      <c r="B124" s="2">
        <f>IFERROR(__xludf.DUMMYFUNCTION("""COMPUTED_VALUE"""),140.07)</f>
        <v>140.07</v>
      </c>
      <c r="C124" s="2">
        <f>IFERROR(__xludf.DUMMYFUNCTION("""COMPUTED_VALUE"""),143.56)</f>
        <v>143.56</v>
      </c>
      <c r="D124" s="2">
        <f>IFERROR(__xludf.DUMMYFUNCTION("""COMPUTED_VALUE"""),139.85)</f>
        <v>139.85</v>
      </c>
      <c r="E124" s="2">
        <f>IFERROR(__xludf.DUMMYFUNCTION("""COMPUTED_VALUE"""),143.43)</f>
        <v>143.43</v>
      </c>
      <c r="F124" s="2">
        <f>IFERROR(__xludf.DUMMYFUNCTION("""COMPUTED_VALUE"""),1.542323E7)</f>
        <v>15423230</v>
      </c>
    </row>
    <row r="125">
      <c r="A125" s="3">
        <f>IFERROR(__xludf.DUMMYFUNCTION("""COMPUTED_VALUE"""),45107.66666666667)</f>
        <v>45107.66667</v>
      </c>
      <c r="B125" s="2">
        <f>IFERROR(__xludf.DUMMYFUNCTION("""COMPUTED_VALUE"""),144.6)</f>
        <v>144.6</v>
      </c>
      <c r="C125" s="2">
        <f>IFERROR(__xludf.DUMMYFUNCTION("""COMPUTED_VALUE"""),146.0)</f>
        <v>146</v>
      </c>
      <c r="D125" s="2">
        <f>IFERROR(__xludf.DUMMYFUNCTION("""COMPUTED_VALUE"""),143.66)</f>
        <v>143.66</v>
      </c>
      <c r="E125" s="2">
        <f>IFERROR(__xludf.DUMMYFUNCTION("""COMPUTED_VALUE"""),145.44)</f>
        <v>145.44</v>
      </c>
      <c r="F125" s="2">
        <f>IFERROR(__xludf.DUMMYFUNCTION("""COMPUTED_VALUE"""),1.4212816E7)</f>
        <v>14212816</v>
      </c>
    </row>
    <row r="126">
      <c r="A126" s="3">
        <f>IFERROR(__xludf.DUMMYFUNCTION("""COMPUTED_VALUE"""),45110.54166666667)</f>
        <v>45110.54167</v>
      </c>
      <c r="B126" s="2">
        <f>IFERROR(__xludf.DUMMYFUNCTION("""COMPUTED_VALUE"""),146.19)</f>
        <v>146.19</v>
      </c>
      <c r="C126" s="2">
        <f>IFERROR(__xludf.DUMMYFUNCTION("""COMPUTED_VALUE"""),147.48)</f>
        <v>147.48</v>
      </c>
      <c r="D126" s="2">
        <f>IFERROR(__xludf.DUMMYFUNCTION("""COMPUTED_VALUE"""),146.0)</f>
        <v>146</v>
      </c>
      <c r="E126" s="2">
        <f>IFERROR(__xludf.DUMMYFUNCTION("""COMPUTED_VALUE"""),146.61)</f>
        <v>146.61</v>
      </c>
      <c r="F126" s="2">
        <f>IFERROR(__xludf.DUMMYFUNCTION("""COMPUTED_VALUE"""),8021622.0)</f>
        <v>8021622</v>
      </c>
    </row>
    <row r="127">
      <c r="A127" s="3">
        <f>IFERROR(__xludf.DUMMYFUNCTION("""COMPUTED_VALUE"""),45112.66666666667)</f>
        <v>45112.66667</v>
      </c>
      <c r="B127" s="2">
        <f>IFERROR(__xludf.DUMMYFUNCTION("""COMPUTED_VALUE"""),144.94)</f>
        <v>144.94</v>
      </c>
      <c r="C127" s="2">
        <f>IFERROR(__xludf.DUMMYFUNCTION("""COMPUTED_VALUE"""),145.43)</f>
        <v>145.43</v>
      </c>
      <c r="D127" s="2">
        <f>IFERROR(__xludf.DUMMYFUNCTION("""COMPUTED_VALUE"""),144.36)</f>
        <v>144.36</v>
      </c>
      <c r="E127" s="2">
        <f>IFERROR(__xludf.DUMMYFUNCTION("""COMPUTED_VALUE"""),144.64)</f>
        <v>144.64</v>
      </c>
      <c r="F127" s="2">
        <f>IFERROR(__xludf.DUMMYFUNCTION("""COMPUTED_VALUE"""),8935519.0)</f>
        <v>8935519</v>
      </c>
    </row>
    <row r="128">
      <c r="A128" s="3">
        <f>IFERROR(__xludf.DUMMYFUNCTION("""COMPUTED_VALUE"""),45113.66666666667)</f>
        <v>45113.66667</v>
      </c>
      <c r="B128" s="2">
        <f>IFERROR(__xludf.DUMMYFUNCTION("""COMPUTED_VALUE"""),143.02)</f>
        <v>143.02</v>
      </c>
      <c r="C128" s="2">
        <f>IFERROR(__xludf.DUMMYFUNCTION("""COMPUTED_VALUE"""),143.39)</f>
        <v>143.39</v>
      </c>
      <c r="D128" s="2">
        <f>IFERROR(__xludf.DUMMYFUNCTION("""COMPUTED_VALUE"""),141.44)</f>
        <v>141.44</v>
      </c>
      <c r="E128" s="2">
        <f>IFERROR(__xludf.DUMMYFUNCTION("""COMPUTED_VALUE"""),143.21)</f>
        <v>143.21</v>
      </c>
      <c r="F128" s="2">
        <f>IFERROR(__xludf.DUMMYFUNCTION("""COMPUTED_VALUE"""),9714100.0)</f>
        <v>9714100</v>
      </c>
    </row>
    <row r="129">
      <c r="A129" s="3">
        <f>IFERROR(__xludf.DUMMYFUNCTION("""COMPUTED_VALUE"""),45114.66666666667)</f>
        <v>45114.66667</v>
      </c>
      <c r="B129" s="2">
        <f>IFERROR(__xludf.DUMMYFUNCTION("""COMPUTED_VALUE"""),143.91)</f>
        <v>143.91</v>
      </c>
      <c r="C129" s="2">
        <f>IFERROR(__xludf.DUMMYFUNCTION("""COMPUTED_VALUE"""),145.84)</f>
        <v>145.84</v>
      </c>
      <c r="D129" s="2">
        <f>IFERROR(__xludf.DUMMYFUNCTION("""COMPUTED_VALUE"""),143.0)</f>
        <v>143</v>
      </c>
      <c r="E129" s="2">
        <f>IFERROR(__xludf.DUMMYFUNCTION("""COMPUTED_VALUE"""),144.34)</f>
        <v>144.34</v>
      </c>
      <c r="F129" s="2">
        <f>IFERROR(__xludf.DUMMYFUNCTION("""COMPUTED_VALUE"""),8981456.0)</f>
        <v>8981456</v>
      </c>
    </row>
    <row r="130">
      <c r="A130" s="3">
        <f>IFERROR(__xludf.DUMMYFUNCTION("""COMPUTED_VALUE"""),45117.66666666667)</f>
        <v>45117.66667</v>
      </c>
      <c r="B130" s="2">
        <f>IFERROR(__xludf.DUMMYFUNCTION("""COMPUTED_VALUE"""),144.5)</f>
        <v>144.5</v>
      </c>
      <c r="C130" s="2">
        <f>IFERROR(__xludf.DUMMYFUNCTION("""COMPUTED_VALUE"""),145.99)</f>
        <v>145.99</v>
      </c>
      <c r="D130" s="2">
        <f>IFERROR(__xludf.DUMMYFUNCTION("""COMPUTED_VALUE"""),144.5)</f>
        <v>144.5</v>
      </c>
      <c r="E130" s="2">
        <f>IFERROR(__xludf.DUMMYFUNCTION("""COMPUTED_VALUE"""),145.15)</f>
        <v>145.15</v>
      </c>
      <c r="F130" s="2">
        <f>IFERROR(__xludf.DUMMYFUNCTION("""COMPUTED_VALUE"""),9100060.0)</f>
        <v>9100060</v>
      </c>
    </row>
    <row r="131">
      <c r="A131" s="3">
        <f>IFERROR(__xludf.DUMMYFUNCTION("""COMPUTED_VALUE"""),45118.66666666667)</f>
        <v>45118.66667</v>
      </c>
      <c r="B131" s="2">
        <f>IFERROR(__xludf.DUMMYFUNCTION("""COMPUTED_VALUE"""),146.34)</f>
        <v>146.34</v>
      </c>
      <c r="C131" s="2">
        <f>IFERROR(__xludf.DUMMYFUNCTION("""COMPUTED_VALUE"""),147.82)</f>
        <v>147.82</v>
      </c>
      <c r="D131" s="2">
        <f>IFERROR(__xludf.DUMMYFUNCTION("""COMPUTED_VALUE"""),145.71)</f>
        <v>145.71</v>
      </c>
      <c r="E131" s="2">
        <f>IFERROR(__xludf.DUMMYFUNCTION("""COMPUTED_VALUE"""),147.42)</f>
        <v>147.42</v>
      </c>
      <c r="F131" s="2">
        <f>IFERROR(__xludf.DUMMYFUNCTION("""COMPUTED_VALUE"""),1.1265592E7)</f>
        <v>11265592</v>
      </c>
    </row>
    <row r="132">
      <c r="A132" s="3">
        <f>IFERROR(__xludf.DUMMYFUNCTION("""COMPUTED_VALUE"""),45119.66666666667)</f>
        <v>45119.66667</v>
      </c>
      <c r="B132" s="2">
        <f>IFERROR(__xludf.DUMMYFUNCTION("""COMPUTED_VALUE"""),147.45)</f>
        <v>147.45</v>
      </c>
      <c r="C132" s="2">
        <f>IFERROR(__xludf.DUMMYFUNCTION("""COMPUTED_VALUE"""),149.87)</f>
        <v>149.87</v>
      </c>
      <c r="D132" s="2">
        <f>IFERROR(__xludf.DUMMYFUNCTION("""COMPUTED_VALUE"""),147.0)</f>
        <v>147</v>
      </c>
      <c r="E132" s="2">
        <f>IFERROR(__xludf.DUMMYFUNCTION("""COMPUTED_VALUE"""),148.15)</f>
        <v>148.15</v>
      </c>
      <c r="F132" s="2">
        <f>IFERROR(__xludf.DUMMYFUNCTION("""COMPUTED_VALUE"""),1.1323228E7)</f>
        <v>11323228</v>
      </c>
    </row>
    <row r="133">
      <c r="A133" s="3">
        <f>IFERROR(__xludf.DUMMYFUNCTION("""COMPUTED_VALUE"""),45120.66666666667)</f>
        <v>45120.66667</v>
      </c>
      <c r="B133" s="2">
        <f>IFERROR(__xludf.DUMMYFUNCTION("""COMPUTED_VALUE"""),148.7)</f>
        <v>148.7</v>
      </c>
      <c r="C133" s="2">
        <f>IFERROR(__xludf.DUMMYFUNCTION("""COMPUTED_VALUE"""),149.37)</f>
        <v>149.37</v>
      </c>
      <c r="D133" s="2">
        <f>IFERROR(__xludf.DUMMYFUNCTION("""COMPUTED_VALUE"""),147.75)</f>
        <v>147.75</v>
      </c>
      <c r="E133" s="2">
        <f>IFERROR(__xludf.DUMMYFUNCTION("""COMPUTED_VALUE"""),148.87)</f>
        <v>148.87</v>
      </c>
      <c r="F133" s="2">
        <f>IFERROR(__xludf.DUMMYFUNCTION("""COMPUTED_VALUE"""),1.1234925E7)</f>
        <v>11234925</v>
      </c>
    </row>
    <row r="134">
      <c r="A134" s="3">
        <f>IFERROR(__xludf.DUMMYFUNCTION("""COMPUTED_VALUE"""),45121.66666666667)</f>
        <v>45121.66667</v>
      </c>
      <c r="B134" s="2">
        <f>IFERROR(__xludf.DUMMYFUNCTION("""COMPUTED_VALUE"""),151.55)</f>
        <v>151.55</v>
      </c>
      <c r="C134" s="2">
        <f>IFERROR(__xludf.DUMMYFUNCTION("""COMPUTED_VALUE"""),152.89)</f>
        <v>152.89</v>
      </c>
      <c r="D134" s="2">
        <f>IFERROR(__xludf.DUMMYFUNCTION("""COMPUTED_VALUE"""),148.41)</f>
        <v>148.41</v>
      </c>
      <c r="E134" s="2">
        <f>IFERROR(__xludf.DUMMYFUNCTION("""COMPUTED_VALUE"""),149.77)</f>
        <v>149.77</v>
      </c>
      <c r="F134" s="2">
        <f>IFERROR(__xludf.DUMMYFUNCTION("""COMPUTED_VALUE"""),2.7028429E7)</f>
        <v>27028429</v>
      </c>
    </row>
    <row r="135">
      <c r="A135" s="3">
        <f>IFERROR(__xludf.DUMMYFUNCTION("""COMPUTED_VALUE"""),45124.66666666667)</f>
        <v>45124.66667</v>
      </c>
      <c r="B135" s="2">
        <f>IFERROR(__xludf.DUMMYFUNCTION("""COMPUTED_VALUE"""),150.35)</f>
        <v>150.35</v>
      </c>
      <c r="C135" s="2">
        <f>IFERROR(__xludf.DUMMYFUNCTION("""COMPUTED_VALUE"""),153.75)</f>
        <v>153.75</v>
      </c>
      <c r="D135" s="2">
        <f>IFERROR(__xludf.DUMMYFUNCTION("""COMPUTED_VALUE"""),150.35)</f>
        <v>150.35</v>
      </c>
      <c r="E135" s="2">
        <f>IFERROR(__xludf.DUMMYFUNCTION("""COMPUTED_VALUE"""),153.38)</f>
        <v>153.38</v>
      </c>
      <c r="F135" s="2">
        <f>IFERROR(__xludf.DUMMYFUNCTION("""COMPUTED_VALUE"""),1.7262394E7)</f>
        <v>17262394</v>
      </c>
    </row>
    <row r="136">
      <c r="A136" s="3">
        <f>IFERROR(__xludf.DUMMYFUNCTION("""COMPUTED_VALUE"""),45125.66666666667)</f>
        <v>45125.66667</v>
      </c>
      <c r="B136" s="2">
        <f>IFERROR(__xludf.DUMMYFUNCTION("""COMPUTED_VALUE"""),153.38)</f>
        <v>153.38</v>
      </c>
      <c r="C136" s="2">
        <f>IFERROR(__xludf.DUMMYFUNCTION("""COMPUTED_VALUE"""),154.4)</f>
        <v>154.4</v>
      </c>
      <c r="D136" s="2">
        <f>IFERROR(__xludf.DUMMYFUNCTION("""COMPUTED_VALUE"""),152.82)</f>
        <v>152.82</v>
      </c>
      <c r="E136" s="2">
        <f>IFERROR(__xludf.DUMMYFUNCTION("""COMPUTED_VALUE"""),153.66)</f>
        <v>153.66</v>
      </c>
      <c r="F136" s="2">
        <f>IFERROR(__xludf.DUMMYFUNCTION("""COMPUTED_VALUE"""),1.3491725E7)</f>
        <v>13491725</v>
      </c>
    </row>
    <row r="137">
      <c r="A137" s="3">
        <f>IFERROR(__xludf.DUMMYFUNCTION("""COMPUTED_VALUE"""),45126.66666666667)</f>
        <v>45126.66667</v>
      </c>
      <c r="B137" s="2">
        <f>IFERROR(__xludf.DUMMYFUNCTION("""COMPUTED_VALUE"""),152.75)</f>
        <v>152.75</v>
      </c>
      <c r="C137" s="2">
        <f>IFERROR(__xludf.DUMMYFUNCTION("""COMPUTED_VALUE"""),155.21)</f>
        <v>155.21</v>
      </c>
      <c r="D137" s="2">
        <f>IFERROR(__xludf.DUMMYFUNCTION("""COMPUTED_VALUE"""),152.22)</f>
        <v>152.22</v>
      </c>
      <c r="E137" s="2">
        <f>IFERROR(__xludf.DUMMYFUNCTION("""COMPUTED_VALUE"""),154.25)</f>
        <v>154.25</v>
      </c>
      <c r="F137" s="2">
        <f>IFERROR(__xludf.DUMMYFUNCTION("""COMPUTED_VALUE"""),1.251E7)</f>
        <v>12510000</v>
      </c>
    </row>
    <row r="138">
      <c r="A138" s="3">
        <f>IFERROR(__xludf.DUMMYFUNCTION("""COMPUTED_VALUE"""),45127.66666666667)</f>
        <v>45127.66667</v>
      </c>
      <c r="B138" s="2">
        <f>IFERROR(__xludf.DUMMYFUNCTION("""COMPUTED_VALUE"""),154.53)</f>
        <v>154.53</v>
      </c>
      <c r="C138" s="2">
        <f>IFERROR(__xludf.DUMMYFUNCTION("""COMPUTED_VALUE"""),156.59)</f>
        <v>156.59</v>
      </c>
      <c r="D138" s="2">
        <f>IFERROR(__xludf.DUMMYFUNCTION("""COMPUTED_VALUE"""),154.41)</f>
        <v>154.41</v>
      </c>
      <c r="E138" s="2">
        <f>IFERROR(__xludf.DUMMYFUNCTION("""COMPUTED_VALUE"""),156.15)</f>
        <v>156.15</v>
      </c>
      <c r="F138" s="2">
        <f>IFERROR(__xludf.DUMMYFUNCTION("""COMPUTED_VALUE"""),9935907.0)</f>
        <v>9935907</v>
      </c>
    </row>
    <row r="139">
      <c r="A139" s="3">
        <f>IFERROR(__xludf.DUMMYFUNCTION("""COMPUTED_VALUE"""),45128.66666666667)</f>
        <v>45128.66667</v>
      </c>
      <c r="B139" s="2">
        <f>IFERROR(__xludf.DUMMYFUNCTION("""COMPUTED_VALUE"""),155.8)</f>
        <v>155.8</v>
      </c>
      <c r="C139" s="2">
        <f>IFERROR(__xludf.DUMMYFUNCTION("""COMPUTED_VALUE"""),156.14)</f>
        <v>156.14</v>
      </c>
      <c r="D139" s="2">
        <f>IFERROR(__xludf.DUMMYFUNCTION("""COMPUTED_VALUE"""),154.69)</f>
        <v>154.69</v>
      </c>
      <c r="E139" s="2">
        <f>IFERROR(__xludf.DUMMYFUNCTION("""COMPUTED_VALUE"""),154.95)</f>
        <v>154.95</v>
      </c>
      <c r="F139" s="2">
        <f>IFERROR(__xludf.DUMMYFUNCTION("""COMPUTED_VALUE"""),1.0636378E7)</f>
        <v>10636378</v>
      </c>
    </row>
    <row r="140">
      <c r="A140" s="3">
        <f>IFERROR(__xludf.DUMMYFUNCTION("""COMPUTED_VALUE"""),45131.66666666667)</f>
        <v>45131.66667</v>
      </c>
      <c r="B140" s="2">
        <f>IFERROR(__xludf.DUMMYFUNCTION("""COMPUTED_VALUE"""),154.97)</f>
        <v>154.97</v>
      </c>
      <c r="C140" s="2">
        <f>IFERROR(__xludf.DUMMYFUNCTION("""COMPUTED_VALUE"""),158.79)</f>
        <v>158.79</v>
      </c>
      <c r="D140" s="2">
        <f>IFERROR(__xludf.DUMMYFUNCTION("""COMPUTED_VALUE"""),154.73)</f>
        <v>154.73</v>
      </c>
      <c r="E140" s="2">
        <f>IFERROR(__xludf.DUMMYFUNCTION("""COMPUTED_VALUE"""),158.0)</f>
        <v>158</v>
      </c>
      <c r="F140" s="2">
        <f>IFERROR(__xludf.DUMMYFUNCTION("""COMPUTED_VALUE"""),1.4381425E7)</f>
        <v>14381425</v>
      </c>
    </row>
    <row r="141">
      <c r="A141" s="3">
        <f>IFERROR(__xludf.DUMMYFUNCTION("""COMPUTED_VALUE"""),45132.66666666667)</f>
        <v>45132.66667</v>
      </c>
      <c r="B141" s="2">
        <f>IFERROR(__xludf.DUMMYFUNCTION("""COMPUTED_VALUE"""),157.3)</f>
        <v>157.3</v>
      </c>
      <c r="C141" s="2">
        <f>IFERROR(__xludf.DUMMYFUNCTION("""COMPUTED_VALUE"""),157.72)</f>
        <v>157.72</v>
      </c>
      <c r="D141" s="2">
        <f>IFERROR(__xludf.DUMMYFUNCTION("""COMPUTED_VALUE"""),155.96)</f>
        <v>155.96</v>
      </c>
      <c r="E141" s="2">
        <f>IFERROR(__xludf.DUMMYFUNCTION("""COMPUTED_VALUE"""),156.82)</f>
        <v>156.82</v>
      </c>
      <c r="F141" s="2">
        <f>IFERROR(__xludf.DUMMYFUNCTION("""COMPUTED_VALUE"""),9944679.0)</f>
        <v>9944679</v>
      </c>
    </row>
    <row r="142">
      <c r="A142" s="3">
        <f>IFERROR(__xludf.DUMMYFUNCTION("""COMPUTED_VALUE"""),45133.66666666667)</f>
        <v>45133.66667</v>
      </c>
      <c r="B142" s="2">
        <f>IFERROR(__xludf.DUMMYFUNCTION("""COMPUTED_VALUE"""),156.71)</f>
        <v>156.71</v>
      </c>
      <c r="C142" s="2">
        <f>IFERROR(__xludf.DUMMYFUNCTION("""COMPUTED_VALUE"""),158.25)</f>
        <v>158.25</v>
      </c>
      <c r="D142" s="2">
        <f>IFERROR(__xludf.DUMMYFUNCTION("""COMPUTED_VALUE"""),156.28)</f>
        <v>156.28</v>
      </c>
      <c r="E142" s="2">
        <f>IFERROR(__xludf.DUMMYFUNCTION("""COMPUTED_VALUE"""),157.76)</f>
        <v>157.76</v>
      </c>
      <c r="F142" s="2">
        <f>IFERROR(__xludf.DUMMYFUNCTION("""COMPUTED_VALUE"""),8728593.0)</f>
        <v>8728593</v>
      </c>
    </row>
    <row r="143">
      <c r="A143" s="3">
        <f>IFERROR(__xludf.DUMMYFUNCTION("""COMPUTED_VALUE"""),45134.66666666667)</f>
        <v>45134.66667</v>
      </c>
      <c r="B143" s="2">
        <f>IFERROR(__xludf.DUMMYFUNCTION("""COMPUTED_VALUE"""),157.77)</f>
        <v>157.77</v>
      </c>
      <c r="C143" s="2">
        <f>IFERROR(__xludf.DUMMYFUNCTION("""COMPUTED_VALUE"""),158.78)</f>
        <v>158.78</v>
      </c>
      <c r="D143" s="2">
        <f>IFERROR(__xludf.DUMMYFUNCTION("""COMPUTED_VALUE"""),155.55)</f>
        <v>155.55</v>
      </c>
      <c r="E143" s="2">
        <f>IFERROR(__xludf.DUMMYFUNCTION("""COMPUTED_VALUE"""),156.02)</f>
        <v>156.02</v>
      </c>
      <c r="F143" s="2">
        <f>IFERROR(__xludf.DUMMYFUNCTION("""COMPUTED_VALUE"""),1.0778406E7)</f>
        <v>10778406</v>
      </c>
    </row>
    <row r="144">
      <c r="A144" s="3">
        <f>IFERROR(__xludf.DUMMYFUNCTION("""COMPUTED_VALUE"""),45135.66666666667)</f>
        <v>45135.66667</v>
      </c>
      <c r="B144" s="2">
        <f>IFERROR(__xludf.DUMMYFUNCTION("""COMPUTED_VALUE"""),157.28)</f>
        <v>157.28</v>
      </c>
      <c r="C144" s="2">
        <f>IFERROR(__xludf.DUMMYFUNCTION("""COMPUTED_VALUE"""),157.6)</f>
        <v>157.6</v>
      </c>
      <c r="D144" s="2">
        <f>IFERROR(__xludf.DUMMYFUNCTION("""COMPUTED_VALUE"""),156.44)</f>
        <v>156.44</v>
      </c>
      <c r="E144" s="2">
        <f>IFERROR(__xludf.DUMMYFUNCTION("""COMPUTED_VALUE"""),156.91)</f>
        <v>156.91</v>
      </c>
      <c r="F144" s="2">
        <f>IFERROR(__xludf.DUMMYFUNCTION("""COMPUTED_VALUE"""),9105974.0)</f>
        <v>9105974</v>
      </c>
    </row>
    <row r="145">
      <c r="A145" s="3">
        <f>IFERROR(__xludf.DUMMYFUNCTION("""COMPUTED_VALUE"""),45138.66666666667)</f>
        <v>45138.66667</v>
      </c>
      <c r="B145" s="2">
        <f>IFERROR(__xludf.DUMMYFUNCTION("""COMPUTED_VALUE"""),157.18)</f>
        <v>157.18</v>
      </c>
      <c r="C145" s="2">
        <f>IFERROR(__xludf.DUMMYFUNCTION("""COMPUTED_VALUE"""),159.38)</f>
        <v>159.38</v>
      </c>
      <c r="D145" s="2">
        <f>IFERROR(__xludf.DUMMYFUNCTION("""COMPUTED_VALUE"""),157.15)</f>
        <v>157.15</v>
      </c>
      <c r="E145" s="2">
        <f>IFERROR(__xludf.DUMMYFUNCTION("""COMPUTED_VALUE"""),157.96)</f>
        <v>157.96</v>
      </c>
      <c r="F145" s="2">
        <f>IFERROR(__xludf.DUMMYFUNCTION("""COMPUTED_VALUE"""),8894353.0)</f>
        <v>8894353</v>
      </c>
    </row>
    <row r="146">
      <c r="A146" s="3">
        <f>IFERROR(__xludf.DUMMYFUNCTION("""COMPUTED_VALUE"""),45139.66666666667)</f>
        <v>45139.66667</v>
      </c>
      <c r="B146" s="2">
        <f>IFERROR(__xludf.DUMMYFUNCTION("""COMPUTED_VALUE"""),157.43)</f>
        <v>157.43</v>
      </c>
      <c r="C146" s="2">
        <f>IFERROR(__xludf.DUMMYFUNCTION("""COMPUTED_VALUE"""),158.0)</f>
        <v>158</v>
      </c>
      <c r="D146" s="2">
        <f>IFERROR(__xludf.DUMMYFUNCTION("""COMPUTED_VALUE"""),156.15)</f>
        <v>156.15</v>
      </c>
      <c r="E146" s="2">
        <f>IFERROR(__xludf.DUMMYFUNCTION("""COMPUTED_VALUE"""),157.18)</f>
        <v>157.18</v>
      </c>
      <c r="F146" s="2">
        <f>IFERROR(__xludf.DUMMYFUNCTION("""COMPUTED_VALUE"""),6855682.0)</f>
        <v>6855682</v>
      </c>
    </row>
    <row r="147">
      <c r="A147" s="3">
        <f>IFERROR(__xludf.DUMMYFUNCTION("""COMPUTED_VALUE"""),45140.66666666667)</f>
        <v>45140.66667</v>
      </c>
      <c r="B147" s="2">
        <f>IFERROR(__xludf.DUMMYFUNCTION("""COMPUTED_VALUE"""),155.56)</f>
        <v>155.56</v>
      </c>
      <c r="C147" s="2">
        <f>IFERROR(__xludf.DUMMYFUNCTION("""COMPUTED_VALUE"""),155.69)</f>
        <v>155.69</v>
      </c>
      <c r="D147" s="2">
        <f>IFERROR(__xludf.DUMMYFUNCTION("""COMPUTED_VALUE"""),153.94)</f>
        <v>153.94</v>
      </c>
      <c r="E147" s="2">
        <f>IFERROR(__xludf.DUMMYFUNCTION("""COMPUTED_VALUE"""),155.4)</f>
        <v>155.4</v>
      </c>
      <c r="F147" s="2">
        <f>IFERROR(__xludf.DUMMYFUNCTION("""COMPUTED_VALUE"""),8303708.0)</f>
        <v>8303708</v>
      </c>
    </row>
    <row r="148">
      <c r="A148" s="3">
        <f>IFERROR(__xludf.DUMMYFUNCTION("""COMPUTED_VALUE"""),45141.66666666667)</f>
        <v>45141.66667</v>
      </c>
      <c r="B148" s="2">
        <f>IFERROR(__xludf.DUMMYFUNCTION("""COMPUTED_VALUE"""),155.0)</f>
        <v>155</v>
      </c>
      <c r="C148" s="2">
        <f>IFERROR(__xludf.DUMMYFUNCTION("""COMPUTED_VALUE"""),156.92)</f>
        <v>156.92</v>
      </c>
      <c r="D148" s="2">
        <f>IFERROR(__xludf.DUMMYFUNCTION("""COMPUTED_VALUE"""),154.35)</f>
        <v>154.35</v>
      </c>
      <c r="E148" s="2">
        <f>IFERROR(__xludf.DUMMYFUNCTION("""COMPUTED_VALUE"""),156.35)</f>
        <v>156.35</v>
      </c>
      <c r="F148" s="2">
        <f>IFERROR(__xludf.DUMMYFUNCTION("""COMPUTED_VALUE"""),6087542.0)</f>
        <v>6087542</v>
      </c>
    </row>
    <row r="149">
      <c r="A149" s="3">
        <f>IFERROR(__xludf.DUMMYFUNCTION("""COMPUTED_VALUE"""),45142.66666666667)</f>
        <v>45142.66667</v>
      </c>
      <c r="B149" s="2">
        <f>IFERROR(__xludf.DUMMYFUNCTION("""COMPUTED_VALUE"""),156.4)</f>
        <v>156.4</v>
      </c>
      <c r="C149" s="2">
        <f>IFERROR(__xludf.DUMMYFUNCTION("""COMPUTED_VALUE"""),157.8)</f>
        <v>157.8</v>
      </c>
      <c r="D149" s="2">
        <f>IFERROR(__xludf.DUMMYFUNCTION("""COMPUTED_VALUE"""),155.7)</f>
        <v>155.7</v>
      </c>
      <c r="E149" s="2">
        <f>IFERROR(__xludf.DUMMYFUNCTION("""COMPUTED_VALUE"""),156.02)</f>
        <v>156.02</v>
      </c>
      <c r="F149" s="2">
        <f>IFERROR(__xludf.DUMMYFUNCTION("""COMPUTED_VALUE"""),6209397.0)</f>
        <v>6209397</v>
      </c>
    </row>
    <row r="150">
      <c r="A150" s="3">
        <f>IFERROR(__xludf.DUMMYFUNCTION("""COMPUTED_VALUE"""),45145.66666666667)</f>
        <v>45145.66667</v>
      </c>
      <c r="B150" s="2">
        <f>IFERROR(__xludf.DUMMYFUNCTION("""COMPUTED_VALUE"""),156.6)</f>
        <v>156.6</v>
      </c>
      <c r="C150" s="2">
        <f>IFERROR(__xludf.DUMMYFUNCTION("""COMPUTED_VALUE"""),157.7)</f>
        <v>157.7</v>
      </c>
      <c r="D150" s="2">
        <f>IFERROR(__xludf.DUMMYFUNCTION("""COMPUTED_VALUE"""),156.6)</f>
        <v>156.6</v>
      </c>
      <c r="E150" s="2">
        <f>IFERROR(__xludf.DUMMYFUNCTION("""COMPUTED_VALUE"""),156.76)</f>
        <v>156.76</v>
      </c>
      <c r="F150" s="2">
        <f>IFERROR(__xludf.DUMMYFUNCTION("""COMPUTED_VALUE"""),7251832.0)</f>
        <v>7251832</v>
      </c>
    </row>
    <row r="151">
      <c r="A151" s="3">
        <f>IFERROR(__xludf.DUMMYFUNCTION("""COMPUTED_VALUE"""),45146.66666666667)</f>
        <v>45146.66667</v>
      </c>
      <c r="B151" s="2">
        <f>IFERROR(__xludf.DUMMYFUNCTION("""COMPUTED_VALUE"""),154.32)</f>
        <v>154.32</v>
      </c>
      <c r="C151" s="2">
        <f>IFERROR(__xludf.DUMMYFUNCTION("""COMPUTED_VALUE"""),155.98)</f>
        <v>155.98</v>
      </c>
      <c r="D151" s="2">
        <f>IFERROR(__xludf.DUMMYFUNCTION("""COMPUTED_VALUE"""),152.59)</f>
        <v>152.59</v>
      </c>
      <c r="E151" s="2">
        <f>IFERROR(__xludf.DUMMYFUNCTION("""COMPUTED_VALUE"""),155.88)</f>
        <v>155.88</v>
      </c>
      <c r="F151" s="2">
        <f>IFERROR(__xludf.DUMMYFUNCTION("""COMPUTED_VALUE"""),8623379.0)</f>
        <v>8623379</v>
      </c>
    </row>
    <row r="152">
      <c r="A152" s="3">
        <f>IFERROR(__xludf.DUMMYFUNCTION("""COMPUTED_VALUE"""),45147.66666666667)</f>
        <v>45147.66667</v>
      </c>
      <c r="B152" s="2">
        <f>IFERROR(__xludf.DUMMYFUNCTION("""COMPUTED_VALUE"""),155.32)</f>
        <v>155.32</v>
      </c>
      <c r="C152" s="2">
        <f>IFERROR(__xludf.DUMMYFUNCTION("""COMPUTED_VALUE"""),155.52)</f>
        <v>155.52</v>
      </c>
      <c r="D152" s="2">
        <f>IFERROR(__xludf.DUMMYFUNCTION("""COMPUTED_VALUE"""),153.47)</f>
        <v>153.47</v>
      </c>
      <c r="E152" s="2">
        <f>IFERROR(__xludf.DUMMYFUNCTION("""COMPUTED_VALUE"""),153.79)</f>
        <v>153.79</v>
      </c>
      <c r="F152" s="2">
        <f>IFERROR(__xludf.DUMMYFUNCTION("""COMPUTED_VALUE"""),6277813.0)</f>
        <v>6277813</v>
      </c>
    </row>
    <row r="153">
      <c r="A153" s="3">
        <f>IFERROR(__xludf.DUMMYFUNCTION("""COMPUTED_VALUE"""),45148.66666666667)</f>
        <v>45148.66667</v>
      </c>
      <c r="B153" s="2">
        <f>IFERROR(__xludf.DUMMYFUNCTION("""COMPUTED_VALUE"""),154.38)</f>
        <v>154.38</v>
      </c>
      <c r="C153" s="2">
        <f>IFERROR(__xludf.DUMMYFUNCTION("""COMPUTED_VALUE"""),155.44)</f>
        <v>155.44</v>
      </c>
      <c r="D153" s="2">
        <f>IFERROR(__xludf.DUMMYFUNCTION("""COMPUTED_VALUE"""),153.09)</f>
        <v>153.09</v>
      </c>
      <c r="E153" s="2">
        <f>IFERROR(__xludf.DUMMYFUNCTION("""COMPUTED_VALUE"""),153.56)</f>
        <v>153.56</v>
      </c>
      <c r="F153" s="2">
        <f>IFERROR(__xludf.DUMMYFUNCTION("""COMPUTED_VALUE"""),5995076.0)</f>
        <v>5995076</v>
      </c>
    </row>
    <row r="154">
      <c r="A154" s="3">
        <f>IFERROR(__xludf.DUMMYFUNCTION("""COMPUTED_VALUE"""),45149.66666666667)</f>
        <v>45149.66667</v>
      </c>
      <c r="B154" s="2">
        <f>IFERROR(__xludf.DUMMYFUNCTION("""COMPUTED_VALUE"""),153.03)</f>
        <v>153.03</v>
      </c>
      <c r="C154" s="2">
        <f>IFERROR(__xludf.DUMMYFUNCTION("""COMPUTED_VALUE"""),154.52)</f>
        <v>154.52</v>
      </c>
      <c r="D154" s="2">
        <f>IFERROR(__xludf.DUMMYFUNCTION("""COMPUTED_VALUE"""),152.63)</f>
        <v>152.63</v>
      </c>
      <c r="E154" s="2">
        <f>IFERROR(__xludf.DUMMYFUNCTION("""COMPUTED_VALUE"""),154.45)</f>
        <v>154.45</v>
      </c>
      <c r="F154" s="2">
        <f>IFERROR(__xludf.DUMMYFUNCTION("""COMPUTED_VALUE"""),5180690.0)</f>
        <v>5180690</v>
      </c>
    </row>
    <row r="155">
      <c r="A155" s="3">
        <f>IFERROR(__xludf.DUMMYFUNCTION("""COMPUTED_VALUE"""),45152.66666666667)</f>
        <v>45152.66667</v>
      </c>
      <c r="B155" s="2">
        <f>IFERROR(__xludf.DUMMYFUNCTION("""COMPUTED_VALUE"""),153.61)</f>
        <v>153.61</v>
      </c>
      <c r="C155" s="2">
        <f>IFERROR(__xludf.DUMMYFUNCTION("""COMPUTED_VALUE"""),154.92)</f>
        <v>154.92</v>
      </c>
      <c r="D155" s="2">
        <f>IFERROR(__xludf.DUMMYFUNCTION("""COMPUTED_VALUE"""),152.92)</f>
        <v>152.92</v>
      </c>
      <c r="E155" s="2">
        <f>IFERROR(__xludf.DUMMYFUNCTION("""COMPUTED_VALUE"""),154.77)</f>
        <v>154.77</v>
      </c>
      <c r="F155" s="2">
        <f>IFERROR(__xludf.DUMMYFUNCTION("""COMPUTED_VALUE"""),5044282.0)</f>
        <v>5044282</v>
      </c>
    </row>
    <row r="156">
      <c r="A156" s="3">
        <f>IFERROR(__xludf.DUMMYFUNCTION("""COMPUTED_VALUE"""),45153.66666666667)</f>
        <v>45153.66667</v>
      </c>
      <c r="B156" s="2">
        <f>IFERROR(__xludf.DUMMYFUNCTION("""COMPUTED_VALUE"""),152.85)</f>
        <v>152.85</v>
      </c>
      <c r="C156" s="2">
        <f>IFERROR(__xludf.DUMMYFUNCTION("""COMPUTED_VALUE"""),153.27)</f>
        <v>153.27</v>
      </c>
      <c r="D156" s="2">
        <f>IFERROR(__xludf.DUMMYFUNCTION("""COMPUTED_VALUE"""),150.23)</f>
        <v>150.23</v>
      </c>
      <c r="E156" s="2">
        <f>IFERROR(__xludf.DUMMYFUNCTION("""COMPUTED_VALUE"""),150.83)</f>
        <v>150.83</v>
      </c>
      <c r="F156" s="2">
        <f>IFERROR(__xludf.DUMMYFUNCTION("""COMPUTED_VALUE"""),1.0300303E7)</f>
        <v>10300303</v>
      </c>
    </row>
    <row r="157">
      <c r="A157" s="3">
        <f>IFERROR(__xludf.DUMMYFUNCTION("""COMPUTED_VALUE"""),45154.66666666667)</f>
        <v>45154.66667</v>
      </c>
      <c r="B157" s="2">
        <f>IFERROR(__xludf.DUMMYFUNCTION("""COMPUTED_VALUE"""),150.6)</f>
        <v>150.6</v>
      </c>
      <c r="C157" s="2">
        <f>IFERROR(__xludf.DUMMYFUNCTION("""COMPUTED_VALUE"""),150.96)</f>
        <v>150.96</v>
      </c>
      <c r="D157" s="2">
        <f>IFERROR(__xludf.DUMMYFUNCTION("""COMPUTED_VALUE"""),149.68)</f>
        <v>149.68</v>
      </c>
      <c r="E157" s="2">
        <f>IFERROR(__xludf.DUMMYFUNCTION("""COMPUTED_VALUE"""),150.19)</f>
        <v>150.19</v>
      </c>
      <c r="F157" s="2">
        <f>IFERROR(__xludf.DUMMYFUNCTION("""COMPUTED_VALUE"""),6978235.0)</f>
        <v>6978235</v>
      </c>
    </row>
    <row r="158">
      <c r="A158" s="3">
        <f>IFERROR(__xludf.DUMMYFUNCTION("""COMPUTED_VALUE"""),45155.66666666667)</f>
        <v>45155.66667</v>
      </c>
      <c r="B158" s="2">
        <f>IFERROR(__xludf.DUMMYFUNCTION("""COMPUTED_VALUE"""),150.88)</f>
        <v>150.88</v>
      </c>
      <c r="C158" s="2">
        <f>IFERROR(__xludf.DUMMYFUNCTION("""COMPUTED_VALUE"""),151.26)</f>
        <v>151.26</v>
      </c>
      <c r="D158" s="2">
        <f>IFERROR(__xludf.DUMMYFUNCTION("""COMPUTED_VALUE"""),148.4)</f>
        <v>148.4</v>
      </c>
      <c r="E158" s="2">
        <f>IFERROR(__xludf.DUMMYFUNCTION("""COMPUTED_VALUE"""),148.63)</f>
        <v>148.63</v>
      </c>
      <c r="F158" s="2">
        <f>IFERROR(__xludf.DUMMYFUNCTION("""COMPUTED_VALUE"""),9953912.0)</f>
        <v>9953912</v>
      </c>
    </row>
    <row r="159">
      <c r="A159" s="3">
        <f>IFERROR(__xludf.DUMMYFUNCTION("""COMPUTED_VALUE"""),45156.66666666667)</f>
        <v>45156.66667</v>
      </c>
      <c r="B159" s="2">
        <f>IFERROR(__xludf.DUMMYFUNCTION("""COMPUTED_VALUE"""),147.65)</f>
        <v>147.65</v>
      </c>
      <c r="C159" s="2">
        <f>IFERROR(__xludf.DUMMYFUNCTION("""COMPUTED_VALUE"""),149.5)</f>
        <v>149.5</v>
      </c>
      <c r="D159" s="2">
        <f>IFERROR(__xludf.DUMMYFUNCTION("""COMPUTED_VALUE"""),147.44)</f>
        <v>147.44</v>
      </c>
      <c r="E159" s="2">
        <f>IFERROR(__xludf.DUMMYFUNCTION("""COMPUTED_VALUE"""),148.97)</f>
        <v>148.97</v>
      </c>
      <c r="F159" s="2">
        <f>IFERROR(__xludf.DUMMYFUNCTION("""COMPUTED_VALUE"""),8517460.0)</f>
        <v>8517460</v>
      </c>
    </row>
    <row r="160">
      <c r="A160" s="3">
        <f>IFERROR(__xludf.DUMMYFUNCTION("""COMPUTED_VALUE"""),45159.66666666667)</f>
        <v>45159.66667</v>
      </c>
      <c r="B160" s="2">
        <f>IFERROR(__xludf.DUMMYFUNCTION("""COMPUTED_VALUE"""),149.65)</f>
        <v>149.65</v>
      </c>
      <c r="C160" s="2">
        <f>IFERROR(__xludf.DUMMYFUNCTION("""COMPUTED_VALUE"""),150.1)</f>
        <v>150.1</v>
      </c>
      <c r="D160" s="2">
        <f>IFERROR(__xludf.DUMMYFUNCTION("""COMPUTED_VALUE"""),148.02)</f>
        <v>148.02</v>
      </c>
      <c r="E160" s="2">
        <f>IFERROR(__xludf.DUMMYFUNCTION("""COMPUTED_VALUE"""),149.48)</f>
        <v>149.48</v>
      </c>
      <c r="F160" s="2">
        <f>IFERROR(__xludf.DUMMYFUNCTION("""COMPUTED_VALUE"""),8327018.0)</f>
        <v>8327018</v>
      </c>
    </row>
    <row r="161">
      <c r="A161" s="3">
        <f>IFERROR(__xludf.DUMMYFUNCTION("""COMPUTED_VALUE"""),45160.66666666667)</f>
        <v>45160.66667</v>
      </c>
      <c r="B161" s="2">
        <f>IFERROR(__xludf.DUMMYFUNCTION("""COMPUTED_VALUE"""),149.26)</f>
        <v>149.26</v>
      </c>
      <c r="C161" s="2">
        <f>IFERROR(__xludf.DUMMYFUNCTION("""COMPUTED_VALUE"""),149.64)</f>
        <v>149.64</v>
      </c>
      <c r="D161" s="2">
        <f>IFERROR(__xludf.DUMMYFUNCTION("""COMPUTED_VALUE"""),145.85)</f>
        <v>145.85</v>
      </c>
      <c r="E161" s="2">
        <f>IFERROR(__xludf.DUMMYFUNCTION("""COMPUTED_VALUE"""),146.38)</f>
        <v>146.38</v>
      </c>
      <c r="F161" s="2">
        <f>IFERROR(__xludf.DUMMYFUNCTION("""COMPUTED_VALUE"""),9681972.0)</f>
        <v>9681972</v>
      </c>
    </row>
    <row r="162">
      <c r="A162" s="3">
        <f>IFERROR(__xludf.DUMMYFUNCTION("""COMPUTED_VALUE"""),45161.66666666667)</f>
        <v>45161.66667</v>
      </c>
      <c r="B162" s="2">
        <f>IFERROR(__xludf.DUMMYFUNCTION("""COMPUTED_VALUE"""),146.35)</f>
        <v>146.35</v>
      </c>
      <c r="C162" s="2">
        <f>IFERROR(__xludf.DUMMYFUNCTION("""COMPUTED_VALUE"""),147.59)</f>
        <v>147.59</v>
      </c>
      <c r="D162" s="2">
        <f>IFERROR(__xludf.DUMMYFUNCTION("""COMPUTED_VALUE"""),145.46)</f>
        <v>145.46</v>
      </c>
      <c r="E162" s="2">
        <f>IFERROR(__xludf.DUMMYFUNCTION("""COMPUTED_VALUE"""),147.37)</f>
        <v>147.37</v>
      </c>
      <c r="F162" s="2">
        <f>IFERROR(__xludf.DUMMYFUNCTION("""COMPUTED_VALUE"""),7858021.0)</f>
        <v>7858021</v>
      </c>
    </row>
    <row r="163">
      <c r="A163" s="3">
        <f>IFERROR(__xludf.DUMMYFUNCTION("""COMPUTED_VALUE"""),45162.66666666667)</f>
        <v>45162.66667</v>
      </c>
      <c r="B163" s="2">
        <f>IFERROR(__xludf.DUMMYFUNCTION("""COMPUTED_VALUE"""),147.5)</f>
        <v>147.5</v>
      </c>
      <c r="C163" s="2">
        <f>IFERROR(__xludf.DUMMYFUNCTION("""COMPUTED_VALUE"""),149.41)</f>
        <v>149.41</v>
      </c>
      <c r="D163" s="2">
        <f>IFERROR(__xludf.DUMMYFUNCTION("""COMPUTED_VALUE"""),146.99)</f>
        <v>146.99</v>
      </c>
      <c r="E163" s="2">
        <f>IFERROR(__xludf.DUMMYFUNCTION("""COMPUTED_VALUE"""),147.23)</f>
        <v>147.23</v>
      </c>
      <c r="F163" s="2">
        <f>IFERROR(__xludf.DUMMYFUNCTION("""COMPUTED_VALUE"""),6534026.0)</f>
        <v>6534026</v>
      </c>
    </row>
    <row r="164">
      <c r="A164" s="3">
        <f>IFERROR(__xludf.DUMMYFUNCTION("""COMPUTED_VALUE"""),45163.66666666667)</f>
        <v>45163.66667</v>
      </c>
      <c r="B164" s="2">
        <f>IFERROR(__xludf.DUMMYFUNCTION("""COMPUTED_VALUE"""),147.28)</f>
        <v>147.28</v>
      </c>
      <c r="C164" s="2">
        <f>IFERROR(__xludf.DUMMYFUNCTION("""COMPUTED_VALUE"""),148.62)</f>
        <v>148.62</v>
      </c>
      <c r="D164" s="2">
        <f>IFERROR(__xludf.DUMMYFUNCTION("""COMPUTED_VALUE"""),145.85)</f>
        <v>145.85</v>
      </c>
      <c r="E164" s="2">
        <f>IFERROR(__xludf.DUMMYFUNCTION("""COMPUTED_VALUE"""),147.05)</f>
        <v>147.05</v>
      </c>
      <c r="F164" s="2">
        <f>IFERROR(__xludf.DUMMYFUNCTION("""COMPUTED_VALUE"""),6695537.0)</f>
        <v>6695537</v>
      </c>
    </row>
    <row r="165">
      <c r="A165" s="3">
        <f>IFERROR(__xludf.DUMMYFUNCTION("""COMPUTED_VALUE"""),45166.66666666667)</f>
        <v>45166.66667</v>
      </c>
      <c r="B165" s="2">
        <f>IFERROR(__xludf.DUMMYFUNCTION("""COMPUTED_VALUE"""),147.57)</f>
        <v>147.57</v>
      </c>
      <c r="C165" s="2">
        <f>IFERROR(__xludf.DUMMYFUNCTION("""COMPUTED_VALUE"""),148.61)</f>
        <v>148.61</v>
      </c>
      <c r="D165" s="2">
        <f>IFERROR(__xludf.DUMMYFUNCTION("""COMPUTED_VALUE"""),147.13)</f>
        <v>147.13</v>
      </c>
      <c r="E165" s="2">
        <f>IFERROR(__xludf.DUMMYFUNCTION("""COMPUTED_VALUE"""),147.56)</f>
        <v>147.56</v>
      </c>
      <c r="F165" s="2">
        <f>IFERROR(__xludf.DUMMYFUNCTION("""COMPUTED_VALUE"""),5094201.0)</f>
        <v>5094201</v>
      </c>
    </row>
    <row r="166">
      <c r="A166" s="3">
        <f>IFERROR(__xludf.DUMMYFUNCTION("""COMPUTED_VALUE"""),45167.66666666667)</f>
        <v>45167.66667</v>
      </c>
      <c r="B166" s="2">
        <f>IFERROR(__xludf.DUMMYFUNCTION("""COMPUTED_VALUE"""),147.71)</f>
        <v>147.71</v>
      </c>
      <c r="C166" s="2">
        <f>IFERROR(__xludf.DUMMYFUNCTION("""COMPUTED_VALUE"""),148.85)</f>
        <v>148.85</v>
      </c>
      <c r="D166" s="2">
        <f>IFERROR(__xludf.DUMMYFUNCTION("""COMPUTED_VALUE"""),147.18)</f>
        <v>147.18</v>
      </c>
      <c r="E166" s="2">
        <f>IFERROR(__xludf.DUMMYFUNCTION("""COMPUTED_VALUE"""),148.76)</f>
        <v>148.76</v>
      </c>
      <c r="F166" s="2">
        <f>IFERROR(__xludf.DUMMYFUNCTION("""COMPUTED_VALUE"""),6336962.0)</f>
        <v>6336962</v>
      </c>
    </row>
    <row r="167">
      <c r="A167" s="3">
        <f>IFERROR(__xludf.DUMMYFUNCTION("""COMPUTED_VALUE"""),45168.66666666667)</f>
        <v>45168.66667</v>
      </c>
      <c r="B167" s="2">
        <f>IFERROR(__xludf.DUMMYFUNCTION("""COMPUTED_VALUE"""),148.62)</f>
        <v>148.62</v>
      </c>
      <c r="C167" s="2">
        <f>IFERROR(__xludf.DUMMYFUNCTION("""COMPUTED_VALUE"""),149.15)</f>
        <v>149.15</v>
      </c>
      <c r="D167" s="2">
        <f>IFERROR(__xludf.DUMMYFUNCTION("""COMPUTED_VALUE"""),147.19)</f>
        <v>147.19</v>
      </c>
      <c r="E167" s="2">
        <f>IFERROR(__xludf.DUMMYFUNCTION("""COMPUTED_VALUE"""),148.16)</f>
        <v>148.16</v>
      </c>
      <c r="F167" s="2">
        <f>IFERROR(__xludf.DUMMYFUNCTION("""COMPUTED_VALUE"""),6277318.0)</f>
        <v>6277318</v>
      </c>
    </row>
    <row r="168">
      <c r="A168" s="3">
        <f>IFERROR(__xludf.DUMMYFUNCTION("""COMPUTED_VALUE"""),45169.66666666667)</f>
        <v>45169.66667</v>
      </c>
      <c r="B168" s="2">
        <f>IFERROR(__xludf.DUMMYFUNCTION("""COMPUTED_VALUE"""),148.26)</f>
        <v>148.26</v>
      </c>
      <c r="C168" s="2">
        <f>IFERROR(__xludf.DUMMYFUNCTION("""COMPUTED_VALUE"""),148.35)</f>
        <v>148.35</v>
      </c>
      <c r="D168" s="2">
        <f>IFERROR(__xludf.DUMMYFUNCTION("""COMPUTED_VALUE"""),145.96)</f>
        <v>145.96</v>
      </c>
      <c r="E168" s="2">
        <f>IFERROR(__xludf.DUMMYFUNCTION("""COMPUTED_VALUE"""),146.33)</f>
        <v>146.33</v>
      </c>
      <c r="F168" s="2">
        <f>IFERROR(__xludf.DUMMYFUNCTION("""COMPUTED_VALUE"""),1.0933938E7)</f>
        <v>10933938</v>
      </c>
    </row>
    <row r="169">
      <c r="A169" s="3">
        <f>IFERROR(__xludf.DUMMYFUNCTION("""COMPUTED_VALUE"""),45170.66666666667)</f>
        <v>45170.66667</v>
      </c>
      <c r="B169" s="2">
        <f>IFERROR(__xludf.DUMMYFUNCTION("""COMPUTED_VALUE"""),146.09)</f>
        <v>146.09</v>
      </c>
      <c r="C169" s="2">
        <f>IFERROR(__xludf.DUMMYFUNCTION("""COMPUTED_VALUE"""),148.08)</f>
        <v>148.08</v>
      </c>
      <c r="D169" s="2">
        <f>IFERROR(__xludf.DUMMYFUNCTION("""COMPUTED_VALUE"""),145.7)</f>
        <v>145.7</v>
      </c>
      <c r="E169" s="2">
        <f>IFERROR(__xludf.DUMMYFUNCTION("""COMPUTED_VALUE"""),146.82)</f>
        <v>146.82</v>
      </c>
      <c r="F169" s="2">
        <f>IFERROR(__xludf.DUMMYFUNCTION("""COMPUTED_VALUE"""),7903496.0)</f>
        <v>7903496</v>
      </c>
    </row>
    <row r="170">
      <c r="A170" s="3">
        <f>IFERROR(__xludf.DUMMYFUNCTION("""COMPUTED_VALUE"""),45174.66666666667)</f>
        <v>45174.66667</v>
      </c>
      <c r="B170" s="2">
        <f>IFERROR(__xludf.DUMMYFUNCTION("""COMPUTED_VALUE"""),147.16)</f>
        <v>147.16</v>
      </c>
      <c r="C170" s="2">
        <f>IFERROR(__xludf.DUMMYFUNCTION("""COMPUTED_VALUE"""),148.21)</f>
        <v>148.21</v>
      </c>
      <c r="D170" s="2">
        <f>IFERROR(__xludf.DUMMYFUNCTION("""COMPUTED_VALUE"""),145.01)</f>
        <v>145.01</v>
      </c>
      <c r="E170" s="2">
        <f>IFERROR(__xludf.DUMMYFUNCTION("""COMPUTED_VALUE"""),145.2)</f>
        <v>145.2</v>
      </c>
      <c r="F170" s="2">
        <f>IFERROR(__xludf.DUMMYFUNCTION("""COMPUTED_VALUE"""),7854739.0)</f>
        <v>7854739</v>
      </c>
    </row>
    <row r="171">
      <c r="A171" s="3">
        <f>IFERROR(__xludf.DUMMYFUNCTION("""COMPUTED_VALUE"""),45175.66666666667)</f>
        <v>45175.66667</v>
      </c>
      <c r="B171" s="2">
        <f>IFERROR(__xludf.DUMMYFUNCTION("""COMPUTED_VALUE"""),144.7)</f>
        <v>144.7</v>
      </c>
      <c r="C171" s="2">
        <f>IFERROR(__xludf.DUMMYFUNCTION("""COMPUTED_VALUE"""),145.54)</f>
        <v>145.54</v>
      </c>
      <c r="D171" s="2">
        <f>IFERROR(__xludf.DUMMYFUNCTION("""COMPUTED_VALUE"""),144.11)</f>
        <v>144.11</v>
      </c>
      <c r="E171" s="2">
        <f>IFERROR(__xludf.DUMMYFUNCTION("""COMPUTED_VALUE"""),144.96)</f>
        <v>144.96</v>
      </c>
      <c r="F171" s="2">
        <f>IFERROR(__xludf.DUMMYFUNCTION("""COMPUTED_VALUE"""),8629164.0)</f>
        <v>8629164</v>
      </c>
    </row>
    <row r="172">
      <c r="A172" s="3">
        <f>IFERROR(__xludf.DUMMYFUNCTION("""COMPUTED_VALUE"""),45176.66666666667)</f>
        <v>45176.66667</v>
      </c>
      <c r="B172" s="2">
        <f>IFERROR(__xludf.DUMMYFUNCTION("""COMPUTED_VALUE"""),144.13)</f>
        <v>144.13</v>
      </c>
      <c r="C172" s="2">
        <f>IFERROR(__xludf.DUMMYFUNCTION("""COMPUTED_VALUE"""),145.27)</f>
        <v>145.27</v>
      </c>
      <c r="D172" s="2">
        <f>IFERROR(__xludf.DUMMYFUNCTION("""COMPUTED_VALUE"""),143.39)</f>
        <v>143.39</v>
      </c>
      <c r="E172" s="2">
        <f>IFERROR(__xludf.DUMMYFUNCTION("""COMPUTED_VALUE"""),143.72)</f>
        <v>143.72</v>
      </c>
      <c r="F172" s="2">
        <f>IFERROR(__xludf.DUMMYFUNCTION("""COMPUTED_VALUE"""),8373738.0)</f>
        <v>8373738</v>
      </c>
    </row>
    <row r="173">
      <c r="A173" s="3">
        <f>IFERROR(__xludf.DUMMYFUNCTION("""COMPUTED_VALUE"""),45177.66666666667)</f>
        <v>45177.66667</v>
      </c>
      <c r="B173" s="2">
        <f>IFERROR(__xludf.DUMMYFUNCTION("""COMPUTED_VALUE"""),143.37)</f>
        <v>143.37</v>
      </c>
      <c r="C173" s="2">
        <f>IFERROR(__xludf.DUMMYFUNCTION("""COMPUTED_VALUE"""),144.12)</f>
        <v>144.12</v>
      </c>
      <c r="D173" s="2">
        <f>IFERROR(__xludf.DUMMYFUNCTION("""COMPUTED_VALUE"""),142.65)</f>
        <v>142.65</v>
      </c>
      <c r="E173" s="2">
        <f>IFERROR(__xludf.DUMMYFUNCTION("""COMPUTED_VALUE"""),143.83)</f>
        <v>143.83</v>
      </c>
      <c r="F173" s="2">
        <f>IFERROR(__xludf.DUMMYFUNCTION("""COMPUTED_VALUE"""),7110254.0)</f>
        <v>7110254</v>
      </c>
    </row>
    <row r="174">
      <c r="A174" s="3">
        <f>IFERROR(__xludf.DUMMYFUNCTION("""COMPUTED_VALUE"""),45180.66666666667)</f>
        <v>45180.66667</v>
      </c>
      <c r="B174" s="2">
        <f>IFERROR(__xludf.DUMMYFUNCTION("""COMPUTED_VALUE"""),144.75)</f>
        <v>144.75</v>
      </c>
      <c r="C174" s="2">
        <f>IFERROR(__xludf.DUMMYFUNCTION("""COMPUTED_VALUE"""),145.05)</f>
        <v>145.05</v>
      </c>
      <c r="D174" s="2">
        <f>IFERROR(__xludf.DUMMYFUNCTION("""COMPUTED_VALUE"""),143.69)</f>
        <v>143.69</v>
      </c>
      <c r="E174" s="2">
        <f>IFERROR(__xludf.DUMMYFUNCTION("""COMPUTED_VALUE"""),144.46)</f>
        <v>144.46</v>
      </c>
      <c r="F174" s="2">
        <f>IFERROR(__xludf.DUMMYFUNCTION("""COMPUTED_VALUE"""),6854220.0)</f>
        <v>6854220</v>
      </c>
    </row>
    <row r="175">
      <c r="A175" s="3">
        <f>IFERROR(__xludf.DUMMYFUNCTION("""COMPUTED_VALUE"""),45181.66666666667)</f>
        <v>45181.66667</v>
      </c>
      <c r="B175" s="2">
        <f>IFERROR(__xludf.DUMMYFUNCTION("""COMPUTED_VALUE"""),144.5)</f>
        <v>144.5</v>
      </c>
      <c r="C175" s="2">
        <f>IFERROR(__xludf.DUMMYFUNCTION("""COMPUTED_VALUE"""),147.32)</f>
        <v>147.32</v>
      </c>
      <c r="D175" s="2">
        <f>IFERROR(__xludf.DUMMYFUNCTION("""COMPUTED_VALUE"""),144.05)</f>
        <v>144.05</v>
      </c>
      <c r="E175" s="2">
        <f>IFERROR(__xludf.DUMMYFUNCTION("""COMPUTED_VALUE"""),146.34)</f>
        <v>146.34</v>
      </c>
      <c r="F175" s="2">
        <f>IFERROR(__xludf.DUMMYFUNCTION("""COMPUTED_VALUE"""),8363165.0)</f>
        <v>8363165</v>
      </c>
    </row>
    <row r="176">
      <c r="A176" s="3">
        <f>IFERROR(__xludf.DUMMYFUNCTION("""COMPUTED_VALUE"""),45182.66666666667)</f>
        <v>45182.66667</v>
      </c>
      <c r="B176" s="2">
        <f>IFERROR(__xludf.DUMMYFUNCTION("""COMPUTED_VALUE"""),147.34)</f>
        <v>147.34</v>
      </c>
      <c r="C176" s="2">
        <f>IFERROR(__xludf.DUMMYFUNCTION("""COMPUTED_VALUE"""),147.7)</f>
        <v>147.7</v>
      </c>
      <c r="D176" s="2">
        <f>IFERROR(__xludf.DUMMYFUNCTION("""COMPUTED_VALUE"""),145.82)</f>
        <v>145.82</v>
      </c>
      <c r="E176" s="2">
        <f>IFERROR(__xludf.DUMMYFUNCTION("""COMPUTED_VALUE"""),146.41)</f>
        <v>146.41</v>
      </c>
      <c r="F176" s="2">
        <f>IFERROR(__xludf.DUMMYFUNCTION("""COMPUTED_VALUE"""),8325914.0)</f>
        <v>8325914</v>
      </c>
    </row>
    <row r="177">
      <c r="A177" s="3">
        <f>IFERROR(__xludf.DUMMYFUNCTION("""COMPUTED_VALUE"""),45183.66666666667)</f>
        <v>45183.66667</v>
      </c>
      <c r="B177" s="2">
        <f>IFERROR(__xludf.DUMMYFUNCTION("""COMPUTED_VALUE"""),147.84)</f>
        <v>147.84</v>
      </c>
      <c r="C177" s="2">
        <f>IFERROR(__xludf.DUMMYFUNCTION("""COMPUTED_VALUE"""),149.9)</f>
        <v>149.9</v>
      </c>
      <c r="D177" s="2">
        <f>IFERROR(__xludf.DUMMYFUNCTION("""COMPUTED_VALUE"""),147.52)</f>
        <v>147.52</v>
      </c>
      <c r="E177" s="2">
        <f>IFERROR(__xludf.DUMMYFUNCTION("""COMPUTED_VALUE"""),149.25)</f>
        <v>149.25</v>
      </c>
      <c r="F177" s="2">
        <f>IFERROR(__xludf.DUMMYFUNCTION("""COMPUTED_VALUE"""),1.0034931E7)</f>
        <v>10034931</v>
      </c>
    </row>
    <row r="178">
      <c r="A178" s="3">
        <f>IFERROR(__xludf.DUMMYFUNCTION("""COMPUTED_VALUE"""),45184.66666666667)</f>
        <v>45184.66667</v>
      </c>
      <c r="B178" s="2">
        <f>IFERROR(__xludf.DUMMYFUNCTION("""COMPUTED_VALUE"""),148.92)</f>
        <v>148.92</v>
      </c>
      <c r="C178" s="2">
        <f>IFERROR(__xludf.DUMMYFUNCTION("""COMPUTED_VALUE"""),149.73)</f>
        <v>149.73</v>
      </c>
      <c r="D178" s="2">
        <f>IFERROR(__xludf.DUMMYFUNCTION("""COMPUTED_VALUE"""),148.31)</f>
        <v>148.31</v>
      </c>
      <c r="E178" s="2">
        <f>IFERROR(__xludf.DUMMYFUNCTION("""COMPUTED_VALUE"""),148.81)</f>
        <v>148.81</v>
      </c>
      <c r="F178" s="2">
        <f>IFERROR(__xludf.DUMMYFUNCTION("""COMPUTED_VALUE"""),1.9863383E7)</f>
        <v>19863383</v>
      </c>
    </row>
    <row r="179">
      <c r="A179" s="3">
        <f>IFERROR(__xludf.DUMMYFUNCTION("""COMPUTED_VALUE"""),45187.66666666667)</f>
        <v>45187.66667</v>
      </c>
      <c r="B179" s="2">
        <f>IFERROR(__xludf.DUMMYFUNCTION("""COMPUTED_VALUE"""),148.16)</f>
        <v>148.16</v>
      </c>
      <c r="C179" s="2">
        <f>IFERROR(__xludf.DUMMYFUNCTION("""COMPUTED_VALUE"""),149.14)</f>
        <v>149.14</v>
      </c>
      <c r="D179" s="2">
        <f>IFERROR(__xludf.DUMMYFUNCTION("""COMPUTED_VALUE"""),147.75)</f>
        <v>147.75</v>
      </c>
      <c r="E179" s="2">
        <f>IFERROR(__xludf.DUMMYFUNCTION("""COMPUTED_VALUE"""),149.12)</f>
        <v>149.12</v>
      </c>
      <c r="F179" s="2">
        <f>IFERROR(__xludf.DUMMYFUNCTION("""COMPUTED_VALUE"""),6512360.0)</f>
        <v>6512360</v>
      </c>
    </row>
    <row r="180">
      <c r="A180" s="3">
        <f>IFERROR(__xludf.DUMMYFUNCTION("""COMPUTED_VALUE"""),45188.66666666667)</f>
        <v>45188.66667</v>
      </c>
      <c r="B180" s="2">
        <f>IFERROR(__xludf.DUMMYFUNCTION("""COMPUTED_VALUE"""),149.5)</f>
        <v>149.5</v>
      </c>
      <c r="C180" s="2">
        <f>IFERROR(__xludf.DUMMYFUNCTION("""COMPUTED_VALUE"""),149.72)</f>
        <v>149.72</v>
      </c>
      <c r="D180" s="2">
        <f>IFERROR(__xludf.DUMMYFUNCTION("""COMPUTED_VALUE"""),147.21)</f>
        <v>147.21</v>
      </c>
      <c r="E180" s="2">
        <f>IFERROR(__xludf.DUMMYFUNCTION("""COMPUTED_VALUE"""),148.93)</f>
        <v>148.93</v>
      </c>
      <c r="F180" s="2">
        <f>IFERROR(__xludf.DUMMYFUNCTION("""COMPUTED_VALUE"""),7945606.0)</f>
        <v>7945606</v>
      </c>
    </row>
    <row r="181">
      <c r="A181" s="3">
        <f>IFERROR(__xludf.DUMMYFUNCTION("""COMPUTED_VALUE"""),45189.66666666667)</f>
        <v>45189.66667</v>
      </c>
      <c r="B181" s="2">
        <f>IFERROR(__xludf.DUMMYFUNCTION("""COMPUTED_VALUE"""),149.65)</f>
        <v>149.65</v>
      </c>
      <c r="C181" s="2">
        <f>IFERROR(__xludf.DUMMYFUNCTION("""COMPUTED_VALUE"""),150.25)</f>
        <v>150.25</v>
      </c>
      <c r="D181" s="2">
        <f>IFERROR(__xludf.DUMMYFUNCTION("""COMPUTED_VALUE"""),148.14)</f>
        <v>148.14</v>
      </c>
      <c r="E181" s="2">
        <f>IFERROR(__xludf.DUMMYFUNCTION("""COMPUTED_VALUE"""),148.3)</f>
        <v>148.3</v>
      </c>
      <c r="F181" s="2">
        <f>IFERROR(__xludf.DUMMYFUNCTION("""COMPUTED_VALUE"""),7334257.0)</f>
        <v>7334257</v>
      </c>
    </row>
    <row r="182">
      <c r="A182" s="3">
        <f>IFERROR(__xludf.DUMMYFUNCTION("""COMPUTED_VALUE"""),45190.66666666667)</f>
        <v>45190.66667</v>
      </c>
      <c r="B182" s="2">
        <f>IFERROR(__xludf.DUMMYFUNCTION("""COMPUTED_VALUE"""),147.58)</f>
        <v>147.58</v>
      </c>
      <c r="C182" s="2">
        <f>IFERROR(__xludf.DUMMYFUNCTION("""COMPUTED_VALUE"""),148.85)</f>
        <v>148.85</v>
      </c>
      <c r="D182" s="2">
        <f>IFERROR(__xludf.DUMMYFUNCTION("""COMPUTED_VALUE"""),146.63)</f>
        <v>146.63</v>
      </c>
      <c r="E182" s="2">
        <f>IFERROR(__xludf.DUMMYFUNCTION("""COMPUTED_VALUE"""),147.14)</f>
        <v>147.14</v>
      </c>
      <c r="F182" s="2">
        <f>IFERROR(__xludf.DUMMYFUNCTION("""COMPUTED_VALUE"""),8053410.0)</f>
        <v>8053410</v>
      </c>
    </row>
    <row r="183">
      <c r="A183" s="3">
        <f>IFERROR(__xludf.DUMMYFUNCTION("""COMPUTED_VALUE"""),45191.66666666667)</f>
        <v>45191.66667</v>
      </c>
      <c r="B183" s="2">
        <f>IFERROR(__xludf.DUMMYFUNCTION("""COMPUTED_VALUE"""),147.29)</f>
        <v>147.29</v>
      </c>
      <c r="C183" s="2">
        <f>IFERROR(__xludf.DUMMYFUNCTION("""COMPUTED_VALUE"""),147.51)</f>
        <v>147.51</v>
      </c>
      <c r="D183" s="2">
        <f>IFERROR(__xludf.DUMMYFUNCTION("""COMPUTED_VALUE"""),145.19)</f>
        <v>145.19</v>
      </c>
      <c r="E183" s="2">
        <f>IFERROR(__xludf.DUMMYFUNCTION("""COMPUTED_VALUE"""),145.73)</f>
        <v>145.73</v>
      </c>
      <c r="F183" s="2">
        <f>IFERROR(__xludf.DUMMYFUNCTION("""COMPUTED_VALUE"""),7071975.0)</f>
        <v>7071975</v>
      </c>
    </row>
    <row r="184">
      <c r="A184" s="3">
        <f>IFERROR(__xludf.DUMMYFUNCTION("""COMPUTED_VALUE"""),45194.66666666667)</f>
        <v>45194.66667</v>
      </c>
      <c r="B184" s="2">
        <f>IFERROR(__xludf.DUMMYFUNCTION("""COMPUTED_VALUE"""),145.35)</f>
        <v>145.35</v>
      </c>
      <c r="C184" s="2">
        <f>IFERROR(__xludf.DUMMYFUNCTION("""COMPUTED_VALUE"""),146.52)</f>
        <v>146.52</v>
      </c>
      <c r="D184" s="2">
        <f>IFERROR(__xludf.DUMMYFUNCTION("""COMPUTED_VALUE"""),143.7)</f>
        <v>143.7</v>
      </c>
      <c r="E184" s="2">
        <f>IFERROR(__xludf.DUMMYFUNCTION("""COMPUTED_VALUE"""),146.45)</f>
        <v>146.45</v>
      </c>
      <c r="F184" s="2">
        <f>IFERROR(__xludf.DUMMYFUNCTION("""COMPUTED_VALUE"""),7044672.0)</f>
        <v>7044672</v>
      </c>
    </row>
    <row r="185">
      <c r="A185" s="3">
        <f>IFERROR(__xludf.DUMMYFUNCTION("""COMPUTED_VALUE"""),45195.66666666667)</f>
        <v>45195.66667</v>
      </c>
      <c r="B185" s="2">
        <f>IFERROR(__xludf.DUMMYFUNCTION("""COMPUTED_VALUE"""),144.6)</f>
        <v>144.6</v>
      </c>
      <c r="C185" s="2">
        <f>IFERROR(__xludf.DUMMYFUNCTION("""COMPUTED_VALUE"""),145.84)</f>
        <v>145.84</v>
      </c>
      <c r="D185" s="2">
        <f>IFERROR(__xludf.DUMMYFUNCTION("""COMPUTED_VALUE"""),144.23)</f>
        <v>144.23</v>
      </c>
      <c r="E185" s="2">
        <f>IFERROR(__xludf.DUMMYFUNCTION("""COMPUTED_VALUE"""),144.93)</f>
        <v>144.93</v>
      </c>
      <c r="F185" s="2">
        <f>IFERROR(__xludf.DUMMYFUNCTION("""COMPUTED_VALUE"""),7468405.0)</f>
        <v>7468405</v>
      </c>
    </row>
    <row r="186">
      <c r="A186" s="3">
        <f>IFERROR(__xludf.DUMMYFUNCTION("""COMPUTED_VALUE"""),45196.66666666667)</f>
        <v>45196.66667</v>
      </c>
      <c r="B186" s="2">
        <f>IFERROR(__xludf.DUMMYFUNCTION("""COMPUTED_VALUE"""),145.19)</f>
        <v>145.19</v>
      </c>
      <c r="C186" s="2">
        <f>IFERROR(__xludf.DUMMYFUNCTION("""COMPUTED_VALUE"""),146.09)</f>
        <v>146.09</v>
      </c>
      <c r="D186" s="2">
        <f>IFERROR(__xludf.DUMMYFUNCTION("""COMPUTED_VALUE"""),144.51)</f>
        <v>144.51</v>
      </c>
      <c r="E186" s="2">
        <f>IFERROR(__xludf.DUMMYFUNCTION("""COMPUTED_VALUE"""),145.78)</f>
        <v>145.78</v>
      </c>
      <c r="F186" s="2">
        <f>IFERROR(__xludf.DUMMYFUNCTION("""COMPUTED_VALUE"""),6717822.0)</f>
        <v>6717822</v>
      </c>
    </row>
    <row r="187">
      <c r="A187" s="3">
        <f>IFERROR(__xludf.DUMMYFUNCTION("""COMPUTED_VALUE"""),45197.66666666667)</f>
        <v>45197.66667</v>
      </c>
      <c r="B187" s="2">
        <f>IFERROR(__xludf.DUMMYFUNCTION("""COMPUTED_VALUE"""),146.28)</f>
        <v>146.28</v>
      </c>
      <c r="C187" s="2">
        <f>IFERROR(__xludf.DUMMYFUNCTION("""COMPUTED_VALUE"""),148.87)</f>
        <v>148.87</v>
      </c>
      <c r="D187" s="2">
        <f>IFERROR(__xludf.DUMMYFUNCTION("""COMPUTED_VALUE"""),146.01)</f>
        <v>146.01</v>
      </c>
      <c r="E187" s="2">
        <f>IFERROR(__xludf.DUMMYFUNCTION("""COMPUTED_VALUE"""),147.59)</f>
        <v>147.59</v>
      </c>
      <c r="F187" s="2">
        <f>IFERROR(__xludf.DUMMYFUNCTION("""COMPUTED_VALUE"""),8868063.0)</f>
        <v>8868063</v>
      </c>
    </row>
    <row r="188">
      <c r="A188" s="3">
        <f>IFERROR(__xludf.DUMMYFUNCTION("""COMPUTED_VALUE"""),45198.66666666667)</f>
        <v>45198.66667</v>
      </c>
      <c r="B188" s="2">
        <f>IFERROR(__xludf.DUMMYFUNCTION("""COMPUTED_VALUE"""),148.6)</f>
        <v>148.6</v>
      </c>
      <c r="C188" s="2">
        <f>IFERROR(__xludf.DUMMYFUNCTION("""COMPUTED_VALUE"""),148.76)</f>
        <v>148.76</v>
      </c>
      <c r="D188" s="2">
        <f>IFERROR(__xludf.DUMMYFUNCTION("""COMPUTED_VALUE"""),144.86)</f>
        <v>144.86</v>
      </c>
      <c r="E188" s="2">
        <f>IFERROR(__xludf.DUMMYFUNCTION("""COMPUTED_VALUE"""),145.02)</f>
        <v>145.02</v>
      </c>
      <c r="F188" s="2">
        <f>IFERROR(__xludf.DUMMYFUNCTION("""COMPUTED_VALUE"""),1.1917826E7)</f>
        <v>11917826</v>
      </c>
    </row>
    <row r="189">
      <c r="A189" s="3">
        <f>IFERROR(__xludf.DUMMYFUNCTION("""COMPUTED_VALUE"""),45201.66666666667)</f>
        <v>45201.66667</v>
      </c>
      <c r="B189" s="2">
        <f>IFERROR(__xludf.DUMMYFUNCTION("""COMPUTED_VALUE"""),144.83)</f>
        <v>144.83</v>
      </c>
      <c r="C189" s="2">
        <f>IFERROR(__xludf.DUMMYFUNCTION("""COMPUTED_VALUE"""),145.62)</f>
        <v>145.62</v>
      </c>
      <c r="D189" s="2">
        <f>IFERROR(__xludf.DUMMYFUNCTION("""COMPUTED_VALUE"""),142.63)</f>
        <v>142.63</v>
      </c>
      <c r="E189" s="2">
        <f>IFERROR(__xludf.DUMMYFUNCTION("""COMPUTED_VALUE"""),143.77)</f>
        <v>143.77</v>
      </c>
      <c r="F189" s="2">
        <f>IFERROR(__xludf.DUMMYFUNCTION("""COMPUTED_VALUE"""),9170644.0)</f>
        <v>9170644</v>
      </c>
    </row>
    <row r="190">
      <c r="A190" s="3">
        <f>IFERROR(__xludf.DUMMYFUNCTION("""COMPUTED_VALUE"""),45202.66666666667)</f>
        <v>45202.66667</v>
      </c>
      <c r="B190" s="2">
        <f>IFERROR(__xludf.DUMMYFUNCTION("""COMPUTED_VALUE"""),143.2)</f>
        <v>143.2</v>
      </c>
      <c r="C190" s="2">
        <f>IFERROR(__xludf.DUMMYFUNCTION("""COMPUTED_VALUE"""),143.59)</f>
        <v>143.59</v>
      </c>
      <c r="D190" s="2">
        <f>IFERROR(__xludf.DUMMYFUNCTION("""COMPUTED_VALUE"""),142.35)</f>
        <v>142.35</v>
      </c>
      <c r="E190" s="2">
        <f>IFERROR(__xludf.DUMMYFUNCTION("""COMPUTED_VALUE"""),142.71)</f>
        <v>142.71</v>
      </c>
      <c r="F190" s="2">
        <f>IFERROR(__xludf.DUMMYFUNCTION("""COMPUTED_VALUE"""),9431118.0)</f>
        <v>9431118</v>
      </c>
    </row>
    <row r="191">
      <c r="A191" s="3">
        <f>IFERROR(__xludf.DUMMYFUNCTION("""COMPUTED_VALUE"""),45203.66666666667)</f>
        <v>45203.66667</v>
      </c>
      <c r="B191" s="2">
        <f>IFERROR(__xludf.DUMMYFUNCTION("""COMPUTED_VALUE"""),143.19)</f>
        <v>143.19</v>
      </c>
      <c r="C191" s="2">
        <f>IFERROR(__xludf.DUMMYFUNCTION("""COMPUTED_VALUE"""),143.47)</f>
        <v>143.47</v>
      </c>
      <c r="D191" s="2">
        <f>IFERROR(__xludf.DUMMYFUNCTION("""COMPUTED_VALUE"""),141.93)</f>
        <v>141.93</v>
      </c>
      <c r="E191" s="2">
        <f>IFERROR(__xludf.DUMMYFUNCTION("""COMPUTED_VALUE"""),143.35)</f>
        <v>143.35</v>
      </c>
      <c r="F191" s="2">
        <f>IFERROR(__xludf.DUMMYFUNCTION("""COMPUTED_VALUE"""),8128748.0)</f>
        <v>8128748</v>
      </c>
    </row>
    <row r="192">
      <c r="A192" s="3">
        <f>IFERROR(__xludf.DUMMYFUNCTION("""COMPUTED_VALUE"""),45204.66666666667)</f>
        <v>45204.66667</v>
      </c>
      <c r="B192" s="2">
        <f>IFERROR(__xludf.DUMMYFUNCTION("""COMPUTED_VALUE"""),142.04)</f>
        <v>142.04</v>
      </c>
      <c r="C192" s="2">
        <f>IFERROR(__xludf.DUMMYFUNCTION("""COMPUTED_VALUE"""),143.1)</f>
        <v>143.1</v>
      </c>
      <c r="D192" s="2">
        <f>IFERROR(__xludf.DUMMYFUNCTION("""COMPUTED_VALUE"""),140.83)</f>
        <v>140.83</v>
      </c>
      <c r="E192" s="2">
        <f>IFERROR(__xludf.DUMMYFUNCTION("""COMPUTED_VALUE"""),142.9)</f>
        <v>142.9</v>
      </c>
      <c r="F192" s="2">
        <f>IFERROR(__xludf.DUMMYFUNCTION("""COMPUTED_VALUE"""),8576237.0)</f>
        <v>8576237</v>
      </c>
    </row>
    <row r="193">
      <c r="A193" s="3">
        <f>IFERROR(__xludf.DUMMYFUNCTION("""COMPUTED_VALUE"""),45205.66666666667)</f>
        <v>45205.66667</v>
      </c>
      <c r="B193" s="2">
        <f>IFERROR(__xludf.DUMMYFUNCTION("""COMPUTED_VALUE"""),142.91)</f>
        <v>142.91</v>
      </c>
      <c r="C193" s="2">
        <f>IFERROR(__xludf.DUMMYFUNCTION("""COMPUTED_VALUE"""),145.88)</f>
        <v>145.88</v>
      </c>
      <c r="D193" s="2">
        <f>IFERROR(__xludf.DUMMYFUNCTION("""COMPUTED_VALUE"""),142.14)</f>
        <v>142.14</v>
      </c>
      <c r="E193" s="2">
        <f>IFERROR(__xludf.DUMMYFUNCTION("""COMPUTED_VALUE"""),145.1)</f>
        <v>145.1</v>
      </c>
      <c r="F193" s="2">
        <f>IFERROR(__xludf.DUMMYFUNCTION("""COMPUTED_VALUE"""),1.0270621E7)</f>
        <v>10270621</v>
      </c>
    </row>
    <row r="194">
      <c r="A194" s="3">
        <f>IFERROR(__xludf.DUMMYFUNCTION("""COMPUTED_VALUE"""),45208.66666666667)</f>
        <v>45208.66667</v>
      </c>
      <c r="B194" s="2">
        <f>IFERROR(__xludf.DUMMYFUNCTION("""COMPUTED_VALUE"""),143.66)</f>
        <v>143.66</v>
      </c>
      <c r="C194" s="2">
        <f>IFERROR(__xludf.DUMMYFUNCTION("""COMPUTED_VALUE"""),145.4)</f>
        <v>145.4</v>
      </c>
      <c r="D194" s="2">
        <f>IFERROR(__xludf.DUMMYFUNCTION("""COMPUTED_VALUE"""),143.5)</f>
        <v>143.5</v>
      </c>
      <c r="E194" s="2">
        <f>IFERROR(__xludf.DUMMYFUNCTION("""COMPUTED_VALUE"""),144.77)</f>
        <v>144.77</v>
      </c>
      <c r="F194" s="2">
        <f>IFERROR(__xludf.DUMMYFUNCTION("""COMPUTED_VALUE"""),6964907.0)</f>
        <v>6964907</v>
      </c>
    </row>
    <row r="195">
      <c r="A195" s="3">
        <f>IFERROR(__xludf.DUMMYFUNCTION("""COMPUTED_VALUE"""),45209.66666666667)</f>
        <v>45209.66667</v>
      </c>
      <c r="B195" s="2">
        <f>IFERROR(__xludf.DUMMYFUNCTION("""COMPUTED_VALUE"""),145.42)</f>
        <v>145.42</v>
      </c>
      <c r="C195" s="2">
        <f>IFERROR(__xludf.DUMMYFUNCTION("""COMPUTED_VALUE"""),146.77)</f>
        <v>146.77</v>
      </c>
      <c r="D195" s="2">
        <f>IFERROR(__xludf.DUMMYFUNCTION("""COMPUTED_VALUE"""),145.28)</f>
        <v>145.28</v>
      </c>
      <c r="E195" s="2">
        <f>IFERROR(__xludf.DUMMYFUNCTION("""COMPUTED_VALUE"""),145.65)</f>
        <v>145.65</v>
      </c>
      <c r="F195" s="2">
        <f>IFERROR(__xludf.DUMMYFUNCTION("""COMPUTED_VALUE"""),1.1288769E7)</f>
        <v>11288769</v>
      </c>
    </row>
    <row r="196">
      <c r="A196" s="3">
        <f>IFERROR(__xludf.DUMMYFUNCTION("""COMPUTED_VALUE"""),45210.66666666667)</f>
        <v>45210.66667</v>
      </c>
      <c r="B196" s="2">
        <f>IFERROR(__xludf.DUMMYFUNCTION("""COMPUTED_VALUE"""),146.51)</f>
        <v>146.51</v>
      </c>
      <c r="C196" s="2">
        <f>IFERROR(__xludf.DUMMYFUNCTION("""COMPUTED_VALUE"""),147.23)</f>
        <v>147.23</v>
      </c>
      <c r="D196" s="2">
        <f>IFERROR(__xludf.DUMMYFUNCTION("""COMPUTED_VALUE"""),145.02)</f>
        <v>145.02</v>
      </c>
      <c r="E196" s="2">
        <f>IFERROR(__xludf.DUMMYFUNCTION("""COMPUTED_VALUE"""),146.15)</f>
        <v>146.15</v>
      </c>
      <c r="F196" s="2">
        <f>IFERROR(__xludf.DUMMYFUNCTION("""COMPUTED_VALUE"""),8698175.0)</f>
        <v>8698175</v>
      </c>
    </row>
    <row r="197">
      <c r="A197" s="3">
        <f>IFERROR(__xludf.DUMMYFUNCTION("""COMPUTED_VALUE"""),45211.66666666667)</f>
        <v>45211.66667</v>
      </c>
      <c r="B197" s="2">
        <f>IFERROR(__xludf.DUMMYFUNCTION("""COMPUTED_VALUE"""),146.3)</f>
        <v>146.3</v>
      </c>
      <c r="C197" s="2">
        <f>IFERROR(__xludf.DUMMYFUNCTION("""COMPUTED_VALUE"""),146.96)</f>
        <v>146.96</v>
      </c>
      <c r="D197" s="2">
        <f>IFERROR(__xludf.DUMMYFUNCTION("""COMPUTED_VALUE"""),145.13)</f>
        <v>145.13</v>
      </c>
      <c r="E197" s="2">
        <f>IFERROR(__xludf.DUMMYFUNCTION("""COMPUTED_VALUE"""),145.81)</f>
        <v>145.81</v>
      </c>
      <c r="F197" s="2">
        <f>IFERROR(__xludf.DUMMYFUNCTION("""COMPUTED_VALUE"""),1.0484436E7)</f>
        <v>10484436</v>
      </c>
    </row>
    <row r="198">
      <c r="A198" s="3">
        <f>IFERROR(__xludf.DUMMYFUNCTION("""COMPUTED_VALUE"""),45212.66666666667)</f>
        <v>45212.66667</v>
      </c>
      <c r="B198" s="2">
        <f>IFERROR(__xludf.DUMMYFUNCTION("""COMPUTED_VALUE"""),148.5)</f>
        <v>148.5</v>
      </c>
      <c r="C198" s="2">
        <f>IFERROR(__xludf.DUMMYFUNCTION("""COMPUTED_VALUE"""),153.11)</f>
        <v>153.11</v>
      </c>
      <c r="D198" s="2">
        <f>IFERROR(__xludf.DUMMYFUNCTION("""COMPUTED_VALUE"""),147.84)</f>
        <v>147.84</v>
      </c>
      <c r="E198" s="2">
        <f>IFERROR(__xludf.DUMMYFUNCTION("""COMPUTED_VALUE"""),148.0)</f>
        <v>148</v>
      </c>
      <c r="F198" s="2">
        <f>IFERROR(__xludf.DUMMYFUNCTION("""COMPUTED_VALUE"""),2.9487199E7)</f>
        <v>29487199</v>
      </c>
    </row>
    <row r="199">
      <c r="A199" s="3">
        <f>IFERROR(__xludf.DUMMYFUNCTION("""COMPUTED_VALUE"""),45215.66666666667)</f>
        <v>45215.66667</v>
      </c>
      <c r="B199" s="2">
        <f>IFERROR(__xludf.DUMMYFUNCTION("""COMPUTED_VALUE"""),149.45)</f>
        <v>149.45</v>
      </c>
      <c r="C199" s="2">
        <f>IFERROR(__xludf.DUMMYFUNCTION("""COMPUTED_VALUE"""),149.52)</f>
        <v>149.52</v>
      </c>
      <c r="D199" s="2">
        <f>IFERROR(__xludf.DUMMYFUNCTION("""COMPUTED_VALUE"""),146.72)</f>
        <v>146.72</v>
      </c>
      <c r="E199" s="2">
        <f>IFERROR(__xludf.DUMMYFUNCTION("""COMPUTED_VALUE"""),147.85)</f>
        <v>147.85</v>
      </c>
      <c r="F199" s="2">
        <f>IFERROR(__xludf.DUMMYFUNCTION("""COMPUTED_VALUE"""),1.2663461E7)</f>
        <v>12663461</v>
      </c>
    </row>
    <row r="200">
      <c r="A200" s="3">
        <f>IFERROR(__xludf.DUMMYFUNCTION("""COMPUTED_VALUE"""),45216.66666666667)</f>
        <v>45216.66667</v>
      </c>
      <c r="B200" s="2">
        <f>IFERROR(__xludf.DUMMYFUNCTION("""COMPUTED_VALUE"""),147.57)</f>
        <v>147.57</v>
      </c>
      <c r="C200" s="2">
        <f>IFERROR(__xludf.DUMMYFUNCTION("""COMPUTED_VALUE"""),149.31)</f>
        <v>149.31</v>
      </c>
      <c r="D200" s="2">
        <f>IFERROR(__xludf.DUMMYFUNCTION("""COMPUTED_VALUE"""),146.79)</f>
        <v>146.79</v>
      </c>
      <c r="E200" s="2">
        <f>IFERROR(__xludf.DUMMYFUNCTION("""COMPUTED_VALUE"""),147.53)</f>
        <v>147.53</v>
      </c>
      <c r="F200" s="2">
        <f>IFERROR(__xludf.DUMMYFUNCTION("""COMPUTED_VALUE"""),1.1482739E7)</f>
        <v>11482739</v>
      </c>
    </row>
    <row r="201">
      <c r="A201" s="3">
        <f>IFERROR(__xludf.DUMMYFUNCTION("""COMPUTED_VALUE"""),45217.66666666667)</f>
        <v>45217.66667</v>
      </c>
      <c r="B201" s="2">
        <f>IFERROR(__xludf.DUMMYFUNCTION("""COMPUTED_VALUE"""),146.59)</f>
        <v>146.59</v>
      </c>
      <c r="C201" s="2">
        <f>IFERROR(__xludf.DUMMYFUNCTION("""COMPUTED_VALUE"""),147.48)</f>
        <v>147.48</v>
      </c>
      <c r="D201" s="2">
        <f>IFERROR(__xludf.DUMMYFUNCTION("""COMPUTED_VALUE"""),145.37)</f>
        <v>145.37</v>
      </c>
      <c r="E201" s="2">
        <f>IFERROR(__xludf.DUMMYFUNCTION("""COMPUTED_VALUE"""),145.91)</f>
        <v>145.91</v>
      </c>
      <c r="F201" s="2">
        <f>IFERROR(__xludf.DUMMYFUNCTION("""COMPUTED_VALUE"""),9620257.0)</f>
        <v>9620257</v>
      </c>
    </row>
    <row r="202">
      <c r="A202" s="3">
        <f>IFERROR(__xludf.DUMMYFUNCTION("""COMPUTED_VALUE"""),45218.66666666667)</f>
        <v>45218.66667</v>
      </c>
      <c r="B202" s="2">
        <f>IFERROR(__xludf.DUMMYFUNCTION("""COMPUTED_VALUE"""),145.48)</f>
        <v>145.48</v>
      </c>
      <c r="C202" s="2">
        <f>IFERROR(__xludf.DUMMYFUNCTION("""COMPUTED_VALUE"""),147.02)</f>
        <v>147.02</v>
      </c>
      <c r="D202" s="2">
        <f>IFERROR(__xludf.DUMMYFUNCTION("""COMPUTED_VALUE"""),144.88)</f>
        <v>144.88</v>
      </c>
      <c r="E202" s="2">
        <f>IFERROR(__xludf.DUMMYFUNCTION("""COMPUTED_VALUE"""),145.29)</f>
        <v>145.29</v>
      </c>
      <c r="F202" s="2">
        <f>IFERROR(__xludf.DUMMYFUNCTION("""COMPUTED_VALUE"""),1.1143631E7)</f>
        <v>11143631</v>
      </c>
    </row>
    <row r="203">
      <c r="A203" s="3">
        <f>IFERROR(__xludf.DUMMYFUNCTION("""COMPUTED_VALUE"""),45219.66666666667)</f>
        <v>45219.66667</v>
      </c>
      <c r="B203" s="2">
        <f>IFERROR(__xludf.DUMMYFUNCTION("""COMPUTED_VALUE"""),144.57)</f>
        <v>144.57</v>
      </c>
      <c r="C203" s="2">
        <f>IFERROR(__xludf.DUMMYFUNCTION("""COMPUTED_VALUE"""),145.14)</f>
        <v>145.14</v>
      </c>
      <c r="D203" s="2">
        <f>IFERROR(__xludf.DUMMYFUNCTION("""COMPUTED_VALUE"""),142.12)</f>
        <v>142.12</v>
      </c>
      <c r="E203" s="2">
        <f>IFERROR(__xludf.DUMMYFUNCTION("""COMPUTED_VALUE"""),142.95)</f>
        <v>142.95</v>
      </c>
      <c r="F203" s="2">
        <f>IFERROR(__xludf.DUMMYFUNCTION("""COMPUTED_VALUE"""),1.3332867E7)</f>
        <v>13332867</v>
      </c>
    </row>
    <row r="204">
      <c r="A204" s="3">
        <f>IFERROR(__xludf.DUMMYFUNCTION("""COMPUTED_VALUE"""),45222.66666666667)</f>
        <v>45222.66667</v>
      </c>
      <c r="B204" s="2">
        <f>IFERROR(__xludf.DUMMYFUNCTION("""COMPUTED_VALUE"""),142.94)</f>
        <v>142.94</v>
      </c>
      <c r="C204" s="2">
        <f>IFERROR(__xludf.DUMMYFUNCTION("""COMPUTED_VALUE"""),143.68)</f>
        <v>143.68</v>
      </c>
      <c r="D204" s="2">
        <f>IFERROR(__xludf.DUMMYFUNCTION("""COMPUTED_VALUE"""),140.73)</f>
        <v>140.73</v>
      </c>
      <c r="E204" s="2">
        <f>IFERROR(__xludf.DUMMYFUNCTION("""COMPUTED_VALUE"""),141.0)</f>
        <v>141</v>
      </c>
      <c r="F204" s="2">
        <f>IFERROR(__xludf.DUMMYFUNCTION("""COMPUTED_VALUE"""),1.013341E7)</f>
        <v>10133410</v>
      </c>
    </row>
    <row r="205">
      <c r="A205" s="3">
        <f>IFERROR(__xludf.DUMMYFUNCTION("""COMPUTED_VALUE"""),45223.66666666667)</f>
        <v>45223.66667</v>
      </c>
      <c r="B205" s="2">
        <f>IFERROR(__xludf.DUMMYFUNCTION("""COMPUTED_VALUE"""),141.19)</f>
        <v>141.19</v>
      </c>
      <c r="C205" s="2">
        <f>IFERROR(__xludf.DUMMYFUNCTION("""COMPUTED_VALUE"""),141.73)</f>
        <v>141.73</v>
      </c>
      <c r="D205" s="2">
        <f>IFERROR(__xludf.DUMMYFUNCTION("""COMPUTED_VALUE"""),140.36)</f>
        <v>140.36</v>
      </c>
      <c r="E205" s="2">
        <f>IFERROR(__xludf.DUMMYFUNCTION("""COMPUTED_VALUE"""),141.17)</f>
        <v>141.17</v>
      </c>
      <c r="F205" s="2">
        <f>IFERROR(__xludf.DUMMYFUNCTION("""COMPUTED_VALUE"""),8881354.0)</f>
        <v>8881354</v>
      </c>
    </row>
    <row r="206">
      <c r="A206" s="3">
        <f>IFERROR(__xludf.DUMMYFUNCTION("""COMPUTED_VALUE"""),45224.66666666667)</f>
        <v>45224.66667</v>
      </c>
      <c r="B206" s="2">
        <f>IFERROR(__xludf.DUMMYFUNCTION("""COMPUTED_VALUE"""),140.57)</f>
        <v>140.57</v>
      </c>
      <c r="C206" s="2">
        <f>IFERROR(__xludf.DUMMYFUNCTION("""COMPUTED_VALUE"""),141.18)</f>
        <v>141.18</v>
      </c>
      <c r="D206" s="2">
        <f>IFERROR(__xludf.DUMMYFUNCTION("""COMPUTED_VALUE"""),139.51)</f>
        <v>139.51</v>
      </c>
      <c r="E206" s="2">
        <f>IFERROR(__xludf.DUMMYFUNCTION("""COMPUTED_VALUE"""),140.4)</f>
        <v>140.4</v>
      </c>
      <c r="F206" s="2">
        <f>IFERROR(__xludf.DUMMYFUNCTION("""COMPUTED_VALUE"""),8242565.0)</f>
        <v>8242565</v>
      </c>
    </row>
    <row r="207">
      <c r="A207" s="3">
        <f>IFERROR(__xludf.DUMMYFUNCTION("""COMPUTED_VALUE"""),45225.66666666667)</f>
        <v>45225.66667</v>
      </c>
      <c r="B207" s="2">
        <f>IFERROR(__xludf.DUMMYFUNCTION("""COMPUTED_VALUE"""),139.76)</f>
        <v>139.76</v>
      </c>
      <c r="C207" s="2">
        <f>IFERROR(__xludf.DUMMYFUNCTION("""COMPUTED_VALUE"""),141.67)</f>
        <v>141.67</v>
      </c>
      <c r="D207" s="2">
        <f>IFERROR(__xludf.DUMMYFUNCTION("""COMPUTED_VALUE"""),139.43)</f>
        <v>139.43</v>
      </c>
      <c r="E207" s="2">
        <f>IFERROR(__xludf.DUMMYFUNCTION("""COMPUTED_VALUE"""),140.76)</f>
        <v>140.76</v>
      </c>
      <c r="F207" s="2">
        <f>IFERROR(__xludf.DUMMYFUNCTION("""COMPUTED_VALUE"""),9109431.0)</f>
        <v>9109431</v>
      </c>
    </row>
    <row r="208">
      <c r="A208" s="3">
        <f>IFERROR(__xludf.DUMMYFUNCTION("""COMPUTED_VALUE"""),45226.66666666667)</f>
        <v>45226.66667</v>
      </c>
      <c r="B208" s="2">
        <f>IFERROR(__xludf.DUMMYFUNCTION("""COMPUTED_VALUE"""),138.95)</f>
        <v>138.95</v>
      </c>
      <c r="C208" s="2">
        <f>IFERROR(__xludf.DUMMYFUNCTION("""COMPUTED_VALUE"""),139.1)</f>
        <v>139.1</v>
      </c>
      <c r="D208" s="2">
        <f>IFERROR(__xludf.DUMMYFUNCTION("""COMPUTED_VALUE"""),135.19)</f>
        <v>135.19</v>
      </c>
      <c r="E208" s="2">
        <f>IFERROR(__xludf.DUMMYFUNCTION("""COMPUTED_VALUE"""),135.69)</f>
        <v>135.69</v>
      </c>
      <c r="F208" s="2">
        <f>IFERROR(__xludf.DUMMYFUNCTION("""COMPUTED_VALUE"""),1.7434717E7)</f>
        <v>17434717</v>
      </c>
    </row>
    <row r="209">
      <c r="A209" s="3">
        <f>IFERROR(__xludf.DUMMYFUNCTION("""COMPUTED_VALUE"""),45229.66666666667)</f>
        <v>45229.66667</v>
      </c>
      <c r="B209" s="2">
        <f>IFERROR(__xludf.DUMMYFUNCTION("""COMPUTED_VALUE"""),136.44)</f>
        <v>136.44</v>
      </c>
      <c r="C209" s="2">
        <f>IFERROR(__xludf.DUMMYFUNCTION("""COMPUTED_VALUE"""),138.04)</f>
        <v>138.04</v>
      </c>
      <c r="D209" s="2">
        <f>IFERROR(__xludf.DUMMYFUNCTION("""COMPUTED_VALUE"""),136.04)</f>
        <v>136.04</v>
      </c>
      <c r="E209" s="2">
        <f>IFERROR(__xludf.DUMMYFUNCTION("""COMPUTED_VALUE"""),137.42)</f>
        <v>137.42</v>
      </c>
      <c r="F209" s="2">
        <f>IFERROR(__xludf.DUMMYFUNCTION("""COMPUTED_VALUE"""),9855540.0)</f>
        <v>9855540</v>
      </c>
    </row>
    <row r="210">
      <c r="A210" s="3">
        <f>IFERROR(__xludf.DUMMYFUNCTION("""COMPUTED_VALUE"""),45230.66666666667)</f>
        <v>45230.66667</v>
      </c>
      <c r="B210" s="2">
        <f>IFERROR(__xludf.DUMMYFUNCTION("""COMPUTED_VALUE"""),137.71)</f>
        <v>137.71</v>
      </c>
      <c r="C210" s="2">
        <f>IFERROR(__xludf.DUMMYFUNCTION("""COMPUTED_VALUE"""),139.24)</f>
        <v>139.24</v>
      </c>
      <c r="D210" s="2">
        <f>IFERROR(__xludf.DUMMYFUNCTION("""COMPUTED_VALUE"""),137.47)</f>
        <v>137.47</v>
      </c>
      <c r="E210" s="2">
        <f>IFERROR(__xludf.DUMMYFUNCTION("""COMPUTED_VALUE"""),139.06)</f>
        <v>139.06</v>
      </c>
      <c r="F210" s="2">
        <f>IFERROR(__xludf.DUMMYFUNCTION("""COMPUTED_VALUE"""),9672460.0)</f>
        <v>9672460</v>
      </c>
    </row>
    <row r="211">
      <c r="A211" s="3">
        <f>IFERROR(__xludf.DUMMYFUNCTION("""COMPUTED_VALUE"""),45231.66666666667)</f>
        <v>45231.66667</v>
      </c>
      <c r="B211" s="2">
        <f>IFERROR(__xludf.DUMMYFUNCTION("""COMPUTED_VALUE"""),139.25)</f>
        <v>139.25</v>
      </c>
      <c r="C211" s="2">
        <f>IFERROR(__xludf.DUMMYFUNCTION("""COMPUTED_VALUE"""),140.53)</f>
        <v>140.53</v>
      </c>
      <c r="D211" s="2">
        <f>IFERROR(__xludf.DUMMYFUNCTION("""COMPUTED_VALUE"""),138.47)</f>
        <v>138.47</v>
      </c>
      <c r="E211" s="2">
        <f>IFERROR(__xludf.DUMMYFUNCTION("""COMPUTED_VALUE"""),138.94)</f>
        <v>138.94</v>
      </c>
      <c r="F211" s="2">
        <f>IFERROR(__xludf.DUMMYFUNCTION("""COMPUTED_VALUE"""),9432048.0)</f>
        <v>9432048</v>
      </c>
    </row>
    <row r="212">
      <c r="A212" s="3">
        <f>IFERROR(__xludf.DUMMYFUNCTION("""COMPUTED_VALUE"""),45232.66666666667)</f>
        <v>45232.66667</v>
      </c>
      <c r="B212" s="2">
        <f>IFERROR(__xludf.DUMMYFUNCTION("""COMPUTED_VALUE"""),140.09)</f>
        <v>140.09</v>
      </c>
      <c r="C212" s="2">
        <f>IFERROR(__xludf.DUMMYFUNCTION("""COMPUTED_VALUE"""),141.48)</f>
        <v>141.48</v>
      </c>
      <c r="D212" s="2">
        <f>IFERROR(__xludf.DUMMYFUNCTION("""COMPUTED_VALUE"""),139.23)</f>
        <v>139.23</v>
      </c>
      <c r="E212" s="2">
        <f>IFERROR(__xludf.DUMMYFUNCTION("""COMPUTED_VALUE"""),141.42)</f>
        <v>141.42</v>
      </c>
      <c r="F212" s="2">
        <f>IFERROR(__xludf.DUMMYFUNCTION("""COMPUTED_VALUE"""),1.0186175E7)</f>
        <v>10186175</v>
      </c>
    </row>
    <row r="213">
      <c r="A213" s="3">
        <f>IFERROR(__xludf.DUMMYFUNCTION("""COMPUTED_VALUE"""),45233.66666666667)</f>
        <v>45233.66667</v>
      </c>
      <c r="B213" s="2">
        <f>IFERROR(__xludf.DUMMYFUNCTION("""COMPUTED_VALUE"""),142.19)</f>
        <v>142.19</v>
      </c>
      <c r="C213" s="2">
        <f>IFERROR(__xludf.DUMMYFUNCTION("""COMPUTED_VALUE"""),143.77)</f>
        <v>143.77</v>
      </c>
      <c r="D213" s="2">
        <f>IFERROR(__xludf.DUMMYFUNCTION("""COMPUTED_VALUE"""),141.85)</f>
        <v>141.85</v>
      </c>
      <c r="E213" s="2">
        <f>IFERROR(__xludf.DUMMYFUNCTION("""COMPUTED_VALUE"""),143.0)</f>
        <v>143</v>
      </c>
      <c r="F213" s="2">
        <f>IFERROR(__xludf.DUMMYFUNCTION("""COMPUTED_VALUE"""),9538719.0)</f>
        <v>9538719</v>
      </c>
    </row>
    <row r="214">
      <c r="A214" s="3">
        <f>IFERROR(__xludf.DUMMYFUNCTION("""COMPUTED_VALUE"""),45236.66666666667)</f>
        <v>45236.66667</v>
      </c>
      <c r="B214" s="2">
        <f>IFERROR(__xludf.DUMMYFUNCTION("""COMPUTED_VALUE"""),143.17)</f>
        <v>143.17</v>
      </c>
      <c r="C214" s="2">
        <f>IFERROR(__xludf.DUMMYFUNCTION("""COMPUTED_VALUE"""),144.19)</f>
        <v>144.19</v>
      </c>
      <c r="D214" s="2">
        <f>IFERROR(__xludf.DUMMYFUNCTION("""COMPUTED_VALUE"""),142.79)</f>
        <v>142.79</v>
      </c>
      <c r="E214" s="2">
        <f>IFERROR(__xludf.DUMMYFUNCTION("""COMPUTED_VALUE"""),144.08)</f>
        <v>144.08</v>
      </c>
      <c r="F214" s="2">
        <f>IFERROR(__xludf.DUMMYFUNCTION("""COMPUTED_VALUE"""),7625063.0)</f>
        <v>7625063</v>
      </c>
    </row>
    <row r="215">
      <c r="A215" s="3">
        <f>IFERROR(__xludf.DUMMYFUNCTION("""COMPUTED_VALUE"""),45237.66666666667)</f>
        <v>45237.66667</v>
      </c>
      <c r="B215" s="2">
        <f>IFERROR(__xludf.DUMMYFUNCTION("""COMPUTED_VALUE"""),143.51)</f>
        <v>143.51</v>
      </c>
      <c r="C215" s="2">
        <f>IFERROR(__xludf.DUMMYFUNCTION("""COMPUTED_VALUE"""),144.26)</f>
        <v>144.26</v>
      </c>
      <c r="D215" s="2">
        <f>IFERROR(__xludf.DUMMYFUNCTION("""COMPUTED_VALUE"""),142.82)</f>
        <v>142.82</v>
      </c>
      <c r="E215" s="2">
        <f>IFERROR(__xludf.DUMMYFUNCTION("""COMPUTED_VALUE"""),144.01)</f>
        <v>144.01</v>
      </c>
      <c r="F215" s="2">
        <f>IFERROR(__xludf.DUMMYFUNCTION("""COMPUTED_VALUE"""),6297915.0)</f>
        <v>6297915</v>
      </c>
    </row>
    <row r="216">
      <c r="A216" s="3">
        <f>IFERROR(__xludf.DUMMYFUNCTION("""COMPUTED_VALUE"""),45238.66666666667)</f>
        <v>45238.66667</v>
      </c>
      <c r="B216" s="2">
        <f>IFERROR(__xludf.DUMMYFUNCTION("""COMPUTED_VALUE"""),144.11)</f>
        <v>144.11</v>
      </c>
      <c r="C216" s="2">
        <f>IFERROR(__xludf.DUMMYFUNCTION("""COMPUTED_VALUE"""),144.84)</f>
        <v>144.84</v>
      </c>
      <c r="D216" s="2">
        <f>IFERROR(__xludf.DUMMYFUNCTION("""COMPUTED_VALUE"""),143.62)</f>
        <v>143.62</v>
      </c>
      <c r="E216" s="2">
        <f>IFERROR(__xludf.DUMMYFUNCTION("""COMPUTED_VALUE"""),144.72)</f>
        <v>144.72</v>
      </c>
      <c r="F216" s="2">
        <f>IFERROR(__xludf.DUMMYFUNCTION("""COMPUTED_VALUE"""),7618169.0)</f>
        <v>7618169</v>
      </c>
    </row>
    <row r="217">
      <c r="A217" s="3">
        <f>IFERROR(__xludf.DUMMYFUNCTION("""COMPUTED_VALUE"""),45239.66666666667)</f>
        <v>45239.66667</v>
      </c>
      <c r="B217" s="2">
        <f>IFERROR(__xludf.DUMMYFUNCTION("""COMPUTED_VALUE"""),145.44)</f>
        <v>145.44</v>
      </c>
      <c r="C217" s="2">
        <f>IFERROR(__xludf.DUMMYFUNCTION("""COMPUTED_VALUE"""),145.65)</f>
        <v>145.65</v>
      </c>
      <c r="D217" s="2">
        <f>IFERROR(__xludf.DUMMYFUNCTION("""COMPUTED_VALUE"""),143.7)</f>
        <v>143.7</v>
      </c>
      <c r="E217" s="2">
        <f>IFERROR(__xludf.DUMMYFUNCTION("""COMPUTED_VALUE"""),144.29)</f>
        <v>144.29</v>
      </c>
      <c r="F217" s="2">
        <f>IFERROR(__xludf.DUMMYFUNCTION("""COMPUTED_VALUE"""),7992477.0)</f>
        <v>7992477</v>
      </c>
    </row>
    <row r="218">
      <c r="A218" s="3">
        <f>IFERROR(__xludf.DUMMYFUNCTION("""COMPUTED_VALUE"""),45240.66666666667)</f>
        <v>45240.66667</v>
      </c>
      <c r="B218" s="2">
        <f>IFERROR(__xludf.DUMMYFUNCTION("""COMPUTED_VALUE"""),144.94)</f>
        <v>144.94</v>
      </c>
      <c r="C218" s="2">
        <f>IFERROR(__xludf.DUMMYFUNCTION("""COMPUTED_VALUE"""),146.48)</f>
        <v>146.48</v>
      </c>
      <c r="D218" s="2">
        <f>IFERROR(__xludf.DUMMYFUNCTION("""COMPUTED_VALUE"""),144.08)</f>
        <v>144.08</v>
      </c>
      <c r="E218" s="2">
        <f>IFERROR(__xludf.DUMMYFUNCTION("""COMPUTED_VALUE"""),146.43)</f>
        <v>146.43</v>
      </c>
      <c r="F218" s="2">
        <f>IFERROR(__xludf.DUMMYFUNCTION("""COMPUTED_VALUE"""),7983935.0)</f>
        <v>7983935</v>
      </c>
    </row>
    <row r="219">
      <c r="A219" s="3">
        <f>IFERROR(__xludf.DUMMYFUNCTION("""COMPUTED_VALUE"""),45243.66666666667)</f>
        <v>45243.66667</v>
      </c>
      <c r="B219" s="2">
        <f>IFERROR(__xludf.DUMMYFUNCTION("""COMPUTED_VALUE"""),145.7)</f>
        <v>145.7</v>
      </c>
      <c r="C219" s="2">
        <f>IFERROR(__xludf.DUMMYFUNCTION("""COMPUTED_VALUE"""),146.25)</f>
        <v>146.25</v>
      </c>
      <c r="D219" s="2">
        <f>IFERROR(__xludf.DUMMYFUNCTION("""COMPUTED_VALUE"""),145.16)</f>
        <v>145.16</v>
      </c>
      <c r="E219" s="2">
        <f>IFERROR(__xludf.DUMMYFUNCTION("""COMPUTED_VALUE"""),145.78)</f>
        <v>145.78</v>
      </c>
      <c r="F219" s="2">
        <f>IFERROR(__xludf.DUMMYFUNCTION("""COMPUTED_VALUE"""),6676364.0)</f>
        <v>6676364</v>
      </c>
    </row>
    <row r="220">
      <c r="A220" s="3">
        <f>IFERROR(__xludf.DUMMYFUNCTION("""COMPUTED_VALUE"""),45244.66666666667)</f>
        <v>45244.66667</v>
      </c>
      <c r="B220" s="2">
        <f>IFERROR(__xludf.DUMMYFUNCTION("""COMPUTED_VALUE"""),146.68)</f>
        <v>146.68</v>
      </c>
      <c r="C220" s="2">
        <f>IFERROR(__xludf.DUMMYFUNCTION("""COMPUTED_VALUE"""),149.25)</f>
        <v>149.25</v>
      </c>
      <c r="D220" s="2">
        <f>IFERROR(__xludf.DUMMYFUNCTION("""COMPUTED_VALUE"""),146.52)</f>
        <v>146.52</v>
      </c>
      <c r="E220" s="2">
        <f>IFERROR(__xludf.DUMMYFUNCTION("""COMPUTED_VALUE"""),148.44)</f>
        <v>148.44</v>
      </c>
      <c r="F220" s="2">
        <f>IFERROR(__xludf.DUMMYFUNCTION("""COMPUTED_VALUE"""),9927723.0)</f>
        <v>9927723</v>
      </c>
    </row>
    <row r="221">
      <c r="A221" s="3">
        <f>IFERROR(__xludf.DUMMYFUNCTION("""COMPUTED_VALUE"""),45245.66666666667)</f>
        <v>45245.66667</v>
      </c>
      <c r="B221" s="2">
        <f>IFERROR(__xludf.DUMMYFUNCTION("""COMPUTED_VALUE"""),148.46)</f>
        <v>148.46</v>
      </c>
      <c r="C221" s="2">
        <f>IFERROR(__xludf.DUMMYFUNCTION("""COMPUTED_VALUE"""),150.16)</f>
        <v>150.16</v>
      </c>
      <c r="D221" s="2">
        <f>IFERROR(__xludf.DUMMYFUNCTION("""COMPUTED_VALUE"""),148.46)</f>
        <v>148.46</v>
      </c>
      <c r="E221" s="2">
        <f>IFERROR(__xludf.DUMMYFUNCTION("""COMPUTED_VALUE"""),149.74)</f>
        <v>149.74</v>
      </c>
      <c r="F221" s="2">
        <f>IFERROR(__xludf.DUMMYFUNCTION("""COMPUTED_VALUE"""),8365296.0)</f>
        <v>8365296</v>
      </c>
    </row>
    <row r="222">
      <c r="A222" s="3">
        <f>IFERROR(__xludf.DUMMYFUNCTION("""COMPUTED_VALUE"""),45246.66666666667)</f>
        <v>45246.66667</v>
      </c>
      <c r="B222" s="2">
        <f>IFERROR(__xludf.DUMMYFUNCTION("""COMPUTED_VALUE"""),150.09)</f>
        <v>150.09</v>
      </c>
      <c r="C222" s="2">
        <f>IFERROR(__xludf.DUMMYFUNCTION("""COMPUTED_VALUE"""),151.53)</f>
        <v>151.53</v>
      </c>
      <c r="D222" s="2">
        <f>IFERROR(__xludf.DUMMYFUNCTION("""COMPUTED_VALUE"""),150.09)</f>
        <v>150.09</v>
      </c>
      <c r="E222" s="2">
        <f>IFERROR(__xludf.DUMMYFUNCTION("""COMPUTED_VALUE"""),151.45)</f>
        <v>151.45</v>
      </c>
      <c r="F222" s="2">
        <f>IFERROR(__xludf.DUMMYFUNCTION("""COMPUTED_VALUE"""),8126188.0)</f>
        <v>8126188</v>
      </c>
    </row>
    <row r="223">
      <c r="A223" s="3">
        <f>IFERROR(__xludf.DUMMYFUNCTION("""COMPUTED_VALUE"""),45247.66666666667)</f>
        <v>45247.66667</v>
      </c>
      <c r="B223" s="2">
        <f>IFERROR(__xludf.DUMMYFUNCTION("""COMPUTED_VALUE"""),152.2)</f>
        <v>152.2</v>
      </c>
      <c r="C223" s="2">
        <f>IFERROR(__xludf.DUMMYFUNCTION("""COMPUTED_VALUE"""),152.86)</f>
        <v>152.86</v>
      </c>
      <c r="D223" s="2">
        <f>IFERROR(__xludf.DUMMYFUNCTION("""COMPUTED_VALUE"""),151.54)</f>
        <v>151.54</v>
      </c>
      <c r="E223" s="2">
        <f>IFERROR(__xludf.DUMMYFUNCTION("""COMPUTED_VALUE"""),152.82)</f>
        <v>152.82</v>
      </c>
      <c r="F223" s="2">
        <f>IFERROR(__xludf.DUMMYFUNCTION("""COMPUTED_VALUE"""),7814064.0)</f>
        <v>7814064</v>
      </c>
    </row>
    <row r="224">
      <c r="A224" s="3">
        <f>IFERROR(__xludf.DUMMYFUNCTION("""COMPUTED_VALUE"""),45250.66666666667)</f>
        <v>45250.66667</v>
      </c>
      <c r="B224" s="2">
        <f>IFERROR(__xludf.DUMMYFUNCTION("""COMPUTED_VALUE"""),152.08)</f>
        <v>152.08</v>
      </c>
      <c r="C224" s="2">
        <f>IFERROR(__xludf.DUMMYFUNCTION("""COMPUTED_VALUE"""),153.75)</f>
        <v>153.75</v>
      </c>
      <c r="D224" s="2">
        <f>IFERROR(__xludf.DUMMYFUNCTION("""COMPUTED_VALUE"""),151.92)</f>
        <v>151.92</v>
      </c>
      <c r="E224" s="2">
        <f>IFERROR(__xludf.DUMMYFUNCTION("""COMPUTED_VALUE"""),153.29)</f>
        <v>153.29</v>
      </c>
      <c r="F224" s="2">
        <f>IFERROR(__xludf.DUMMYFUNCTION("""COMPUTED_VALUE"""),7020349.0)</f>
        <v>7020349</v>
      </c>
    </row>
    <row r="225">
      <c r="A225" s="3">
        <f>IFERROR(__xludf.DUMMYFUNCTION("""COMPUTED_VALUE"""),45251.66666666667)</f>
        <v>45251.66667</v>
      </c>
      <c r="B225" s="2">
        <f>IFERROR(__xludf.DUMMYFUNCTION("""COMPUTED_VALUE"""),153.2)</f>
        <v>153.2</v>
      </c>
      <c r="C225" s="2">
        <f>IFERROR(__xludf.DUMMYFUNCTION("""COMPUTED_VALUE"""),153.63)</f>
        <v>153.63</v>
      </c>
      <c r="D225" s="2">
        <f>IFERROR(__xludf.DUMMYFUNCTION("""COMPUTED_VALUE"""),152.57)</f>
        <v>152.57</v>
      </c>
      <c r="E225" s="2">
        <f>IFERROR(__xludf.DUMMYFUNCTION("""COMPUTED_VALUE"""),152.97)</f>
        <v>152.97</v>
      </c>
      <c r="F225" s="2">
        <f>IFERROR(__xludf.DUMMYFUNCTION("""COMPUTED_VALUE"""),7083506.0)</f>
        <v>7083506</v>
      </c>
    </row>
    <row r="226">
      <c r="A226" s="3">
        <f>IFERROR(__xludf.DUMMYFUNCTION("""COMPUTED_VALUE"""),45252.66666666667)</f>
        <v>45252.66667</v>
      </c>
      <c r="B226" s="2">
        <f>IFERROR(__xludf.DUMMYFUNCTION("""COMPUTED_VALUE"""),153.41)</f>
        <v>153.41</v>
      </c>
      <c r="C226" s="2">
        <f>IFERROR(__xludf.DUMMYFUNCTION("""COMPUTED_VALUE"""),153.88)</f>
        <v>153.88</v>
      </c>
      <c r="D226" s="2">
        <f>IFERROR(__xludf.DUMMYFUNCTION("""COMPUTED_VALUE"""),152.9)</f>
        <v>152.9</v>
      </c>
      <c r="E226" s="2">
        <f>IFERROR(__xludf.DUMMYFUNCTION("""COMPUTED_VALUE"""),153.33)</f>
        <v>153.33</v>
      </c>
      <c r="F226" s="2">
        <f>IFERROR(__xludf.DUMMYFUNCTION("""COMPUTED_VALUE"""),5175135.0)</f>
        <v>5175135</v>
      </c>
    </row>
    <row r="227">
      <c r="A227" s="3">
        <f>IFERROR(__xludf.DUMMYFUNCTION("""COMPUTED_VALUE"""),45254.54166666667)</f>
        <v>45254.54167</v>
      </c>
      <c r="B227" s="2">
        <f>IFERROR(__xludf.DUMMYFUNCTION("""COMPUTED_VALUE"""),153.59)</f>
        <v>153.59</v>
      </c>
      <c r="C227" s="2">
        <f>IFERROR(__xludf.DUMMYFUNCTION("""COMPUTED_VALUE"""),154.44)</f>
        <v>154.44</v>
      </c>
      <c r="D227" s="2">
        <f>IFERROR(__xludf.DUMMYFUNCTION("""COMPUTED_VALUE"""),153.28)</f>
        <v>153.28</v>
      </c>
      <c r="E227" s="2">
        <f>IFERROR(__xludf.DUMMYFUNCTION("""COMPUTED_VALUE"""),153.54)</f>
        <v>153.54</v>
      </c>
      <c r="F227" s="2">
        <f>IFERROR(__xludf.DUMMYFUNCTION("""COMPUTED_VALUE"""),3496941.0)</f>
        <v>3496941</v>
      </c>
    </row>
    <row r="228">
      <c r="A228" s="3">
        <f>IFERROR(__xludf.DUMMYFUNCTION("""COMPUTED_VALUE"""),45257.66666666667)</f>
        <v>45257.66667</v>
      </c>
      <c r="B228" s="2">
        <f>IFERROR(__xludf.DUMMYFUNCTION("""COMPUTED_VALUE"""),153.43)</f>
        <v>153.43</v>
      </c>
      <c r="C228" s="2">
        <f>IFERROR(__xludf.DUMMYFUNCTION("""COMPUTED_VALUE"""),153.53)</f>
        <v>153.53</v>
      </c>
      <c r="D228" s="2">
        <f>IFERROR(__xludf.DUMMYFUNCTION("""COMPUTED_VALUE"""),152.71)</f>
        <v>152.71</v>
      </c>
      <c r="E228" s="2">
        <f>IFERROR(__xludf.DUMMYFUNCTION("""COMPUTED_VALUE"""),153.19)</f>
        <v>153.19</v>
      </c>
      <c r="F228" s="2">
        <f>IFERROR(__xludf.DUMMYFUNCTION("""COMPUTED_VALUE"""),6259116.0)</f>
        <v>6259116</v>
      </c>
    </row>
    <row r="229">
      <c r="A229" s="3">
        <f>IFERROR(__xludf.DUMMYFUNCTION("""COMPUTED_VALUE"""),45258.66666666667)</f>
        <v>45258.66667</v>
      </c>
      <c r="B229" s="2">
        <f>IFERROR(__xludf.DUMMYFUNCTION("""COMPUTED_VALUE"""),153.22)</f>
        <v>153.22</v>
      </c>
      <c r="C229" s="2">
        <f>IFERROR(__xludf.DUMMYFUNCTION("""COMPUTED_VALUE"""),153.87)</f>
        <v>153.87</v>
      </c>
      <c r="D229" s="2">
        <f>IFERROR(__xludf.DUMMYFUNCTION("""COMPUTED_VALUE"""),152.72)</f>
        <v>152.72</v>
      </c>
      <c r="E229" s="2">
        <f>IFERROR(__xludf.DUMMYFUNCTION("""COMPUTED_VALUE"""),153.54)</f>
        <v>153.54</v>
      </c>
      <c r="F229" s="2">
        <f>IFERROR(__xludf.DUMMYFUNCTION("""COMPUTED_VALUE"""),6582937.0)</f>
        <v>6582937</v>
      </c>
    </row>
    <row r="230">
      <c r="A230" s="3">
        <f>IFERROR(__xludf.DUMMYFUNCTION("""COMPUTED_VALUE"""),45259.66666666667)</f>
        <v>45259.66667</v>
      </c>
      <c r="B230" s="2">
        <f>IFERROR(__xludf.DUMMYFUNCTION("""COMPUTED_VALUE"""),154.17)</f>
        <v>154.17</v>
      </c>
      <c r="C230" s="2">
        <f>IFERROR(__xludf.DUMMYFUNCTION("""COMPUTED_VALUE"""),155.63)</f>
        <v>155.63</v>
      </c>
      <c r="D230" s="2">
        <f>IFERROR(__xludf.DUMMYFUNCTION("""COMPUTED_VALUE"""),154.0)</f>
        <v>154</v>
      </c>
      <c r="E230" s="2">
        <f>IFERROR(__xludf.DUMMYFUNCTION("""COMPUTED_VALUE"""),154.32)</f>
        <v>154.32</v>
      </c>
      <c r="F230" s="2">
        <f>IFERROR(__xludf.DUMMYFUNCTION("""COMPUTED_VALUE"""),9126053.0)</f>
        <v>9126053</v>
      </c>
    </row>
    <row r="231">
      <c r="A231" s="3">
        <f>IFERROR(__xludf.DUMMYFUNCTION("""COMPUTED_VALUE"""),45260.66666666667)</f>
        <v>45260.66667</v>
      </c>
      <c r="B231" s="2">
        <f>IFERROR(__xludf.DUMMYFUNCTION("""COMPUTED_VALUE"""),154.91)</f>
        <v>154.91</v>
      </c>
      <c r="C231" s="2">
        <f>IFERROR(__xludf.DUMMYFUNCTION("""COMPUTED_VALUE"""),156.13)</f>
        <v>156.13</v>
      </c>
      <c r="D231" s="2">
        <f>IFERROR(__xludf.DUMMYFUNCTION("""COMPUTED_VALUE"""),154.38)</f>
        <v>154.38</v>
      </c>
      <c r="E231" s="2">
        <f>IFERROR(__xludf.DUMMYFUNCTION("""COMPUTED_VALUE"""),156.08)</f>
        <v>156.08</v>
      </c>
      <c r="F231" s="2">
        <f>IFERROR(__xludf.DUMMYFUNCTION("""COMPUTED_VALUE"""),9869790.0)</f>
        <v>9869790</v>
      </c>
    </row>
    <row r="232">
      <c r="A232" s="3">
        <f>IFERROR(__xludf.DUMMYFUNCTION("""COMPUTED_VALUE"""),45261.66666666667)</f>
        <v>45261.66667</v>
      </c>
      <c r="B232" s="2">
        <f>IFERROR(__xludf.DUMMYFUNCTION("""COMPUTED_VALUE"""),155.82)</f>
        <v>155.82</v>
      </c>
      <c r="C232" s="2">
        <f>IFERROR(__xludf.DUMMYFUNCTION("""COMPUTED_VALUE"""),157.86)</f>
        <v>157.86</v>
      </c>
      <c r="D232" s="2">
        <f>IFERROR(__xludf.DUMMYFUNCTION("""COMPUTED_VALUE"""),155.82)</f>
        <v>155.82</v>
      </c>
      <c r="E232" s="2">
        <f>IFERROR(__xludf.DUMMYFUNCTION("""COMPUTED_VALUE"""),156.84)</f>
        <v>156.84</v>
      </c>
      <c r="F232" s="2">
        <f>IFERROR(__xludf.DUMMYFUNCTION("""COMPUTED_VALUE"""),8916001.0)</f>
        <v>8916001</v>
      </c>
    </row>
    <row r="233">
      <c r="A233" s="3">
        <f>IFERROR(__xludf.DUMMYFUNCTION("""COMPUTED_VALUE"""),45264.66666666667)</f>
        <v>45264.66667</v>
      </c>
      <c r="B233" s="2">
        <f>IFERROR(__xludf.DUMMYFUNCTION("""COMPUTED_VALUE"""),156.02)</f>
        <v>156.02</v>
      </c>
      <c r="C233" s="2">
        <f>IFERROR(__xludf.DUMMYFUNCTION("""COMPUTED_VALUE"""),158.05)</f>
        <v>158.05</v>
      </c>
      <c r="D233" s="2">
        <f>IFERROR(__xludf.DUMMYFUNCTION("""COMPUTED_VALUE"""),155.88)</f>
        <v>155.88</v>
      </c>
      <c r="E233" s="2">
        <f>IFERROR(__xludf.DUMMYFUNCTION("""COMPUTED_VALUE"""),157.99)</f>
        <v>157.99</v>
      </c>
      <c r="F233" s="2">
        <f>IFERROR(__xludf.DUMMYFUNCTION("""COMPUTED_VALUE"""),9607465.0)</f>
        <v>9607465</v>
      </c>
    </row>
    <row r="234">
      <c r="A234" s="3">
        <f>IFERROR(__xludf.DUMMYFUNCTION("""COMPUTED_VALUE"""),45265.66666666667)</f>
        <v>45265.66667</v>
      </c>
      <c r="B234" s="2">
        <f>IFERROR(__xludf.DUMMYFUNCTION("""COMPUTED_VALUE"""),157.26)</f>
        <v>157.26</v>
      </c>
      <c r="C234" s="2">
        <f>IFERROR(__xludf.DUMMYFUNCTION("""COMPUTED_VALUE"""),158.5)</f>
        <v>158.5</v>
      </c>
      <c r="D234" s="2">
        <f>IFERROR(__xludf.DUMMYFUNCTION("""COMPUTED_VALUE"""),156.97)</f>
        <v>156.97</v>
      </c>
      <c r="E234" s="2">
        <f>IFERROR(__xludf.DUMMYFUNCTION("""COMPUTED_VALUE"""),157.97)</f>
        <v>157.97</v>
      </c>
      <c r="F234" s="2">
        <f>IFERROR(__xludf.DUMMYFUNCTION("""COMPUTED_VALUE"""),9135597.0)</f>
        <v>9135597</v>
      </c>
    </row>
    <row r="235">
      <c r="A235" s="3">
        <f>IFERROR(__xludf.DUMMYFUNCTION("""COMPUTED_VALUE"""),45266.66666666667)</f>
        <v>45266.66667</v>
      </c>
      <c r="B235" s="2">
        <f>IFERROR(__xludf.DUMMYFUNCTION("""COMPUTED_VALUE"""),158.84)</f>
        <v>158.84</v>
      </c>
      <c r="C235" s="2">
        <f>IFERROR(__xludf.DUMMYFUNCTION("""COMPUTED_VALUE"""),159.22)</f>
        <v>159.22</v>
      </c>
      <c r="D235" s="2">
        <f>IFERROR(__xludf.DUMMYFUNCTION("""COMPUTED_VALUE"""),156.0)</f>
        <v>156</v>
      </c>
      <c r="E235" s="2">
        <f>IFERROR(__xludf.DUMMYFUNCTION("""COMPUTED_VALUE"""),156.31)</f>
        <v>156.31</v>
      </c>
      <c r="F235" s="2">
        <f>IFERROR(__xludf.DUMMYFUNCTION("""COMPUTED_VALUE"""),9366004.0)</f>
        <v>9366004</v>
      </c>
    </row>
    <row r="236">
      <c r="A236" s="3">
        <f>IFERROR(__xludf.DUMMYFUNCTION("""COMPUTED_VALUE"""),45267.66666666667)</f>
        <v>45267.66667</v>
      </c>
      <c r="B236" s="2">
        <f>IFERROR(__xludf.DUMMYFUNCTION("""COMPUTED_VALUE"""),156.69)</f>
        <v>156.69</v>
      </c>
      <c r="C236" s="2">
        <f>IFERROR(__xludf.DUMMYFUNCTION("""COMPUTED_VALUE"""),157.31)</f>
        <v>157.31</v>
      </c>
      <c r="D236" s="2">
        <f>IFERROR(__xludf.DUMMYFUNCTION("""COMPUTED_VALUE"""),156.15)</f>
        <v>156.15</v>
      </c>
      <c r="E236" s="2">
        <f>IFERROR(__xludf.DUMMYFUNCTION("""COMPUTED_VALUE"""),156.79)</f>
        <v>156.79</v>
      </c>
      <c r="F236" s="2">
        <f>IFERROR(__xludf.DUMMYFUNCTION("""COMPUTED_VALUE"""),8130874.0)</f>
        <v>8130874</v>
      </c>
    </row>
    <row r="237">
      <c r="A237" s="3">
        <f>IFERROR(__xludf.DUMMYFUNCTION("""COMPUTED_VALUE"""),45268.66666666667)</f>
        <v>45268.66667</v>
      </c>
      <c r="B237" s="2">
        <f>IFERROR(__xludf.DUMMYFUNCTION("""COMPUTED_VALUE"""),157.26)</f>
        <v>157.26</v>
      </c>
      <c r="C237" s="2">
        <f>IFERROR(__xludf.DUMMYFUNCTION("""COMPUTED_VALUE"""),158.78)</f>
        <v>158.78</v>
      </c>
      <c r="D237" s="2">
        <f>IFERROR(__xludf.DUMMYFUNCTION("""COMPUTED_VALUE"""),156.98)</f>
        <v>156.98</v>
      </c>
      <c r="E237" s="2">
        <f>IFERROR(__xludf.DUMMYFUNCTION("""COMPUTED_VALUE"""),158.52)</f>
        <v>158.52</v>
      </c>
      <c r="F237" s="2">
        <f>IFERROR(__xludf.DUMMYFUNCTION("""COMPUTED_VALUE"""),7369370.0)</f>
        <v>7369370</v>
      </c>
    </row>
    <row r="238">
      <c r="A238" s="3">
        <f>IFERROR(__xludf.DUMMYFUNCTION("""COMPUTED_VALUE"""),45271.66666666667)</f>
        <v>45271.66667</v>
      </c>
      <c r="B238" s="2">
        <f>IFERROR(__xludf.DUMMYFUNCTION("""COMPUTED_VALUE"""),158.52)</f>
        <v>158.52</v>
      </c>
      <c r="C238" s="2">
        <f>IFERROR(__xludf.DUMMYFUNCTION("""COMPUTED_VALUE"""),159.3)</f>
        <v>159.3</v>
      </c>
      <c r="D238" s="2">
        <f>IFERROR(__xludf.DUMMYFUNCTION("""COMPUTED_VALUE"""),158.15)</f>
        <v>158.15</v>
      </c>
      <c r="E238" s="2">
        <f>IFERROR(__xludf.DUMMYFUNCTION("""COMPUTED_VALUE"""),159.1)</f>
        <v>159.1</v>
      </c>
      <c r="F238" s="2">
        <f>IFERROR(__xludf.DUMMYFUNCTION("""COMPUTED_VALUE"""),8093908.0)</f>
        <v>8093908</v>
      </c>
    </row>
    <row r="239">
      <c r="A239" s="3">
        <f>IFERROR(__xludf.DUMMYFUNCTION("""COMPUTED_VALUE"""),45272.66666666667)</f>
        <v>45272.66667</v>
      </c>
      <c r="B239" s="2">
        <f>IFERROR(__xludf.DUMMYFUNCTION("""COMPUTED_VALUE"""),159.23)</f>
        <v>159.23</v>
      </c>
      <c r="C239" s="2">
        <f>IFERROR(__xludf.DUMMYFUNCTION("""COMPUTED_VALUE"""),160.65)</f>
        <v>160.65</v>
      </c>
      <c r="D239" s="2">
        <f>IFERROR(__xludf.DUMMYFUNCTION("""COMPUTED_VALUE"""),158.88)</f>
        <v>158.88</v>
      </c>
      <c r="E239" s="2">
        <f>IFERROR(__xludf.DUMMYFUNCTION("""COMPUTED_VALUE"""),160.52)</f>
        <v>160.52</v>
      </c>
      <c r="F239" s="2">
        <f>IFERROR(__xludf.DUMMYFUNCTION("""COMPUTED_VALUE"""),1.0222978E7)</f>
        <v>10222978</v>
      </c>
    </row>
    <row r="240">
      <c r="A240" s="3">
        <f>IFERROR(__xludf.DUMMYFUNCTION("""COMPUTED_VALUE"""),45273.66666666667)</f>
        <v>45273.66667</v>
      </c>
      <c r="B240" s="2">
        <f>IFERROR(__xludf.DUMMYFUNCTION("""COMPUTED_VALUE"""),160.52)</f>
        <v>160.52</v>
      </c>
      <c r="C240" s="2">
        <f>IFERROR(__xludf.DUMMYFUNCTION("""COMPUTED_VALUE"""),162.03)</f>
        <v>162.03</v>
      </c>
      <c r="D240" s="2">
        <f>IFERROR(__xludf.DUMMYFUNCTION("""COMPUTED_VALUE"""),159.77)</f>
        <v>159.77</v>
      </c>
      <c r="E240" s="2">
        <f>IFERROR(__xludf.DUMMYFUNCTION("""COMPUTED_VALUE"""),161.06)</f>
        <v>161.06</v>
      </c>
      <c r="F240" s="2">
        <f>IFERROR(__xludf.DUMMYFUNCTION("""COMPUTED_VALUE"""),1.2379098E7)</f>
        <v>12379098</v>
      </c>
    </row>
    <row r="241">
      <c r="A241" s="3">
        <f>IFERROR(__xludf.DUMMYFUNCTION("""COMPUTED_VALUE"""),45274.66666666667)</f>
        <v>45274.66667</v>
      </c>
      <c r="B241" s="2">
        <f>IFERROR(__xludf.DUMMYFUNCTION("""COMPUTED_VALUE"""),161.83)</f>
        <v>161.83</v>
      </c>
      <c r="C241" s="2">
        <f>IFERROR(__xludf.DUMMYFUNCTION("""COMPUTED_VALUE"""),164.84)</f>
        <v>164.84</v>
      </c>
      <c r="D241" s="2">
        <f>IFERROR(__xludf.DUMMYFUNCTION("""COMPUTED_VALUE"""),161.71)</f>
        <v>161.71</v>
      </c>
      <c r="E241" s="2">
        <f>IFERROR(__xludf.DUMMYFUNCTION("""COMPUTED_VALUE"""),163.99)</f>
        <v>163.99</v>
      </c>
      <c r="F241" s="2">
        <f>IFERROR(__xludf.DUMMYFUNCTION("""COMPUTED_VALUE"""),1.364299E7)</f>
        <v>13642990</v>
      </c>
    </row>
    <row r="242">
      <c r="A242" s="3">
        <f>IFERROR(__xludf.DUMMYFUNCTION("""COMPUTED_VALUE"""),45275.66666666667)</f>
        <v>45275.66667</v>
      </c>
      <c r="B242" s="2">
        <f>IFERROR(__xludf.DUMMYFUNCTION("""COMPUTED_VALUE"""),163.08)</f>
        <v>163.08</v>
      </c>
      <c r="C242" s="2">
        <f>IFERROR(__xludf.DUMMYFUNCTION("""COMPUTED_VALUE"""),165.28)</f>
        <v>165.28</v>
      </c>
      <c r="D242" s="2">
        <f>IFERROR(__xludf.DUMMYFUNCTION("""COMPUTED_VALUE"""),162.39)</f>
        <v>162.39</v>
      </c>
      <c r="E242" s="2">
        <f>IFERROR(__xludf.DUMMYFUNCTION("""COMPUTED_VALUE"""),165.23)</f>
        <v>165.23</v>
      </c>
      <c r="F242" s="2">
        <f>IFERROR(__xludf.DUMMYFUNCTION("""COMPUTED_VALUE"""),2.0309348E7)</f>
        <v>20309348</v>
      </c>
    </row>
    <row r="243">
      <c r="A243" s="3">
        <f>IFERROR(__xludf.DUMMYFUNCTION("""COMPUTED_VALUE"""),45278.66666666667)</f>
        <v>45278.66667</v>
      </c>
      <c r="B243" s="2">
        <f>IFERROR(__xludf.DUMMYFUNCTION("""COMPUTED_VALUE"""),165.92)</f>
        <v>165.92</v>
      </c>
      <c r="C243" s="2">
        <f>IFERROR(__xludf.DUMMYFUNCTION("""COMPUTED_VALUE"""),167.13)</f>
        <v>167.13</v>
      </c>
      <c r="D243" s="2">
        <f>IFERROR(__xludf.DUMMYFUNCTION("""COMPUTED_VALUE"""),165.63)</f>
        <v>165.63</v>
      </c>
      <c r="E243" s="2">
        <f>IFERROR(__xludf.DUMMYFUNCTION("""COMPUTED_VALUE"""),166.23)</f>
        <v>166.23</v>
      </c>
      <c r="F243" s="2">
        <f>IFERROR(__xludf.DUMMYFUNCTION("""COMPUTED_VALUE"""),8469608.0)</f>
        <v>8469608</v>
      </c>
    </row>
    <row r="244">
      <c r="A244" s="3">
        <f>IFERROR(__xludf.DUMMYFUNCTION("""COMPUTED_VALUE"""),45279.66666666667)</f>
        <v>45279.66667</v>
      </c>
      <c r="B244" s="2">
        <f>IFERROR(__xludf.DUMMYFUNCTION("""COMPUTED_VALUE"""),166.0)</f>
        <v>166</v>
      </c>
      <c r="C244" s="2">
        <f>IFERROR(__xludf.DUMMYFUNCTION("""COMPUTED_VALUE"""),168.47)</f>
        <v>168.47</v>
      </c>
      <c r="D244" s="2">
        <f>IFERROR(__xludf.DUMMYFUNCTION("""COMPUTED_VALUE"""),165.55)</f>
        <v>165.55</v>
      </c>
      <c r="E244" s="2">
        <f>IFERROR(__xludf.DUMMYFUNCTION("""COMPUTED_VALUE"""),168.45)</f>
        <v>168.45</v>
      </c>
      <c r="F244" s="2">
        <f>IFERROR(__xludf.DUMMYFUNCTION("""COMPUTED_VALUE"""),1.0345691E7)</f>
        <v>10345691</v>
      </c>
    </row>
    <row r="245">
      <c r="A245" s="3">
        <f>IFERROR(__xludf.DUMMYFUNCTION("""COMPUTED_VALUE"""),45280.66666666667)</f>
        <v>45280.66667</v>
      </c>
      <c r="B245" s="2">
        <f>IFERROR(__xludf.DUMMYFUNCTION("""COMPUTED_VALUE"""),167.99)</f>
        <v>167.99</v>
      </c>
      <c r="C245" s="2">
        <f>IFERROR(__xludf.DUMMYFUNCTION("""COMPUTED_VALUE"""),169.41)</f>
        <v>169.41</v>
      </c>
      <c r="D245" s="2">
        <f>IFERROR(__xludf.DUMMYFUNCTION("""COMPUTED_VALUE"""),166.45)</f>
        <v>166.45</v>
      </c>
      <c r="E245" s="2">
        <f>IFERROR(__xludf.DUMMYFUNCTION("""COMPUTED_VALUE"""),166.55)</f>
        <v>166.55</v>
      </c>
      <c r="F245" s="2">
        <f>IFERROR(__xludf.DUMMYFUNCTION("""COMPUTED_VALUE"""),1.0734709E7)</f>
        <v>10734709</v>
      </c>
    </row>
    <row r="246">
      <c r="A246" s="3">
        <f>IFERROR(__xludf.DUMMYFUNCTION("""COMPUTED_VALUE"""),45281.66666666667)</f>
        <v>45281.66667</v>
      </c>
      <c r="B246" s="2">
        <f>IFERROR(__xludf.DUMMYFUNCTION("""COMPUTED_VALUE"""),166.84)</f>
        <v>166.84</v>
      </c>
      <c r="C246" s="2">
        <f>IFERROR(__xludf.DUMMYFUNCTION("""COMPUTED_VALUE"""),168.09)</f>
        <v>168.09</v>
      </c>
      <c r="D246" s="2">
        <f>IFERROR(__xludf.DUMMYFUNCTION("""COMPUTED_VALUE"""),165.68)</f>
        <v>165.68</v>
      </c>
      <c r="E246" s="2">
        <f>IFERROR(__xludf.DUMMYFUNCTION("""COMPUTED_VALUE"""),167.5)</f>
        <v>167.5</v>
      </c>
      <c r="F246" s="2">
        <f>IFERROR(__xludf.DUMMYFUNCTION("""COMPUTED_VALUE"""),7601678.0)</f>
        <v>7601678</v>
      </c>
    </row>
    <row r="247">
      <c r="A247" s="3">
        <f>IFERROR(__xludf.DUMMYFUNCTION("""COMPUTED_VALUE"""),45282.66666666667)</f>
        <v>45282.66667</v>
      </c>
      <c r="B247" s="2">
        <f>IFERROR(__xludf.DUMMYFUNCTION("""COMPUTED_VALUE"""),167.5)</f>
        <v>167.5</v>
      </c>
      <c r="C247" s="2">
        <f>IFERROR(__xludf.DUMMYFUNCTION("""COMPUTED_VALUE"""),168.23)</f>
        <v>168.23</v>
      </c>
      <c r="D247" s="2">
        <f>IFERROR(__xludf.DUMMYFUNCTION("""COMPUTED_VALUE"""),167.23)</f>
        <v>167.23</v>
      </c>
      <c r="E247" s="2">
        <f>IFERROR(__xludf.DUMMYFUNCTION("""COMPUTED_VALUE"""),167.4)</f>
        <v>167.4</v>
      </c>
      <c r="F247" s="2">
        <f>IFERROR(__xludf.DUMMYFUNCTION("""COMPUTED_VALUE"""),6576322.0)</f>
        <v>6576322</v>
      </c>
    </row>
    <row r="248">
      <c r="A248" s="3">
        <f>IFERROR(__xludf.DUMMYFUNCTION("""COMPUTED_VALUE"""),45286.66666666667)</f>
        <v>45286.66667</v>
      </c>
      <c r="B248" s="2">
        <f>IFERROR(__xludf.DUMMYFUNCTION("""COMPUTED_VALUE"""),167.46)</f>
        <v>167.46</v>
      </c>
      <c r="C248" s="2">
        <f>IFERROR(__xludf.DUMMYFUNCTION("""COMPUTED_VALUE"""),168.77)</f>
        <v>168.77</v>
      </c>
      <c r="D248" s="2">
        <f>IFERROR(__xludf.DUMMYFUNCTION("""COMPUTED_VALUE"""),167.18)</f>
        <v>167.18</v>
      </c>
      <c r="E248" s="2">
        <f>IFERROR(__xludf.DUMMYFUNCTION("""COMPUTED_VALUE"""),168.39)</f>
        <v>168.39</v>
      </c>
      <c r="F248" s="2">
        <f>IFERROR(__xludf.DUMMYFUNCTION("""COMPUTED_VALUE"""),4683605.0)</f>
        <v>4683605</v>
      </c>
    </row>
    <row r="249">
      <c r="A249" s="3">
        <f>IFERROR(__xludf.DUMMYFUNCTION("""COMPUTED_VALUE"""),45287.66666666667)</f>
        <v>45287.66667</v>
      </c>
      <c r="B249" s="2">
        <f>IFERROR(__xludf.DUMMYFUNCTION("""COMPUTED_VALUE"""),167.84)</f>
        <v>167.84</v>
      </c>
      <c r="C249" s="2">
        <f>IFERROR(__xludf.DUMMYFUNCTION("""COMPUTED_VALUE"""),169.47)</f>
        <v>169.47</v>
      </c>
      <c r="D249" s="2">
        <f>IFERROR(__xludf.DUMMYFUNCTION("""COMPUTED_VALUE"""),167.58)</f>
        <v>167.58</v>
      </c>
      <c r="E249" s="2">
        <f>IFERROR(__xludf.DUMMYFUNCTION("""COMPUTED_VALUE"""),169.4)</f>
        <v>169.4</v>
      </c>
      <c r="F249" s="2">
        <f>IFERROR(__xludf.DUMMYFUNCTION("""COMPUTED_VALUE"""),6428643.0)</f>
        <v>6428643</v>
      </c>
    </row>
    <row r="250">
      <c r="A250" s="3">
        <f>IFERROR(__xludf.DUMMYFUNCTION("""COMPUTED_VALUE"""),45288.66666666667)</f>
        <v>45288.66667</v>
      </c>
      <c r="B250" s="2">
        <f>IFERROR(__xludf.DUMMYFUNCTION("""COMPUTED_VALUE"""),169.35)</f>
        <v>169.35</v>
      </c>
      <c r="C250" s="2">
        <f>IFERROR(__xludf.DUMMYFUNCTION("""COMPUTED_VALUE"""),170.66)</f>
        <v>170.66</v>
      </c>
      <c r="D250" s="2">
        <f>IFERROR(__xludf.DUMMYFUNCTION("""COMPUTED_VALUE"""),169.0)</f>
        <v>169</v>
      </c>
      <c r="E250" s="2">
        <f>IFERROR(__xludf.DUMMYFUNCTION("""COMPUTED_VALUE"""),170.3)</f>
        <v>170.3</v>
      </c>
      <c r="F250" s="2">
        <f>IFERROR(__xludf.DUMMYFUNCTION("""COMPUTED_VALUE"""),6320129.0)</f>
        <v>6320129</v>
      </c>
    </row>
    <row r="251">
      <c r="A251" s="3">
        <f>IFERROR(__xludf.DUMMYFUNCTION("""COMPUTED_VALUE"""),45289.66666666667)</f>
        <v>45289.66667</v>
      </c>
      <c r="B251" s="2">
        <f>IFERROR(__xludf.DUMMYFUNCTION("""COMPUTED_VALUE"""),170.0)</f>
        <v>170</v>
      </c>
      <c r="C251" s="2">
        <f>IFERROR(__xludf.DUMMYFUNCTION("""COMPUTED_VALUE"""),170.69)</f>
        <v>170.69</v>
      </c>
      <c r="D251" s="2">
        <f>IFERROR(__xludf.DUMMYFUNCTION("""COMPUTED_VALUE"""),169.63)</f>
        <v>169.63</v>
      </c>
      <c r="E251" s="2">
        <f>IFERROR(__xludf.DUMMYFUNCTION("""COMPUTED_VALUE"""),170.1)</f>
        <v>170.1</v>
      </c>
      <c r="F251" s="2">
        <f>IFERROR(__xludf.DUMMYFUNCTION("""COMPUTED_VALUE"""),6435102.0)</f>
        <v>6435102</v>
      </c>
    </row>
    <row r="252">
      <c r="A252" s="3">
        <f>IFERROR(__xludf.DUMMYFUNCTION("""COMPUTED_VALUE"""),45293.66666666667)</f>
        <v>45293.66667</v>
      </c>
      <c r="B252" s="2">
        <f>IFERROR(__xludf.DUMMYFUNCTION("""COMPUTED_VALUE"""),169.09)</f>
        <v>169.09</v>
      </c>
      <c r="C252" s="2">
        <f>IFERROR(__xludf.DUMMYFUNCTION("""COMPUTED_VALUE"""),172.17)</f>
        <v>172.17</v>
      </c>
      <c r="D252" s="2">
        <f>IFERROR(__xludf.DUMMYFUNCTION("""COMPUTED_VALUE"""),168.91)</f>
        <v>168.91</v>
      </c>
      <c r="E252" s="2">
        <f>IFERROR(__xludf.DUMMYFUNCTION("""COMPUTED_VALUE"""),172.08)</f>
        <v>172.08</v>
      </c>
      <c r="F252" s="2">
        <f>IFERROR(__xludf.DUMMYFUNCTION("""COMPUTED_VALUE"""),9977424.0)</f>
        <v>9977424</v>
      </c>
    </row>
    <row r="253">
      <c r="A253" s="3">
        <f>IFERROR(__xludf.DUMMYFUNCTION("""COMPUTED_VALUE"""),45294.66666666667)</f>
        <v>45294.66667</v>
      </c>
      <c r="B253" s="2">
        <f>IFERROR(__xludf.DUMMYFUNCTION("""COMPUTED_VALUE"""),171.86)</f>
        <v>171.86</v>
      </c>
      <c r="C253" s="2">
        <f>IFERROR(__xludf.DUMMYFUNCTION("""COMPUTED_VALUE"""),172.04)</f>
        <v>172.04</v>
      </c>
      <c r="D253" s="2">
        <f>IFERROR(__xludf.DUMMYFUNCTION("""COMPUTED_VALUE"""),170.37)</f>
        <v>170.37</v>
      </c>
      <c r="E253" s="2">
        <f>IFERROR(__xludf.DUMMYFUNCTION("""COMPUTED_VALUE"""),171.33)</f>
        <v>171.33</v>
      </c>
      <c r="F253" s="2">
        <f>IFERROR(__xludf.DUMMYFUNCTION("""COMPUTED_VALUE"""),9852335.0)</f>
        <v>9852335</v>
      </c>
    </row>
    <row r="254">
      <c r="A254" s="3">
        <f>IFERROR(__xludf.DUMMYFUNCTION("""COMPUTED_VALUE"""),45295.66666666667)</f>
        <v>45295.66667</v>
      </c>
      <c r="B254" s="2">
        <f>IFERROR(__xludf.DUMMYFUNCTION("""COMPUTED_VALUE"""),170.64)</f>
        <v>170.64</v>
      </c>
      <c r="C254" s="2">
        <f>IFERROR(__xludf.DUMMYFUNCTION("""COMPUTED_VALUE"""),173.35)</f>
        <v>173.35</v>
      </c>
      <c r="D254" s="2">
        <f>IFERROR(__xludf.DUMMYFUNCTION("""COMPUTED_VALUE"""),170.54)</f>
        <v>170.54</v>
      </c>
      <c r="E254" s="2">
        <f>IFERROR(__xludf.DUMMYFUNCTION("""COMPUTED_VALUE"""),171.41)</f>
        <v>171.41</v>
      </c>
      <c r="F254" s="2">
        <f>IFERROR(__xludf.DUMMYFUNCTION("""COMPUTED_VALUE"""),1.1972545E7)</f>
        <v>11972545</v>
      </c>
    </row>
    <row r="255">
      <c r="A255" s="3">
        <f>IFERROR(__xludf.DUMMYFUNCTION("""COMPUTED_VALUE"""),45296.66666666667)</f>
        <v>45296.66667</v>
      </c>
      <c r="B255" s="2">
        <f>IFERROR(__xludf.DUMMYFUNCTION("""COMPUTED_VALUE"""),171.47)</f>
        <v>171.47</v>
      </c>
      <c r="C255" s="2">
        <f>IFERROR(__xludf.DUMMYFUNCTION("""COMPUTED_VALUE"""),173.38)</f>
        <v>173.38</v>
      </c>
      <c r="D255" s="2">
        <f>IFERROR(__xludf.DUMMYFUNCTION("""COMPUTED_VALUE"""),171.47)</f>
        <v>171.47</v>
      </c>
      <c r="E255" s="2">
        <f>IFERROR(__xludf.DUMMYFUNCTION("""COMPUTED_VALUE"""),172.27)</f>
        <v>172.27</v>
      </c>
      <c r="F255" s="2">
        <f>IFERROR(__xludf.DUMMYFUNCTION("""COMPUTED_VALUE"""),1.0066029E7)</f>
        <v>10066029</v>
      </c>
    </row>
    <row r="256">
      <c r="A256" s="3">
        <f>IFERROR(__xludf.DUMMYFUNCTION("""COMPUTED_VALUE"""),45299.66666666667)</f>
        <v>45299.66667</v>
      </c>
      <c r="B256" s="2">
        <f>IFERROR(__xludf.DUMMYFUNCTION("""COMPUTED_VALUE"""),172.02)</f>
        <v>172.02</v>
      </c>
      <c r="C256" s="2">
        <f>IFERROR(__xludf.DUMMYFUNCTION("""COMPUTED_VALUE"""),172.36)</f>
        <v>172.36</v>
      </c>
      <c r="D256" s="2">
        <f>IFERROR(__xludf.DUMMYFUNCTION("""COMPUTED_VALUE"""),169.49)</f>
        <v>169.49</v>
      </c>
      <c r="E256" s="2">
        <f>IFERROR(__xludf.DUMMYFUNCTION("""COMPUTED_VALUE"""),172.02)</f>
        <v>172.02</v>
      </c>
      <c r="F256" s="2">
        <f>IFERROR(__xludf.DUMMYFUNCTION("""COMPUTED_VALUE"""),1.1229916E7)</f>
        <v>11229916</v>
      </c>
    </row>
    <row r="257">
      <c r="A257" s="3">
        <f>IFERROR(__xludf.DUMMYFUNCTION("""COMPUTED_VALUE"""),45300.66666666667)</f>
        <v>45300.66667</v>
      </c>
      <c r="B257" s="2">
        <f>IFERROR(__xludf.DUMMYFUNCTION("""COMPUTED_VALUE"""),171.62)</f>
        <v>171.62</v>
      </c>
      <c r="C257" s="2">
        <f>IFERROR(__xludf.DUMMYFUNCTION("""COMPUTED_VALUE"""),171.79)</f>
        <v>171.79</v>
      </c>
      <c r="D257" s="2">
        <f>IFERROR(__xludf.DUMMYFUNCTION("""COMPUTED_VALUE"""),170.1)</f>
        <v>170.1</v>
      </c>
      <c r="E257" s="2">
        <f>IFERROR(__xludf.DUMMYFUNCTION("""COMPUTED_VALUE"""),170.66)</f>
        <v>170.66</v>
      </c>
      <c r="F257" s="2">
        <f>IFERROR(__xludf.DUMMYFUNCTION("""COMPUTED_VALUE"""),9923630.0)</f>
        <v>9923630</v>
      </c>
    </row>
    <row r="258">
      <c r="A258" s="3">
        <f>IFERROR(__xludf.DUMMYFUNCTION("""COMPUTED_VALUE"""),45301.66666666667)</f>
        <v>45301.66667</v>
      </c>
      <c r="B258" s="2">
        <f>IFERROR(__xludf.DUMMYFUNCTION("""COMPUTED_VALUE"""),170.0)</f>
        <v>170</v>
      </c>
      <c r="C258" s="2">
        <f>IFERROR(__xludf.DUMMYFUNCTION("""COMPUTED_VALUE"""),171.08)</f>
        <v>171.08</v>
      </c>
      <c r="D258" s="2">
        <f>IFERROR(__xludf.DUMMYFUNCTION("""COMPUTED_VALUE"""),168.95)</f>
        <v>168.95</v>
      </c>
      <c r="E258" s="2">
        <f>IFERROR(__xludf.DUMMYFUNCTION("""COMPUTED_VALUE"""),171.02)</f>
        <v>171.02</v>
      </c>
      <c r="F258" s="2">
        <f>IFERROR(__xludf.DUMMYFUNCTION("""COMPUTED_VALUE"""),9670218.0)</f>
        <v>9670218</v>
      </c>
    </row>
    <row r="259">
      <c r="A259" s="3">
        <f>IFERROR(__xludf.DUMMYFUNCTION("""COMPUTED_VALUE"""),45302.66666666667)</f>
        <v>45302.66667</v>
      </c>
      <c r="B259" s="2">
        <f>IFERROR(__xludf.DUMMYFUNCTION("""COMPUTED_VALUE"""),170.33)</f>
        <v>170.33</v>
      </c>
      <c r="C259" s="2">
        <f>IFERROR(__xludf.DUMMYFUNCTION("""COMPUTED_VALUE"""),170.36)</f>
        <v>170.36</v>
      </c>
      <c r="D259" s="2">
        <f>IFERROR(__xludf.DUMMYFUNCTION("""COMPUTED_VALUE"""),168.64)</f>
        <v>168.64</v>
      </c>
      <c r="E259" s="2">
        <f>IFERROR(__xludf.DUMMYFUNCTION("""COMPUTED_VALUE"""),170.3)</f>
        <v>170.3</v>
      </c>
      <c r="F259" s="2">
        <f>IFERROR(__xludf.DUMMYFUNCTION("""COMPUTED_VALUE"""),1.1919498E7)</f>
        <v>11919498</v>
      </c>
    </row>
    <row r="260">
      <c r="A260" s="3">
        <f>IFERROR(__xludf.DUMMYFUNCTION("""COMPUTED_VALUE"""),45303.66666666667)</f>
        <v>45303.66667</v>
      </c>
      <c r="B260" s="2">
        <f>IFERROR(__xludf.DUMMYFUNCTION("""COMPUTED_VALUE"""),173.8)</f>
        <v>173.8</v>
      </c>
      <c r="C260" s="2">
        <f>IFERROR(__xludf.DUMMYFUNCTION("""COMPUTED_VALUE"""),176.31)</f>
        <v>176.31</v>
      </c>
      <c r="D260" s="2">
        <f>IFERROR(__xludf.DUMMYFUNCTION("""COMPUTED_VALUE"""),168.9)</f>
        <v>168.9</v>
      </c>
      <c r="E260" s="2">
        <f>IFERROR(__xludf.DUMMYFUNCTION("""COMPUTED_VALUE"""),169.05)</f>
        <v>169.05</v>
      </c>
      <c r="F260" s="2">
        <f>IFERROR(__xludf.DUMMYFUNCTION("""COMPUTED_VALUE"""),1.9436504E7)</f>
        <v>19436504</v>
      </c>
    </row>
    <row r="261">
      <c r="A261" s="3">
        <f>IFERROR(__xludf.DUMMYFUNCTION("""COMPUTED_VALUE"""),45307.66666666667)</f>
        <v>45307.66667</v>
      </c>
      <c r="B261" s="2">
        <f>IFERROR(__xludf.DUMMYFUNCTION("""COMPUTED_VALUE"""),164.87)</f>
        <v>164.87</v>
      </c>
      <c r="C261" s="2">
        <f>IFERROR(__xludf.DUMMYFUNCTION("""COMPUTED_VALUE"""),168.09)</f>
        <v>168.09</v>
      </c>
      <c r="D261" s="2">
        <f>IFERROR(__xludf.DUMMYFUNCTION("""COMPUTED_VALUE"""),164.3)</f>
        <v>164.3</v>
      </c>
      <c r="E261" s="2">
        <f>IFERROR(__xludf.DUMMYFUNCTION("""COMPUTED_VALUE"""),167.99)</f>
        <v>167.99</v>
      </c>
      <c r="F261" s="2">
        <f>IFERROR(__xludf.DUMMYFUNCTION("""COMPUTED_VALUE"""),1.720642E7)</f>
        <v>17206420</v>
      </c>
    </row>
    <row r="262">
      <c r="A262" s="3">
        <f>IFERROR(__xludf.DUMMYFUNCTION("""COMPUTED_VALUE"""),45308.66666666667)</f>
        <v>45308.66667</v>
      </c>
      <c r="B262" s="2">
        <f>IFERROR(__xludf.DUMMYFUNCTION("""COMPUTED_VALUE"""),167.34)</f>
        <v>167.34</v>
      </c>
      <c r="C262" s="2">
        <f>IFERROR(__xludf.DUMMYFUNCTION("""COMPUTED_VALUE"""),169.07)</f>
        <v>169.07</v>
      </c>
      <c r="D262" s="2">
        <f>IFERROR(__xludf.DUMMYFUNCTION("""COMPUTED_VALUE"""),166.49)</f>
        <v>166.49</v>
      </c>
      <c r="E262" s="2">
        <f>IFERROR(__xludf.DUMMYFUNCTION("""COMPUTED_VALUE"""),167.09)</f>
        <v>167.09</v>
      </c>
      <c r="F262" s="2">
        <f>IFERROR(__xludf.DUMMYFUNCTION("""COMPUTED_VALUE"""),1.1107466E7)</f>
        <v>11107466</v>
      </c>
    </row>
    <row r="263">
      <c r="A263" s="3">
        <f>IFERROR(__xludf.DUMMYFUNCTION("""COMPUTED_VALUE"""),45309.66666666667)</f>
        <v>45309.66667</v>
      </c>
      <c r="B263" s="2">
        <f>IFERROR(__xludf.DUMMYFUNCTION("""COMPUTED_VALUE"""),167.12)</f>
        <v>167.12</v>
      </c>
      <c r="C263" s="2">
        <f>IFERROR(__xludf.DUMMYFUNCTION("""COMPUTED_VALUE"""),167.53)</f>
        <v>167.53</v>
      </c>
      <c r="D263" s="2">
        <f>IFERROR(__xludf.DUMMYFUNCTION("""COMPUTED_VALUE"""),165.24)</f>
        <v>165.24</v>
      </c>
      <c r="E263" s="2">
        <f>IFERROR(__xludf.DUMMYFUNCTION("""COMPUTED_VALUE"""),167.42)</f>
        <v>167.42</v>
      </c>
      <c r="F263" s="2">
        <f>IFERROR(__xludf.DUMMYFUNCTION("""COMPUTED_VALUE"""),9382255.0)</f>
        <v>9382255</v>
      </c>
    </row>
    <row r="264">
      <c r="A264" s="3">
        <f>IFERROR(__xludf.DUMMYFUNCTION("""COMPUTED_VALUE"""),45310.66666666667)</f>
        <v>45310.66667</v>
      </c>
      <c r="B264" s="2">
        <f>IFERROR(__xludf.DUMMYFUNCTION("""COMPUTED_VALUE"""),167.55)</f>
        <v>167.55</v>
      </c>
      <c r="C264" s="2">
        <f>IFERROR(__xludf.DUMMYFUNCTION("""COMPUTED_VALUE"""),170.57)</f>
        <v>170.57</v>
      </c>
      <c r="D264" s="2">
        <f>IFERROR(__xludf.DUMMYFUNCTION("""COMPUTED_VALUE"""),167.08)</f>
        <v>167.08</v>
      </c>
      <c r="E264" s="2">
        <f>IFERROR(__xludf.DUMMYFUNCTION("""COMPUTED_VALUE"""),170.31)</f>
        <v>170.31</v>
      </c>
      <c r="F264" s="2">
        <f>IFERROR(__xludf.DUMMYFUNCTION("""COMPUTED_VALUE"""),1.3115664E7)</f>
        <v>13115664</v>
      </c>
    </row>
    <row r="265">
      <c r="A265" s="3">
        <f>IFERROR(__xludf.DUMMYFUNCTION("""COMPUTED_VALUE"""),45313.66666666667)</f>
        <v>45313.66667</v>
      </c>
      <c r="B265" s="2">
        <f>IFERROR(__xludf.DUMMYFUNCTION("""COMPUTED_VALUE"""),170.46)</f>
        <v>170.46</v>
      </c>
      <c r="C265" s="2">
        <f>IFERROR(__xludf.DUMMYFUNCTION("""COMPUTED_VALUE"""),171.98)</f>
        <v>171.98</v>
      </c>
      <c r="D265" s="2">
        <f>IFERROR(__xludf.DUMMYFUNCTION("""COMPUTED_VALUE"""),169.71)</f>
        <v>169.71</v>
      </c>
      <c r="E265" s="2">
        <f>IFERROR(__xludf.DUMMYFUNCTION("""COMPUTED_VALUE"""),170.11)</f>
        <v>170.11</v>
      </c>
      <c r="F265" s="2">
        <f>IFERROR(__xludf.DUMMYFUNCTION("""COMPUTED_VALUE"""),1.2837505E7)</f>
        <v>12837505</v>
      </c>
    </row>
    <row r="266">
      <c r="A266" s="3">
        <f>IFERROR(__xludf.DUMMYFUNCTION("""COMPUTED_VALUE"""),45314.66666666667)</f>
        <v>45314.66667</v>
      </c>
      <c r="B266" s="2">
        <f>IFERROR(__xludf.DUMMYFUNCTION("""COMPUTED_VALUE"""),169.67)</f>
        <v>169.67</v>
      </c>
      <c r="C266" s="2">
        <f>IFERROR(__xludf.DUMMYFUNCTION("""COMPUTED_VALUE"""),169.75)</f>
        <v>169.75</v>
      </c>
      <c r="D266" s="2">
        <f>IFERROR(__xludf.DUMMYFUNCTION("""COMPUTED_VALUE"""),168.44)</f>
        <v>168.44</v>
      </c>
      <c r="E266" s="2">
        <f>IFERROR(__xludf.DUMMYFUNCTION("""COMPUTED_VALUE"""),168.99)</f>
        <v>168.99</v>
      </c>
      <c r="F266" s="2">
        <f>IFERROR(__xludf.DUMMYFUNCTION("""COMPUTED_VALUE"""),8360829.0)</f>
        <v>8360829</v>
      </c>
    </row>
    <row r="267">
      <c r="A267" s="3">
        <f>IFERROR(__xludf.DUMMYFUNCTION("""COMPUTED_VALUE"""),45315.66666666667)</f>
        <v>45315.66667</v>
      </c>
      <c r="B267" s="2">
        <f>IFERROR(__xludf.DUMMYFUNCTION("""COMPUTED_VALUE"""),169.36)</f>
        <v>169.36</v>
      </c>
      <c r="C267" s="2">
        <f>IFERROR(__xludf.DUMMYFUNCTION("""COMPUTED_VALUE"""),171.01)</f>
        <v>171.01</v>
      </c>
      <c r="D267" s="2">
        <f>IFERROR(__xludf.DUMMYFUNCTION("""COMPUTED_VALUE"""),168.86)</f>
        <v>168.86</v>
      </c>
      <c r="E267" s="2">
        <f>IFERROR(__xludf.DUMMYFUNCTION("""COMPUTED_VALUE"""),170.5)</f>
        <v>170.5</v>
      </c>
      <c r="F267" s="2">
        <f>IFERROR(__xludf.DUMMYFUNCTION("""COMPUTED_VALUE"""),9967060.0)</f>
        <v>9967060</v>
      </c>
    </row>
    <row r="268">
      <c r="A268" s="3">
        <f>IFERROR(__xludf.DUMMYFUNCTION("""COMPUTED_VALUE"""),45316.66666666667)</f>
        <v>45316.66667</v>
      </c>
      <c r="B268" s="2">
        <f>IFERROR(__xludf.DUMMYFUNCTION("""COMPUTED_VALUE"""),172.31)</f>
        <v>172.31</v>
      </c>
      <c r="C268" s="2">
        <f>IFERROR(__xludf.DUMMYFUNCTION("""COMPUTED_VALUE"""),172.99)</f>
        <v>172.99</v>
      </c>
      <c r="D268" s="2">
        <f>IFERROR(__xludf.DUMMYFUNCTION("""COMPUTED_VALUE"""),170.91)</f>
        <v>170.91</v>
      </c>
      <c r="E268" s="2">
        <f>IFERROR(__xludf.DUMMYFUNCTION("""COMPUTED_VALUE"""),172.94)</f>
        <v>172.94</v>
      </c>
      <c r="F268" s="2">
        <f>IFERROR(__xludf.DUMMYFUNCTION("""COMPUTED_VALUE"""),8873481.0)</f>
        <v>8873481</v>
      </c>
    </row>
    <row r="269">
      <c r="A269" s="3">
        <f>IFERROR(__xludf.DUMMYFUNCTION("""COMPUTED_VALUE"""),45317.66666666667)</f>
        <v>45317.66667</v>
      </c>
      <c r="B269" s="2">
        <f>IFERROR(__xludf.DUMMYFUNCTION("""COMPUTED_VALUE"""),172.61)</f>
        <v>172.61</v>
      </c>
      <c r="C269" s="2">
        <f>IFERROR(__xludf.DUMMYFUNCTION("""COMPUTED_VALUE"""),173.06)</f>
        <v>173.06</v>
      </c>
      <c r="D269" s="2">
        <f>IFERROR(__xludf.DUMMYFUNCTION("""COMPUTED_VALUE"""),171.78)</f>
        <v>171.78</v>
      </c>
      <c r="E269" s="2">
        <f>IFERROR(__xludf.DUMMYFUNCTION("""COMPUTED_VALUE"""),172.28)</f>
        <v>172.28</v>
      </c>
      <c r="F269" s="2">
        <f>IFERROR(__xludf.DUMMYFUNCTION("""COMPUTED_VALUE"""),7442955.0)</f>
        <v>7442955</v>
      </c>
    </row>
    <row r="270">
      <c r="A270" s="3">
        <f>IFERROR(__xludf.DUMMYFUNCTION("""COMPUTED_VALUE"""),45320.66666666667)</f>
        <v>45320.66667</v>
      </c>
      <c r="B270" s="2">
        <f>IFERROR(__xludf.DUMMYFUNCTION("""COMPUTED_VALUE"""),172.24)</f>
        <v>172.24</v>
      </c>
      <c r="C270" s="2">
        <f>IFERROR(__xludf.DUMMYFUNCTION("""COMPUTED_VALUE"""),172.84)</f>
        <v>172.84</v>
      </c>
      <c r="D270" s="2">
        <f>IFERROR(__xludf.DUMMYFUNCTION("""COMPUTED_VALUE"""),171.3)</f>
        <v>171.3</v>
      </c>
      <c r="E270" s="2">
        <f>IFERROR(__xludf.DUMMYFUNCTION("""COMPUTED_VALUE"""),172.73)</f>
        <v>172.73</v>
      </c>
      <c r="F270" s="2">
        <f>IFERROR(__xludf.DUMMYFUNCTION("""COMPUTED_VALUE"""),6971192.0)</f>
        <v>6971192</v>
      </c>
    </row>
    <row r="271">
      <c r="A271" s="3">
        <f>IFERROR(__xludf.DUMMYFUNCTION("""COMPUTED_VALUE"""),45321.66666666667)</f>
        <v>45321.66667</v>
      </c>
      <c r="B271" s="2">
        <f>IFERROR(__xludf.DUMMYFUNCTION("""COMPUTED_VALUE"""),172.83)</f>
        <v>172.83</v>
      </c>
      <c r="C271" s="2">
        <f>IFERROR(__xludf.DUMMYFUNCTION("""COMPUTED_VALUE"""),176.76)</f>
        <v>176.76</v>
      </c>
      <c r="D271" s="2">
        <f>IFERROR(__xludf.DUMMYFUNCTION("""COMPUTED_VALUE"""),172.83)</f>
        <v>172.83</v>
      </c>
      <c r="E271" s="2">
        <f>IFERROR(__xludf.DUMMYFUNCTION("""COMPUTED_VALUE"""),176.27)</f>
        <v>176.27</v>
      </c>
      <c r="F271" s="2">
        <f>IFERROR(__xludf.DUMMYFUNCTION("""COMPUTED_VALUE"""),1.0822075E7)</f>
        <v>10822075</v>
      </c>
    </row>
    <row r="272">
      <c r="A272" s="3">
        <f>IFERROR(__xludf.DUMMYFUNCTION("""COMPUTED_VALUE"""),45322.66666666667)</f>
        <v>45322.66667</v>
      </c>
      <c r="B272" s="2">
        <f>IFERROR(__xludf.DUMMYFUNCTION("""COMPUTED_VALUE"""),176.2)</f>
        <v>176.2</v>
      </c>
      <c r="C272" s="2">
        <f>IFERROR(__xludf.DUMMYFUNCTION("""COMPUTED_VALUE"""),178.3)</f>
        <v>178.3</v>
      </c>
      <c r="D272" s="2">
        <f>IFERROR(__xludf.DUMMYFUNCTION("""COMPUTED_VALUE"""),174.34)</f>
        <v>174.34</v>
      </c>
      <c r="E272" s="2">
        <f>IFERROR(__xludf.DUMMYFUNCTION("""COMPUTED_VALUE"""),174.36)</f>
        <v>174.36</v>
      </c>
      <c r="F272" s="2">
        <f>IFERROR(__xludf.DUMMYFUNCTION("""COMPUTED_VALUE"""),1.152182E7)</f>
        <v>11521820</v>
      </c>
    </row>
    <row r="273">
      <c r="A273" s="3">
        <f>IFERROR(__xludf.DUMMYFUNCTION("""COMPUTED_VALUE"""),45323.66666666667)</f>
        <v>45323.66667</v>
      </c>
      <c r="B273" s="2">
        <f>IFERROR(__xludf.DUMMYFUNCTION("""COMPUTED_VALUE"""),173.64)</f>
        <v>173.64</v>
      </c>
      <c r="C273" s="2">
        <f>IFERROR(__xludf.DUMMYFUNCTION("""COMPUTED_VALUE"""),174.84)</f>
        <v>174.84</v>
      </c>
      <c r="D273" s="2">
        <f>IFERROR(__xludf.DUMMYFUNCTION("""COMPUTED_VALUE"""),171.43)</f>
        <v>171.43</v>
      </c>
      <c r="E273" s="2">
        <f>IFERROR(__xludf.DUMMYFUNCTION("""COMPUTED_VALUE"""),173.73)</f>
        <v>173.73</v>
      </c>
      <c r="F273" s="2">
        <f>IFERROR(__xludf.DUMMYFUNCTION("""COMPUTED_VALUE"""),9354798.0)</f>
        <v>9354798</v>
      </c>
    </row>
    <row r="274">
      <c r="A274" s="3">
        <f>IFERROR(__xludf.DUMMYFUNCTION("""COMPUTED_VALUE"""),45324.66666666667)</f>
        <v>45324.66667</v>
      </c>
      <c r="B274" s="2">
        <f>IFERROR(__xludf.DUMMYFUNCTION("""COMPUTED_VALUE"""),173.3)</f>
        <v>173.3</v>
      </c>
      <c r="C274" s="2">
        <f>IFERROR(__xludf.DUMMYFUNCTION("""COMPUTED_VALUE"""),175.82)</f>
        <v>175.82</v>
      </c>
      <c r="D274" s="2">
        <f>IFERROR(__xludf.DUMMYFUNCTION("""COMPUTED_VALUE"""),173.26)</f>
        <v>173.26</v>
      </c>
      <c r="E274" s="2">
        <f>IFERROR(__xludf.DUMMYFUNCTION("""COMPUTED_VALUE"""),174.73)</f>
        <v>174.73</v>
      </c>
      <c r="F274" s="2">
        <f>IFERROR(__xludf.DUMMYFUNCTION("""COMPUTED_VALUE"""),8607839.0)</f>
        <v>8607839</v>
      </c>
    </row>
    <row r="275">
      <c r="A275" s="3">
        <f>IFERROR(__xludf.DUMMYFUNCTION("""COMPUTED_VALUE"""),45327.66666666667)</f>
        <v>45327.66667</v>
      </c>
      <c r="B275" s="2">
        <f>IFERROR(__xludf.DUMMYFUNCTION("""COMPUTED_VALUE"""),173.86)</f>
        <v>173.86</v>
      </c>
      <c r="C275" s="2">
        <f>IFERROR(__xludf.DUMMYFUNCTION("""COMPUTED_VALUE"""),175.09)</f>
        <v>175.09</v>
      </c>
      <c r="D275" s="2">
        <f>IFERROR(__xludf.DUMMYFUNCTION("""COMPUTED_VALUE"""),172.92)</f>
        <v>172.92</v>
      </c>
      <c r="E275" s="2">
        <f>IFERROR(__xludf.DUMMYFUNCTION("""COMPUTED_VALUE"""),174.5)</f>
        <v>174.5</v>
      </c>
      <c r="F275" s="2">
        <f>IFERROR(__xludf.DUMMYFUNCTION("""COMPUTED_VALUE"""),7820160.0)</f>
        <v>7820160</v>
      </c>
    </row>
    <row r="276">
      <c r="A276" s="3">
        <f>IFERROR(__xludf.DUMMYFUNCTION("""COMPUTED_VALUE"""),45328.66666666667)</f>
        <v>45328.66667</v>
      </c>
      <c r="B276" s="2">
        <f>IFERROR(__xludf.DUMMYFUNCTION("""COMPUTED_VALUE"""),174.61)</f>
        <v>174.61</v>
      </c>
      <c r="C276" s="2">
        <f>IFERROR(__xludf.DUMMYFUNCTION("""COMPUTED_VALUE"""),175.87)</f>
        <v>175.87</v>
      </c>
      <c r="D276" s="2">
        <f>IFERROR(__xludf.DUMMYFUNCTION("""COMPUTED_VALUE"""),173.76)</f>
        <v>173.76</v>
      </c>
      <c r="E276" s="2">
        <f>IFERROR(__xludf.DUMMYFUNCTION("""COMPUTED_VALUE"""),175.1)</f>
        <v>175.1</v>
      </c>
      <c r="F276" s="2">
        <f>IFERROR(__xludf.DUMMYFUNCTION("""COMPUTED_VALUE"""),6765684.0)</f>
        <v>6765684</v>
      </c>
    </row>
    <row r="277">
      <c r="A277" s="3">
        <f>IFERROR(__xludf.DUMMYFUNCTION("""COMPUTED_VALUE"""),45329.66666666667)</f>
        <v>45329.66667</v>
      </c>
      <c r="B277" s="2">
        <f>IFERROR(__xludf.DUMMYFUNCTION("""COMPUTED_VALUE"""),175.69)</f>
        <v>175.69</v>
      </c>
      <c r="C277" s="2">
        <f>IFERROR(__xludf.DUMMYFUNCTION("""COMPUTED_VALUE"""),175.87)</f>
        <v>175.87</v>
      </c>
      <c r="D277" s="2">
        <f>IFERROR(__xludf.DUMMYFUNCTION("""COMPUTED_VALUE"""),173.96)</f>
        <v>173.96</v>
      </c>
      <c r="E277" s="2">
        <f>IFERROR(__xludf.DUMMYFUNCTION("""COMPUTED_VALUE"""),175.43)</f>
        <v>175.43</v>
      </c>
      <c r="F277" s="2">
        <f>IFERROR(__xludf.DUMMYFUNCTION("""COMPUTED_VALUE"""),7225478.0)</f>
        <v>7225478</v>
      </c>
    </row>
    <row r="278">
      <c r="A278" s="3">
        <f>IFERROR(__xludf.DUMMYFUNCTION("""COMPUTED_VALUE"""),45330.66666666667)</f>
        <v>45330.66667</v>
      </c>
      <c r="B278" s="2">
        <f>IFERROR(__xludf.DUMMYFUNCTION("""COMPUTED_VALUE"""),175.0)</f>
        <v>175</v>
      </c>
      <c r="C278" s="2">
        <f>IFERROR(__xludf.DUMMYFUNCTION("""COMPUTED_VALUE"""),175.31)</f>
        <v>175.31</v>
      </c>
      <c r="D278" s="2">
        <f>IFERROR(__xludf.DUMMYFUNCTION("""COMPUTED_VALUE"""),173.57)</f>
        <v>173.57</v>
      </c>
      <c r="E278" s="2">
        <f>IFERROR(__xludf.DUMMYFUNCTION("""COMPUTED_VALUE"""),174.8)</f>
        <v>174.8</v>
      </c>
      <c r="F278" s="2">
        <f>IFERROR(__xludf.DUMMYFUNCTION("""COMPUTED_VALUE"""),6060285.0)</f>
        <v>6060285</v>
      </c>
    </row>
    <row r="279">
      <c r="A279" s="3">
        <f>IFERROR(__xludf.DUMMYFUNCTION("""COMPUTED_VALUE"""),45331.66666666667)</f>
        <v>45331.66667</v>
      </c>
      <c r="B279" s="2">
        <f>IFERROR(__xludf.DUMMYFUNCTION("""COMPUTED_VALUE"""),175.0)</f>
        <v>175</v>
      </c>
      <c r="C279" s="2">
        <f>IFERROR(__xludf.DUMMYFUNCTION("""COMPUTED_VALUE"""),175.1)</f>
        <v>175.1</v>
      </c>
      <c r="D279" s="2">
        <f>IFERROR(__xludf.DUMMYFUNCTION("""COMPUTED_VALUE"""),173.67)</f>
        <v>173.67</v>
      </c>
      <c r="E279" s="2">
        <f>IFERROR(__xludf.DUMMYFUNCTION("""COMPUTED_VALUE"""),175.01)</f>
        <v>175.01</v>
      </c>
      <c r="F279" s="2">
        <f>IFERROR(__xludf.DUMMYFUNCTION("""COMPUTED_VALUE"""),6296729.0)</f>
        <v>6296729</v>
      </c>
    </row>
    <row r="280">
      <c r="A280" s="3">
        <f>IFERROR(__xludf.DUMMYFUNCTION("""COMPUTED_VALUE"""),45334.66666666667)</f>
        <v>45334.66667</v>
      </c>
      <c r="B280" s="2">
        <f>IFERROR(__xludf.DUMMYFUNCTION("""COMPUTED_VALUE"""),174.78)</f>
        <v>174.78</v>
      </c>
      <c r="C280" s="2">
        <f>IFERROR(__xludf.DUMMYFUNCTION("""COMPUTED_VALUE"""),176.81)</f>
        <v>176.81</v>
      </c>
      <c r="D280" s="2">
        <f>IFERROR(__xludf.DUMMYFUNCTION("""COMPUTED_VALUE"""),173.7)</f>
        <v>173.7</v>
      </c>
      <c r="E280" s="2">
        <f>IFERROR(__xludf.DUMMYFUNCTION("""COMPUTED_VALUE"""),175.79)</f>
        <v>175.79</v>
      </c>
      <c r="F280" s="2">
        <f>IFERROR(__xludf.DUMMYFUNCTION("""COMPUTED_VALUE"""),8539316.0)</f>
        <v>8539316</v>
      </c>
    </row>
    <row r="281">
      <c r="A281" s="3">
        <f>IFERROR(__xludf.DUMMYFUNCTION("""COMPUTED_VALUE"""),45335.66666666667)</f>
        <v>45335.66667</v>
      </c>
      <c r="B281" s="2">
        <f>IFERROR(__xludf.DUMMYFUNCTION("""COMPUTED_VALUE"""),175.32)</f>
        <v>175.32</v>
      </c>
      <c r="C281" s="2">
        <f>IFERROR(__xludf.DUMMYFUNCTION("""COMPUTED_VALUE"""),176.23)</f>
        <v>176.23</v>
      </c>
      <c r="D281" s="2">
        <f>IFERROR(__xludf.DUMMYFUNCTION("""COMPUTED_VALUE"""),172.62)</f>
        <v>172.62</v>
      </c>
      <c r="E281" s="2">
        <f>IFERROR(__xludf.DUMMYFUNCTION("""COMPUTED_VALUE"""),174.26)</f>
        <v>174.26</v>
      </c>
      <c r="F281" s="2">
        <f>IFERROR(__xludf.DUMMYFUNCTION("""COMPUTED_VALUE"""),8397631.0)</f>
        <v>8397631</v>
      </c>
    </row>
    <row r="282">
      <c r="A282" s="3">
        <f>IFERROR(__xludf.DUMMYFUNCTION("""COMPUTED_VALUE"""),45336.66666666667)</f>
        <v>45336.66667</v>
      </c>
      <c r="B282" s="2">
        <f>IFERROR(__xludf.DUMMYFUNCTION("""COMPUTED_VALUE"""),175.07)</f>
        <v>175.07</v>
      </c>
      <c r="C282" s="2">
        <f>IFERROR(__xludf.DUMMYFUNCTION("""COMPUTED_VALUE"""),176.1)</f>
        <v>176.1</v>
      </c>
      <c r="D282" s="2">
        <f>IFERROR(__xludf.DUMMYFUNCTION("""COMPUTED_VALUE"""),174.42)</f>
        <v>174.42</v>
      </c>
      <c r="E282" s="2">
        <f>IFERROR(__xludf.DUMMYFUNCTION("""COMPUTED_VALUE"""),176.03)</f>
        <v>176.03</v>
      </c>
      <c r="F282" s="2">
        <f>IFERROR(__xludf.DUMMYFUNCTION("""COMPUTED_VALUE"""),7056664.0)</f>
        <v>7056664</v>
      </c>
    </row>
    <row r="283">
      <c r="A283" s="3">
        <f>IFERROR(__xludf.DUMMYFUNCTION("""COMPUTED_VALUE"""),45337.66666666667)</f>
        <v>45337.66667</v>
      </c>
      <c r="B283" s="2">
        <f>IFERROR(__xludf.DUMMYFUNCTION("""COMPUTED_VALUE"""),176.15)</f>
        <v>176.15</v>
      </c>
      <c r="C283" s="2">
        <f>IFERROR(__xludf.DUMMYFUNCTION("""COMPUTED_VALUE"""),180.21)</f>
        <v>180.21</v>
      </c>
      <c r="D283" s="2">
        <f>IFERROR(__xludf.DUMMYFUNCTION("""COMPUTED_VALUE"""),176.15)</f>
        <v>176.15</v>
      </c>
      <c r="E283" s="2">
        <f>IFERROR(__xludf.DUMMYFUNCTION("""COMPUTED_VALUE"""),179.87)</f>
        <v>179.87</v>
      </c>
      <c r="F283" s="2">
        <f>IFERROR(__xludf.DUMMYFUNCTION("""COMPUTED_VALUE"""),8723390.0)</f>
        <v>8723390</v>
      </c>
    </row>
    <row r="284">
      <c r="A284" s="3">
        <f>IFERROR(__xludf.DUMMYFUNCTION("""COMPUTED_VALUE"""),45338.66666666667)</f>
        <v>45338.66667</v>
      </c>
      <c r="B284" s="2">
        <f>IFERROR(__xludf.DUMMYFUNCTION("""COMPUTED_VALUE"""),179.61)</f>
        <v>179.61</v>
      </c>
      <c r="C284" s="2">
        <f>IFERROR(__xludf.DUMMYFUNCTION("""COMPUTED_VALUE"""),179.98)</f>
        <v>179.98</v>
      </c>
      <c r="D284" s="2">
        <f>IFERROR(__xludf.DUMMYFUNCTION("""COMPUTED_VALUE"""),178.16)</f>
        <v>178.16</v>
      </c>
      <c r="E284" s="2">
        <f>IFERROR(__xludf.DUMMYFUNCTION("""COMPUTED_VALUE"""),179.03)</f>
        <v>179.03</v>
      </c>
      <c r="F284" s="2">
        <f>IFERROR(__xludf.DUMMYFUNCTION("""COMPUTED_VALUE"""),8152647.0)</f>
        <v>8152647</v>
      </c>
    </row>
    <row r="285">
      <c r="A285" s="3">
        <f>IFERROR(__xludf.DUMMYFUNCTION("""COMPUTED_VALUE"""),45342.66666666667)</f>
        <v>45342.66667</v>
      </c>
      <c r="B285" s="2">
        <f>IFERROR(__xludf.DUMMYFUNCTION("""COMPUTED_VALUE"""),179.19)</f>
        <v>179.19</v>
      </c>
      <c r="C285" s="2">
        <f>IFERROR(__xludf.DUMMYFUNCTION("""COMPUTED_VALUE"""),180.46)</f>
        <v>180.46</v>
      </c>
      <c r="D285" s="2">
        <f>IFERROR(__xludf.DUMMYFUNCTION("""COMPUTED_VALUE"""),178.41)</f>
        <v>178.41</v>
      </c>
      <c r="E285" s="2">
        <f>IFERROR(__xludf.DUMMYFUNCTION("""COMPUTED_VALUE"""),179.73)</f>
        <v>179.73</v>
      </c>
      <c r="F285" s="2">
        <f>IFERROR(__xludf.DUMMYFUNCTION("""COMPUTED_VALUE"""),9667959.0)</f>
        <v>9667959</v>
      </c>
    </row>
    <row r="286">
      <c r="A286" s="3">
        <f>IFERROR(__xludf.DUMMYFUNCTION("""COMPUTED_VALUE"""),45343.66666666667)</f>
        <v>45343.66667</v>
      </c>
      <c r="B286" s="2">
        <f>IFERROR(__xludf.DUMMYFUNCTION("""COMPUTED_VALUE"""),179.95)</f>
        <v>179.95</v>
      </c>
      <c r="C286" s="2">
        <f>IFERROR(__xludf.DUMMYFUNCTION("""COMPUTED_VALUE"""),180.99)</f>
        <v>180.99</v>
      </c>
      <c r="D286" s="2">
        <f>IFERROR(__xludf.DUMMYFUNCTION("""COMPUTED_VALUE"""),178.52)</f>
        <v>178.52</v>
      </c>
      <c r="E286" s="2">
        <f>IFERROR(__xludf.DUMMYFUNCTION("""COMPUTED_VALUE"""),180.9)</f>
        <v>180.9</v>
      </c>
      <c r="F286" s="2">
        <f>IFERROR(__xludf.DUMMYFUNCTION("""COMPUTED_VALUE"""),7027857.0)</f>
        <v>7027857</v>
      </c>
    </row>
    <row r="287">
      <c r="A287" s="3">
        <f>IFERROR(__xludf.DUMMYFUNCTION("""COMPUTED_VALUE"""),45344.66666666667)</f>
        <v>45344.66667</v>
      </c>
      <c r="B287" s="2">
        <f>IFERROR(__xludf.DUMMYFUNCTION("""COMPUTED_VALUE"""),181.82)</f>
        <v>181.82</v>
      </c>
      <c r="C287" s="2">
        <f>IFERROR(__xludf.DUMMYFUNCTION("""COMPUTED_VALUE"""),183.42)</f>
        <v>183.42</v>
      </c>
      <c r="D287" s="2">
        <f>IFERROR(__xludf.DUMMYFUNCTION("""COMPUTED_VALUE"""),181.24)</f>
        <v>181.24</v>
      </c>
      <c r="E287" s="2">
        <f>IFERROR(__xludf.DUMMYFUNCTION("""COMPUTED_VALUE"""),183.07)</f>
        <v>183.07</v>
      </c>
      <c r="F287" s="2">
        <f>IFERROR(__xludf.DUMMYFUNCTION("""COMPUTED_VALUE"""),9296459.0)</f>
        <v>9296459</v>
      </c>
    </row>
    <row r="288">
      <c r="A288" s="3">
        <f>IFERROR(__xludf.DUMMYFUNCTION("""COMPUTED_VALUE"""),45345.66666666667)</f>
        <v>45345.66667</v>
      </c>
      <c r="B288" s="2">
        <f>IFERROR(__xludf.DUMMYFUNCTION("""COMPUTED_VALUE"""),183.81)</f>
        <v>183.81</v>
      </c>
      <c r="C288" s="2">
        <f>IFERROR(__xludf.DUMMYFUNCTION("""COMPUTED_VALUE"""),185.2)</f>
        <v>185.2</v>
      </c>
      <c r="D288" s="2">
        <f>IFERROR(__xludf.DUMMYFUNCTION("""COMPUTED_VALUE"""),183.19)</f>
        <v>183.19</v>
      </c>
      <c r="E288" s="2">
        <f>IFERROR(__xludf.DUMMYFUNCTION("""COMPUTED_VALUE"""),183.99)</f>
        <v>183.99</v>
      </c>
      <c r="F288" s="2">
        <f>IFERROR(__xludf.DUMMYFUNCTION("""COMPUTED_VALUE"""),7105833.0)</f>
        <v>7105833</v>
      </c>
    </row>
    <row r="289">
      <c r="A289" s="3">
        <f>IFERROR(__xludf.DUMMYFUNCTION("""COMPUTED_VALUE"""),45348.66666666667)</f>
        <v>45348.66667</v>
      </c>
      <c r="B289" s="2">
        <f>IFERROR(__xludf.DUMMYFUNCTION("""COMPUTED_VALUE"""),183.75)</f>
        <v>183.75</v>
      </c>
      <c r="C289" s="2">
        <f>IFERROR(__xludf.DUMMYFUNCTION("""COMPUTED_VALUE"""),184.46)</f>
        <v>184.46</v>
      </c>
      <c r="D289" s="2">
        <f>IFERROR(__xludf.DUMMYFUNCTION("""COMPUTED_VALUE"""),182.48)</f>
        <v>182.48</v>
      </c>
      <c r="E289" s="2">
        <f>IFERROR(__xludf.DUMMYFUNCTION("""COMPUTED_VALUE"""),183.36)</f>
        <v>183.36</v>
      </c>
      <c r="F289" s="2">
        <f>IFERROR(__xludf.DUMMYFUNCTION("""COMPUTED_VALUE"""),7145391.0)</f>
        <v>7145391</v>
      </c>
    </row>
    <row r="290">
      <c r="A290" s="3">
        <f>IFERROR(__xludf.DUMMYFUNCTION("""COMPUTED_VALUE"""),45349.66666666667)</f>
        <v>45349.66667</v>
      </c>
      <c r="B290" s="2">
        <f>IFERROR(__xludf.DUMMYFUNCTION("""COMPUTED_VALUE"""),183.31)</f>
        <v>183.31</v>
      </c>
      <c r="C290" s="2">
        <f>IFERROR(__xludf.DUMMYFUNCTION("""COMPUTED_VALUE"""),183.54)</f>
        <v>183.54</v>
      </c>
      <c r="D290" s="2">
        <f>IFERROR(__xludf.DUMMYFUNCTION("""COMPUTED_VALUE"""),182.24)</f>
        <v>182.24</v>
      </c>
      <c r="E290" s="2">
        <f>IFERROR(__xludf.DUMMYFUNCTION("""COMPUTED_VALUE"""),183.45)</f>
        <v>183.45</v>
      </c>
      <c r="F290" s="2">
        <f>IFERROR(__xludf.DUMMYFUNCTION("""COMPUTED_VALUE"""),5717065.0)</f>
        <v>5717065</v>
      </c>
    </row>
    <row r="291">
      <c r="A291" s="3">
        <f>IFERROR(__xludf.DUMMYFUNCTION("""COMPUTED_VALUE"""),45350.66666666667)</f>
        <v>45350.66667</v>
      </c>
      <c r="B291" s="2">
        <f>IFERROR(__xludf.DUMMYFUNCTION("""COMPUTED_VALUE"""),183.43)</f>
        <v>183.43</v>
      </c>
      <c r="C291" s="2">
        <f>IFERROR(__xludf.DUMMYFUNCTION("""COMPUTED_VALUE"""),185.2)</f>
        <v>185.2</v>
      </c>
      <c r="D291" s="2">
        <f>IFERROR(__xludf.DUMMYFUNCTION("""COMPUTED_VALUE"""),182.96)</f>
        <v>182.96</v>
      </c>
      <c r="E291" s="2">
        <f>IFERROR(__xludf.DUMMYFUNCTION("""COMPUTED_VALUE"""),184.38)</f>
        <v>184.38</v>
      </c>
      <c r="F291" s="2">
        <f>IFERROR(__xludf.DUMMYFUNCTION("""COMPUTED_VALUE"""),6131608.0)</f>
        <v>6131608</v>
      </c>
    </row>
    <row r="292">
      <c r="A292" s="3">
        <f>IFERROR(__xludf.DUMMYFUNCTION("""COMPUTED_VALUE"""),45351.66666666667)</f>
        <v>45351.66667</v>
      </c>
      <c r="B292" s="2">
        <f>IFERROR(__xludf.DUMMYFUNCTION("""COMPUTED_VALUE"""),185.66)</f>
        <v>185.66</v>
      </c>
      <c r="C292" s="2">
        <f>IFERROR(__xludf.DUMMYFUNCTION("""COMPUTED_VALUE"""),186.43)</f>
        <v>186.43</v>
      </c>
      <c r="D292" s="2">
        <f>IFERROR(__xludf.DUMMYFUNCTION("""COMPUTED_VALUE"""),183.85)</f>
        <v>183.85</v>
      </c>
      <c r="E292" s="2">
        <f>IFERROR(__xludf.DUMMYFUNCTION("""COMPUTED_VALUE"""),186.06)</f>
        <v>186.06</v>
      </c>
      <c r="F292" s="2">
        <f>IFERROR(__xludf.DUMMYFUNCTION("""COMPUTED_VALUE"""),9643012.0)</f>
        <v>9643012</v>
      </c>
    </row>
    <row r="293">
      <c r="A293" s="3">
        <f>IFERROR(__xludf.DUMMYFUNCTION("""COMPUTED_VALUE"""),45352.66666666667)</f>
        <v>45352.66667</v>
      </c>
      <c r="B293" s="2">
        <f>IFERROR(__xludf.DUMMYFUNCTION("""COMPUTED_VALUE"""),185.7)</f>
        <v>185.7</v>
      </c>
      <c r="C293" s="2">
        <f>IFERROR(__xludf.DUMMYFUNCTION("""COMPUTED_VALUE"""),186.44)</f>
        <v>186.44</v>
      </c>
      <c r="D293" s="2">
        <f>IFERROR(__xludf.DUMMYFUNCTION("""COMPUTED_VALUE"""),185.1)</f>
        <v>185.1</v>
      </c>
      <c r="E293" s="2">
        <f>IFERROR(__xludf.DUMMYFUNCTION("""COMPUTED_VALUE"""),185.29)</f>
        <v>185.29</v>
      </c>
      <c r="F293" s="2">
        <f>IFERROR(__xludf.DUMMYFUNCTION("""COMPUTED_VALUE"""),6311996.0)</f>
        <v>6311996</v>
      </c>
    </row>
    <row r="294">
      <c r="A294" s="3">
        <f>IFERROR(__xludf.DUMMYFUNCTION("""COMPUTED_VALUE"""),45355.66666666667)</f>
        <v>45355.66667</v>
      </c>
      <c r="B294" s="2">
        <f>IFERROR(__xludf.DUMMYFUNCTION("""COMPUTED_VALUE"""),184.71)</f>
        <v>184.71</v>
      </c>
      <c r="C294" s="2">
        <f>IFERROR(__xludf.DUMMYFUNCTION("""COMPUTED_VALUE"""),187.59)</f>
        <v>187.59</v>
      </c>
      <c r="D294" s="2">
        <f>IFERROR(__xludf.DUMMYFUNCTION("""COMPUTED_VALUE"""),184.27)</f>
        <v>184.27</v>
      </c>
      <c r="E294" s="2">
        <f>IFERROR(__xludf.DUMMYFUNCTION("""COMPUTED_VALUE"""),186.68)</f>
        <v>186.68</v>
      </c>
      <c r="F294" s="2">
        <f>IFERROR(__xludf.DUMMYFUNCTION("""COMPUTED_VALUE"""),7063605.0)</f>
        <v>7063605</v>
      </c>
    </row>
    <row r="295">
      <c r="A295" s="3">
        <f>IFERROR(__xludf.DUMMYFUNCTION("""COMPUTED_VALUE"""),45356.66666666667)</f>
        <v>45356.66667</v>
      </c>
      <c r="B295" s="2">
        <f>IFERROR(__xludf.DUMMYFUNCTION("""COMPUTED_VALUE"""),186.36)</f>
        <v>186.36</v>
      </c>
      <c r="C295" s="2">
        <f>IFERROR(__xludf.DUMMYFUNCTION("""COMPUTED_VALUE"""),189.3)</f>
        <v>189.3</v>
      </c>
      <c r="D295" s="2">
        <f>IFERROR(__xludf.DUMMYFUNCTION("""COMPUTED_VALUE"""),186.36)</f>
        <v>186.36</v>
      </c>
      <c r="E295" s="2">
        <f>IFERROR(__xludf.DUMMYFUNCTION("""COMPUTED_VALUE"""),188.55)</f>
        <v>188.55</v>
      </c>
      <c r="F295" s="2">
        <f>IFERROR(__xludf.DUMMYFUNCTION("""COMPUTED_VALUE"""),6617832.0)</f>
        <v>6617832</v>
      </c>
    </row>
    <row r="296">
      <c r="A296" s="3">
        <f>IFERROR(__xludf.DUMMYFUNCTION("""COMPUTED_VALUE"""),45357.66666666667)</f>
        <v>45357.66667</v>
      </c>
      <c r="B296" s="2">
        <f>IFERROR(__xludf.DUMMYFUNCTION("""COMPUTED_VALUE"""),189.25)</f>
        <v>189.25</v>
      </c>
      <c r="C296" s="2">
        <f>IFERROR(__xludf.DUMMYFUNCTION("""COMPUTED_VALUE"""),190.07)</f>
        <v>190.07</v>
      </c>
      <c r="D296" s="2">
        <f>IFERROR(__xludf.DUMMYFUNCTION("""COMPUTED_VALUE"""),187.63)</f>
        <v>187.63</v>
      </c>
      <c r="E296" s="2">
        <f>IFERROR(__xludf.DUMMYFUNCTION("""COMPUTED_VALUE"""),189.53)</f>
        <v>189.53</v>
      </c>
      <c r="F296" s="2">
        <f>IFERROR(__xludf.DUMMYFUNCTION("""COMPUTED_VALUE"""),7572891.0)</f>
        <v>7572891</v>
      </c>
    </row>
    <row r="297">
      <c r="A297" s="3">
        <f>IFERROR(__xludf.DUMMYFUNCTION("""COMPUTED_VALUE"""),45358.66666666667)</f>
        <v>45358.66667</v>
      </c>
      <c r="B297" s="2">
        <f>IFERROR(__xludf.DUMMYFUNCTION("""COMPUTED_VALUE"""),189.91)</f>
        <v>189.91</v>
      </c>
      <c r="C297" s="2">
        <f>IFERROR(__xludf.DUMMYFUNCTION("""COMPUTED_VALUE"""),190.5)</f>
        <v>190.5</v>
      </c>
      <c r="D297" s="2">
        <f>IFERROR(__xludf.DUMMYFUNCTION("""COMPUTED_VALUE"""),186.63)</f>
        <v>186.63</v>
      </c>
      <c r="E297" s="2">
        <f>IFERROR(__xludf.DUMMYFUNCTION("""COMPUTED_VALUE"""),187.87)</f>
        <v>187.87</v>
      </c>
      <c r="F297" s="2">
        <f>IFERROR(__xludf.DUMMYFUNCTION("""COMPUTED_VALUE"""),7618277.0)</f>
        <v>7618277</v>
      </c>
    </row>
    <row r="298">
      <c r="A298" s="3">
        <f>IFERROR(__xludf.DUMMYFUNCTION("""COMPUTED_VALUE"""),45359.66666666667)</f>
        <v>45359.66667</v>
      </c>
      <c r="B298" s="2">
        <f>IFERROR(__xludf.DUMMYFUNCTION("""COMPUTED_VALUE"""),188.44)</f>
        <v>188.44</v>
      </c>
      <c r="C298" s="2">
        <f>IFERROR(__xludf.DUMMYFUNCTION("""COMPUTED_VALUE"""),190.46)</f>
        <v>190.46</v>
      </c>
      <c r="D298" s="2">
        <f>IFERROR(__xludf.DUMMYFUNCTION("""COMPUTED_VALUE"""),187.92)</f>
        <v>187.92</v>
      </c>
      <c r="E298" s="2">
        <f>IFERROR(__xludf.DUMMYFUNCTION("""COMPUTED_VALUE"""),188.22)</f>
        <v>188.22</v>
      </c>
      <c r="F298" s="2">
        <f>IFERROR(__xludf.DUMMYFUNCTION("""COMPUTED_VALUE"""),6172199.0)</f>
        <v>6172199</v>
      </c>
    </row>
    <row r="299">
      <c r="A299" s="3">
        <f>IFERROR(__xludf.DUMMYFUNCTION("""COMPUTED_VALUE"""),45362.66666666667)</f>
        <v>45362.66667</v>
      </c>
      <c r="B299" s="2">
        <f>IFERROR(__xludf.DUMMYFUNCTION("""COMPUTED_VALUE"""),187.28)</f>
        <v>187.28</v>
      </c>
      <c r="C299" s="2">
        <f>IFERROR(__xludf.DUMMYFUNCTION("""COMPUTED_VALUE"""),188.44)</f>
        <v>188.44</v>
      </c>
      <c r="D299" s="2">
        <f>IFERROR(__xludf.DUMMYFUNCTION("""COMPUTED_VALUE"""),186.22)</f>
        <v>186.22</v>
      </c>
      <c r="E299" s="2">
        <f>IFERROR(__xludf.DUMMYFUNCTION("""COMPUTED_VALUE"""),188.29)</f>
        <v>188.29</v>
      </c>
      <c r="F299" s="2">
        <f>IFERROR(__xludf.DUMMYFUNCTION("""COMPUTED_VALUE"""),5762569.0)</f>
        <v>5762569</v>
      </c>
    </row>
    <row r="300">
      <c r="A300" s="3">
        <f>IFERROR(__xludf.DUMMYFUNCTION("""COMPUTED_VALUE"""),45363.66666666667)</f>
        <v>45363.66667</v>
      </c>
      <c r="B300" s="2">
        <f>IFERROR(__xludf.DUMMYFUNCTION("""COMPUTED_VALUE"""),188.95)</f>
        <v>188.95</v>
      </c>
      <c r="C300" s="2">
        <f>IFERROR(__xludf.DUMMYFUNCTION("""COMPUTED_VALUE"""),190.16)</f>
        <v>190.16</v>
      </c>
      <c r="D300" s="2">
        <f>IFERROR(__xludf.DUMMYFUNCTION("""COMPUTED_VALUE"""),187.91)</f>
        <v>187.91</v>
      </c>
      <c r="E300" s="2">
        <f>IFERROR(__xludf.DUMMYFUNCTION("""COMPUTED_VALUE"""),189.84)</f>
        <v>189.84</v>
      </c>
      <c r="F300" s="2">
        <f>IFERROR(__xludf.DUMMYFUNCTION("""COMPUTED_VALUE"""),5708384.0)</f>
        <v>5708384</v>
      </c>
    </row>
    <row r="301">
      <c r="A301" s="3">
        <f>IFERROR(__xludf.DUMMYFUNCTION("""COMPUTED_VALUE"""),45364.66666666667)</f>
        <v>45364.66667</v>
      </c>
      <c r="B301" s="2">
        <f>IFERROR(__xludf.DUMMYFUNCTION("""COMPUTED_VALUE"""),190.36)</f>
        <v>190.36</v>
      </c>
      <c r="C301" s="2">
        <f>IFERROR(__xludf.DUMMYFUNCTION("""COMPUTED_VALUE"""),191.73)</f>
        <v>191.73</v>
      </c>
      <c r="D301" s="2">
        <f>IFERROR(__xludf.DUMMYFUNCTION("""COMPUTED_VALUE"""),189.84)</f>
        <v>189.84</v>
      </c>
      <c r="E301" s="2">
        <f>IFERROR(__xludf.DUMMYFUNCTION("""COMPUTED_VALUE"""),191.38)</f>
        <v>191.38</v>
      </c>
      <c r="F301" s="2">
        <f>IFERROR(__xludf.DUMMYFUNCTION("""COMPUTED_VALUE"""),7795535.0)</f>
        <v>7795535</v>
      </c>
    </row>
    <row r="302">
      <c r="A302" s="3">
        <f>IFERROR(__xludf.DUMMYFUNCTION("""COMPUTED_VALUE"""),45365.66666666667)</f>
        <v>45365.66667</v>
      </c>
      <c r="B302" s="2">
        <f>IFERROR(__xludf.DUMMYFUNCTION("""COMPUTED_VALUE"""),191.03)</f>
        <v>191.03</v>
      </c>
      <c r="C302" s="2">
        <f>IFERROR(__xludf.DUMMYFUNCTION("""COMPUTED_VALUE"""),191.63)</f>
        <v>191.63</v>
      </c>
      <c r="D302" s="2">
        <f>IFERROR(__xludf.DUMMYFUNCTION("""COMPUTED_VALUE"""),187.1)</f>
        <v>187.1</v>
      </c>
      <c r="E302" s="2">
        <f>IFERROR(__xludf.DUMMYFUNCTION("""COMPUTED_VALUE"""),187.97)</f>
        <v>187.97</v>
      </c>
      <c r="F302" s="2">
        <f>IFERROR(__xludf.DUMMYFUNCTION("""COMPUTED_VALUE"""),1.0310948E7)</f>
        <v>10310948</v>
      </c>
    </row>
    <row r="303">
      <c r="A303" s="3">
        <f>IFERROR(__xludf.DUMMYFUNCTION("""COMPUTED_VALUE"""),45366.66666666667)</f>
        <v>45366.66667</v>
      </c>
      <c r="B303" s="2">
        <f>IFERROR(__xludf.DUMMYFUNCTION("""COMPUTED_VALUE"""),186.48)</f>
        <v>186.48</v>
      </c>
      <c r="C303" s="2">
        <f>IFERROR(__xludf.DUMMYFUNCTION("""COMPUTED_VALUE"""),190.94)</f>
        <v>190.94</v>
      </c>
      <c r="D303" s="2">
        <f>IFERROR(__xludf.DUMMYFUNCTION("""COMPUTED_VALUE"""),186.48)</f>
        <v>186.48</v>
      </c>
      <c r="E303" s="2">
        <f>IFERROR(__xludf.DUMMYFUNCTION("""COMPUTED_VALUE"""),190.3)</f>
        <v>190.3</v>
      </c>
      <c r="F303" s="2">
        <f>IFERROR(__xludf.DUMMYFUNCTION("""COMPUTED_VALUE"""),1.7214229E7)</f>
        <v>17214229</v>
      </c>
    </row>
    <row r="304">
      <c r="A304" s="3">
        <f>IFERROR(__xludf.DUMMYFUNCTION("""COMPUTED_VALUE"""),45369.66666666667)</f>
        <v>45369.66667</v>
      </c>
      <c r="B304" s="2">
        <f>IFERROR(__xludf.DUMMYFUNCTION("""COMPUTED_VALUE"""),190.63)</f>
        <v>190.63</v>
      </c>
      <c r="C304" s="2">
        <f>IFERROR(__xludf.DUMMYFUNCTION("""COMPUTED_VALUE"""),192.7)</f>
        <v>192.7</v>
      </c>
      <c r="D304" s="2">
        <f>IFERROR(__xludf.DUMMYFUNCTION("""COMPUTED_VALUE"""),189.89)</f>
        <v>189.89</v>
      </c>
      <c r="E304" s="2">
        <f>IFERROR(__xludf.DUMMYFUNCTION("""COMPUTED_VALUE"""),192.66)</f>
        <v>192.66</v>
      </c>
      <c r="F304" s="2">
        <f>IFERROR(__xludf.DUMMYFUNCTION("""COMPUTED_VALUE"""),9013843.0)</f>
        <v>9013843</v>
      </c>
    </row>
    <row r="305">
      <c r="A305" s="3">
        <f>IFERROR(__xludf.DUMMYFUNCTION("""COMPUTED_VALUE"""),45370.66666666667)</f>
        <v>45370.66667</v>
      </c>
      <c r="B305" s="2">
        <f>IFERROR(__xludf.DUMMYFUNCTION("""COMPUTED_VALUE"""),192.71)</f>
        <v>192.71</v>
      </c>
      <c r="C305" s="2">
        <f>IFERROR(__xludf.DUMMYFUNCTION("""COMPUTED_VALUE"""),193.93)</f>
        <v>193.93</v>
      </c>
      <c r="D305" s="2">
        <f>IFERROR(__xludf.DUMMYFUNCTION("""COMPUTED_VALUE"""),192.38)</f>
        <v>192.38</v>
      </c>
      <c r="E305" s="2">
        <f>IFERROR(__xludf.DUMMYFUNCTION("""COMPUTED_VALUE"""),193.79)</f>
        <v>193.79</v>
      </c>
      <c r="F305" s="2">
        <f>IFERROR(__xludf.DUMMYFUNCTION("""COMPUTED_VALUE"""),8478717.0)</f>
        <v>8478717</v>
      </c>
    </row>
    <row r="306">
      <c r="A306" s="3">
        <f>IFERROR(__xludf.DUMMYFUNCTION("""COMPUTED_VALUE"""),45371.66666666667)</f>
        <v>45371.66667</v>
      </c>
      <c r="B306" s="2">
        <f>IFERROR(__xludf.DUMMYFUNCTION("""COMPUTED_VALUE"""),194.19)</f>
        <v>194.19</v>
      </c>
      <c r="C306" s="2">
        <f>IFERROR(__xludf.DUMMYFUNCTION("""COMPUTED_VALUE"""),196.56)</f>
        <v>196.56</v>
      </c>
      <c r="D306" s="2">
        <f>IFERROR(__xludf.DUMMYFUNCTION("""COMPUTED_VALUE"""),193.61)</f>
        <v>193.61</v>
      </c>
      <c r="E306" s="2">
        <f>IFERROR(__xludf.DUMMYFUNCTION("""COMPUTED_VALUE"""),196.33)</f>
        <v>196.33</v>
      </c>
      <c r="F306" s="2">
        <f>IFERROR(__xludf.DUMMYFUNCTION("""COMPUTED_VALUE"""),9367043.0)</f>
        <v>9367043</v>
      </c>
    </row>
    <row r="307">
      <c r="A307" s="3">
        <f>IFERROR(__xludf.DUMMYFUNCTION("""COMPUTED_VALUE"""),45372.66666666667)</f>
        <v>45372.66667</v>
      </c>
      <c r="B307" s="2">
        <f>IFERROR(__xludf.DUMMYFUNCTION("""COMPUTED_VALUE"""),196.52)</f>
        <v>196.52</v>
      </c>
      <c r="C307" s="2">
        <f>IFERROR(__xludf.DUMMYFUNCTION("""COMPUTED_VALUE"""),199.43)</f>
        <v>199.43</v>
      </c>
      <c r="D307" s="2">
        <f>IFERROR(__xludf.DUMMYFUNCTION("""COMPUTED_VALUE"""),196.33)</f>
        <v>196.33</v>
      </c>
      <c r="E307" s="2">
        <f>IFERROR(__xludf.DUMMYFUNCTION("""COMPUTED_VALUE"""),199.06)</f>
        <v>199.06</v>
      </c>
      <c r="F307" s="2">
        <f>IFERROR(__xludf.DUMMYFUNCTION("""COMPUTED_VALUE"""),1.1203796E7)</f>
        <v>11203796</v>
      </c>
    </row>
    <row r="308">
      <c r="A308" s="3">
        <f>IFERROR(__xludf.DUMMYFUNCTION("""COMPUTED_VALUE"""),45373.66666666667)</f>
        <v>45373.66667</v>
      </c>
      <c r="B308" s="2">
        <f>IFERROR(__xludf.DUMMYFUNCTION("""COMPUTED_VALUE"""),199.01)</f>
        <v>199.01</v>
      </c>
      <c r="C308" s="2">
        <f>IFERROR(__xludf.DUMMYFUNCTION("""COMPUTED_VALUE"""),200.48)</f>
        <v>200.48</v>
      </c>
      <c r="D308" s="2">
        <f>IFERROR(__xludf.DUMMYFUNCTION("""COMPUTED_VALUE"""),196.54)</f>
        <v>196.54</v>
      </c>
      <c r="E308" s="2">
        <f>IFERROR(__xludf.DUMMYFUNCTION("""COMPUTED_VALUE"""),196.62)</f>
        <v>196.62</v>
      </c>
      <c r="F308" s="2">
        <f>IFERROR(__xludf.DUMMYFUNCTION("""COMPUTED_VALUE"""),8108840.0)</f>
        <v>8108840</v>
      </c>
    </row>
    <row r="309">
      <c r="A309" s="3">
        <f>IFERROR(__xludf.DUMMYFUNCTION("""COMPUTED_VALUE"""),45376.66666666667)</f>
        <v>45376.66667</v>
      </c>
      <c r="B309" s="2">
        <f>IFERROR(__xludf.DUMMYFUNCTION("""COMPUTED_VALUE"""),196.6)</f>
        <v>196.6</v>
      </c>
      <c r="C309" s="2">
        <f>IFERROR(__xludf.DUMMYFUNCTION("""COMPUTED_VALUE"""),196.94)</f>
        <v>196.94</v>
      </c>
      <c r="D309" s="2">
        <f>IFERROR(__xludf.DUMMYFUNCTION("""COMPUTED_VALUE"""),194.36)</f>
        <v>194.36</v>
      </c>
      <c r="E309" s="2">
        <f>IFERROR(__xludf.DUMMYFUNCTION("""COMPUTED_VALUE"""),194.82)</f>
        <v>194.82</v>
      </c>
      <c r="F309" s="2">
        <f>IFERROR(__xludf.DUMMYFUNCTION("""COMPUTED_VALUE"""),8620015.0)</f>
        <v>8620015</v>
      </c>
    </row>
    <row r="310">
      <c r="A310" s="3">
        <f>IFERROR(__xludf.DUMMYFUNCTION("""COMPUTED_VALUE"""),45377.66666666667)</f>
        <v>45377.66667</v>
      </c>
      <c r="B310" s="2">
        <f>IFERROR(__xludf.DUMMYFUNCTION("""COMPUTED_VALUE"""),194.59)</f>
        <v>194.59</v>
      </c>
      <c r="C310" s="2">
        <f>IFERROR(__xludf.DUMMYFUNCTION("""COMPUTED_VALUE"""),196.66)</f>
        <v>196.66</v>
      </c>
      <c r="D310" s="2">
        <f>IFERROR(__xludf.DUMMYFUNCTION("""COMPUTED_VALUE"""),194.06)</f>
        <v>194.06</v>
      </c>
      <c r="E310" s="2">
        <f>IFERROR(__xludf.DUMMYFUNCTION("""COMPUTED_VALUE"""),195.73)</f>
        <v>195.73</v>
      </c>
      <c r="F310" s="2">
        <f>IFERROR(__xludf.DUMMYFUNCTION("""COMPUTED_VALUE"""),5961484.0)</f>
        <v>5961484</v>
      </c>
    </row>
    <row r="311">
      <c r="A311" s="3">
        <f>IFERROR(__xludf.DUMMYFUNCTION("""COMPUTED_VALUE"""),45378.66666666667)</f>
        <v>45378.66667</v>
      </c>
      <c r="B311" s="2">
        <f>IFERROR(__xludf.DUMMYFUNCTION("""COMPUTED_VALUE"""),196.5)</f>
        <v>196.5</v>
      </c>
      <c r="C311" s="2">
        <f>IFERROR(__xludf.DUMMYFUNCTION("""COMPUTED_VALUE"""),199.6)</f>
        <v>199.6</v>
      </c>
      <c r="D311" s="2">
        <f>IFERROR(__xludf.DUMMYFUNCTION("""COMPUTED_VALUE"""),196.38)</f>
        <v>196.38</v>
      </c>
      <c r="E311" s="2">
        <f>IFERROR(__xludf.DUMMYFUNCTION("""COMPUTED_VALUE"""),199.52)</f>
        <v>199.52</v>
      </c>
      <c r="F311" s="2">
        <f>IFERROR(__xludf.DUMMYFUNCTION("""COMPUTED_VALUE"""),8725757.0)</f>
        <v>8725757</v>
      </c>
    </row>
    <row r="312">
      <c r="A312" s="3">
        <f>IFERROR(__xludf.DUMMYFUNCTION("""COMPUTED_VALUE"""),45379.66666666667)</f>
        <v>45379.66667</v>
      </c>
      <c r="B312" s="2">
        <f>IFERROR(__xludf.DUMMYFUNCTION("""COMPUTED_VALUE"""),199.49)</f>
        <v>199.49</v>
      </c>
      <c r="C312" s="2">
        <f>IFERROR(__xludf.DUMMYFUNCTION("""COMPUTED_VALUE"""),200.72)</f>
        <v>200.72</v>
      </c>
      <c r="D312" s="2">
        <f>IFERROR(__xludf.DUMMYFUNCTION("""COMPUTED_VALUE"""),198.54)</f>
        <v>198.54</v>
      </c>
      <c r="E312" s="2">
        <f>IFERROR(__xludf.DUMMYFUNCTION("""COMPUTED_VALUE"""),200.3)</f>
        <v>200.3</v>
      </c>
      <c r="F312" s="2">
        <f>IFERROR(__xludf.DUMMYFUNCTION("""COMPUTED_VALUE"""),8628313.0)</f>
        <v>8628313</v>
      </c>
    </row>
    <row r="313">
      <c r="A313" s="3">
        <f>IFERROR(__xludf.DUMMYFUNCTION("""COMPUTED_VALUE"""),45383.66666666667)</f>
        <v>45383.66667</v>
      </c>
      <c r="B313" s="2">
        <f>IFERROR(__xludf.DUMMYFUNCTION("""COMPUTED_VALUE"""),199.99)</f>
        <v>199.99</v>
      </c>
      <c r="C313" s="2">
        <f>IFERROR(__xludf.DUMMYFUNCTION("""COMPUTED_VALUE"""),200.94)</f>
        <v>200.94</v>
      </c>
      <c r="D313" s="2">
        <f>IFERROR(__xludf.DUMMYFUNCTION("""COMPUTED_VALUE"""),198.57)</f>
        <v>198.57</v>
      </c>
      <c r="E313" s="2">
        <f>IFERROR(__xludf.DUMMYFUNCTION("""COMPUTED_VALUE"""),198.94)</f>
        <v>198.94</v>
      </c>
      <c r="F313" s="2">
        <f>IFERROR(__xludf.DUMMYFUNCTION("""COMPUTED_VALUE"""),7309009.0)</f>
        <v>7309009</v>
      </c>
    </row>
    <row r="314">
      <c r="A314" s="3">
        <f>IFERROR(__xludf.DUMMYFUNCTION("""COMPUTED_VALUE"""),45384.66666666667)</f>
        <v>45384.66667</v>
      </c>
      <c r="B314" s="2">
        <f>IFERROR(__xludf.DUMMYFUNCTION("""COMPUTED_VALUE"""),198.39)</f>
        <v>198.39</v>
      </c>
      <c r="C314" s="2">
        <f>IFERROR(__xludf.DUMMYFUNCTION("""COMPUTED_VALUE"""),199.78)</f>
        <v>199.78</v>
      </c>
      <c r="D314" s="2">
        <f>IFERROR(__xludf.DUMMYFUNCTION("""COMPUTED_VALUE"""),198.08)</f>
        <v>198.08</v>
      </c>
      <c r="E314" s="2">
        <f>IFERROR(__xludf.DUMMYFUNCTION("""COMPUTED_VALUE"""),198.86)</f>
        <v>198.86</v>
      </c>
      <c r="F314" s="2">
        <f>IFERROR(__xludf.DUMMYFUNCTION("""COMPUTED_VALUE"""),7014683.0)</f>
        <v>7014683</v>
      </c>
    </row>
    <row r="315">
      <c r="A315" s="3">
        <f>IFERROR(__xludf.DUMMYFUNCTION("""COMPUTED_VALUE"""),45385.66666666667)</f>
        <v>45385.66667</v>
      </c>
      <c r="B315" s="2">
        <f>IFERROR(__xludf.DUMMYFUNCTION("""COMPUTED_VALUE"""),199.04)</f>
        <v>199.04</v>
      </c>
      <c r="C315" s="2">
        <f>IFERROR(__xludf.DUMMYFUNCTION("""COMPUTED_VALUE"""),199.56)</f>
        <v>199.56</v>
      </c>
      <c r="D315" s="2">
        <f>IFERROR(__xludf.DUMMYFUNCTION("""COMPUTED_VALUE"""),197.7)</f>
        <v>197.7</v>
      </c>
      <c r="E315" s="2">
        <f>IFERROR(__xludf.DUMMYFUNCTION("""COMPUTED_VALUE"""),198.3)</f>
        <v>198.3</v>
      </c>
      <c r="F315" s="2">
        <f>IFERROR(__xludf.DUMMYFUNCTION("""COMPUTED_VALUE"""),9353426.0)</f>
        <v>9353426</v>
      </c>
    </row>
    <row r="316">
      <c r="A316" s="3">
        <f>IFERROR(__xludf.DUMMYFUNCTION("""COMPUTED_VALUE"""),45386.66666666667)</f>
        <v>45386.66667</v>
      </c>
      <c r="B316" s="2">
        <f>IFERROR(__xludf.DUMMYFUNCTION("""COMPUTED_VALUE"""),199.15)</f>
        <v>199.15</v>
      </c>
      <c r="C316" s="2">
        <f>IFERROR(__xludf.DUMMYFUNCTION("""COMPUTED_VALUE"""),199.68)</f>
        <v>199.68</v>
      </c>
      <c r="D316" s="2">
        <f>IFERROR(__xludf.DUMMYFUNCTION("""COMPUTED_VALUE"""),195.55)</f>
        <v>195.55</v>
      </c>
      <c r="E316" s="2">
        <f>IFERROR(__xludf.DUMMYFUNCTION("""COMPUTED_VALUE"""),195.65)</f>
        <v>195.65</v>
      </c>
      <c r="F316" s="2">
        <f>IFERROR(__xludf.DUMMYFUNCTION("""COMPUTED_VALUE"""),9243793.0)</f>
        <v>9243793</v>
      </c>
    </row>
    <row r="317">
      <c r="A317" s="3">
        <f>IFERROR(__xludf.DUMMYFUNCTION("""COMPUTED_VALUE"""),45387.66666666667)</f>
        <v>45387.66667</v>
      </c>
      <c r="B317" s="2">
        <f>IFERROR(__xludf.DUMMYFUNCTION("""COMPUTED_VALUE"""),196.16)</f>
        <v>196.16</v>
      </c>
      <c r="C317" s="2">
        <f>IFERROR(__xludf.DUMMYFUNCTION("""COMPUTED_VALUE"""),198.12)</f>
        <v>198.12</v>
      </c>
      <c r="D317" s="2">
        <f>IFERROR(__xludf.DUMMYFUNCTION("""COMPUTED_VALUE"""),195.11)</f>
        <v>195.11</v>
      </c>
      <c r="E317" s="2">
        <f>IFERROR(__xludf.DUMMYFUNCTION("""COMPUTED_VALUE"""),197.45)</f>
        <v>197.45</v>
      </c>
      <c r="F317" s="2">
        <f>IFERROR(__xludf.DUMMYFUNCTION("""COMPUTED_VALUE"""),6532278.0)</f>
        <v>6532278</v>
      </c>
    </row>
    <row r="318">
      <c r="A318" s="3">
        <f>IFERROR(__xludf.DUMMYFUNCTION("""COMPUTED_VALUE"""),45390.66666666667)</f>
        <v>45390.66667</v>
      </c>
      <c r="B318" s="2">
        <f>IFERROR(__xludf.DUMMYFUNCTION("""COMPUTED_VALUE"""),197.62)</f>
        <v>197.62</v>
      </c>
      <c r="C318" s="2">
        <f>IFERROR(__xludf.DUMMYFUNCTION("""COMPUTED_VALUE"""),198.98)</f>
        <v>198.98</v>
      </c>
      <c r="D318" s="2">
        <f>IFERROR(__xludf.DUMMYFUNCTION("""COMPUTED_VALUE"""),197.62)</f>
        <v>197.62</v>
      </c>
      <c r="E318" s="2">
        <f>IFERROR(__xludf.DUMMYFUNCTION("""COMPUTED_VALUE"""),198.48)</f>
        <v>198.48</v>
      </c>
      <c r="F318" s="2">
        <f>IFERROR(__xludf.DUMMYFUNCTION("""COMPUTED_VALUE"""),8000963.0)</f>
        <v>8000963</v>
      </c>
    </row>
    <row r="319">
      <c r="A319" s="3">
        <f>IFERROR(__xludf.DUMMYFUNCTION("""COMPUTED_VALUE"""),45391.66666666667)</f>
        <v>45391.66667</v>
      </c>
      <c r="B319" s="2">
        <f>IFERROR(__xludf.DUMMYFUNCTION("""COMPUTED_VALUE"""),198.07)</f>
        <v>198.07</v>
      </c>
      <c r="C319" s="2">
        <f>IFERROR(__xludf.DUMMYFUNCTION("""COMPUTED_VALUE"""),198.88)</f>
        <v>198.88</v>
      </c>
      <c r="D319" s="2">
        <f>IFERROR(__xludf.DUMMYFUNCTION("""COMPUTED_VALUE"""),194.91)</f>
        <v>194.91</v>
      </c>
      <c r="E319" s="2">
        <f>IFERROR(__xludf.DUMMYFUNCTION("""COMPUTED_VALUE"""),197.15)</f>
        <v>197.15</v>
      </c>
      <c r="F319" s="2">
        <f>IFERROR(__xludf.DUMMYFUNCTION("""COMPUTED_VALUE"""),7358631.0)</f>
        <v>7358631</v>
      </c>
    </row>
    <row r="320">
      <c r="A320" s="3">
        <f>IFERROR(__xludf.DUMMYFUNCTION("""COMPUTED_VALUE"""),45392.66666666667)</f>
        <v>45392.66667</v>
      </c>
      <c r="B320" s="2">
        <f>IFERROR(__xludf.DUMMYFUNCTION("""COMPUTED_VALUE"""),195.55)</f>
        <v>195.55</v>
      </c>
      <c r="C320" s="2">
        <f>IFERROR(__xludf.DUMMYFUNCTION("""COMPUTED_VALUE"""),197.07)</f>
        <v>197.07</v>
      </c>
      <c r="D320" s="2">
        <f>IFERROR(__xludf.DUMMYFUNCTION("""COMPUTED_VALUE"""),194.18)</f>
        <v>194.18</v>
      </c>
      <c r="E320" s="2">
        <f>IFERROR(__xludf.DUMMYFUNCTION("""COMPUTED_VALUE"""),195.47)</f>
        <v>195.47</v>
      </c>
      <c r="F320" s="2">
        <f>IFERROR(__xludf.DUMMYFUNCTION("""COMPUTED_VALUE"""),7681377.0)</f>
        <v>7681377</v>
      </c>
    </row>
    <row r="321">
      <c r="A321" s="3">
        <f>IFERROR(__xludf.DUMMYFUNCTION("""COMPUTED_VALUE"""),45393.66666666667)</f>
        <v>45393.66667</v>
      </c>
      <c r="B321" s="2">
        <f>IFERROR(__xludf.DUMMYFUNCTION("""COMPUTED_VALUE"""),196.0)</f>
        <v>196</v>
      </c>
      <c r="C321" s="2">
        <f>IFERROR(__xludf.DUMMYFUNCTION("""COMPUTED_VALUE"""),196.57)</f>
        <v>196.57</v>
      </c>
      <c r="D321" s="2">
        <f>IFERROR(__xludf.DUMMYFUNCTION("""COMPUTED_VALUE"""),193.24)</f>
        <v>193.24</v>
      </c>
      <c r="E321" s="2">
        <f>IFERROR(__xludf.DUMMYFUNCTION("""COMPUTED_VALUE"""),195.43)</f>
        <v>195.43</v>
      </c>
      <c r="F321" s="2">
        <f>IFERROR(__xludf.DUMMYFUNCTION("""COMPUTED_VALUE"""),1.0137699E7)</f>
        <v>10137699</v>
      </c>
    </row>
    <row r="322">
      <c r="A322" s="3">
        <f>IFERROR(__xludf.DUMMYFUNCTION("""COMPUTED_VALUE"""),45394.66666666667)</f>
        <v>45394.66667</v>
      </c>
      <c r="B322" s="2">
        <f>IFERROR(__xludf.DUMMYFUNCTION("""COMPUTED_VALUE"""),188.32)</f>
        <v>188.32</v>
      </c>
      <c r="C322" s="2">
        <f>IFERROR(__xludf.DUMMYFUNCTION("""COMPUTED_VALUE"""),188.93)</f>
        <v>188.93</v>
      </c>
      <c r="D322" s="2">
        <f>IFERROR(__xludf.DUMMYFUNCTION("""COMPUTED_VALUE"""),182.54)</f>
        <v>182.54</v>
      </c>
      <c r="E322" s="2">
        <f>IFERROR(__xludf.DUMMYFUNCTION("""COMPUTED_VALUE"""),182.79)</f>
        <v>182.79</v>
      </c>
      <c r="F322" s="2">
        <f>IFERROR(__xludf.DUMMYFUNCTION("""COMPUTED_VALUE"""),3.1532308E7)</f>
        <v>31532308</v>
      </c>
    </row>
    <row r="323">
      <c r="A323" s="3">
        <f>IFERROR(__xludf.DUMMYFUNCTION("""COMPUTED_VALUE"""),45397.66666666667)</f>
        <v>45397.66667</v>
      </c>
      <c r="B323" s="2">
        <f>IFERROR(__xludf.DUMMYFUNCTION("""COMPUTED_VALUE"""),184.5)</f>
        <v>184.5</v>
      </c>
      <c r="C323" s="2">
        <f>IFERROR(__xludf.DUMMYFUNCTION("""COMPUTED_VALUE"""),187.46)</f>
        <v>187.46</v>
      </c>
      <c r="D323" s="2">
        <f>IFERROR(__xludf.DUMMYFUNCTION("""COMPUTED_VALUE"""),182.2)</f>
        <v>182.2</v>
      </c>
      <c r="E323" s="2">
        <f>IFERROR(__xludf.DUMMYFUNCTION("""COMPUTED_VALUE"""),182.89)</f>
        <v>182.89</v>
      </c>
      <c r="F323" s="2">
        <f>IFERROR(__xludf.DUMMYFUNCTION("""COMPUTED_VALUE"""),1.4766592E7)</f>
        <v>14766592</v>
      </c>
    </row>
    <row r="324">
      <c r="A324" s="3">
        <f>IFERROR(__xludf.DUMMYFUNCTION("""COMPUTED_VALUE"""),45398.66666666667)</f>
        <v>45398.66667</v>
      </c>
      <c r="B324" s="2">
        <f>IFERROR(__xludf.DUMMYFUNCTION("""COMPUTED_VALUE"""),182.9)</f>
        <v>182.9</v>
      </c>
      <c r="C324" s="2">
        <f>IFERROR(__xludf.DUMMYFUNCTION("""COMPUTED_VALUE"""),183.16)</f>
        <v>183.16</v>
      </c>
      <c r="D324" s="2">
        <f>IFERROR(__xludf.DUMMYFUNCTION("""COMPUTED_VALUE"""),179.65)</f>
        <v>179.65</v>
      </c>
      <c r="E324" s="2">
        <f>IFERROR(__xludf.DUMMYFUNCTION("""COMPUTED_VALUE"""),180.8)</f>
        <v>180.8</v>
      </c>
      <c r="F324" s="2">
        <f>IFERROR(__xludf.DUMMYFUNCTION("""COMPUTED_VALUE"""),1.6451801E7)</f>
        <v>16451801</v>
      </c>
    </row>
    <row r="325">
      <c r="A325" s="3">
        <f>IFERROR(__xludf.DUMMYFUNCTION("""COMPUTED_VALUE"""),45399.66666666667)</f>
        <v>45399.66667</v>
      </c>
      <c r="B325" s="2">
        <f>IFERROR(__xludf.DUMMYFUNCTION("""COMPUTED_VALUE"""),181.37)</f>
        <v>181.37</v>
      </c>
      <c r="C325" s="2">
        <f>IFERROR(__xludf.DUMMYFUNCTION("""COMPUTED_VALUE"""),182.42)</f>
        <v>182.42</v>
      </c>
      <c r="D325" s="2">
        <f>IFERROR(__xludf.DUMMYFUNCTION("""COMPUTED_VALUE"""),179.2)</f>
        <v>179.2</v>
      </c>
      <c r="E325" s="2">
        <f>IFERROR(__xludf.DUMMYFUNCTION("""COMPUTED_VALUE"""),180.08)</f>
        <v>180.08</v>
      </c>
      <c r="F325" s="2">
        <f>IFERROR(__xludf.DUMMYFUNCTION("""COMPUTED_VALUE"""),9017093.0)</f>
        <v>9017093</v>
      </c>
    </row>
    <row r="326">
      <c r="A326" s="3">
        <f>IFERROR(__xludf.DUMMYFUNCTION("""COMPUTED_VALUE"""),45400.66666666667)</f>
        <v>45400.66667</v>
      </c>
      <c r="B326" s="2">
        <f>IFERROR(__xludf.DUMMYFUNCTION("""COMPUTED_VALUE"""),181.1)</f>
        <v>181.1</v>
      </c>
      <c r="C326" s="2">
        <f>IFERROR(__xludf.DUMMYFUNCTION("""COMPUTED_VALUE"""),183.36)</f>
        <v>183.36</v>
      </c>
      <c r="D326" s="2">
        <f>IFERROR(__xludf.DUMMYFUNCTION("""COMPUTED_VALUE"""),179.97)</f>
        <v>179.97</v>
      </c>
      <c r="E326" s="2">
        <f>IFERROR(__xludf.DUMMYFUNCTION("""COMPUTED_VALUE"""),181.25)</f>
        <v>181.25</v>
      </c>
      <c r="F326" s="2">
        <f>IFERROR(__xludf.DUMMYFUNCTION("""COMPUTED_VALUE"""),9557720.0)</f>
        <v>9557720</v>
      </c>
    </row>
    <row r="327">
      <c r="A327" s="3">
        <f>IFERROR(__xludf.DUMMYFUNCTION("""COMPUTED_VALUE"""),45401.66666666667)</f>
        <v>45401.66667</v>
      </c>
      <c r="B327" s="2">
        <f>IFERROR(__xludf.DUMMYFUNCTION("""COMPUTED_VALUE"""),182.4)</f>
        <v>182.4</v>
      </c>
      <c r="C327" s="2">
        <f>IFERROR(__xludf.DUMMYFUNCTION("""COMPUTED_VALUE"""),185.88)</f>
        <v>185.88</v>
      </c>
      <c r="D327" s="2">
        <f>IFERROR(__xludf.DUMMYFUNCTION("""COMPUTED_VALUE"""),181.41)</f>
        <v>181.41</v>
      </c>
      <c r="E327" s="2">
        <f>IFERROR(__xludf.DUMMYFUNCTION("""COMPUTED_VALUE"""),185.8)</f>
        <v>185.8</v>
      </c>
      <c r="F327" s="2">
        <f>IFERROR(__xludf.DUMMYFUNCTION("""COMPUTED_VALUE"""),1.3402313E7)</f>
        <v>13402313</v>
      </c>
    </row>
    <row r="328">
      <c r="A328" s="3">
        <f>IFERROR(__xludf.DUMMYFUNCTION("""COMPUTED_VALUE"""),45404.66666666667)</f>
        <v>45404.66667</v>
      </c>
      <c r="B328" s="2">
        <f>IFERROR(__xludf.DUMMYFUNCTION("""COMPUTED_VALUE"""),185.99)</f>
        <v>185.99</v>
      </c>
      <c r="C328" s="2">
        <f>IFERROR(__xludf.DUMMYFUNCTION("""COMPUTED_VALUE"""),190.13)</f>
        <v>190.13</v>
      </c>
      <c r="D328" s="2">
        <f>IFERROR(__xludf.DUMMYFUNCTION("""COMPUTED_VALUE"""),185.98)</f>
        <v>185.98</v>
      </c>
      <c r="E328" s="2">
        <f>IFERROR(__xludf.DUMMYFUNCTION("""COMPUTED_VALUE"""),189.41)</f>
        <v>189.41</v>
      </c>
      <c r="F328" s="2">
        <f>IFERROR(__xludf.DUMMYFUNCTION("""COMPUTED_VALUE"""),1.1529668E7)</f>
        <v>11529668</v>
      </c>
    </row>
    <row r="329">
      <c r="A329" s="3">
        <f>IFERROR(__xludf.DUMMYFUNCTION("""COMPUTED_VALUE"""),45405.66666666667)</f>
        <v>45405.66667</v>
      </c>
      <c r="B329" s="2">
        <f>IFERROR(__xludf.DUMMYFUNCTION("""COMPUTED_VALUE"""),191.13)</f>
        <v>191.13</v>
      </c>
      <c r="C329" s="2">
        <f>IFERROR(__xludf.DUMMYFUNCTION("""COMPUTED_VALUE"""),192.23)</f>
        <v>192.23</v>
      </c>
      <c r="D329" s="2">
        <f>IFERROR(__xludf.DUMMYFUNCTION("""COMPUTED_VALUE"""),190.52)</f>
        <v>190.52</v>
      </c>
      <c r="E329" s="2">
        <f>IFERROR(__xludf.DUMMYFUNCTION("""COMPUTED_VALUE"""),192.14)</f>
        <v>192.14</v>
      </c>
      <c r="F329" s="2">
        <f>IFERROR(__xludf.DUMMYFUNCTION("""COMPUTED_VALUE"""),9144372.0)</f>
        <v>9144372</v>
      </c>
    </row>
    <row r="330">
      <c r="A330" s="3">
        <f>IFERROR(__xludf.DUMMYFUNCTION("""COMPUTED_VALUE"""),45406.66666666667)</f>
        <v>45406.66667</v>
      </c>
      <c r="B330" s="2">
        <f>IFERROR(__xludf.DUMMYFUNCTION("""COMPUTED_VALUE"""),190.53)</f>
        <v>190.53</v>
      </c>
      <c r="C330" s="2">
        <f>IFERROR(__xludf.DUMMYFUNCTION("""COMPUTED_VALUE"""),193.23)</f>
        <v>193.23</v>
      </c>
      <c r="D330" s="2">
        <f>IFERROR(__xludf.DUMMYFUNCTION("""COMPUTED_VALUE"""),190.17)</f>
        <v>190.17</v>
      </c>
      <c r="E330" s="2">
        <f>IFERROR(__xludf.DUMMYFUNCTION("""COMPUTED_VALUE"""),193.08)</f>
        <v>193.08</v>
      </c>
      <c r="F330" s="2">
        <f>IFERROR(__xludf.DUMMYFUNCTION("""COMPUTED_VALUE"""),6964905.0)</f>
        <v>6964905</v>
      </c>
    </row>
    <row r="331">
      <c r="A331" s="3">
        <f>IFERROR(__xludf.DUMMYFUNCTION("""COMPUTED_VALUE"""),45407.66666666667)</f>
        <v>45407.66667</v>
      </c>
      <c r="B331" s="2">
        <f>IFERROR(__xludf.DUMMYFUNCTION("""COMPUTED_VALUE"""),192.25)</f>
        <v>192.25</v>
      </c>
      <c r="C331" s="2">
        <f>IFERROR(__xludf.DUMMYFUNCTION("""COMPUTED_VALUE"""),193.94)</f>
        <v>193.94</v>
      </c>
      <c r="D331" s="2">
        <f>IFERROR(__xludf.DUMMYFUNCTION("""COMPUTED_VALUE"""),191.18)</f>
        <v>191.18</v>
      </c>
      <c r="E331" s="2">
        <f>IFERROR(__xludf.DUMMYFUNCTION("""COMPUTED_VALUE"""),193.37)</f>
        <v>193.37</v>
      </c>
      <c r="F331" s="2">
        <f>IFERROR(__xludf.DUMMYFUNCTION("""COMPUTED_VALUE"""),9802265.0)</f>
        <v>9802265</v>
      </c>
    </row>
    <row r="332">
      <c r="A332" s="3">
        <f>IFERROR(__xludf.DUMMYFUNCTION("""COMPUTED_VALUE"""),45408.66666666667)</f>
        <v>45408.66667</v>
      </c>
      <c r="B332" s="2">
        <f>IFERROR(__xludf.DUMMYFUNCTION("""COMPUTED_VALUE"""),193.57)</f>
        <v>193.57</v>
      </c>
      <c r="C332" s="2">
        <f>IFERROR(__xludf.DUMMYFUNCTION("""COMPUTED_VALUE"""),194.87)</f>
        <v>194.87</v>
      </c>
      <c r="D332" s="2">
        <f>IFERROR(__xludf.DUMMYFUNCTION("""COMPUTED_VALUE"""),193.06)</f>
        <v>193.06</v>
      </c>
      <c r="E332" s="2">
        <f>IFERROR(__xludf.DUMMYFUNCTION("""COMPUTED_VALUE"""),193.49)</f>
        <v>193.49</v>
      </c>
      <c r="F332" s="2">
        <f>IFERROR(__xludf.DUMMYFUNCTION("""COMPUTED_VALUE"""),6413655.0)</f>
        <v>6413655</v>
      </c>
    </row>
    <row r="333">
      <c r="A333" s="3">
        <f>IFERROR(__xludf.DUMMYFUNCTION("""COMPUTED_VALUE"""),45411.66666666667)</f>
        <v>45411.66667</v>
      </c>
      <c r="B333" s="2">
        <f>IFERROR(__xludf.DUMMYFUNCTION("""COMPUTED_VALUE"""),193.48)</f>
        <v>193.48</v>
      </c>
      <c r="C333" s="2">
        <f>IFERROR(__xludf.DUMMYFUNCTION("""COMPUTED_VALUE"""),194.26)</f>
        <v>194.26</v>
      </c>
      <c r="D333" s="2">
        <f>IFERROR(__xludf.DUMMYFUNCTION("""COMPUTED_VALUE"""),192.43)</f>
        <v>192.43</v>
      </c>
      <c r="E333" s="2">
        <f>IFERROR(__xludf.DUMMYFUNCTION("""COMPUTED_VALUE"""),193.28)</f>
        <v>193.28</v>
      </c>
      <c r="F333" s="2">
        <f>IFERROR(__xludf.DUMMYFUNCTION("""COMPUTED_VALUE"""),5411129.0)</f>
        <v>5411129</v>
      </c>
    </row>
    <row r="334">
      <c r="A334" s="3">
        <f>IFERROR(__xludf.DUMMYFUNCTION("""COMPUTED_VALUE"""),45412.66666666667)</f>
        <v>45412.66667</v>
      </c>
      <c r="B334" s="2">
        <f>IFERROR(__xludf.DUMMYFUNCTION("""COMPUTED_VALUE"""),192.81)</f>
        <v>192.81</v>
      </c>
      <c r="C334" s="2">
        <f>IFERROR(__xludf.DUMMYFUNCTION("""COMPUTED_VALUE"""),194.99)</f>
        <v>194.99</v>
      </c>
      <c r="D334" s="2">
        <f>IFERROR(__xludf.DUMMYFUNCTION("""COMPUTED_VALUE"""),191.64)</f>
        <v>191.64</v>
      </c>
      <c r="E334" s="2">
        <f>IFERROR(__xludf.DUMMYFUNCTION("""COMPUTED_VALUE"""),191.74)</f>
        <v>191.74</v>
      </c>
      <c r="F334" s="2">
        <f>IFERROR(__xludf.DUMMYFUNCTION("""COMPUTED_VALUE"""),8153681.0)</f>
        <v>8153681</v>
      </c>
    </row>
    <row r="335">
      <c r="A335" s="3">
        <f>IFERROR(__xludf.DUMMYFUNCTION("""COMPUTED_VALUE"""),45413.66666666667)</f>
        <v>45413.66667</v>
      </c>
      <c r="B335" s="2">
        <f>IFERROR(__xludf.DUMMYFUNCTION("""COMPUTED_VALUE"""),192.27)</f>
        <v>192.27</v>
      </c>
      <c r="C335" s="2">
        <f>IFERROR(__xludf.DUMMYFUNCTION("""COMPUTED_VALUE"""),194.46)</f>
        <v>194.46</v>
      </c>
      <c r="D335" s="2">
        <f>IFERROR(__xludf.DUMMYFUNCTION("""COMPUTED_VALUE"""),190.79)</f>
        <v>190.79</v>
      </c>
      <c r="E335" s="2">
        <f>IFERROR(__xludf.DUMMYFUNCTION("""COMPUTED_VALUE"""),191.86)</f>
        <v>191.86</v>
      </c>
      <c r="F335" s="2">
        <f>IFERROR(__xludf.DUMMYFUNCTION("""COMPUTED_VALUE"""),7446703.0)</f>
        <v>7446703</v>
      </c>
    </row>
    <row r="336">
      <c r="A336" s="3">
        <f>IFERROR(__xludf.DUMMYFUNCTION("""COMPUTED_VALUE"""),45414.66666666667)</f>
        <v>45414.66667</v>
      </c>
      <c r="B336" s="2">
        <f>IFERROR(__xludf.DUMMYFUNCTION("""COMPUTED_VALUE"""),193.07)</f>
        <v>193.07</v>
      </c>
      <c r="C336" s="2">
        <f>IFERROR(__xludf.DUMMYFUNCTION("""COMPUTED_VALUE"""),193.5)</f>
        <v>193.5</v>
      </c>
      <c r="D336" s="2">
        <f>IFERROR(__xludf.DUMMYFUNCTION("""COMPUTED_VALUE"""),189.52)</f>
        <v>189.52</v>
      </c>
      <c r="E336" s="2">
        <f>IFERROR(__xludf.DUMMYFUNCTION("""COMPUTED_VALUE"""),191.66)</f>
        <v>191.66</v>
      </c>
      <c r="F336" s="2">
        <f>IFERROR(__xludf.DUMMYFUNCTION("""COMPUTED_VALUE"""),6501657.0)</f>
        <v>6501657</v>
      </c>
    </row>
    <row r="337">
      <c r="A337" s="3">
        <f>IFERROR(__xludf.DUMMYFUNCTION("""COMPUTED_VALUE"""),45415.66666666667)</f>
        <v>45415.66667</v>
      </c>
      <c r="B337" s="2">
        <f>IFERROR(__xludf.DUMMYFUNCTION("""COMPUTED_VALUE"""),192.0)</f>
        <v>192</v>
      </c>
      <c r="C337" s="2">
        <f>IFERROR(__xludf.DUMMYFUNCTION("""COMPUTED_VALUE"""),192.53)</f>
        <v>192.53</v>
      </c>
      <c r="D337" s="2">
        <f>IFERROR(__xludf.DUMMYFUNCTION("""COMPUTED_VALUE"""),188.46)</f>
        <v>188.46</v>
      </c>
      <c r="E337" s="2">
        <f>IFERROR(__xludf.DUMMYFUNCTION("""COMPUTED_VALUE"""),190.51)</f>
        <v>190.51</v>
      </c>
      <c r="F337" s="2">
        <f>IFERROR(__xludf.DUMMYFUNCTION("""COMPUTED_VALUE"""),8922775.0)</f>
        <v>8922775</v>
      </c>
    </row>
    <row r="338">
      <c r="A338" s="3">
        <f>IFERROR(__xludf.DUMMYFUNCTION("""COMPUTED_VALUE"""),45418.66666666667)</f>
        <v>45418.66667</v>
      </c>
      <c r="B338" s="2">
        <f>IFERROR(__xludf.DUMMYFUNCTION("""COMPUTED_VALUE"""),191.73)</f>
        <v>191.73</v>
      </c>
      <c r="C338" s="2">
        <f>IFERROR(__xludf.DUMMYFUNCTION("""COMPUTED_VALUE"""),192.2)</f>
        <v>192.2</v>
      </c>
      <c r="D338" s="2">
        <f>IFERROR(__xludf.DUMMYFUNCTION("""COMPUTED_VALUE"""),189.82)</f>
        <v>189.82</v>
      </c>
      <c r="E338" s="2">
        <f>IFERROR(__xludf.DUMMYFUNCTION("""COMPUTED_VALUE"""),192.0)</f>
        <v>192</v>
      </c>
      <c r="F338" s="2">
        <f>IFERROR(__xludf.DUMMYFUNCTION("""COMPUTED_VALUE"""),7911134.0)</f>
        <v>7911134</v>
      </c>
    </row>
    <row r="339">
      <c r="A339" s="3">
        <f>IFERROR(__xludf.DUMMYFUNCTION("""COMPUTED_VALUE"""),45419.66666666667)</f>
        <v>45419.66667</v>
      </c>
      <c r="B339" s="2">
        <f>IFERROR(__xludf.DUMMYFUNCTION("""COMPUTED_VALUE"""),191.7)</f>
        <v>191.7</v>
      </c>
      <c r="C339" s="2">
        <f>IFERROR(__xludf.DUMMYFUNCTION("""COMPUTED_VALUE"""),192.93)</f>
        <v>192.93</v>
      </c>
      <c r="D339" s="2">
        <f>IFERROR(__xludf.DUMMYFUNCTION("""COMPUTED_VALUE"""),191.65)</f>
        <v>191.65</v>
      </c>
      <c r="E339" s="2">
        <f>IFERROR(__xludf.DUMMYFUNCTION("""COMPUTED_VALUE"""),191.75)</f>
        <v>191.75</v>
      </c>
      <c r="F339" s="2">
        <f>IFERROR(__xludf.DUMMYFUNCTION("""COMPUTED_VALUE"""),7688771.0)</f>
        <v>7688771</v>
      </c>
    </row>
    <row r="340">
      <c r="A340" s="3">
        <f>IFERROR(__xludf.DUMMYFUNCTION("""COMPUTED_VALUE"""),45420.66666666667)</f>
        <v>45420.66667</v>
      </c>
      <c r="B340" s="2">
        <f>IFERROR(__xludf.DUMMYFUNCTION("""COMPUTED_VALUE"""),191.0)</f>
        <v>191</v>
      </c>
      <c r="C340" s="2">
        <f>IFERROR(__xludf.DUMMYFUNCTION("""COMPUTED_VALUE"""),196.65)</f>
        <v>196.65</v>
      </c>
      <c r="D340" s="2">
        <f>IFERROR(__xludf.DUMMYFUNCTION("""COMPUTED_VALUE"""),191.0)</f>
        <v>191</v>
      </c>
      <c r="E340" s="2">
        <f>IFERROR(__xludf.DUMMYFUNCTION("""COMPUTED_VALUE"""),195.65)</f>
        <v>195.65</v>
      </c>
      <c r="F340" s="2">
        <f>IFERROR(__xludf.DUMMYFUNCTION("""COMPUTED_VALUE"""),9227561.0)</f>
        <v>9227561</v>
      </c>
    </row>
    <row r="341">
      <c r="A341" s="3">
        <f>IFERROR(__xludf.DUMMYFUNCTION("""COMPUTED_VALUE"""),45421.66666666667)</f>
        <v>45421.66667</v>
      </c>
      <c r="B341" s="2">
        <f>IFERROR(__xludf.DUMMYFUNCTION("""COMPUTED_VALUE"""),195.17)</f>
        <v>195.17</v>
      </c>
      <c r="C341" s="2">
        <f>IFERROR(__xludf.DUMMYFUNCTION("""COMPUTED_VALUE"""),197.59)</f>
        <v>197.59</v>
      </c>
      <c r="D341" s="2">
        <f>IFERROR(__xludf.DUMMYFUNCTION("""COMPUTED_VALUE"""),195.1)</f>
        <v>195.1</v>
      </c>
      <c r="E341" s="2">
        <f>IFERROR(__xludf.DUMMYFUNCTION("""COMPUTED_VALUE"""),197.5)</f>
        <v>197.5</v>
      </c>
      <c r="F341" s="2">
        <f>IFERROR(__xludf.DUMMYFUNCTION("""COMPUTED_VALUE"""),7977291.0)</f>
        <v>7977291</v>
      </c>
    </row>
    <row r="342">
      <c r="A342" s="3">
        <f>IFERROR(__xludf.DUMMYFUNCTION("""COMPUTED_VALUE"""),45422.66666666667)</f>
        <v>45422.66667</v>
      </c>
      <c r="B342" s="2">
        <f>IFERROR(__xludf.DUMMYFUNCTION("""COMPUTED_VALUE"""),198.54)</f>
        <v>198.54</v>
      </c>
      <c r="C342" s="2">
        <f>IFERROR(__xludf.DUMMYFUNCTION("""COMPUTED_VALUE"""),199.34)</f>
        <v>199.34</v>
      </c>
      <c r="D342" s="2">
        <f>IFERROR(__xludf.DUMMYFUNCTION("""COMPUTED_VALUE"""),198.27)</f>
        <v>198.27</v>
      </c>
      <c r="E342" s="2">
        <f>IFERROR(__xludf.DUMMYFUNCTION("""COMPUTED_VALUE"""),198.77)</f>
        <v>198.77</v>
      </c>
      <c r="F342" s="2">
        <f>IFERROR(__xludf.DUMMYFUNCTION("""COMPUTED_VALUE"""),7529790.0)</f>
        <v>7529790</v>
      </c>
    </row>
    <row r="343">
      <c r="A343" s="3">
        <f>IFERROR(__xludf.DUMMYFUNCTION("""COMPUTED_VALUE"""),45425.66666666667)</f>
        <v>45425.66667</v>
      </c>
      <c r="B343" s="2">
        <f>IFERROR(__xludf.DUMMYFUNCTION("""COMPUTED_VALUE"""),198.8)</f>
        <v>198.8</v>
      </c>
      <c r="C343" s="2">
        <f>IFERROR(__xludf.DUMMYFUNCTION("""COMPUTED_VALUE"""),199.85)</f>
        <v>199.85</v>
      </c>
      <c r="D343" s="2">
        <f>IFERROR(__xludf.DUMMYFUNCTION("""COMPUTED_VALUE"""),198.04)</f>
        <v>198.04</v>
      </c>
      <c r="E343" s="2">
        <f>IFERROR(__xludf.DUMMYFUNCTION("""COMPUTED_VALUE"""),198.73)</f>
        <v>198.73</v>
      </c>
      <c r="F343" s="2">
        <f>IFERROR(__xludf.DUMMYFUNCTION("""COMPUTED_VALUE"""),7049241.0)</f>
        <v>7049241</v>
      </c>
    </row>
    <row r="344">
      <c r="A344" s="3">
        <f>IFERROR(__xludf.DUMMYFUNCTION("""COMPUTED_VALUE"""),45426.66666666667)</f>
        <v>45426.66667</v>
      </c>
      <c r="B344" s="2">
        <f>IFERROR(__xludf.DUMMYFUNCTION("""COMPUTED_VALUE"""),199.0)</f>
        <v>199</v>
      </c>
      <c r="C344" s="2">
        <f>IFERROR(__xludf.DUMMYFUNCTION("""COMPUTED_VALUE"""),201.58)</f>
        <v>201.58</v>
      </c>
      <c r="D344" s="2">
        <f>IFERROR(__xludf.DUMMYFUNCTION("""COMPUTED_VALUE"""),198.16)</f>
        <v>198.16</v>
      </c>
      <c r="E344" s="2">
        <f>IFERROR(__xludf.DUMMYFUNCTION("""COMPUTED_VALUE"""),201.51)</f>
        <v>201.51</v>
      </c>
      <c r="F344" s="2">
        <f>IFERROR(__xludf.DUMMYFUNCTION("""COMPUTED_VALUE"""),8596175.0)</f>
        <v>8596175</v>
      </c>
    </row>
    <row r="345">
      <c r="A345" s="3">
        <f>IFERROR(__xludf.DUMMYFUNCTION("""COMPUTED_VALUE"""),45427.66666666667)</f>
        <v>45427.66667</v>
      </c>
      <c r="B345" s="2">
        <f>IFERROR(__xludf.DUMMYFUNCTION("""COMPUTED_VALUE"""),202.01)</f>
        <v>202.01</v>
      </c>
      <c r="C345" s="2">
        <f>IFERROR(__xludf.DUMMYFUNCTION("""COMPUTED_VALUE"""),202.69)</f>
        <v>202.69</v>
      </c>
      <c r="D345" s="2">
        <f>IFERROR(__xludf.DUMMYFUNCTION("""COMPUTED_VALUE"""),199.77)</f>
        <v>199.77</v>
      </c>
      <c r="E345" s="2">
        <f>IFERROR(__xludf.DUMMYFUNCTION("""COMPUTED_VALUE"""),202.11)</f>
        <v>202.11</v>
      </c>
      <c r="F345" s="2">
        <f>IFERROR(__xludf.DUMMYFUNCTION("""COMPUTED_VALUE"""),8369975.0)</f>
        <v>8369975</v>
      </c>
    </row>
    <row r="346">
      <c r="A346" s="3">
        <f>IFERROR(__xludf.DUMMYFUNCTION("""COMPUTED_VALUE"""),45428.66666666667)</f>
        <v>45428.66667</v>
      </c>
      <c r="B346" s="2">
        <f>IFERROR(__xludf.DUMMYFUNCTION("""COMPUTED_VALUE"""),202.22)</f>
        <v>202.22</v>
      </c>
      <c r="C346" s="2">
        <f>IFERROR(__xludf.DUMMYFUNCTION("""COMPUTED_VALUE"""),204.48)</f>
        <v>204.48</v>
      </c>
      <c r="D346" s="2">
        <f>IFERROR(__xludf.DUMMYFUNCTION("""COMPUTED_VALUE"""),201.99)</f>
        <v>201.99</v>
      </c>
      <c r="E346" s="2">
        <f>IFERROR(__xludf.DUMMYFUNCTION("""COMPUTED_VALUE"""),202.47)</f>
        <v>202.47</v>
      </c>
      <c r="F346" s="2">
        <f>IFERROR(__xludf.DUMMYFUNCTION("""COMPUTED_VALUE"""),8497927.0)</f>
        <v>8497927</v>
      </c>
    </row>
    <row r="347">
      <c r="A347" s="3">
        <f>IFERROR(__xludf.DUMMYFUNCTION("""COMPUTED_VALUE"""),45429.66666666667)</f>
        <v>45429.66667</v>
      </c>
      <c r="B347" s="2">
        <f>IFERROR(__xludf.DUMMYFUNCTION("""COMPUTED_VALUE"""),203.81)</f>
        <v>203.81</v>
      </c>
      <c r="C347" s="2">
        <f>IFERROR(__xludf.DUMMYFUNCTION("""COMPUTED_VALUE"""),205.05)</f>
        <v>205.05</v>
      </c>
      <c r="D347" s="2">
        <f>IFERROR(__xludf.DUMMYFUNCTION("""COMPUTED_VALUE"""),202.81)</f>
        <v>202.81</v>
      </c>
      <c r="E347" s="2">
        <f>IFERROR(__xludf.DUMMYFUNCTION("""COMPUTED_VALUE"""),204.79)</f>
        <v>204.79</v>
      </c>
      <c r="F347" s="2">
        <f>IFERROR(__xludf.DUMMYFUNCTION("""COMPUTED_VALUE"""),9260490.0)</f>
        <v>9260490</v>
      </c>
    </row>
    <row r="348">
      <c r="A348" s="3">
        <f>IFERROR(__xludf.DUMMYFUNCTION("""COMPUTED_VALUE"""),45432.66666666667)</f>
        <v>45432.66667</v>
      </c>
      <c r="B348" s="2">
        <f>IFERROR(__xludf.DUMMYFUNCTION("""COMPUTED_VALUE"""),204.39)</f>
        <v>204.39</v>
      </c>
      <c r="C348" s="2">
        <f>IFERROR(__xludf.DUMMYFUNCTION("""COMPUTED_VALUE"""),205.88)</f>
        <v>205.88</v>
      </c>
      <c r="D348" s="2">
        <f>IFERROR(__xludf.DUMMYFUNCTION("""COMPUTED_VALUE"""),195.4)</f>
        <v>195.4</v>
      </c>
      <c r="E348" s="2">
        <f>IFERROR(__xludf.DUMMYFUNCTION("""COMPUTED_VALUE"""),195.58)</f>
        <v>195.58</v>
      </c>
      <c r="F348" s="2">
        <f>IFERROR(__xludf.DUMMYFUNCTION("""COMPUTED_VALUE"""),1.7373253E7)</f>
        <v>17373253</v>
      </c>
    </row>
    <row r="349">
      <c r="A349" s="3">
        <f>IFERROR(__xludf.DUMMYFUNCTION("""COMPUTED_VALUE"""),45433.66666666667)</f>
        <v>45433.66667</v>
      </c>
      <c r="B349" s="2">
        <f>IFERROR(__xludf.DUMMYFUNCTION("""COMPUTED_VALUE"""),197.0)</f>
        <v>197</v>
      </c>
      <c r="C349" s="2">
        <f>IFERROR(__xludf.DUMMYFUNCTION("""COMPUTED_VALUE"""),199.9)</f>
        <v>199.9</v>
      </c>
      <c r="D349" s="2">
        <f>IFERROR(__xludf.DUMMYFUNCTION("""COMPUTED_VALUE"""),196.6)</f>
        <v>196.6</v>
      </c>
      <c r="E349" s="2">
        <f>IFERROR(__xludf.DUMMYFUNCTION("""COMPUTED_VALUE"""),199.52)</f>
        <v>199.52</v>
      </c>
      <c r="F349" s="2">
        <f>IFERROR(__xludf.DUMMYFUNCTION("""COMPUTED_VALUE"""),1.4420799E7)</f>
        <v>14420799</v>
      </c>
    </row>
    <row r="350">
      <c r="A350" s="3">
        <f>IFERROR(__xludf.DUMMYFUNCTION("""COMPUTED_VALUE"""),45434.66666666667)</f>
        <v>45434.66667</v>
      </c>
      <c r="B350" s="2">
        <f>IFERROR(__xludf.DUMMYFUNCTION("""COMPUTED_VALUE"""),199.0)</f>
        <v>199</v>
      </c>
      <c r="C350" s="2">
        <f>IFERROR(__xludf.DUMMYFUNCTION("""COMPUTED_VALUE"""),200.94)</f>
        <v>200.94</v>
      </c>
      <c r="D350" s="2">
        <f>IFERROR(__xludf.DUMMYFUNCTION("""COMPUTED_VALUE"""),197.69)</f>
        <v>197.69</v>
      </c>
      <c r="E350" s="2">
        <f>IFERROR(__xludf.DUMMYFUNCTION("""COMPUTED_VALUE"""),198.31)</f>
        <v>198.31</v>
      </c>
      <c r="F350" s="2">
        <f>IFERROR(__xludf.DUMMYFUNCTION("""COMPUTED_VALUE"""),9425338.0)</f>
        <v>9425338</v>
      </c>
    </row>
    <row r="351">
      <c r="A351" s="3">
        <f>IFERROR(__xludf.DUMMYFUNCTION("""COMPUTED_VALUE"""),45435.66666666667)</f>
        <v>45435.66667</v>
      </c>
      <c r="B351" s="2">
        <f>IFERROR(__xludf.DUMMYFUNCTION("""COMPUTED_VALUE"""),197.81)</f>
        <v>197.81</v>
      </c>
      <c r="C351" s="2">
        <f>IFERROR(__xludf.DUMMYFUNCTION("""COMPUTED_VALUE"""),198.3)</f>
        <v>198.3</v>
      </c>
      <c r="D351" s="2">
        <f>IFERROR(__xludf.DUMMYFUNCTION("""COMPUTED_VALUE"""),196.07)</f>
        <v>196.07</v>
      </c>
      <c r="E351" s="2">
        <f>IFERROR(__xludf.DUMMYFUNCTION("""COMPUTED_VALUE"""),196.92)</f>
        <v>196.92</v>
      </c>
      <c r="F351" s="2">
        <f>IFERROR(__xludf.DUMMYFUNCTION("""COMPUTED_VALUE"""),8069445.0)</f>
        <v>8069445</v>
      </c>
    </row>
    <row r="352">
      <c r="A352" s="3">
        <f>IFERROR(__xludf.DUMMYFUNCTION("""COMPUTED_VALUE"""),45436.66666666667)</f>
        <v>45436.66667</v>
      </c>
      <c r="B352" s="2">
        <f>IFERROR(__xludf.DUMMYFUNCTION("""COMPUTED_VALUE"""),197.75)</f>
        <v>197.75</v>
      </c>
      <c r="C352" s="2">
        <f>IFERROR(__xludf.DUMMYFUNCTION("""COMPUTED_VALUE"""),200.76)</f>
        <v>200.76</v>
      </c>
      <c r="D352" s="2">
        <f>IFERROR(__xludf.DUMMYFUNCTION("""COMPUTED_VALUE"""),197.56)</f>
        <v>197.56</v>
      </c>
      <c r="E352" s="2">
        <f>IFERROR(__xludf.DUMMYFUNCTION("""COMPUTED_VALUE"""),200.71)</f>
        <v>200.71</v>
      </c>
      <c r="F352" s="2">
        <f>IFERROR(__xludf.DUMMYFUNCTION("""COMPUTED_VALUE"""),7356233.0)</f>
        <v>7356233</v>
      </c>
    </row>
    <row r="353">
      <c r="A353" s="3">
        <f>IFERROR(__xludf.DUMMYFUNCTION("""COMPUTED_VALUE"""),45440.66666666667)</f>
        <v>45440.66667</v>
      </c>
      <c r="B353" s="2">
        <f>IFERROR(__xludf.DUMMYFUNCTION("""COMPUTED_VALUE"""),199.86)</f>
        <v>199.86</v>
      </c>
      <c r="C353" s="2">
        <f>IFERROR(__xludf.DUMMYFUNCTION("""COMPUTED_VALUE"""),200.41)</f>
        <v>200.41</v>
      </c>
      <c r="D353" s="2">
        <f>IFERROR(__xludf.DUMMYFUNCTION("""COMPUTED_VALUE"""),198.66)</f>
        <v>198.66</v>
      </c>
      <c r="E353" s="2">
        <f>IFERROR(__xludf.DUMMYFUNCTION("""COMPUTED_VALUE"""),199.5)</f>
        <v>199.5</v>
      </c>
      <c r="F353" s="2">
        <f>IFERROR(__xludf.DUMMYFUNCTION("""COMPUTED_VALUE"""),6910206.0)</f>
        <v>6910206</v>
      </c>
    </row>
    <row r="354">
      <c r="A354" s="3">
        <f>IFERROR(__xludf.DUMMYFUNCTION("""COMPUTED_VALUE"""),45441.66666666667)</f>
        <v>45441.66667</v>
      </c>
      <c r="B354" s="2">
        <f>IFERROR(__xludf.DUMMYFUNCTION("""COMPUTED_VALUE"""),198.0)</f>
        <v>198</v>
      </c>
      <c r="C354" s="2">
        <f>IFERROR(__xludf.DUMMYFUNCTION("""COMPUTED_VALUE"""),198.99)</f>
        <v>198.99</v>
      </c>
      <c r="D354" s="2">
        <f>IFERROR(__xludf.DUMMYFUNCTION("""COMPUTED_VALUE"""),196.89)</f>
        <v>196.89</v>
      </c>
      <c r="E354" s="2">
        <f>IFERROR(__xludf.DUMMYFUNCTION("""COMPUTED_VALUE"""),198.11)</f>
        <v>198.11</v>
      </c>
      <c r="F354" s="2">
        <f>IFERROR(__xludf.DUMMYFUNCTION("""COMPUTED_VALUE"""),6120045.0)</f>
        <v>6120045</v>
      </c>
    </row>
    <row r="355">
      <c r="A355" s="3">
        <f>IFERROR(__xludf.DUMMYFUNCTION("""COMPUTED_VALUE"""),45442.66666666667)</f>
        <v>45442.66667</v>
      </c>
      <c r="B355" s="2">
        <f>IFERROR(__xludf.DUMMYFUNCTION("""COMPUTED_VALUE"""),198.56)</f>
        <v>198.56</v>
      </c>
      <c r="C355" s="2">
        <f>IFERROR(__xludf.DUMMYFUNCTION("""COMPUTED_VALUE"""),199.85)</f>
        <v>199.85</v>
      </c>
      <c r="D355" s="2">
        <f>IFERROR(__xludf.DUMMYFUNCTION("""COMPUTED_VALUE"""),198.4)</f>
        <v>198.4</v>
      </c>
      <c r="E355" s="2">
        <f>IFERROR(__xludf.DUMMYFUNCTION("""COMPUTED_VALUE"""),199.33)</f>
        <v>199.33</v>
      </c>
      <c r="F355" s="2">
        <f>IFERROR(__xludf.DUMMYFUNCTION("""COMPUTED_VALUE"""),6829719.0)</f>
        <v>6829719</v>
      </c>
    </row>
    <row r="356">
      <c r="A356" s="3">
        <f>IFERROR(__xludf.DUMMYFUNCTION("""COMPUTED_VALUE"""),45443.66666666667)</f>
        <v>45443.66667</v>
      </c>
      <c r="B356" s="2">
        <f>IFERROR(__xludf.DUMMYFUNCTION("""COMPUTED_VALUE"""),199.3)</f>
        <v>199.3</v>
      </c>
      <c r="C356" s="2">
        <f>IFERROR(__xludf.DUMMYFUNCTION("""COMPUTED_VALUE"""),203.3)</f>
        <v>203.3</v>
      </c>
      <c r="D356" s="2">
        <f>IFERROR(__xludf.DUMMYFUNCTION("""COMPUTED_VALUE"""),198.35)</f>
        <v>198.35</v>
      </c>
      <c r="E356" s="2">
        <f>IFERROR(__xludf.DUMMYFUNCTION("""COMPUTED_VALUE"""),202.63)</f>
        <v>202.63</v>
      </c>
      <c r="F356" s="2">
        <f>IFERROR(__xludf.DUMMYFUNCTION("""COMPUTED_VALUE"""),1.4417885E7)</f>
        <v>14417885</v>
      </c>
    </row>
    <row r="357">
      <c r="A357" s="3">
        <f>IFERROR(__xludf.DUMMYFUNCTION("""COMPUTED_VALUE"""),45446.66666666667)</f>
        <v>45446.66667</v>
      </c>
      <c r="B357" s="2">
        <f>IFERROR(__xludf.DUMMYFUNCTION("""COMPUTED_VALUE"""),202.31)</f>
        <v>202.31</v>
      </c>
      <c r="C357" s="2">
        <f>IFERROR(__xludf.DUMMYFUNCTION("""COMPUTED_VALUE"""),202.42)</f>
        <v>202.42</v>
      </c>
      <c r="D357" s="2">
        <f>IFERROR(__xludf.DUMMYFUNCTION("""COMPUTED_VALUE"""),199.19)</f>
        <v>199.19</v>
      </c>
      <c r="E357" s="2">
        <f>IFERROR(__xludf.DUMMYFUNCTION("""COMPUTED_VALUE"""),201.82)</f>
        <v>201.82</v>
      </c>
      <c r="F357" s="2">
        <f>IFERROR(__xludf.DUMMYFUNCTION("""COMPUTED_VALUE"""),6444309.0)</f>
        <v>6444309</v>
      </c>
    </row>
    <row r="358">
      <c r="A358" s="3">
        <f>IFERROR(__xludf.DUMMYFUNCTION("""COMPUTED_VALUE"""),45447.66666666667)</f>
        <v>45447.66667</v>
      </c>
      <c r="B358" s="2">
        <f>IFERROR(__xludf.DUMMYFUNCTION("""COMPUTED_VALUE"""),200.16)</f>
        <v>200.16</v>
      </c>
      <c r="C358" s="2">
        <f>IFERROR(__xludf.DUMMYFUNCTION("""COMPUTED_VALUE"""),201.98)</f>
        <v>201.98</v>
      </c>
      <c r="D358" s="2">
        <f>IFERROR(__xludf.DUMMYFUNCTION("""COMPUTED_VALUE"""),198.28)</f>
        <v>198.28</v>
      </c>
      <c r="E358" s="2">
        <f>IFERROR(__xludf.DUMMYFUNCTION("""COMPUTED_VALUE"""),199.16)</f>
        <v>199.16</v>
      </c>
      <c r="F358" s="2">
        <f>IFERROR(__xludf.DUMMYFUNCTION("""COMPUTED_VALUE"""),6848338.0)</f>
        <v>6848338</v>
      </c>
    </row>
    <row r="359">
      <c r="A359" s="3">
        <f>IFERROR(__xludf.DUMMYFUNCTION("""COMPUTED_VALUE"""),45448.66666666667)</f>
        <v>45448.66667</v>
      </c>
      <c r="B359" s="2">
        <f>IFERROR(__xludf.DUMMYFUNCTION("""COMPUTED_VALUE"""),199.76)</f>
        <v>199.76</v>
      </c>
      <c r="C359" s="2">
        <f>IFERROR(__xludf.DUMMYFUNCTION("""COMPUTED_VALUE"""),199.82)</f>
        <v>199.82</v>
      </c>
      <c r="D359" s="2">
        <f>IFERROR(__xludf.DUMMYFUNCTION("""COMPUTED_VALUE"""),196.92)</f>
        <v>196.92</v>
      </c>
      <c r="E359" s="2">
        <f>IFERROR(__xludf.DUMMYFUNCTION("""COMPUTED_VALUE"""),197.26)</f>
        <v>197.26</v>
      </c>
      <c r="F359" s="2">
        <f>IFERROR(__xludf.DUMMYFUNCTION("""COMPUTED_VALUE"""),8351597.0)</f>
        <v>8351597</v>
      </c>
    </row>
    <row r="360">
      <c r="A360" s="3">
        <f>IFERROR(__xludf.DUMMYFUNCTION("""COMPUTED_VALUE"""),45449.66666666667)</f>
        <v>45449.66667</v>
      </c>
      <c r="B360" s="2">
        <f>IFERROR(__xludf.DUMMYFUNCTION("""COMPUTED_VALUE"""),197.26)</f>
        <v>197.26</v>
      </c>
      <c r="C360" s="2">
        <f>IFERROR(__xludf.DUMMYFUNCTION("""COMPUTED_VALUE"""),198.02)</f>
        <v>198.02</v>
      </c>
      <c r="D360" s="2">
        <f>IFERROR(__xludf.DUMMYFUNCTION("""COMPUTED_VALUE"""),195.33)</f>
        <v>195.33</v>
      </c>
      <c r="E360" s="2">
        <f>IFERROR(__xludf.DUMMYFUNCTION("""COMPUTED_VALUE"""),196.91)</f>
        <v>196.91</v>
      </c>
      <c r="F360" s="2">
        <f>IFERROR(__xludf.DUMMYFUNCTION("""COMPUTED_VALUE"""),7640289.0)</f>
        <v>7640289</v>
      </c>
    </row>
    <row r="361">
      <c r="A361" s="3">
        <f>IFERROR(__xludf.DUMMYFUNCTION("""COMPUTED_VALUE"""),45450.66666666667)</f>
        <v>45450.66667</v>
      </c>
      <c r="B361" s="2">
        <f>IFERROR(__xludf.DUMMYFUNCTION("""COMPUTED_VALUE"""),197.43)</f>
        <v>197.43</v>
      </c>
      <c r="C361" s="2">
        <f>IFERROR(__xludf.DUMMYFUNCTION("""COMPUTED_VALUE"""),200.92)</f>
        <v>200.92</v>
      </c>
      <c r="D361" s="2">
        <f>IFERROR(__xludf.DUMMYFUNCTION("""COMPUTED_VALUE"""),197.01)</f>
        <v>197.01</v>
      </c>
      <c r="E361" s="2">
        <f>IFERROR(__xludf.DUMMYFUNCTION("""COMPUTED_VALUE"""),199.95)</f>
        <v>199.95</v>
      </c>
      <c r="F361" s="2">
        <f>IFERROR(__xludf.DUMMYFUNCTION("""COMPUTED_VALUE"""),6964498.0)</f>
        <v>6964498</v>
      </c>
    </row>
    <row r="362">
      <c r="A362" s="3">
        <f>IFERROR(__xludf.DUMMYFUNCTION("""COMPUTED_VALUE"""),45453.66666666667)</f>
        <v>45453.66667</v>
      </c>
      <c r="B362" s="2">
        <f>IFERROR(__xludf.DUMMYFUNCTION("""COMPUTED_VALUE"""),199.24)</f>
        <v>199.24</v>
      </c>
      <c r="C362" s="2">
        <f>IFERROR(__xludf.DUMMYFUNCTION("""COMPUTED_VALUE"""),200.84)</f>
        <v>200.84</v>
      </c>
      <c r="D362" s="2">
        <f>IFERROR(__xludf.DUMMYFUNCTION("""COMPUTED_VALUE"""),198.44)</f>
        <v>198.44</v>
      </c>
      <c r="E362" s="2">
        <f>IFERROR(__xludf.DUMMYFUNCTION("""COMPUTED_VALUE"""),199.61)</f>
        <v>199.61</v>
      </c>
      <c r="F362" s="2">
        <f>IFERROR(__xludf.DUMMYFUNCTION("""COMPUTED_VALUE"""),6071201.0)</f>
        <v>6071201</v>
      </c>
    </row>
    <row r="363">
      <c r="A363" s="3">
        <f>IFERROR(__xludf.DUMMYFUNCTION("""COMPUTED_VALUE"""),45454.66666666667)</f>
        <v>45454.66667</v>
      </c>
      <c r="B363" s="2">
        <f>IFERROR(__xludf.DUMMYFUNCTION("""COMPUTED_VALUE"""),197.91)</f>
        <v>197.91</v>
      </c>
      <c r="C363" s="2">
        <f>IFERROR(__xludf.DUMMYFUNCTION("""COMPUTED_VALUE"""),197.94)</f>
        <v>197.94</v>
      </c>
      <c r="D363" s="2">
        <f>IFERROR(__xludf.DUMMYFUNCTION("""COMPUTED_VALUE"""),193.6)</f>
        <v>193.6</v>
      </c>
      <c r="E363" s="2">
        <f>IFERROR(__xludf.DUMMYFUNCTION("""COMPUTED_VALUE"""),194.36)</f>
        <v>194.36</v>
      </c>
      <c r="F363" s="2">
        <f>IFERROR(__xludf.DUMMYFUNCTION("""COMPUTED_VALUE"""),9235302.0)</f>
        <v>9235302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tr">
        <f>IFERROR(__xludf.DUMMYFUNCTION("(GOOGLEFINANCE(""META"", ""all"", DATE(2023, 1, 1), today()))"),"Date")</f>
        <v>Date</v>
      </c>
      <c r="B1" s="2" t="str">
        <f>IFERROR(__xludf.DUMMYFUNCTION("""COMPUTED_VALUE"""),"Open")</f>
        <v>Open</v>
      </c>
      <c r="C1" s="2" t="str">
        <f>IFERROR(__xludf.DUMMYFUNCTION("""COMPUTED_VALUE"""),"High")</f>
        <v>High</v>
      </c>
      <c r="D1" s="2" t="str">
        <f>IFERROR(__xludf.DUMMYFUNCTION("""COMPUTED_VALUE"""),"Low")</f>
        <v>Low</v>
      </c>
      <c r="E1" s="2" t="str">
        <f>IFERROR(__xludf.DUMMYFUNCTION("""COMPUTED_VALUE"""),"Close")</f>
        <v>Close</v>
      </c>
      <c r="F1" s="2" t="str">
        <f>IFERROR(__xludf.DUMMYFUNCTION("""COMPUTED_VALUE"""),"Volume")</f>
        <v>Volume</v>
      </c>
    </row>
    <row r="2">
      <c r="A2" s="3">
        <f>IFERROR(__xludf.DUMMYFUNCTION("""COMPUTED_VALUE"""),44929.66666666667)</f>
        <v>44929.66667</v>
      </c>
      <c r="B2" s="2">
        <f>IFERROR(__xludf.DUMMYFUNCTION("""COMPUTED_VALUE"""),122.82)</f>
        <v>122.82</v>
      </c>
      <c r="C2" s="2">
        <f>IFERROR(__xludf.DUMMYFUNCTION("""COMPUTED_VALUE"""),126.37)</f>
        <v>126.37</v>
      </c>
      <c r="D2" s="2">
        <f>IFERROR(__xludf.DUMMYFUNCTION("""COMPUTED_VALUE"""),122.28)</f>
        <v>122.28</v>
      </c>
      <c r="E2" s="2">
        <f>IFERROR(__xludf.DUMMYFUNCTION("""COMPUTED_VALUE"""),124.74)</f>
        <v>124.74</v>
      </c>
      <c r="F2" s="2">
        <f>IFERROR(__xludf.DUMMYFUNCTION("""COMPUTED_VALUE"""),3.5528531E7)</f>
        <v>35528531</v>
      </c>
    </row>
    <row r="3">
      <c r="A3" s="3">
        <f>IFERROR(__xludf.DUMMYFUNCTION("""COMPUTED_VALUE"""),44930.66666666667)</f>
        <v>44930.66667</v>
      </c>
      <c r="B3" s="2">
        <f>IFERROR(__xludf.DUMMYFUNCTION("""COMPUTED_VALUE"""),127.38)</f>
        <v>127.38</v>
      </c>
      <c r="C3" s="2">
        <f>IFERROR(__xludf.DUMMYFUNCTION("""COMPUTED_VALUE"""),129.05)</f>
        <v>129.05</v>
      </c>
      <c r="D3" s="2">
        <f>IFERROR(__xludf.DUMMYFUNCTION("""COMPUTED_VALUE"""),125.85)</f>
        <v>125.85</v>
      </c>
      <c r="E3" s="2">
        <f>IFERROR(__xludf.DUMMYFUNCTION("""COMPUTED_VALUE"""),127.37)</f>
        <v>127.37</v>
      </c>
      <c r="F3" s="2">
        <f>IFERROR(__xludf.DUMMYFUNCTION("""COMPUTED_VALUE"""),3.2397094E7)</f>
        <v>32397094</v>
      </c>
    </row>
    <row r="4">
      <c r="A4" s="3">
        <f>IFERROR(__xludf.DUMMYFUNCTION("""COMPUTED_VALUE"""),44931.66666666667)</f>
        <v>44931.66667</v>
      </c>
      <c r="B4" s="2">
        <f>IFERROR(__xludf.DUMMYFUNCTION("""COMPUTED_VALUE"""),126.13)</f>
        <v>126.13</v>
      </c>
      <c r="C4" s="2">
        <f>IFERROR(__xludf.DUMMYFUNCTION("""COMPUTED_VALUE"""),128.52)</f>
        <v>128.52</v>
      </c>
      <c r="D4" s="2">
        <f>IFERROR(__xludf.DUMMYFUNCTION("""COMPUTED_VALUE"""),124.54)</f>
        <v>124.54</v>
      </c>
      <c r="E4" s="2">
        <f>IFERROR(__xludf.DUMMYFUNCTION("""COMPUTED_VALUE"""),126.94)</f>
        <v>126.94</v>
      </c>
      <c r="F4" s="2">
        <f>IFERROR(__xludf.DUMMYFUNCTION("""COMPUTED_VALUE"""),2.5447099E7)</f>
        <v>25447099</v>
      </c>
    </row>
    <row r="5">
      <c r="A5" s="3">
        <f>IFERROR(__xludf.DUMMYFUNCTION("""COMPUTED_VALUE"""),44932.66666666667)</f>
        <v>44932.66667</v>
      </c>
      <c r="B5" s="2">
        <f>IFERROR(__xludf.DUMMYFUNCTION("""COMPUTED_VALUE"""),128.97)</f>
        <v>128.97</v>
      </c>
      <c r="C5" s="2">
        <f>IFERROR(__xludf.DUMMYFUNCTION("""COMPUTED_VALUE"""),130.33)</f>
        <v>130.33</v>
      </c>
      <c r="D5" s="2">
        <f>IFERROR(__xludf.DUMMYFUNCTION("""COMPUTED_VALUE"""),126.04)</f>
        <v>126.04</v>
      </c>
      <c r="E5" s="2">
        <f>IFERROR(__xludf.DUMMYFUNCTION("""COMPUTED_VALUE"""),130.02)</f>
        <v>130.02</v>
      </c>
      <c r="F5" s="2">
        <f>IFERROR(__xludf.DUMMYFUNCTION("""COMPUTED_VALUE"""),2.7584498E7)</f>
        <v>27584498</v>
      </c>
    </row>
    <row r="6">
      <c r="A6" s="3">
        <f>IFERROR(__xludf.DUMMYFUNCTION("""COMPUTED_VALUE"""),44935.66666666667)</f>
        <v>44935.66667</v>
      </c>
      <c r="B6" s="2">
        <f>IFERROR(__xludf.DUMMYFUNCTION("""COMPUTED_VALUE"""),131.16)</f>
        <v>131.16</v>
      </c>
      <c r="C6" s="2">
        <f>IFERROR(__xludf.DUMMYFUNCTION("""COMPUTED_VALUE"""),132.95)</f>
        <v>132.95</v>
      </c>
      <c r="D6" s="2">
        <f>IFERROR(__xludf.DUMMYFUNCTION("""COMPUTED_VALUE"""),129.28)</f>
        <v>129.28</v>
      </c>
      <c r="E6" s="2">
        <f>IFERROR(__xludf.DUMMYFUNCTION("""COMPUTED_VALUE"""),129.47)</f>
        <v>129.47</v>
      </c>
      <c r="F6" s="2">
        <f>IFERROR(__xludf.DUMMYFUNCTION("""COMPUTED_VALUE"""),2.6649145E7)</f>
        <v>26649145</v>
      </c>
    </row>
    <row r="7">
      <c r="A7" s="3">
        <f>IFERROR(__xludf.DUMMYFUNCTION("""COMPUTED_VALUE"""),44936.66666666667)</f>
        <v>44936.66667</v>
      </c>
      <c r="B7" s="2">
        <f>IFERROR(__xludf.DUMMYFUNCTION("""COMPUTED_VALUE"""),127.27)</f>
        <v>127.27</v>
      </c>
      <c r="C7" s="2">
        <f>IFERROR(__xludf.DUMMYFUNCTION("""COMPUTED_VALUE"""),133.44)</f>
        <v>133.44</v>
      </c>
      <c r="D7" s="2">
        <f>IFERROR(__xludf.DUMMYFUNCTION("""COMPUTED_VALUE"""),127.15)</f>
        <v>127.15</v>
      </c>
      <c r="E7" s="2">
        <f>IFERROR(__xludf.DUMMYFUNCTION("""COMPUTED_VALUE"""),132.99)</f>
        <v>132.99</v>
      </c>
      <c r="F7" s="2">
        <f>IFERROR(__xludf.DUMMYFUNCTION("""COMPUTED_VALUE"""),2.8684431E7)</f>
        <v>28684431</v>
      </c>
    </row>
    <row r="8">
      <c r="A8" s="3">
        <f>IFERROR(__xludf.DUMMYFUNCTION("""COMPUTED_VALUE"""),44937.66666666667)</f>
        <v>44937.66667</v>
      </c>
      <c r="B8" s="2">
        <f>IFERROR(__xludf.DUMMYFUNCTION("""COMPUTED_VALUE"""),130.96)</f>
        <v>130.96</v>
      </c>
      <c r="C8" s="2">
        <f>IFERROR(__xludf.DUMMYFUNCTION("""COMPUTED_VALUE"""),133.85)</f>
        <v>133.85</v>
      </c>
      <c r="D8" s="2">
        <f>IFERROR(__xludf.DUMMYFUNCTION("""COMPUTED_VALUE"""),130.34)</f>
        <v>130.34</v>
      </c>
      <c r="E8" s="2">
        <f>IFERROR(__xludf.DUMMYFUNCTION("""COMPUTED_VALUE"""),132.89)</f>
        <v>132.89</v>
      </c>
      <c r="F8" s="2">
        <f>IFERROR(__xludf.DUMMYFUNCTION("""COMPUTED_VALUE"""),2.5423046E7)</f>
        <v>25423046</v>
      </c>
    </row>
    <row r="9">
      <c r="A9" s="3">
        <f>IFERROR(__xludf.DUMMYFUNCTION("""COMPUTED_VALUE"""),44938.66666666667)</f>
        <v>44938.66667</v>
      </c>
      <c r="B9" s="2">
        <f>IFERROR(__xludf.DUMMYFUNCTION("""COMPUTED_VALUE"""),133.44)</f>
        <v>133.44</v>
      </c>
      <c r="C9" s="2">
        <f>IFERROR(__xludf.DUMMYFUNCTION("""COMPUTED_VALUE"""),137.68)</f>
        <v>137.68</v>
      </c>
      <c r="D9" s="2">
        <f>IFERROR(__xludf.DUMMYFUNCTION("""COMPUTED_VALUE"""),131.76)</f>
        <v>131.76</v>
      </c>
      <c r="E9" s="2">
        <f>IFERROR(__xludf.DUMMYFUNCTION("""COMPUTED_VALUE"""),136.71)</f>
        <v>136.71</v>
      </c>
      <c r="F9" s="2">
        <f>IFERROR(__xludf.DUMMYFUNCTION("""COMPUTED_VALUE"""),3.0757732E7)</f>
        <v>30757732</v>
      </c>
    </row>
    <row r="10">
      <c r="A10" s="3">
        <f>IFERROR(__xludf.DUMMYFUNCTION("""COMPUTED_VALUE"""),44939.66666666667)</f>
        <v>44939.66667</v>
      </c>
      <c r="B10" s="2">
        <f>IFERROR(__xludf.DUMMYFUNCTION("""COMPUTED_VALUE"""),134.97)</f>
        <v>134.97</v>
      </c>
      <c r="C10" s="2">
        <f>IFERROR(__xludf.DUMMYFUNCTION("""COMPUTED_VALUE"""),137.39)</f>
        <v>137.39</v>
      </c>
      <c r="D10" s="2">
        <f>IFERROR(__xludf.DUMMYFUNCTION("""COMPUTED_VALUE"""),134.84)</f>
        <v>134.84</v>
      </c>
      <c r="E10" s="2">
        <f>IFERROR(__xludf.DUMMYFUNCTION("""COMPUTED_VALUE"""),136.98)</f>
        <v>136.98</v>
      </c>
      <c r="F10" s="2">
        <f>IFERROR(__xludf.DUMMYFUNCTION("""COMPUTED_VALUE"""),2.2423839E7)</f>
        <v>22423839</v>
      </c>
    </row>
    <row r="11">
      <c r="A11" s="3">
        <f>IFERROR(__xludf.DUMMYFUNCTION("""COMPUTED_VALUE"""),44943.66666666667)</f>
        <v>44943.66667</v>
      </c>
      <c r="B11" s="2">
        <f>IFERROR(__xludf.DUMMYFUNCTION("""COMPUTED_VALUE"""),136.18)</f>
        <v>136.18</v>
      </c>
      <c r="C11" s="2">
        <f>IFERROR(__xludf.DUMMYFUNCTION("""COMPUTED_VALUE"""),136.75)</f>
        <v>136.75</v>
      </c>
      <c r="D11" s="2">
        <f>IFERROR(__xludf.DUMMYFUNCTION("""COMPUTED_VALUE"""),134.25)</f>
        <v>134.25</v>
      </c>
      <c r="E11" s="2">
        <f>IFERROR(__xludf.DUMMYFUNCTION("""COMPUTED_VALUE"""),135.36)</f>
        <v>135.36</v>
      </c>
      <c r="F11" s="2">
        <f>IFERROR(__xludf.DUMMYFUNCTION("""COMPUTED_VALUE"""),2.1147587E7)</f>
        <v>21147587</v>
      </c>
    </row>
    <row r="12">
      <c r="A12" s="3">
        <f>IFERROR(__xludf.DUMMYFUNCTION("""COMPUTED_VALUE"""),44944.66666666667)</f>
        <v>44944.66667</v>
      </c>
      <c r="B12" s="2">
        <f>IFERROR(__xludf.DUMMYFUNCTION("""COMPUTED_VALUE"""),135.81)</f>
        <v>135.81</v>
      </c>
      <c r="C12" s="2">
        <f>IFERROR(__xludf.DUMMYFUNCTION("""COMPUTED_VALUE"""),137.25)</f>
        <v>137.25</v>
      </c>
      <c r="D12" s="2">
        <f>IFERROR(__xludf.DUMMYFUNCTION("""COMPUTED_VALUE"""),132.8)</f>
        <v>132.8</v>
      </c>
      <c r="E12" s="2">
        <f>IFERROR(__xludf.DUMMYFUNCTION("""COMPUTED_VALUE"""),133.02)</f>
        <v>133.02</v>
      </c>
      <c r="F12" s="2">
        <f>IFERROR(__xludf.DUMMYFUNCTION("""COMPUTED_VALUE"""),2.0215486E7)</f>
        <v>20215486</v>
      </c>
    </row>
    <row r="13">
      <c r="A13" s="3">
        <f>IFERROR(__xludf.DUMMYFUNCTION("""COMPUTED_VALUE"""),44945.66666666667)</f>
        <v>44945.66667</v>
      </c>
      <c r="B13" s="2">
        <f>IFERROR(__xludf.DUMMYFUNCTION("""COMPUTED_VALUE"""),132.49)</f>
        <v>132.49</v>
      </c>
      <c r="C13" s="2">
        <f>IFERROR(__xludf.DUMMYFUNCTION("""COMPUTED_VALUE"""),137.45)</f>
        <v>137.45</v>
      </c>
      <c r="D13" s="2">
        <f>IFERROR(__xludf.DUMMYFUNCTION("""COMPUTED_VALUE"""),132.14)</f>
        <v>132.14</v>
      </c>
      <c r="E13" s="2">
        <f>IFERROR(__xludf.DUMMYFUNCTION("""COMPUTED_VALUE"""),136.15)</f>
        <v>136.15</v>
      </c>
      <c r="F13" s="2">
        <f>IFERROR(__xludf.DUMMYFUNCTION("""COMPUTED_VALUE"""),2.8625232E7)</f>
        <v>28625232</v>
      </c>
    </row>
    <row r="14">
      <c r="A14" s="3">
        <f>IFERROR(__xludf.DUMMYFUNCTION("""COMPUTED_VALUE"""),44946.66666666667)</f>
        <v>44946.66667</v>
      </c>
      <c r="B14" s="2">
        <f>IFERROR(__xludf.DUMMYFUNCTION("""COMPUTED_VALUE"""),135.89)</f>
        <v>135.89</v>
      </c>
      <c r="C14" s="2">
        <f>IFERROR(__xludf.DUMMYFUNCTION("""COMPUTED_VALUE"""),139.94)</f>
        <v>139.94</v>
      </c>
      <c r="D14" s="2">
        <f>IFERROR(__xludf.DUMMYFUNCTION("""COMPUTED_VALUE"""),134.61)</f>
        <v>134.61</v>
      </c>
      <c r="E14" s="2">
        <f>IFERROR(__xludf.DUMMYFUNCTION("""COMPUTED_VALUE"""),139.37)</f>
        <v>139.37</v>
      </c>
      <c r="F14" s="2">
        <f>IFERROR(__xludf.DUMMYFUNCTION("""COMPUTED_VALUE"""),2.868863E7)</f>
        <v>28688630</v>
      </c>
    </row>
    <row r="15">
      <c r="A15" s="3">
        <f>IFERROR(__xludf.DUMMYFUNCTION("""COMPUTED_VALUE"""),44949.66666666667)</f>
        <v>44949.66667</v>
      </c>
      <c r="B15" s="2">
        <f>IFERROR(__xludf.DUMMYFUNCTION("""COMPUTED_VALUE"""),139.29)</f>
        <v>139.29</v>
      </c>
      <c r="C15" s="2">
        <f>IFERROR(__xludf.DUMMYFUNCTION("""COMPUTED_VALUE"""),143.76)</f>
        <v>143.76</v>
      </c>
      <c r="D15" s="2">
        <f>IFERROR(__xludf.DUMMYFUNCTION("""COMPUTED_VALUE"""),138.66)</f>
        <v>138.66</v>
      </c>
      <c r="E15" s="2">
        <f>IFERROR(__xludf.DUMMYFUNCTION("""COMPUTED_VALUE"""),143.27)</f>
        <v>143.27</v>
      </c>
      <c r="F15" s="2">
        <f>IFERROR(__xludf.DUMMYFUNCTION("""COMPUTED_VALUE"""),2.7470093E7)</f>
        <v>27470093</v>
      </c>
    </row>
    <row r="16">
      <c r="A16" s="3">
        <f>IFERROR(__xludf.DUMMYFUNCTION("""COMPUTED_VALUE"""),44950.66666666667)</f>
        <v>44950.66667</v>
      </c>
      <c r="B16" s="2">
        <f>IFERROR(__xludf.DUMMYFUNCTION("""COMPUTED_VALUE"""),141.69)</f>
        <v>141.69</v>
      </c>
      <c r="C16" s="2">
        <f>IFERROR(__xludf.DUMMYFUNCTION("""COMPUTED_VALUE"""),145.0)</f>
        <v>145</v>
      </c>
      <c r="D16" s="2">
        <f>IFERROR(__xludf.DUMMYFUNCTION("""COMPUTED_VALUE"""),141.36)</f>
        <v>141.36</v>
      </c>
      <c r="E16" s="2">
        <f>IFERROR(__xludf.DUMMYFUNCTION("""COMPUTED_VALUE"""),143.14)</f>
        <v>143.14</v>
      </c>
      <c r="F16" s="2">
        <f>IFERROR(__xludf.DUMMYFUNCTION("""COMPUTED_VALUE"""),2.197019E7)</f>
        <v>21970190</v>
      </c>
    </row>
    <row r="17">
      <c r="A17" s="3">
        <f>IFERROR(__xludf.DUMMYFUNCTION("""COMPUTED_VALUE"""),44951.66666666667)</f>
        <v>44951.66667</v>
      </c>
      <c r="B17" s="2">
        <f>IFERROR(__xludf.DUMMYFUNCTION("""COMPUTED_VALUE"""),141.22)</f>
        <v>141.22</v>
      </c>
      <c r="C17" s="2">
        <f>IFERROR(__xludf.DUMMYFUNCTION("""COMPUTED_VALUE"""),143.17)</f>
        <v>143.17</v>
      </c>
      <c r="D17" s="2">
        <f>IFERROR(__xludf.DUMMYFUNCTION("""COMPUTED_VALUE"""),140.31)</f>
        <v>140.31</v>
      </c>
      <c r="E17" s="2">
        <f>IFERROR(__xludf.DUMMYFUNCTION("""COMPUTED_VALUE"""),141.5)</f>
        <v>141.5</v>
      </c>
      <c r="F17" s="2">
        <f>IFERROR(__xludf.DUMMYFUNCTION("""COMPUTED_VALUE"""),2.6622021E7)</f>
        <v>26622021</v>
      </c>
    </row>
    <row r="18">
      <c r="A18" s="3">
        <f>IFERROR(__xludf.DUMMYFUNCTION("""COMPUTED_VALUE"""),44952.66666666667)</f>
        <v>44952.66667</v>
      </c>
      <c r="B18" s="2">
        <f>IFERROR(__xludf.DUMMYFUNCTION("""COMPUTED_VALUE"""),144.4)</f>
        <v>144.4</v>
      </c>
      <c r="C18" s="2">
        <f>IFERROR(__xludf.DUMMYFUNCTION("""COMPUTED_VALUE"""),147.51)</f>
        <v>147.51</v>
      </c>
      <c r="D18" s="2">
        <f>IFERROR(__xludf.DUMMYFUNCTION("""COMPUTED_VALUE"""),143.3)</f>
        <v>143.3</v>
      </c>
      <c r="E18" s="2">
        <f>IFERROR(__xludf.DUMMYFUNCTION("""COMPUTED_VALUE"""),147.3)</f>
        <v>147.3</v>
      </c>
      <c r="F18" s="2">
        <f>IFERROR(__xludf.DUMMYFUNCTION("""COMPUTED_VALUE"""),2.5482084E7)</f>
        <v>25482084</v>
      </c>
    </row>
    <row r="19">
      <c r="A19" s="3">
        <f>IFERROR(__xludf.DUMMYFUNCTION("""COMPUTED_VALUE"""),44953.66666666667)</f>
        <v>44953.66667</v>
      </c>
      <c r="B19" s="2">
        <f>IFERROR(__xludf.DUMMYFUNCTION("""COMPUTED_VALUE"""),148.24)</f>
        <v>148.24</v>
      </c>
      <c r="C19" s="2">
        <f>IFERROR(__xludf.DUMMYFUNCTION("""COMPUTED_VALUE"""),153.19)</f>
        <v>153.19</v>
      </c>
      <c r="D19" s="2">
        <f>IFERROR(__xludf.DUMMYFUNCTION("""COMPUTED_VALUE"""),147.39)</f>
        <v>147.39</v>
      </c>
      <c r="E19" s="2">
        <f>IFERROR(__xludf.DUMMYFUNCTION("""COMPUTED_VALUE"""),151.74)</f>
        <v>151.74</v>
      </c>
      <c r="F19" s="2">
        <f>IFERROR(__xludf.DUMMYFUNCTION("""COMPUTED_VALUE"""),3.5771865E7)</f>
        <v>35771865</v>
      </c>
    </row>
    <row r="20">
      <c r="A20" s="3">
        <f>IFERROR(__xludf.DUMMYFUNCTION("""COMPUTED_VALUE"""),44956.66666666667)</f>
        <v>44956.66667</v>
      </c>
      <c r="B20" s="2">
        <f>IFERROR(__xludf.DUMMYFUNCTION("""COMPUTED_VALUE"""),149.41)</f>
        <v>149.41</v>
      </c>
      <c r="C20" s="2">
        <f>IFERROR(__xludf.DUMMYFUNCTION("""COMPUTED_VALUE"""),151.12)</f>
        <v>151.12</v>
      </c>
      <c r="D20" s="2">
        <f>IFERROR(__xludf.DUMMYFUNCTION("""COMPUTED_VALUE"""),146.95)</f>
        <v>146.95</v>
      </c>
      <c r="E20" s="2">
        <f>IFERROR(__xludf.DUMMYFUNCTION("""COMPUTED_VALUE"""),147.06)</f>
        <v>147.06</v>
      </c>
      <c r="F20" s="2">
        <f>IFERROR(__xludf.DUMMYFUNCTION("""COMPUTED_VALUE"""),2.80401E7)</f>
        <v>28040100</v>
      </c>
    </row>
    <row r="21">
      <c r="A21" s="3">
        <f>IFERROR(__xludf.DUMMYFUNCTION("""COMPUTED_VALUE"""),44957.66666666667)</f>
        <v>44957.66667</v>
      </c>
      <c r="B21" s="2">
        <f>IFERROR(__xludf.DUMMYFUNCTION("""COMPUTED_VALUE"""),147.95)</f>
        <v>147.95</v>
      </c>
      <c r="C21" s="2">
        <f>IFERROR(__xludf.DUMMYFUNCTION("""COMPUTED_VALUE"""),149.88)</f>
        <v>149.88</v>
      </c>
      <c r="D21" s="2">
        <f>IFERROR(__xludf.DUMMYFUNCTION("""COMPUTED_VALUE"""),147.52)</f>
        <v>147.52</v>
      </c>
      <c r="E21" s="2">
        <f>IFERROR(__xludf.DUMMYFUNCTION("""COMPUTED_VALUE"""),148.97)</f>
        <v>148.97</v>
      </c>
      <c r="F21" s="2">
        <f>IFERROR(__xludf.DUMMYFUNCTION("""COMPUTED_VALUE"""),2.9842109E7)</f>
        <v>29842109</v>
      </c>
    </row>
    <row r="22">
      <c r="A22" s="3">
        <f>IFERROR(__xludf.DUMMYFUNCTION("""COMPUTED_VALUE"""),44958.66666666667)</f>
        <v>44958.66667</v>
      </c>
      <c r="B22" s="2">
        <f>IFERROR(__xludf.DUMMYFUNCTION("""COMPUTED_VALUE"""),148.03)</f>
        <v>148.03</v>
      </c>
      <c r="C22" s="2">
        <f>IFERROR(__xludf.DUMMYFUNCTION("""COMPUTED_VALUE"""),153.58)</f>
        <v>153.58</v>
      </c>
      <c r="D22" s="2">
        <f>IFERROR(__xludf.DUMMYFUNCTION("""COMPUTED_VALUE"""),147.06)</f>
        <v>147.06</v>
      </c>
      <c r="E22" s="2">
        <f>IFERROR(__xludf.DUMMYFUNCTION("""COMPUTED_VALUE"""),153.12)</f>
        <v>153.12</v>
      </c>
      <c r="F22" s="2">
        <f>IFERROR(__xludf.DUMMYFUNCTION("""COMPUTED_VALUE"""),5.5661017E7)</f>
        <v>55661017</v>
      </c>
    </row>
    <row r="23">
      <c r="A23" s="3">
        <f>IFERROR(__xludf.DUMMYFUNCTION("""COMPUTED_VALUE"""),44959.66666666667)</f>
        <v>44959.66667</v>
      </c>
      <c r="B23" s="2">
        <f>IFERROR(__xludf.DUMMYFUNCTION("""COMPUTED_VALUE"""),183.38)</f>
        <v>183.38</v>
      </c>
      <c r="C23" s="2">
        <f>IFERROR(__xludf.DUMMYFUNCTION("""COMPUTED_VALUE"""),197.16)</f>
        <v>197.16</v>
      </c>
      <c r="D23" s="2">
        <f>IFERROR(__xludf.DUMMYFUNCTION("""COMPUTED_VALUE"""),180.16)</f>
        <v>180.16</v>
      </c>
      <c r="E23" s="2">
        <f>IFERROR(__xludf.DUMMYFUNCTION("""COMPUTED_VALUE"""),188.77)</f>
        <v>188.77</v>
      </c>
      <c r="F23" s="2">
        <f>IFERROR(__xludf.DUMMYFUNCTION("""COMPUTED_VALUE"""),1.50475687E8)</f>
        <v>150475687</v>
      </c>
    </row>
    <row r="24">
      <c r="A24" s="3">
        <f>IFERROR(__xludf.DUMMYFUNCTION("""COMPUTED_VALUE"""),44960.66666666667)</f>
        <v>44960.66667</v>
      </c>
      <c r="B24" s="2">
        <f>IFERROR(__xludf.DUMMYFUNCTION("""COMPUTED_VALUE"""),183.47)</f>
        <v>183.47</v>
      </c>
      <c r="C24" s="2">
        <f>IFERROR(__xludf.DUMMYFUNCTION("""COMPUTED_VALUE"""),196.77)</f>
        <v>196.77</v>
      </c>
      <c r="D24" s="2">
        <f>IFERROR(__xludf.DUMMYFUNCTION("""COMPUTED_VALUE"""),182.89)</f>
        <v>182.89</v>
      </c>
      <c r="E24" s="2">
        <f>IFERROR(__xludf.DUMMYFUNCTION("""COMPUTED_VALUE"""),186.53)</f>
        <v>186.53</v>
      </c>
      <c r="F24" s="2">
        <f>IFERROR(__xludf.DUMMYFUNCTION("""COMPUTED_VALUE"""),7.6809701E7)</f>
        <v>76809701</v>
      </c>
    </row>
    <row r="25">
      <c r="A25" s="3">
        <f>IFERROR(__xludf.DUMMYFUNCTION("""COMPUTED_VALUE"""),44963.66666666667)</f>
        <v>44963.66667</v>
      </c>
      <c r="B25" s="2">
        <f>IFERROR(__xludf.DUMMYFUNCTION("""COMPUTED_VALUE"""),186.53)</f>
        <v>186.53</v>
      </c>
      <c r="C25" s="2">
        <f>IFERROR(__xludf.DUMMYFUNCTION("""COMPUTED_VALUE"""),190.7)</f>
        <v>190.7</v>
      </c>
      <c r="D25" s="2">
        <f>IFERROR(__xludf.DUMMYFUNCTION("""COMPUTED_VALUE"""),185.52)</f>
        <v>185.52</v>
      </c>
      <c r="E25" s="2">
        <f>IFERROR(__xludf.DUMMYFUNCTION("""COMPUTED_VALUE"""),186.06)</f>
        <v>186.06</v>
      </c>
      <c r="F25" s="2">
        <f>IFERROR(__xludf.DUMMYFUNCTION("""COMPUTED_VALUE"""),4.2483811E7)</f>
        <v>42483811</v>
      </c>
    </row>
    <row r="26">
      <c r="A26" s="3">
        <f>IFERROR(__xludf.DUMMYFUNCTION("""COMPUTED_VALUE"""),44964.66666666667)</f>
        <v>44964.66667</v>
      </c>
      <c r="B26" s="2">
        <f>IFERROR(__xludf.DUMMYFUNCTION("""COMPUTED_VALUE"""),185.58)</f>
        <v>185.58</v>
      </c>
      <c r="C26" s="2">
        <f>IFERROR(__xludf.DUMMYFUNCTION("""COMPUTED_VALUE"""),193.78)</f>
        <v>193.78</v>
      </c>
      <c r="D26" s="2">
        <f>IFERROR(__xludf.DUMMYFUNCTION("""COMPUTED_VALUE"""),184.4)</f>
        <v>184.4</v>
      </c>
      <c r="E26" s="2">
        <f>IFERROR(__xludf.DUMMYFUNCTION("""COMPUTED_VALUE"""),191.62)</f>
        <v>191.62</v>
      </c>
      <c r="F26" s="2">
        <f>IFERROR(__xludf.DUMMYFUNCTION("""COMPUTED_VALUE"""),4.7080662E7)</f>
        <v>47080662</v>
      </c>
    </row>
    <row r="27">
      <c r="A27" s="3">
        <f>IFERROR(__xludf.DUMMYFUNCTION("""COMPUTED_VALUE"""),44965.66666666667)</f>
        <v>44965.66667</v>
      </c>
      <c r="B27" s="2">
        <f>IFERROR(__xludf.DUMMYFUNCTION("""COMPUTED_VALUE"""),190.0)</f>
        <v>190</v>
      </c>
      <c r="C27" s="2">
        <f>IFERROR(__xludf.DUMMYFUNCTION("""COMPUTED_VALUE"""),190.83)</f>
        <v>190.83</v>
      </c>
      <c r="D27" s="2">
        <f>IFERROR(__xludf.DUMMYFUNCTION("""COMPUTED_VALUE"""),182.92)</f>
        <v>182.92</v>
      </c>
      <c r="E27" s="2">
        <f>IFERROR(__xludf.DUMMYFUNCTION("""COMPUTED_VALUE"""),183.43)</f>
        <v>183.43</v>
      </c>
      <c r="F27" s="2">
        <f>IFERROR(__xludf.DUMMYFUNCTION("""COMPUTED_VALUE"""),3.6139074E7)</f>
        <v>36139074</v>
      </c>
    </row>
    <row r="28">
      <c r="A28" s="3">
        <f>IFERROR(__xludf.DUMMYFUNCTION("""COMPUTED_VALUE"""),44966.66666666667)</f>
        <v>44966.66667</v>
      </c>
      <c r="B28" s="2">
        <f>IFERROR(__xludf.DUMMYFUNCTION("""COMPUTED_VALUE"""),186.13)</f>
        <v>186.13</v>
      </c>
      <c r="C28" s="2">
        <f>IFERROR(__xludf.DUMMYFUNCTION("""COMPUTED_VALUE"""),186.65)</f>
        <v>186.65</v>
      </c>
      <c r="D28" s="2">
        <f>IFERROR(__xludf.DUMMYFUNCTION("""COMPUTED_VALUE"""),177.27)</f>
        <v>177.27</v>
      </c>
      <c r="E28" s="2">
        <f>IFERROR(__xludf.DUMMYFUNCTION("""COMPUTED_VALUE"""),177.92)</f>
        <v>177.92</v>
      </c>
      <c r="F28" s="2">
        <f>IFERROR(__xludf.DUMMYFUNCTION("""COMPUTED_VALUE"""),3.7118811E7)</f>
        <v>37118811</v>
      </c>
    </row>
    <row r="29">
      <c r="A29" s="3">
        <f>IFERROR(__xludf.DUMMYFUNCTION("""COMPUTED_VALUE"""),44967.66666666667)</f>
        <v>44967.66667</v>
      </c>
      <c r="B29" s="2">
        <f>IFERROR(__xludf.DUMMYFUNCTION("""COMPUTED_VALUE"""),176.35)</f>
        <v>176.35</v>
      </c>
      <c r="C29" s="2">
        <f>IFERROR(__xludf.DUMMYFUNCTION("""COMPUTED_VALUE"""),178.89)</f>
        <v>178.89</v>
      </c>
      <c r="D29" s="2">
        <f>IFERROR(__xludf.DUMMYFUNCTION("""COMPUTED_VALUE"""),173.35)</f>
        <v>173.35</v>
      </c>
      <c r="E29" s="2">
        <f>IFERROR(__xludf.DUMMYFUNCTION("""COMPUTED_VALUE"""),174.15)</f>
        <v>174.15</v>
      </c>
      <c r="F29" s="2">
        <f>IFERROR(__xludf.DUMMYFUNCTION("""COMPUTED_VALUE"""),3.3433567E7)</f>
        <v>33433567</v>
      </c>
    </row>
    <row r="30">
      <c r="A30" s="3">
        <f>IFERROR(__xludf.DUMMYFUNCTION("""COMPUTED_VALUE"""),44970.66666666667)</f>
        <v>44970.66667</v>
      </c>
      <c r="B30" s="2">
        <f>IFERROR(__xludf.DUMMYFUNCTION("""COMPUTED_VALUE"""),178.22)</f>
        <v>178.22</v>
      </c>
      <c r="C30" s="2">
        <f>IFERROR(__xludf.DUMMYFUNCTION("""COMPUTED_VALUE"""),181.0)</f>
        <v>181</v>
      </c>
      <c r="D30" s="2">
        <f>IFERROR(__xludf.DUMMYFUNCTION("""COMPUTED_VALUE"""),175.82)</f>
        <v>175.82</v>
      </c>
      <c r="E30" s="2">
        <f>IFERROR(__xludf.DUMMYFUNCTION("""COMPUTED_VALUE"""),179.43)</f>
        <v>179.43</v>
      </c>
      <c r="F30" s="2">
        <f>IFERROR(__xludf.DUMMYFUNCTION("""COMPUTED_VALUE"""),3.1463223E7)</f>
        <v>31463223</v>
      </c>
    </row>
    <row r="31">
      <c r="A31" s="3">
        <f>IFERROR(__xludf.DUMMYFUNCTION("""COMPUTED_VALUE"""),44971.66666666667)</f>
        <v>44971.66667</v>
      </c>
      <c r="B31" s="2">
        <f>IFERROR(__xludf.DUMMYFUNCTION("""COMPUTED_VALUE"""),177.16)</f>
        <v>177.16</v>
      </c>
      <c r="C31" s="2">
        <f>IFERROR(__xludf.DUMMYFUNCTION("""COMPUTED_VALUE"""),181.51)</f>
        <v>181.51</v>
      </c>
      <c r="D31" s="2">
        <f>IFERROR(__xludf.DUMMYFUNCTION("""COMPUTED_VALUE"""),175.88)</f>
        <v>175.88</v>
      </c>
      <c r="E31" s="2">
        <f>IFERROR(__xludf.DUMMYFUNCTION("""COMPUTED_VALUE"""),179.48)</f>
        <v>179.48</v>
      </c>
      <c r="F31" s="2">
        <f>IFERROR(__xludf.DUMMYFUNCTION("""COMPUTED_VALUE"""),2.4034631E7)</f>
        <v>24034631</v>
      </c>
    </row>
    <row r="32">
      <c r="A32" s="3">
        <f>IFERROR(__xludf.DUMMYFUNCTION("""COMPUTED_VALUE"""),44972.66666666667)</f>
        <v>44972.66667</v>
      </c>
      <c r="B32" s="2">
        <f>IFERROR(__xludf.DUMMYFUNCTION("""COMPUTED_VALUE"""),176.42)</f>
        <v>176.42</v>
      </c>
      <c r="C32" s="2">
        <f>IFERROR(__xludf.DUMMYFUNCTION("""COMPUTED_VALUE"""),178.19)</f>
        <v>178.19</v>
      </c>
      <c r="D32" s="2">
        <f>IFERROR(__xludf.DUMMYFUNCTION("""COMPUTED_VALUE"""),175.33)</f>
        <v>175.33</v>
      </c>
      <c r="E32" s="2">
        <f>IFERROR(__xludf.DUMMYFUNCTION("""COMPUTED_VALUE"""),177.16)</f>
        <v>177.16</v>
      </c>
      <c r="F32" s="2">
        <f>IFERROR(__xludf.DUMMYFUNCTION("""COMPUTED_VALUE"""),2.5337966E7)</f>
        <v>25337966</v>
      </c>
    </row>
    <row r="33">
      <c r="A33" s="3">
        <f>IFERROR(__xludf.DUMMYFUNCTION("""COMPUTED_VALUE"""),44973.66666666667)</f>
        <v>44973.66667</v>
      </c>
      <c r="B33" s="2">
        <f>IFERROR(__xludf.DUMMYFUNCTION("""COMPUTED_VALUE"""),172.75)</f>
        <v>172.75</v>
      </c>
      <c r="C33" s="2">
        <f>IFERROR(__xludf.DUMMYFUNCTION("""COMPUTED_VALUE"""),175.85)</f>
        <v>175.85</v>
      </c>
      <c r="D33" s="2">
        <f>IFERROR(__xludf.DUMMYFUNCTION("""COMPUTED_VALUE"""),171.79)</f>
        <v>171.79</v>
      </c>
      <c r="E33" s="2">
        <f>IFERROR(__xludf.DUMMYFUNCTION("""COMPUTED_VALUE"""),172.44)</f>
        <v>172.44</v>
      </c>
      <c r="F33" s="2">
        <f>IFERROR(__xludf.DUMMYFUNCTION("""COMPUTED_VALUE"""),2.5827473E7)</f>
        <v>25827473</v>
      </c>
    </row>
    <row r="34">
      <c r="A34" s="3">
        <f>IFERROR(__xludf.DUMMYFUNCTION("""COMPUTED_VALUE"""),44974.66666666667)</f>
        <v>44974.66667</v>
      </c>
      <c r="B34" s="2">
        <f>IFERROR(__xludf.DUMMYFUNCTION("""COMPUTED_VALUE"""),170.22)</f>
        <v>170.22</v>
      </c>
      <c r="C34" s="2">
        <f>IFERROR(__xludf.DUMMYFUNCTION("""COMPUTED_VALUE"""),173.18)</f>
        <v>173.18</v>
      </c>
      <c r="D34" s="2">
        <f>IFERROR(__xludf.DUMMYFUNCTION("""COMPUTED_VALUE"""),169.7)</f>
        <v>169.7</v>
      </c>
      <c r="E34" s="2">
        <f>IFERROR(__xludf.DUMMYFUNCTION("""COMPUTED_VALUE"""),172.88)</f>
        <v>172.88</v>
      </c>
      <c r="F34" s="2">
        <f>IFERROR(__xludf.DUMMYFUNCTION("""COMPUTED_VALUE"""),2.417126E7)</f>
        <v>24171260</v>
      </c>
    </row>
    <row r="35">
      <c r="A35" s="3">
        <f>IFERROR(__xludf.DUMMYFUNCTION("""COMPUTED_VALUE"""),44978.66666666667)</f>
        <v>44978.66667</v>
      </c>
      <c r="B35" s="2">
        <f>IFERROR(__xludf.DUMMYFUNCTION("""COMPUTED_VALUE"""),174.31)</f>
        <v>174.31</v>
      </c>
      <c r="C35" s="2">
        <f>IFERROR(__xludf.DUMMYFUNCTION("""COMPUTED_VALUE"""),178.17)</f>
        <v>178.17</v>
      </c>
      <c r="D35" s="2">
        <f>IFERROR(__xludf.DUMMYFUNCTION("""COMPUTED_VALUE"""),171.88)</f>
        <v>171.88</v>
      </c>
      <c r="E35" s="2">
        <f>IFERROR(__xludf.DUMMYFUNCTION("""COMPUTED_VALUE"""),172.08)</f>
        <v>172.08</v>
      </c>
      <c r="F35" s="2">
        <f>IFERROR(__xludf.DUMMYFUNCTION("""COMPUTED_VALUE"""),3.4592582E7)</f>
        <v>34592582</v>
      </c>
    </row>
    <row r="36">
      <c r="A36" s="3">
        <f>IFERROR(__xludf.DUMMYFUNCTION("""COMPUTED_VALUE"""),44979.66666666667)</f>
        <v>44979.66667</v>
      </c>
      <c r="B36" s="2">
        <f>IFERROR(__xludf.DUMMYFUNCTION("""COMPUTED_VALUE"""),171.07)</f>
        <v>171.07</v>
      </c>
      <c r="C36" s="2">
        <f>IFERROR(__xludf.DUMMYFUNCTION("""COMPUTED_VALUE"""),172.76)</f>
        <v>172.76</v>
      </c>
      <c r="D36" s="2">
        <f>IFERROR(__xludf.DUMMYFUNCTION("""COMPUTED_VALUE"""),169.69)</f>
        <v>169.69</v>
      </c>
      <c r="E36" s="2">
        <f>IFERROR(__xludf.DUMMYFUNCTION("""COMPUTED_VALUE"""),171.12)</f>
        <v>171.12</v>
      </c>
      <c r="F36" s="2">
        <f>IFERROR(__xludf.DUMMYFUNCTION("""COMPUTED_VALUE"""),2.2433158E7)</f>
        <v>22433158</v>
      </c>
    </row>
    <row r="37">
      <c r="A37" s="3">
        <f>IFERROR(__xludf.DUMMYFUNCTION("""COMPUTED_VALUE"""),44980.66666666667)</f>
        <v>44980.66667</v>
      </c>
      <c r="B37" s="2">
        <f>IFERROR(__xludf.DUMMYFUNCTION("""COMPUTED_VALUE"""),172.0)</f>
        <v>172</v>
      </c>
      <c r="C37" s="2">
        <f>IFERROR(__xludf.DUMMYFUNCTION("""COMPUTED_VALUE"""),173.69)</f>
        <v>173.69</v>
      </c>
      <c r="D37" s="2">
        <f>IFERROR(__xludf.DUMMYFUNCTION("""COMPUTED_VALUE"""),169.38)</f>
        <v>169.38</v>
      </c>
      <c r="E37" s="2">
        <f>IFERROR(__xludf.DUMMYFUNCTION("""COMPUTED_VALUE"""),172.04)</f>
        <v>172.04</v>
      </c>
      <c r="F37" s="2">
        <f>IFERROR(__xludf.DUMMYFUNCTION("""COMPUTED_VALUE"""),2.0017779E7)</f>
        <v>20017779</v>
      </c>
    </row>
    <row r="38">
      <c r="A38" s="3">
        <f>IFERROR(__xludf.DUMMYFUNCTION("""COMPUTED_VALUE"""),44981.66666666667)</f>
        <v>44981.66667</v>
      </c>
      <c r="B38" s="2">
        <f>IFERROR(__xludf.DUMMYFUNCTION("""COMPUTED_VALUE"""),168.64)</f>
        <v>168.64</v>
      </c>
      <c r="C38" s="2">
        <f>IFERROR(__xludf.DUMMYFUNCTION("""COMPUTED_VALUE"""),170.72)</f>
        <v>170.72</v>
      </c>
      <c r="D38" s="2">
        <f>IFERROR(__xludf.DUMMYFUNCTION("""COMPUTED_VALUE"""),167.66)</f>
        <v>167.66</v>
      </c>
      <c r="E38" s="2">
        <f>IFERROR(__xludf.DUMMYFUNCTION("""COMPUTED_VALUE"""),170.39)</f>
        <v>170.39</v>
      </c>
      <c r="F38" s="2">
        <f>IFERROR(__xludf.DUMMYFUNCTION("""COMPUTED_VALUE"""),1.9791334E7)</f>
        <v>19791334</v>
      </c>
    </row>
    <row r="39">
      <c r="A39" s="3">
        <f>IFERROR(__xludf.DUMMYFUNCTION("""COMPUTED_VALUE"""),44984.66666666667)</f>
        <v>44984.66667</v>
      </c>
      <c r="B39" s="2">
        <f>IFERROR(__xludf.DUMMYFUNCTION("""COMPUTED_VALUE"""),171.88)</f>
        <v>171.88</v>
      </c>
      <c r="C39" s="2">
        <f>IFERROR(__xludf.DUMMYFUNCTION("""COMPUTED_VALUE"""),173.12)</f>
        <v>173.12</v>
      </c>
      <c r="D39" s="2">
        <f>IFERROR(__xludf.DUMMYFUNCTION("""COMPUTED_VALUE"""),169.06)</f>
        <v>169.06</v>
      </c>
      <c r="E39" s="2">
        <f>IFERROR(__xludf.DUMMYFUNCTION("""COMPUTED_VALUE"""),169.54)</f>
        <v>169.54</v>
      </c>
      <c r="F39" s="2">
        <f>IFERROR(__xludf.DUMMYFUNCTION("""COMPUTED_VALUE"""),1.9277002E7)</f>
        <v>19277002</v>
      </c>
    </row>
    <row r="40">
      <c r="A40" s="3">
        <f>IFERROR(__xludf.DUMMYFUNCTION("""COMPUTED_VALUE"""),44985.66666666667)</f>
        <v>44985.66667</v>
      </c>
      <c r="B40" s="2">
        <f>IFERROR(__xludf.DUMMYFUNCTION("""COMPUTED_VALUE"""),171.9)</f>
        <v>171.9</v>
      </c>
      <c r="C40" s="2">
        <f>IFERROR(__xludf.DUMMYFUNCTION("""COMPUTED_VALUE"""),177.55)</f>
        <v>177.55</v>
      </c>
      <c r="D40" s="2">
        <f>IFERROR(__xludf.DUMMYFUNCTION("""COMPUTED_VALUE"""),171.87)</f>
        <v>171.87</v>
      </c>
      <c r="E40" s="2">
        <f>IFERROR(__xludf.DUMMYFUNCTION("""COMPUTED_VALUE"""),174.94)</f>
        <v>174.94</v>
      </c>
      <c r="F40" s="2">
        <f>IFERROR(__xludf.DUMMYFUNCTION("""COMPUTED_VALUE"""),4.6051117E7)</f>
        <v>46051117</v>
      </c>
    </row>
    <row r="41">
      <c r="A41" s="3">
        <f>IFERROR(__xludf.DUMMYFUNCTION("""COMPUTED_VALUE"""),44986.66666666667)</f>
        <v>44986.66667</v>
      </c>
      <c r="B41" s="2">
        <f>IFERROR(__xludf.DUMMYFUNCTION("""COMPUTED_VALUE"""),174.59)</f>
        <v>174.59</v>
      </c>
      <c r="C41" s="2">
        <f>IFERROR(__xludf.DUMMYFUNCTION("""COMPUTED_VALUE"""),177.85)</f>
        <v>177.85</v>
      </c>
      <c r="D41" s="2">
        <f>IFERROR(__xludf.DUMMYFUNCTION("""COMPUTED_VALUE"""),173.05)</f>
        <v>173.05</v>
      </c>
      <c r="E41" s="2">
        <f>IFERROR(__xludf.DUMMYFUNCTION("""COMPUTED_VALUE"""),173.42)</f>
        <v>173.42</v>
      </c>
      <c r="F41" s="2">
        <f>IFERROR(__xludf.DUMMYFUNCTION("""COMPUTED_VALUE"""),3.099838E7)</f>
        <v>30998380</v>
      </c>
    </row>
    <row r="42">
      <c r="A42" s="3">
        <f>IFERROR(__xludf.DUMMYFUNCTION("""COMPUTED_VALUE"""),44987.66666666667)</f>
        <v>44987.66667</v>
      </c>
      <c r="B42" s="2">
        <f>IFERROR(__xludf.DUMMYFUNCTION("""COMPUTED_VALUE"""),172.38)</f>
        <v>172.38</v>
      </c>
      <c r="C42" s="2">
        <f>IFERROR(__xludf.DUMMYFUNCTION("""COMPUTED_VALUE"""),175.01)</f>
        <v>175.01</v>
      </c>
      <c r="D42" s="2">
        <f>IFERROR(__xludf.DUMMYFUNCTION("""COMPUTED_VALUE"""),171.43)</f>
        <v>171.43</v>
      </c>
      <c r="E42" s="2">
        <f>IFERROR(__xludf.DUMMYFUNCTION("""COMPUTED_VALUE"""),174.53)</f>
        <v>174.53</v>
      </c>
      <c r="F42" s="2">
        <f>IFERROR(__xludf.DUMMYFUNCTION("""COMPUTED_VALUE"""),1.7360708E7)</f>
        <v>17360708</v>
      </c>
    </row>
    <row r="43">
      <c r="A43" s="3">
        <f>IFERROR(__xludf.DUMMYFUNCTION("""COMPUTED_VALUE"""),44988.66666666667)</f>
        <v>44988.66667</v>
      </c>
      <c r="B43" s="2">
        <f>IFERROR(__xludf.DUMMYFUNCTION("""COMPUTED_VALUE"""),178.92)</f>
        <v>178.92</v>
      </c>
      <c r="C43" s="2">
        <f>IFERROR(__xludf.DUMMYFUNCTION("""COMPUTED_VALUE"""),186.62)</f>
        <v>186.62</v>
      </c>
      <c r="D43" s="2">
        <f>IFERROR(__xludf.DUMMYFUNCTION("""COMPUTED_VALUE"""),177.05)</f>
        <v>177.05</v>
      </c>
      <c r="E43" s="2">
        <f>IFERROR(__xludf.DUMMYFUNCTION("""COMPUTED_VALUE"""),185.25)</f>
        <v>185.25</v>
      </c>
      <c r="F43" s="2">
        <f>IFERROR(__xludf.DUMMYFUNCTION("""COMPUTED_VALUE"""),4.5877692E7)</f>
        <v>45877692</v>
      </c>
    </row>
    <row r="44">
      <c r="A44" s="3">
        <f>IFERROR(__xludf.DUMMYFUNCTION("""COMPUTED_VALUE"""),44991.66666666667)</f>
        <v>44991.66667</v>
      </c>
      <c r="B44" s="2">
        <f>IFERROR(__xludf.DUMMYFUNCTION("""COMPUTED_VALUE"""),188.0)</f>
        <v>188</v>
      </c>
      <c r="C44" s="2">
        <f>IFERROR(__xludf.DUMMYFUNCTION("""COMPUTED_VALUE"""),189.66)</f>
        <v>189.66</v>
      </c>
      <c r="D44" s="2">
        <f>IFERROR(__xludf.DUMMYFUNCTION("""COMPUTED_VALUE"""),184.64)</f>
        <v>184.64</v>
      </c>
      <c r="E44" s="2">
        <f>IFERROR(__xludf.DUMMYFUNCTION("""COMPUTED_VALUE"""),184.9)</f>
        <v>184.9</v>
      </c>
      <c r="F44" s="2">
        <f>IFERROR(__xludf.DUMMYFUNCTION("""COMPUTED_VALUE"""),3.3209394E7)</f>
        <v>33209394</v>
      </c>
    </row>
    <row r="45">
      <c r="A45" s="3">
        <f>IFERROR(__xludf.DUMMYFUNCTION("""COMPUTED_VALUE"""),44992.66666666667)</f>
        <v>44992.66667</v>
      </c>
      <c r="B45" s="2">
        <f>IFERROR(__xludf.DUMMYFUNCTION("""COMPUTED_VALUE"""),189.0)</f>
        <v>189</v>
      </c>
      <c r="C45" s="2">
        <f>IFERROR(__xludf.DUMMYFUNCTION("""COMPUTED_VALUE"""),190.36)</f>
        <v>190.36</v>
      </c>
      <c r="D45" s="2">
        <f>IFERROR(__xludf.DUMMYFUNCTION("""COMPUTED_VALUE"""),184.01)</f>
        <v>184.01</v>
      </c>
      <c r="E45" s="2">
        <f>IFERROR(__xludf.DUMMYFUNCTION("""COMPUTED_VALUE"""),184.51)</f>
        <v>184.51</v>
      </c>
      <c r="F45" s="2">
        <f>IFERROR(__xludf.DUMMYFUNCTION("""COMPUTED_VALUE"""),3.6701495E7)</f>
        <v>36701495</v>
      </c>
    </row>
    <row r="46">
      <c r="A46" s="3">
        <f>IFERROR(__xludf.DUMMYFUNCTION("""COMPUTED_VALUE"""),44993.66666666667)</f>
        <v>44993.66667</v>
      </c>
      <c r="B46" s="2">
        <f>IFERROR(__xludf.DUMMYFUNCTION("""COMPUTED_VALUE"""),182.87)</f>
        <v>182.87</v>
      </c>
      <c r="C46" s="2">
        <f>IFERROR(__xludf.DUMMYFUNCTION("""COMPUTED_VALUE"""),185.26)</f>
        <v>185.26</v>
      </c>
      <c r="D46" s="2">
        <f>IFERROR(__xludf.DUMMYFUNCTION("""COMPUTED_VALUE"""),181.34)</f>
        <v>181.34</v>
      </c>
      <c r="E46" s="2">
        <f>IFERROR(__xludf.DUMMYFUNCTION("""COMPUTED_VALUE"""),184.97)</f>
        <v>184.97</v>
      </c>
      <c r="F46" s="2">
        <f>IFERROR(__xludf.DUMMYFUNCTION("""COMPUTED_VALUE"""),1.9432405E7)</f>
        <v>19432405</v>
      </c>
    </row>
    <row r="47">
      <c r="A47" s="3">
        <f>IFERROR(__xludf.DUMMYFUNCTION("""COMPUTED_VALUE"""),44994.66666666667)</f>
        <v>44994.66667</v>
      </c>
      <c r="B47" s="2">
        <f>IFERROR(__xludf.DUMMYFUNCTION("""COMPUTED_VALUE"""),186.35)</f>
        <v>186.35</v>
      </c>
      <c r="C47" s="2">
        <f>IFERROR(__xludf.DUMMYFUNCTION("""COMPUTED_VALUE"""),188.93)</f>
        <v>188.93</v>
      </c>
      <c r="D47" s="2">
        <f>IFERROR(__xludf.DUMMYFUNCTION("""COMPUTED_VALUE"""),180.3)</f>
        <v>180.3</v>
      </c>
      <c r="E47" s="2">
        <f>IFERROR(__xludf.DUMMYFUNCTION("""COMPUTED_VALUE"""),181.69)</f>
        <v>181.69</v>
      </c>
      <c r="F47" s="2">
        <f>IFERROR(__xludf.DUMMYFUNCTION("""COMPUTED_VALUE"""),2.658275E7)</f>
        <v>26582750</v>
      </c>
    </row>
    <row r="48">
      <c r="A48" s="3">
        <f>IFERROR(__xludf.DUMMYFUNCTION("""COMPUTED_VALUE"""),44995.66666666667)</f>
        <v>44995.66667</v>
      </c>
      <c r="B48" s="2">
        <f>IFERROR(__xludf.DUMMYFUNCTION("""COMPUTED_VALUE"""),181.01)</f>
        <v>181.01</v>
      </c>
      <c r="C48" s="2">
        <f>IFERROR(__xludf.DUMMYFUNCTION("""COMPUTED_VALUE"""),184.77)</f>
        <v>184.77</v>
      </c>
      <c r="D48" s="2">
        <f>IFERROR(__xludf.DUMMYFUNCTION("""COMPUTED_VALUE"""),178.8)</f>
        <v>178.8</v>
      </c>
      <c r="E48" s="2">
        <f>IFERROR(__xludf.DUMMYFUNCTION("""COMPUTED_VALUE"""),179.51)</f>
        <v>179.51</v>
      </c>
      <c r="F48" s="2">
        <f>IFERROR(__xludf.DUMMYFUNCTION("""COMPUTED_VALUE"""),2.5665032E7)</f>
        <v>25665032</v>
      </c>
    </row>
    <row r="49">
      <c r="A49" s="3">
        <f>IFERROR(__xludf.DUMMYFUNCTION("""COMPUTED_VALUE"""),44998.66666666667)</f>
        <v>44998.66667</v>
      </c>
      <c r="B49" s="2">
        <f>IFERROR(__xludf.DUMMYFUNCTION("""COMPUTED_VALUE"""),177.96)</f>
        <v>177.96</v>
      </c>
      <c r="C49" s="2">
        <f>IFERROR(__xludf.DUMMYFUNCTION("""COMPUTED_VALUE"""),183.78)</f>
        <v>183.78</v>
      </c>
      <c r="D49" s="2">
        <f>IFERROR(__xludf.DUMMYFUNCTION("""COMPUTED_VALUE"""),174.82)</f>
        <v>174.82</v>
      </c>
      <c r="E49" s="2">
        <f>IFERROR(__xludf.DUMMYFUNCTION("""COMPUTED_VALUE"""),180.9)</f>
        <v>180.9</v>
      </c>
      <c r="F49" s="2">
        <f>IFERROR(__xludf.DUMMYFUNCTION("""COMPUTED_VALUE"""),2.4727969E7)</f>
        <v>24727969</v>
      </c>
    </row>
    <row r="50">
      <c r="A50" s="3">
        <f>IFERROR(__xludf.DUMMYFUNCTION("""COMPUTED_VALUE"""),44999.66666666667)</f>
        <v>44999.66667</v>
      </c>
      <c r="B50" s="2">
        <f>IFERROR(__xludf.DUMMYFUNCTION("""COMPUTED_VALUE"""),187.58)</f>
        <v>187.58</v>
      </c>
      <c r="C50" s="2">
        <f>IFERROR(__xludf.DUMMYFUNCTION("""COMPUTED_VALUE"""),194.32)</f>
        <v>194.32</v>
      </c>
      <c r="D50" s="2">
        <f>IFERROR(__xludf.DUMMYFUNCTION("""COMPUTED_VALUE"""),186.56)</f>
        <v>186.56</v>
      </c>
      <c r="E50" s="2">
        <f>IFERROR(__xludf.DUMMYFUNCTION("""COMPUTED_VALUE"""),194.02)</f>
        <v>194.02</v>
      </c>
      <c r="F50" s="2">
        <f>IFERROR(__xludf.DUMMYFUNCTION("""COMPUTED_VALUE"""),4.1642627E7)</f>
        <v>41642627</v>
      </c>
    </row>
    <row r="51">
      <c r="A51" s="3">
        <f>IFERROR(__xludf.DUMMYFUNCTION("""COMPUTED_VALUE"""),45000.66666666667)</f>
        <v>45000.66667</v>
      </c>
      <c r="B51" s="2">
        <f>IFERROR(__xludf.DUMMYFUNCTION("""COMPUTED_VALUE"""),192.95)</f>
        <v>192.95</v>
      </c>
      <c r="C51" s="2">
        <f>IFERROR(__xludf.DUMMYFUNCTION("""COMPUTED_VALUE"""),197.78)</f>
        <v>197.78</v>
      </c>
      <c r="D51" s="2">
        <f>IFERROR(__xludf.DUMMYFUNCTION("""COMPUTED_VALUE"""),190.84)</f>
        <v>190.84</v>
      </c>
      <c r="E51" s="2">
        <f>IFERROR(__xludf.DUMMYFUNCTION("""COMPUTED_VALUE"""),197.75)</f>
        <v>197.75</v>
      </c>
      <c r="F51" s="2">
        <f>IFERROR(__xludf.DUMMYFUNCTION("""COMPUTED_VALUE"""),4.2123552E7)</f>
        <v>42123552</v>
      </c>
    </row>
    <row r="52">
      <c r="A52" s="3">
        <f>IFERROR(__xludf.DUMMYFUNCTION("""COMPUTED_VALUE"""),45001.66666666667)</f>
        <v>45001.66667</v>
      </c>
      <c r="B52" s="2">
        <f>IFERROR(__xludf.DUMMYFUNCTION("""COMPUTED_VALUE"""),198.26)</f>
        <v>198.26</v>
      </c>
      <c r="C52" s="2">
        <f>IFERROR(__xludf.DUMMYFUNCTION("""COMPUTED_VALUE"""),205.76)</f>
        <v>205.76</v>
      </c>
      <c r="D52" s="2">
        <f>IFERROR(__xludf.DUMMYFUNCTION("""COMPUTED_VALUE"""),196.09)</f>
        <v>196.09</v>
      </c>
      <c r="E52" s="2">
        <f>IFERROR(__xludf.DUMMYFUNCTION("""COMPUTED_VALUE"""),204.93)</f>
        <v>204.93</v>
      </c>
      <c r="F52" s="2">
        <f>IFERROR(__xludf.DUMMYFUNCTION("""COMPUTED_VALUE"""),5.0819659E7)</f>
        <v>50819659</v>
      </c>
    </row>
    <row r="53">
      <c r="A53" s="3">
        <f>IFERROR(__xludf.DUMMYFUNCTION("""COMPUTED_VALUE"""),45002.66666666667)</f>
        <v>45002.66667</v>
      </c>
      <c r="B53" s="2">
        <f>IFERROR(__xludf.DUMMYFUNCTION("""COMPUTED_VALUE"""),200.56)</f>
        <v>200.56</v>
      </c>
      <c r="C53" s="2">
        <f>IFERROR(__xludf.DUMMYFUNCTION("""COMPUTED_VALUE"""),201.9)</f>
        <v>201.9</v>
      </c>
      <c r="D53" s="2">
        <f>IFERROR(__xludf.DUMMYFUNCTION("""COMPUTED_VALUE"""),195.43)</f>
        <v>195.43</v>
      </c>
      <c r="E53" s="2">
        <f>IFERROR(__xludf.DUMMYFUNCTION("""COMPUTED_VALUE"""),195.61)</f>
        <v>195.61</v>
      </c>
      <c r="F53" s="2">
        <f>IFERROR(__xludf.DUMMYFUNCTION("""COMPUTED_VALUE"""),5.0141098E7)</f>
        <v>50141098</v>
      </c>
    </row>
    <row r="54">
      <c r="A54" s="3">
        <f>IFERROR(__xludf.DUMMYFUNCTION("""COMPUTED_VALUE"""),45005.66666666667)</f>
        <v>45005.66667</v>
      </c>
      <c r="B54" s="2">
        <f>IFERROR(__xludf.DUMMYFUNCTION("""COMPUTED_VALUE"""),198.48)</f>
        <v>198.48</v>
      </c>
      <c r="C54" s="2">
        <f>IFERROR(__xludf.DUMMYFUNCTION("""COMPUTED_VALUE"""),199.36)</f>
        <v>199.36</v>
      </c>
      <c r="D54" s="2">
        <f>IFERROR(__xludf.DUMMYFUNCTION("""COMPUTED_VALUE"""),193.64)</f>
        <v>193.64</v>
      </c>
      <c r="E54" s="2">
        <f>IFERROR(__xludf.DUMMYFUNCTION("""COMPUTED_VALUE"""),197.81)</f>
        <v>197.81</v>
      </c>
      <c r="F54" s="2">
        <f>IFERROR(__xludf.DUMMYFUNCTION("""COMPUTED_VALUE"""),2.5186315E7)</f>
        <v>25186315</v>
      </c>
    </row>
    <row r="55">
      <c r="A55" s="3">
        <f>IFERROR(__xludf.DUMMYFUNCTION("""COMPUTED_VALUE"""),45006.66666666667)</f>
        <v>45006.66667</v>
      </c>
      <c r="B55" s="2">
        <f>IFERROR(__xludf.DUMMYFUNCTION("""COMPUTED_VALUE"""),203.2)</f>
        <v>203.2</v>
      </c>
      <c r="C55" s="2">
        <f>IFERROR(__xludf.DUMMYFUNCTION("""COMPUTED_VALUE"""),203.55)</f>
        <v>203.55</v>
      </c>
      <c r="D55" s="2">
        <f>IFERROR(__xludf.DUMMYFUNCTION("""COMPUTED_VALUE"""),197.95)</f>
        <v>197.95</v>
      </c>
      <c r="E55" s="2">
        <f>IFERROR(__xludf.DUMMYFUNCTION("""COMPUTED_VALUE"""),202.16)</f>
        <v>202.16</v>
      </c>
      <c r="F55" s="2">
        <f>IFERROR(__xludf.DUMMYFUNCTION("""COMPUTED_VALUE"""),3.1826952E7)</f>
        <v>31826952</v>
      </c>
    </row>
    <row r="56">
      <c r="A56" s="3">
        <f>IFERROR(__xludf.DUMMYFUNCTION("""COMPUTED_VALUE"""),45007.66666666667)</f>
        <v>45007.66667</v>
      </c>
      <c r="B56" s="2">
        <f>IFERROR(__xludf.DUMMYFUNCTION("""COMPUTED_VALUE"""),202.5)</f>
        <v>202.5</v>
      </c>
      <c r="C56" s="2">
        <f>IFERROR(__xludf.DUMMYFUNCTION("""COMPUTED_VALUE"""),207.37)</f>
        <v>207.37</v>
      </c>
      <c r="D56" s="2">
        <f>IFERROR(__xludf.DUMMYFUNCTION("""COMPUTED_VALUE"""),199.67)</f>
        <v>199.67</v>
      </c>
      <c r="E56" s="2">
        <f>IFERROR(__xludf.DUMMYFUNCTION("""COMPUTED_VALUE"""),199.81)</f>
        <v>199.81</v>
      </c>
      <c r="F56" s="2">
        <f>IFERROR(__xludf.DUMMYFUNCTION("""COMPUTED_VALUE"""),2.8477759E7)</f>
        <v>28477759</v>
      </c>
    </row>
    <row r="57">
      <c r="A57" s="3">
        <f>IFERROR(__xludf.DUMMYFUNCTION("""COMPUTED_VALUE"""),45008.66666666667)</f>
        <v>45008.66667</v>
      </c>
      <c r="B57" s="2">
        <f>IFERROR(__xludf.DUMMYFUNCTION("""COMPUTED_VALUE"""),202.84)</f>
        <v>202.84</v>
      </c>
      <c r="C57" s="2">
        <f>IFERROR(__xludf.DUMMYFUNCTION("""COMPUTED_VALUE"""),207.88)</f>
        <v>207.88</v>
      </c>
      <c r="D57" s="2">
        <f>IFERROR(__xludf.DUMMYFUNCTION("""COMPUTED_VALUE"""),202.15)</f>
        <v>202.15</v>
      </c>
      <c r="E57" s="2">
        <f>IFERROR(__xludf.DUMMYFUNCTION("""COMPUTED_VALUE"""),204.28)</f>
        <v>204.28</v>
      </c>
      <c r="F57" s="2">
        <f>IFERROR(__xludf.DUMMYFUNCTION("""COMPUTED_VALUE"""),2.7389669E7)</f>
        <v>27389669</v>
      </c>
    </row>
    <row r="58">
      <c r="A58" s="3">
        <f>IFERROR(__xludf.DUMMYFUNCTION("""COMPUTED_VALUE"""),45009.66666666667)</f>
        <v>45009.66667</v>
      </c>
      <c r="B58" s="2">
        <f>IFERROR(__xludf.DUMMYFUNCTION("""COMPUTED_VALUE"""),205.18)</f>
        <v>205.18</v>
      </c>
      <c r="C58" s="2">
        <f>IFERROR(__xludf.DUMMYFUNCTION("""COMPUTED_VALUE"""),207.58)</f>
        <v>207.58</v>
      </c>
      <c r="D58" s="2">
        <f>IFERROR(__xludf.DUMMYFUNCTION("""COMPUTED_VALUE"""),203.55)</f>
        <v>203.55</v>
      </c>
      <c r="E58" s="2">
        <f>IFERROR(__xludf.DUMMYFUNCTION("""COMPUTED_VALUE"""),206.01)</f>
        <v>206.01</v>
      </c>
      <c r="F58" s="2">
        <f>IFERROR(__xludf.DUMMYFUNCTION("""COMPUTED_VALUE"""),2.7733042E7)</f>
        <v>27733042</v>
      </c>
    </row>
    <row r="59">
      <c r="A59" s="3">
        <f>IFERROR(__xludf.DUMMYFUNCTION("""COMPUTED_VALUE"""),45012.66666666667)</f>
        <v>45012.66667</v>
      </c>
      <c r="B59" s="2">
        <f>IFERROR(__xludf.DUMMYFUNCTION("""COMPUTED_VALUE"""),204.81)</f>
        <v>204.81</v>
      </c>
      <c r="C59" s="2">
        <f>IFERROR(__xludf.DUMMYFUNCTION("""COMPUTED_VALUE"""),205.86)</f>
        <v>205.86</v>
      </c>
      <c r="D59" s="2">
        <f>IFERROR(__xludf.DUMMYFUNCTION("""COMPUTED_VALUE"""),201.36)</f>
        <v>201.36</v>
      </c>
      <c r="E59" s="2">
        <f>IFERROR(__xludf.DUMMYFUNCTION("""COMPUTED_VALUE"""),202.84)</f>
        <v>202.84</v>
      </c>
      <c r="F59" s="2">
        <f>IFERROR(__xludf.DUMMYFUNCTION("""COMPUTED_VALUE"""),1.8527184E7)</f>
        <v>18527184</v>
      </c>
    </row>
    <row r="60">
      <c r="A60" s="3">
        <f>IFERROR(__xludf.DUMMYFUNCTION("""COMPUTED_VALUE"""),45013.66666666667)</f>
        <v>45013.66667</v>
      </c>
      <c r="B60" s="2">
        <f>IFERROR(__xludf.DUMMYFUNCTION("""COMPUTED_VALUE"""),200.15)</f>
        <v>200.15</v>
      </c>
      <c r="C60" s="2">
        <f>IFERROR(__xludf.DUMMYFUNCTION("""COMPUTED_VALUE"""),201.03)</f>
        <v>201.03</v>
      </c>
      <c r="D60" s="2">
        <f>IFERROR(__xludf.DUMMYFUNCTION("""COMPUTED_VALUE"""),197.9)</f>
        <v>197.9</v>
      </c>
      <c r="E60" s="2">
        <f>IFERROR(__xludf.DUMMYFUNCTION("""COMPUTED_VALUE"""),200.68)</f>
        <v>200.68</v>
      </c>
      <c r="F60" s="2">
        <f>IFERROR(__xludf.DUMMYFUNCTION("""COMPUTED_VALUE"""),1.9127295E7)</f>
        <v>19127295</v>
      </c>
    </row>
    <row r="61">
      <c r="A61" s="3">
        <f>IFERROR(__xludf.DUMMYFUNCTION("""COMPUTED_VALUE"""),45014.66666666667)</f>
        <v>45014.66667</v>
      </c>
      <c r="B61" s="2">
        <f>IFERROR(__xludf.DUMMYFUNCTION("""COMPUTED_VALUE"""),203.56)</f>
        <v>203.56</v>
      </c>
      <c r="C61" s="2">
        <f>IFERROR(__xludf.DUMMYFUNCTION("""COMPUTED_VALUE"""),205.72)</f>
        <v>205.72</v>
      </c>
      <c r="D61" s="2">
        <f>IFERROR(__xludf.DUMMYFUNCTION("""COMPUTED_VALUE"""),202.54)</f>
        <v>202.54</v>
      </c>
      <c r="E61" s="2">
        <f>IFERROR(__xludf.DUMMYFUNCTION("""COMPUTED_VALUE"""),205.35)</f>
        <v>205.35</v>
      </c>
      <c r="F61" s="2">
        <f>IFERROR(__xludf.DUMMYFUNCTION("""COMPUTED_VALUE"""),1.8851137E7)</f>
        <v>18851137</v>
      </c>
    </row>
    <row r="62">
      <c r="A62" s="3">
        <f>IFERROR(__xludf.DUMMYFUNCTION("""COMPUTED_VALUE"""),45015.66666666667)</f>
        <v>45015.66667</v>
      </c>
      <c r="B62" s="2">
        <f>IFERROR(__xludf.DUMMYFUNCTION("""COMPUTED_VALUE"""),203.38)</f>
        <v>203.38</v>
      </c>
      <c r="C62" s="2">
        <f>IFERROR(__xludf.DUMMYFUNCTION("""COMPUTED_VALUE"""),208.09)</f>
        <v>208.09</v>
      </c>
      <c r="D62" s="2">
        <f>IFERROR(__xludf.DUMMYFUNCTION("""COMPUTED_VALUE"""),202.82)</f>
        <v>202.82</v>
      </c>
      <c r="E62" s="2">
        <f>IFERROR(__xludf.DUMMYFUNCTION("""COMPUTED_VALUE"""),207.84)</f>
        <v>207.84</v>
      </c>
      <c r="F62" s="2">
        <f>IFERROR(__xludf.DUMMYFUNCTION("""COMPUTED_VALUE"""),2.2608303E7)</f>
        <v>22608303</v>
      </c>
    </row>
    <row r="63">
      <c r="A63" s="3">
        <f>IFERROR(__xludf.DUMMYFUNCTION("""COMPUTED_VALUE"""),45016.66666666667)</f>
        <v>45016.66667</v>
      </c>
      <c r="B63" s="2">
        <f>IFERROR(__xludf.DUMMYFUNCTION("""COMPUTED_VALUE"""),207.24)</f>
        <v>207.24</v>
      </c>
      <c r="C63" s="2">
        <f>IFERROR(__xludf.DUMMYFUNCTION("""COMPUTED_VALUE"""),212.17)</f>
        <v>212.17</v>
      </c>
      <c r="D63" s="2">
        <f>IFERROR(__xludf.DUMMYFUNCTION("""COMPUTED_VALUE"""),206.77)</f>
        <v>206.77</v>
      </c>
      <c r="E63" s="2">
        <f>IFERROR(__xludf.DUMMYFUNCTION("""COMPUTED_VALUE"""),211.94)</f>
        <v>211.94</v>
      </c>
      <c r="F63" s="2">
        <f>IFERROR(__xludf.DUMMYFUNCTION("""COMPUTED_VALUE"""),2.5440273E7)</f>
        <v>25440273</v>
      </c>
    </row>
    <row r="64">
      <c r="A64" s="3">
        <f>IFERROR(__xludf.DUMMYFUNCTION("""COMPUTED_VALUE"""),45019.66666666667)</f>
        <v>45019.66667</v>
      </c>
      <c r="B64" s="2">
        <f>IFERROR(__xludf.DUMMYFUNCTION("""COMPUTED_VALUE"""),208.84)</f>
        <v>208.84</v>
      </c>
      <c r="C64" s="2">
        <f>IFERROR(__xludf.DUMMYFUNCTION("""COMPUTED_VALUE"""),213.49)</f>
        <v>213.49</v>
      </c>
      <c r="D64" s="2">
        <f>IFERROR(__xludf.DUMMYFUNCTION("""COMPUTED_VALUE"""),208.2)</f>
        <v>208.2</v>
      </c>
      <c r="E64" s="2">
        <f>IFERROR(__xludf.DUMMYFUNCTION("""COMPUTED_VALUE"""),213.07)</f>
        <v>213.07</v>
      </c>
      <c r="F64" s="2">
        <f>IFERROR(__xludf.DUMMYFUNCTION("""COMPUTED_VALUE"""),1.7924613E7)</f>
        <v>17924613</v>
      </c>
    </row>
    <row r="65">
      <c r="A65" s="3">
        <f>IFERROR(__xludf.DUMMYFUNCTION("""COMPUTED_VALUE"""),45020.66666666667)</f>
        <v>45020.66667</v>
      </c>
      <c r="B65" s="2">
        <f>IFERROR(__xludf.DUMMYFUNCTION("""COMPUTED_VALUE"""),213.39)</f>
        <v>213.39</v>
      </c>
      <c r="C65" s="2">
        <f>IFERROR(__xludf.DUMMYFUNCTION("""COMPUTED_VALUE"""),216.24)</f>
        <v>216.24</v>
      </c>
      <c r="D65" s="2">
        <f>IFERROR(__xludf.DUMMYFUNCTION("""COMPUTED_VALUE"""),212.54)</f>
        <v>212.54</v>
      </c>
      <c r="E65" s="2">
        <f>IFERROR(__xludf.DUMMYFUNCTION("""COMPUTED_VALUE"""),214.72)</f>
        <v>214.72</v>
      </c>
      <c r="F65" s="2">
        <f>IFERROR(__xludf.DUMMYFUNCTION("""COMPUTED_VALUE"""),2.1026367E7)</f>
        <v>21026367</v>
      </c>
    </row>
    <row r="66">
      <c r="A66" s="3">
        <f>IFERROR(__xludf.DUMMYFUNCTION("""COMPUTED_VALUE"""),45021.66666666667)</f>
        <v>45021.66667</v>
      </c>
      <c r="B66" s="2">
        <f>IFERROR(__xludf.DUMMYFUNCTION("""COMPUTED_VALUE"""),214.15)</f>
        <v>214.15</v>
      </c>
      <c r="C66" s="2">
        <f>IFERROR(__xludf.DUMMYFUNCTION("""COMPUTED_VALUE"""),215.19)</f>
        <v>215.19</v>
      </c>
      <c r="D66" s="2">
        <f>IFERROR(__xludf.DUMMYFUNCTION("""COMPUTED_VALUE"""),209.94)</f>
        <v>209.94</v>
      </c>
      <c r="E66" s="2">
        <f>IFERROR(__xludf.DUMMYFUNCTION("""COMPUTED_VALUE"""),211.48)</f>
        <v>211.48</v>
      </c>
      <c r="F66" s="2">
        <f>IFERROR(__xludf.DUMMYFUNCTION("""COMPUTED_VALUE"""),1.939663E7)</f>
        <v>19396630</v>
      </c>
    </row>
    <row r="67">
      <c r="A67" s="3">
        <f>IFERROR(__xludf.DUMMYFUNCTION("""COMPUTED_VALUE"""),45022.66666666667)</f>
        <v>45022.66667</v>
      </c>
      <c r="B67" s="2">
        <f>IFERROR(__xludf.DUMMYFUNCTION("""COMPUTED_VALUE"""),209.25)</f>
        <v>209.25</v>
      </c>
      <c r="C67" s="2">
        <f>IFERROR(__xludf.DUMMYFUNCTION("""COMPUTED_VALUE"""),216.94)</f>
        <v>216.94</v>
      </c>
      <c r="D67" s="2">
        <f>IFERROR(__xludf.DUMMYFUNCTION("""COMPUTED_VALUE"""),208.65)</f>
        <v>208.65</v>
      </c>
      <c r="E67" s="2">
        <f>IFERROR(__xludf.DUMMYFUNCTION("""COMPUTED_VALUE"""),216.1)</f>
        <v>216.1</v>
      </c>
      <c r="F67" s="2">
        <f>IFERROR(__xludf.DUMMYFUNCTION("""COMPUTED_VALUE"""),2.6104411E7)</f>
        <v>26104411</v>
      </c>
    </row>
    <row r="68">
      <c r="A68" s="3">
        <f>IFERROR(__xludf.DUMMYFUNCTION("""COMPUTED_VALUE"""),45026.66666666667)</f>
        <v>45026.66667</v>
      </c>
      <c r="B68" s="2">
        <f>IFERROR(__xludf.DUMMYFUNCTION("""COMPUTED_VALUE"""),214.71)</f>
        <v>214.71</v>
      </c>
      <c r="C68" s="2">
        <f>IFERROR(__xludf.DUMMYFUNCTION("""COMPUTED_VALUE"""),215.66)</f>
        <v>215.66</v>
      </c>
      <c r="D68" s="2">
        <f>IFERROR(__xludf.DUMMYFUNCTION("""COMPUTED_VALUE"""),210.66)</f>
        <v>210.66</v>
      </c>
      <c r="E68" s="2">
        <f>IFERROR(__xludf.DUMMYFUNCTION("""COMPUTED_VALUE"""),214.75)</f>
        <v>214.75</v>
      </c>
      <c r="F68" s="2">
        <f>IFERROR(__xludf.DUMMYFUNCTION("""COMPUTED_VALUE"""),1.6106074E7)</f>
        <v>16106074</v>
      </c>
    </row>
    <row r="69">
      <c r="A69" s="3">
        <f>IFERROR(__xludf.DUMMYFUNCTION("""COMPUTED_VALUE"""),45027.66666666667)</f>
        <v>45027.66667</v>
      </c>
      <c r="B69" s="2">
        <f>IFERROR(__xludf.DUMMYFUNCTION("""COMPUTED_VALUE"""),215.48)</f>
        <v>215.48</v>
      </c>
      <c r="C69" s="2">
        <f>IFERROR(__xludf.DUMMYFUNCTION("""COMPUTED_VALUE"""),216.02)</f>
        <v>216.02</v>
      </c>
      <c r="D69" s="2">
        <f>IFERROR(__xludf.DUMMYFUNCTION("""COMPUTED_VALUE"""),213.41)</f>
        <v>213.41</v>
      </c>
      <c r="E69" s="2">
        <f>IFERROR(__xludf.DUMMYFUNCTION("""COMPUTED_VALUE"""),213.85)</f>
        <v>213.85</v>
      </c>
      <c r="F69" s="2">
        <f>IFERROR(__xludf.DUMMYFUNCTION("""COMPUTED_VALUE"""),1.6710101E7)</f>
        <v>16710101</v>
      </c>
    </row>
    <row r="70">
      <c r="A70" s="3">
        <f>IFERROR(__xludf.DUMMYFUNCTION("""COMPUTED_VALUE"""),45028.66666666667)</f>
        <v>45028.66667</v>
      </c>
      <c r="B70" s="2">
        <f>IFERROR(__xludf.DUMMYFUNCTION("""COMPUTED_VALUE"""),214.84)</f>
        <v>214.84</v>
      </c>
      <c r="C70" s="2">
        <f>IFERROR(__xludf.DUMMYFUNCTION("""COMPUTED_VALUE"""),216.84)</f>
        <v>216.84</v>
      </c>
      <c r="D70" s="2">
        <f>IFERROR(__xludf.DUMMYFUNCTION("""COMPUTED_VALUE"""),212.58)</f>
        <v>212.58</v>
      </c>
      <c r="E70" s="2">
        <f>IFERROR(__xludf.DUMMYFUNCTION("""COMPUTED_VALUE"""),214.0)</f>
        <v>214</v>
      </c>
      <c r="F70" s="2">
        <f>IFERROR(__xludf.DUMMYFUNCTION("""COMPUTED_VALUE"""),1.8972172E7)</f>
        <v>18972172</v>
      </c>
    </row>
    <row r="71">
      <c r="A71" s="3">
        <f>IFERROR(__xludf.DUMMYFUNCTION("""COMPUTED_VALUE"""),45029.66666666667)</f>
        <v>45029.66667</v>
      </c>
      <c r="B71" s="2">
        <f>IFERROR(__xludf.DUMMYFUNCTION("""COMPUTED_VALUE"""),215.73)</f>
        <v>215.73</v>
      </c>
      <c r="C71" s="2">
        <f>IFERROR(__xludf.DUMMYFUNCTION("""COMPUTED_VALUE"""),221.15)</f>
        <v>221.15</v>
      </c>
      <c r="D71" s="2">
        <f>IFERROR(__xludf.DUMMYFUNCTION("""COMPUTED_VALUE"""),215.69)</f>
        <v>215.69</v>
      </c>
      <c r="E71" s="2">
        <f>IFERROR(__xludf.DUMMYFUNCTION("""COMPUTED_VALUE"""),220.35)</f>
        <v>220.35</v>
      </c>
      <c r="F71" s="2">
        <f>IFERROR(__xludf.DUMMYFUNCTION("""COMPUTED_VALUE"""),2.3310357E7)</f>
        <v>23310357</v>
      </c>
    </row>
    <row r="72">
      <c r="A72" s="3">
        <f>IFERROR(__xludf.DUMMYFUNCTION("""COMPUTED_VALUE"""),45030.66666666667)</f>
        <v>45030.66667</v>
      </c>
      <c r="B72" s="2">
        <f>IFERROR(__xludf.DUMMYFUNCTION("""COMPUTED_VALUE"""),217.88)</f>
        <v>217.88</v>
      </c>
      <c r="C72" s="2">
        <f>IFERROR(__xludf.DUMMYFUNCTION("""COMPUTED_VALUE"""),222.11)</f>
        <v>222.11</v>
      </c>
      <c r="D72" s="2">
        <f>IFERROR(__xludf.DUMMYFUNCTION("""COMPUTED_VALUE"""),217.55)</f>
        <v>217.55</v>
      </c>
      <c r="E72" s="2">
        <f>IFERROR(__xludf.DUMMYFUNCTION("""COMPUTED_VALUE"""),221.49)</f>
        <v>221.49</v>
      </c>
      <c r="F72" s="2">
        <f>IFERROR(__xludf.DUMMYFUNCTION("""COMPUTED_VALUE"""),2.1591207E7)</f>
        <v>21591207</v>
      </c>
    </row>
    <row r="73">
      <c r="A73" s="3">
        <f>IFERROR(__xludf.DUMMYFUNCTION("""COMPUTED_VALUE"""),45033.66666666667)</f>
        <v>45033.66667</v>
      </c>
      <c r="B73" s="2">
        <f>IFERROR(__xludf.DUMMYFUNCTION("""COMPUTED_VALUE"""),219.79)</f>
        <v>219.79</v>
      </c>
      <c r="C73" s="2">
        <f>IFERROR(__xludf.DUMMYFUNCTION("""COMPUTED_VALUE"""),220.98)</f>
        <v>220.98</v>
      </c>
      <c r="D73" s="2">
        <f>IFERROR(__xludf.DUMMYFUNCTION("""COMPUTED_VALUE"""),217.13)</f>
        <v>217.13</v>
      </c>
      <c r="E73" s="2">
        <f>IFERROR(__xludf.DUMMYFUNCTION("""COMPUTED_VALUE"""),218.86)</f>
        <v>218.86</v>
      </c>
      <c r="F73" s="2">
        <f>IFERROR(__xludf.DUMMYFUNCTION("""COMPUTED_VALUE"""),1.5481874E7)</f>
        <v>15481874</v>
      </c>
    </row>
    <row r="74">
      <c r="A74" s="3">
        <f>IFERROR(__xludf.DUMMYFUNCTION("""COMPUTED_VALUE"""),45034.66666666667)</f>
        <v>45034.66667</v>
      </c>
      <c r="B74" s="2">
        <f>IFERROR(__xludf.DUMMYFUNCTION("""COMPUTED_VALUE"""),219.91)</f>
        <v>219.91</v>
      </c>
      <c r="C74" s="2">
        <f>IFERROR(__xludf.DUMMYFUNCTION("""COMPUTED_VALUE"""),220.44)</f>
        <v>220.44</v>
      </c>
      <c r="D74" s="2">
        <f>IFERROR(__xludf.DUMMYFUNCTION("""COMPUTED_VALUE"""),216.21)</f>
        <v>216.21</v>
      </c>
      <c r="E74" s="2">
        <f>IFERROR(__xludf.DUMMYFUNCTION("""COMPUTED_VALUE"""),217.89)</f>
        <v>217.89</v>
      </c>
      <c r="F74" s="2">
        <f>IFERROR(__xludf.DUMMYFUNCTION("""COMPUTED_VALUE"""),1.2280984E7)</f>
        <v>12280984</v>
      </c>
    </row>
    <row r="75">
      <c r="A75" s="3">
        <f>IFERROR(__xludf.DUMMYFUNCTION("""COMPUTED_VALUE"""),45035.66666666667)</f>
        <v>45035.66667</v>
      </c>
      <c r="B75" s="2">
        <f>IFERROR(__xludf.DUMMYFUNCTION("""COMPUTED_VALUE"""),213.47)</f>
        <v>213.47</v>
      </c>
      <c r="C75" s="2">
        <f>IFERROR(__xludf.DUMMYFUNCTION("""COMPUTED_VALUE"""),217.33)</f>
        <v>217.33</v>
      </c>
      <c r="D75" s="2">
        <f>IFERROR(__xludf.DUMMYFUNCTION("""COMPUTED_VALUE"""),212.93)</f>
        <v>212.93</v>
      </c>
      <c r="E75" s="2">
        <f>IFERROR(__xludf.DUMMYFUNCTION("""COMPUTED_VALUE"""),215.7)</f>
        <v>215.7</v>
      </c>
      <c r="F75" s="2">
        <f>IFERROR(__xludf.DUMMYFUNCTION("""COMPUTED_VALUE"""),1.5898078E7)</f>
        <v>15898078</v>
      </c>
    </row>
    <row r="76">
      <c r="A76" s="3">
        <f>IFERROR(__xludf.DUMMYFUNCTION("""COMPUTED_VALUE"""),45036.66666666667)</f>
        <v>45036.66667</v>
      </c>
      <c r="B76" s="2">
        <f>IFERROR(__xludf.DUMMYFUNCTION("""COMPUTED_VALUE"""),213.48)</f>
        <v>213.48</v>
      </c>
      <c r="C76" s="2">
        <f>IFERROR(__xludf.DUMMYFUNCTION("""COMPUTED_VALUE"""),216.75)</f>
        <v>216.75</v>
      </c>
      <c r="D76" s="2">
        <f>IFERROR(__xludf.DUMMYFUNCTION("""COMPUTED_VALUE"""),212.77)</f>
        <v>212.77</v>
      </c>
      <c r="E76" s="2">
        <f>IFERROR(__xludf.DUMMYFUNCTION("""COMPUTED_VALUE"""),213.07)</f>
        <v>213.07</v>
      </c>
      <c r="F76" s="2">
        <f>IFERROR(__xludf.DUMMYFUNCTION("""COMPUTED_VALUE"""),1.6475443E7)</f>
        <v>16475443</v>
      </c>
    </row>
    <row r="77">
      <c r="A77" s="3">
        <f>IFERROR(__xludf.DUMMYFUNCTION("""COMPUTED_VALUE"""),45037.66666666667)</f>
        <v>45037.66667</v>
      </c>
      <c r="B77" s="2">
        <f>IFERROR(__xludf.DUMMYFUNCTION("""COMPUTED_VALUE"""),210.21)</f>
        <v>210.21</v>
      </c>
      <c r="C77" s="2">
        <f>IFERROR(__xludf.DUMMYFUNCTION("""COMPUTED_VALUE"""),213.41)</f>
        <v>213.41</v>
      </c>
      <c r="D77" s="2">
        <f>IFERROR(__xludf.DUMMYFUNCTION("""COMPUTED_VALUE"""),209.58)</f>
        <v>209.58</v>
      </c>
      <c r="E77" s="2">
        <f>IFERROR(__xludf.DUMMYFUNCTION("""COMPUTED_VALUE"""),212.89)</f>
        <v>212.89</v>
      </c>
      <c r="F77" s="2">
        <f>IFERROR(__xludf.DUMMYFUNCTION("""COMPUTED_VALUE"""),1.7717166E7)</f>
        <v>17717166</v>
      </c>
    </row>
    <row r="78">
      <c r="A78" s="3">
        <f>IFERROR(__xludf.DUMMYFUNCTION("""COMPUTED_VALUE"""),45040.66666666667)</f>
        <v>45040.66667</v>
      </c>
      <c r="B78" s="2">
        <f>IFERROR(__xludf.DUMMYFUNCTION("""COMPUTED_VALUE"""),213.68)</f>
        <v>213.68</v>
      </c>
      <c r="C78" s="2">
        <f>IFERROR(__xludf.DUMMYFUNCTION("""COMPUTED_VALUE"""),213.92)</f>
        <v>213.92</v>
      </c>
      <c r="D78" s="2">
        <f>IFERROR(__xludf.DUMMYFUNCTION("""COMPUTED_VALUE"""),210.71)</f>
        <v>210.71</v>
      </c>
      <c r="E78" s="2">
        <f>IFERROR(__xludf.DUMMYFUNCTION("""COMPUTED_VALUE"""),212.79)</f>
        <v>212.79</v>
      </c>
      <c r="F78" s="2">
        <f>IFERROR(__xludf.DUMMYFUNCTION("""COMPUTED_VALUE"""),1.575092E7)</f>
        <v>15750920</v>
      </c>
    </row>
    <row r="79">
      <c r="A79" s="3">
        <f>IFERROR(__xludf.DUMMYFUNCTION("""COMPUTED_VALUE"""),45041.66666666667)</f>
        <v>45041.66667</v>
      </c>
      <c r="B79" s="2">
        <f>IFERROR(__xludf.DUMMYFUNCTION("""COMPUTED_VALUE"""),210.82)</f>
        <v>210.82</v>
      </c>
      <c r="C79" s="2">
        <f>IFERROR(__xludf.DUMMYFUNCTION("""COMPUTED_VALUE"""),211.26)</f>
        <v>211.26</v>
      </c>
      <c r="D79" s="2">
        <f>IFERROR(__xludf.DUMMYFUNCTION("""COMPUTED_VALUE"""),207.13)</f>
        <v>207.13</v>
      </c>
      <c r="E79" s="2">
        <f>IFERROR(__xludf.DUMMYFUNCTION("""COMPUTED_VALUE"""),207.55)</f>
        <v>207.55</v>
      </c>
      <c r="F79" s="2">
        <f>IFERROR(__xludf.DUMMYFUNCTION("""COMPUTED_VALUE"""),1.9198175E7)</f>
        <v>19198175</v>
      </c>
    </row>
    <row r="80">
      <c r="A80" s="3">
        <f>IFERROR(__xludf.DUMMYFUNCTION("""COMPUTED_VALUE"""),45042.66666666667)</f>
        <v>45042.66667</v>
      </c>
      <c r="B80" s="2">
        <f>IFERROR(__xludf.DUMMYFUNCTION("""COMPUTED_VALUE"""),212.5)</f>
        <v>212.5</v>
      </c>
      <c r="C80" s="2">
        <f>IFERROR(__xludf.DUMMYFUNCTION("""COMPUTED_VALUE"""),214.11)</f>
        <v>214.11</v>
      </c>
      <c r="D80" s="2">
        <f>IFERROR(__xludf.DUMMYFUNCTION("""COMPUTED_VALUE"""),208.88)</f>
        <v>208.88</v>
      </c>
      <c r="E80" s="2">
        <f>IFERROR(__xludf.DUMMYFUNCTION("""COMPUTED_VALUE"""),209.4)</f>
        <v>209.4</v>
      </c>
      <c r="F80" s="2">
        <f>IFERROR(__xludf.DUMMYFUNCTION("""COMPUTED_VALUE"""),4.1992726E7)</f>
        <v>41992726</v>
      </c>
    </row>
    <row r="81">
      <c r="A81" s="3">
        <f>IFERROR(__xludf.DUMMYFUNCTION("""COMPUTED_VALUE"""),45043.66666666667)</f>
        <v>45043.66667</v>
      </c>
      <c r="B81" s="2">
        <f>IFERROR(__xludf.DUMMYFUNCTION("""COMPUTED_VALUE"""),239.89)</f>
        <v>239.89</v>
      </c>
      <c r="C81" s="2">
        <f>IFERROR(__xludf.DUMMYFUNCTION("""COMPUTED_VALUE"""),241.69)</f>
        <v>241.69</v>
      </c>
      <c r="D81" s="2">
        <f>IFERROR(__xludf.DUMMYFUNCTION("""COMPUTED_VALUE"""),236.77)</f>
        <v>236.77</v>
      </c>
      <c r="E81" s="2">
        <f>IFERROR(__xludf.DUMMYFUNCTION("""COMPUTED_VALUE"""),238.56)</f>
        <v>238.56</v>
      </c>
      <c r="F81" s="2">
        <f>IFERROR(__xludf.DUMMYFUNCTION("""COMPUTED_VALUE"""),7.1196531E7)</f>
        <v>71196531</v>
      </c>
    </row>
    <row r="82">
      <c r="A82" s="3">
        <f>IFERROR(__xludf.DUMMYFUNCTION("""COMPUTED_VALUE"""),45044.66666666667)</f>
        <v>45044.66667</v>
      </c>
      <c r="B82" s="2">
        <f>IFERROR(__xludf.DUMMYFUNCTION("""COMPUTED_VALUE"""),239.01)</f>
        <v>239.01</v>
      </c>
      <c r="C82" s="2">
        <f>IFERROR(__xludf.DUMMYFUNCTION("""COMPUTED_VALUE"""),240.43)</f>
        <v>240.43</v>
      </c>
      <c r="D82" s="2">
        <f>IFERROR(__xludf.DUMMYFUNCTION("""COMPUTED_VALUE"""),235.75)</f>
        <v>235.75</v>
      </c>
      <c r="E82" s="2">
        <f>IFERROR(__xludf.DUMMYFUNCTION("""COMPUTED_VALUE"""),240.32)</f>
        <v>240.32</v>
      </c>
      <c r="F82" s="2">
        <f>IFERROR(__xludf.DUMMYFUNCTION("""COMPUTED_VALUE"""),3.9554036E7)</f>
        <v>39554036</v>
      </c>
    </row>
    <row r="83">
      <c r="A83" s="3">
        <f>IFERROR(__xludf.DUMMYFUNCTION("""COMPUTED_VALUE"""),45047.66666666667)</f>
        <v>45047.66667</v>
      </c>
      <c r="B83" s="2">
        <f>IFERROR(__xludf.DUMMYFUNCTION("""COMPUTED_VALUE"""),238.62)</f>
        <v>238.62</v>
      </c>
      <c r="C83" s="2">
        <f>IFERROR(__xludf.DUMMYFUNCTION("""COMPUTED_VALUE"""),244.0)</f>
        <v>244</v>
      </c>
      <c r="D83" s="2">
        <f>IFERROR(__xludf.DUMMYFUNCTION("""COMPUTED_VALUE"""),236.46)</f>
        <v>236.46</v>
      </c>
      <c r="E83" s="2">
        <f>IFERROR(__xludf.DUMMYFUNCTION("""COMPUTED_VALUE"""),243.18)</f>
        <v>243.18</v>
      </c>
      <c r="F83" s="2">
        <f>IFERROR(__xludf.DUMMYFUNCTION("""COMPUTED_VALUE"""),2.9143912E7)</f>
        <v>29143912</v>
      </c>
    </row>
    <row r="84">
      <c r="A84" s="3">
        <f>IFERROR(__xludf.DUMMYFUNCTION("""COMPUTED_VALUE"""),45048.66666666667)</f>
        <v>45048.66667</v>
      </c>
      <c r="B84" s="2">
        <f>IFERROR(__xludf.DUMMYFUNCTION("""COMPUTED_VALUE"""),243.18)</f>
        <v>243.18</v>
      </c>
      <c r="C84" s="2">
        <f>IFERROR(__xludf.DUMMYFUNCTION("""COMPUTED_VALUE"""),244.92)</f>
        <v>244.92</v>
      </c>
      <c r="D84" s="2">
        <f>IFERROR(__xludf.DUMMYFUNCTION("""COMPUTED_VALUE"""),238.99)</f>
        <v>238.99</v>
      </c>
      <c r="E84" s="2">
        <f>IFERROR(__xludf.DUMMYFUNCTION("""COMPUTED_VALUE"""),239.24)</f>
        <v>239.24</v>
      </c>
      <c r="F84" s="2">
        <f>IFERROR(__xludf.DUMMYFUNCTION("""COMPUTED_VALUE"""),2.4350149E7)</f>
        <v>24350149</v>
      </c>
    </row>
    <row r="85">
      <c r="A85" s="3">
        <f>IFERROR(__xludf.DUMMYFUNCTION("""COMPUTED_VALUE"""),45049.66666666667)</f>
        <v>45049.66667</v>
      </c>
      <c r="B85" s="2">
        <f>IFERROR(__xludf.DUMMYFUNCTION("""COMPUTED_VALUE"""),239.47)</f>
        <v>239.47</v>
      </c>
      <c r="C85" s="2">
        <f>IFERROR(__xludf.DUMMYFUNCTION("""COMPUTED_VALUE"""),241.75)</f>
        <v>241.75</v>
      </c>
      <c r="D85" s="2">
        <f>IFERROR(__xludf.DUMMYFUNCTION("""COMPUTED_VALUE"""),232.75)</f>
        <v>232.75</v>
      </c>
      <c r="E85" s="2">
        <f>IFERROR(__xludf.DUMMYFUNCTION("""COMPUTED_VALUE"""),237.03)</f>
        <v>237.03</v>
      </c>
      <c r="F85" s="2">
        <f>IFERROR(__xludf.DUMMYFUNCTION("""COMPUTED_VALUE"""),3.4463859E7)</f>
        <v>34463859</v>
      </c>
    </row>
    <row r="86">
      <c r="A86" s="3">
        <f>IFERROR(__xludf.DUMMYFUNCTION("""COMPUTED_VALUE"""),45050.66666666667)</f>
        <v>45050.66667</v>
      </c>
      <c r="B86" s="2">
        <f>IFERROR(__xludf.DUMMYFUNCTION("""COMPUTED_VALUE"""),236.06)</f>
        <v>236.06</v>
      </c>
      <c r="C86" s="2">
        <f>IFERROR(__xludf.DUMMYFUNCTION("""COMPUTED_VALUE"""),238.2)</f>
        <v>238.2</v>
      </c>
      <c r="D86" s="2">
        <f>IFERROR(__xludf.DUMMYFUNCTION("""COMPUTED_VALUE"""),232.93)</f>
        <v>232.93</v>
      </c>
      <c r="E86" s="2">
        <f>IFERROR(__xludf.DUMMYFUNCTION("""COMPUTED_VALUE"""),233.52)</f>
        <v>233.52</v>
      </c>
      <c r="F86" s="2">
        <f>IFERROR(__xludf.DUMMYFUNCTION("""COMPUTED_VALUE"""),1.7889391E7)</f>
        <v>17889391</v>
      </c>
    </row>
    <row r="87">
      <c r="A87" s="3">
        <f>IFERROR(__xludf.DUMMYFUNCTION("""COMPUTED_VALUE"""),45051.66666666667)</f>
        <v>45051.66667</v>
      </c>
      <c r="B87" s="2">
        <f>IFERROR(__xludf.DUMMYFUNCTION("""COMPUTED_VALUE"""),232.24)</f>
        <v>232.24</v>
      </c>
      <c r="C87" s="2">
        <f>IFERROR(__xludf.DUMMYFUNCTION("""COMPUTED_VALUE"""),234.68)</f>
        <v>234.68</v>
      </c>
      <c r="D87" s="2">
        <f>IFERROR(__xludf.DUMMYFUNCTION("""COMPUTED_VALUE"""),229.85)</f>
        <v>229.85</v>
      </c>
      <c r="E87" s="2">
        <f>IFERROR(__xludf.DUMMYFUNCTION("""COMPUTED_VALUE"""),232.78)</f>
        <v>232.78</v>
      </c>
      <c r="F87" s="2">
        <f>IFERROR(__xludf.DUMMYFUNCTION("""COMPUTED_VALUE"""),2.700048E7)</f>
        <v>27000480</v>
      </c>
    </row>
    <row r="88">
      <c r="A88" s="3">
        <f>IFERROR(__xludf.DUMMYFUNCTION("""COMPUTED_VALUE"""),45054.66666666667)</f>
        <v>45054.66667</v>
      </c>
      <c r="B88" s="2">
        <f>IFERROR(__xludf.DUMMYFUNCTION("""COMPUTED_VALUE"""),231.42)</f>
        <v>231.42</v>
      </c>
      <c r="C88" s="2">
        <f>IFERROR(__xludf.DUMMYFUNCTION("""COMPUTED_VALUE"""),235.62)</f>
        <v>235.62</v>
      </c>
      <c r="D88" s="2">
        <f>IFERROR(__xludf.DUMMYFUNCTION("""COMPUTED_VALUE"""),230.27)</f>
        <v>230.27</v>
      </c>
      <c r="E88" s="2">
        <f>IFERROR(__xludf.DUMMYFUNCTION("""COMPUTED_VALUE"""),233.27)</f>
        <v>233.27</v>
      </c>
      <c r="F88" s="2">
        <f>IFERROR(__xludf.DUMMYFUNCTION("""COMPUTED_VALUE"""),1.6400526E7)</f>
        <v>16400526</v>
      </c>
    </row>
    <row r="89">
      <c r="A89" s="3">
        <f>IFERROR(__xludf.DUMMYFUNCTION("""COMPUTED_VALUE"""),45055.66666666667)</f>
        <v>45055.66667</v>
      </c>
      <c r="B89" s="2">
        <f>IFERROR(__xludf.DUMMYFUNCTION("""COMPUTED_VALUE"""),231.46)</f>
        <v>231.46</v>
      </c>
      <c r="C89" s="2">
        <f>IFERROR(__xludf.DUMMYFUNCTION("""COMPUTED_VALUE"""),235.88)</f>
        <v>235.88</v>
      </c>
      <c r="D89" s="2">
        <f>IFERROR(__xludf.DUMMYFUNCTION("""COMPUTED_VALUE"""),231.08)</f>
        <v>231.08</v>
      </c>
      <c r="E89" s="2">
        <f>IFERROR(__xludf.DUMMYFUNCTION("""COMPUTED_VALUE"""),233.37)</f>
        <v>233.37</v>
      </c>
      <c r="F89" s="2">
        <f>IFERROR(__xludf.DUMMYFUNCTION("""COMPUTED_VALUE"""),1.6865587E7)</f>
        <v>16865587</v>
      </c>
    </row>
    <row r="90">
      <c r="A90" s="3">
        <f>IFERROR(__xludf.DUMMYFUNCTION("""COMPUTED_VALUE"""),45056.66666666667)</f>
        <v>45056.66667</v>
      </c>
      <c r="B90" s="2">
        <f>IFERROR(__xludf.DUMMYFUNCTION("""COMPUTED_VALUE"""),236.17)</f>
        <v>236.17</v>
      </c>
      <c r="C90" s="2">
        <f>IFERROR(__xludf.DUMMYFUNCTION("""COMPUTED_VALUE"""),236.75)</f>
        <v>236.75</v>
      </c>
      <c r="D90" s="2">
        <f>IFERROR(__xludf.DUMMYFUNCTION("""COMPUTED_VALUE"""),230.72)</f>
        <v>230.72</v>
      </c>
      <c r="E90" s="2">
        <f>IFERROR(__xludf.DUMMYFUNCTION("""COMPUTED_VALUE"""),233.08)</f>
        <v>233.08</v>
      </c>
      <c r="F90" s="2">
        <f>IFERROR(__xludf.DUMMYFUNCTION("""COMPUTED_VALUE"""),1.9119007E7)</f>
        <v>19119007</v>
      </c>
    </row>
    <row r="91">
      <c r="A91" s="3">
        <f>IFERROR(__xludf.DUMMYFUNCTION("""COMPUTED_VALUE"""),45057.66666666667)</f>
        <v>45057.66667</v>
      </c>
      <c r="B91" s="2">
        <f>IFERROR(__xludf.DUMMYFUNCTION("""COMPUTED_VALUE"""),233.05)</f>
        <v>233.05</v>
      </c>
      <c r="C91" s="2">
        <f>IFERROR(__xludf.DUMMYFUNCTION("""COMPUTED_VALUE"""),238.21)</f>
        <v>238.21</v>
      </c>
      <c r="D91" s="2">
        <f>IFERROR(__xludf.DUMMYFUNCTION("""COMPUTED_VALUE"""),232.3)</f>
        <v>232.3</v>
      </c>
      <c r="E91" s="2">
        <f>IFERROR(__xludf.DUMMYFUNCTION("""COMPUTED_VALUE"""),235.79)</f>
        <v>235.79</v>
      </c>
      <c r="F91" s="2">
        <f>IFERROR(__xludf.DUMMYFUNCTION("""COMPUTED_VALUE"""),2.0448991E7)</f>
        <v>20448991</v>
      </c>
    </row>
    <row r="92">
      <c r="A92" s="3">
        <f>IFERROR(__xludf.DUMMYFUNCTION("""COMPUTED_VALUE"""),45058.66666666667)</f>
        <v>45058.66667</v>
      </c>
      <c r="B92" s="2">
        <f>IFERROR(__xludf.DUMMYFUNCTION("""COMPUTED_VALUE"""),236.74)</f>
        <v>236.74</v>
      </c>
      <c r="C92" s="2">
        <f>IFERROR(__xludf.DUMMYFUNCTION("""COMPUTED_VALUE"""),236.96)</f>
        <v>236.96</v>
      </c>
      <c r="D92" s="2">
        <f>IFERROR(__xludf.DUMMYFUNCTION("""COMPUTED_VALUE"""),231.45)</f>
        <v>231.45</v>
      </c>
      <c r="E92" s="2">
        <f>IFERROR(__xludf.DUMMYFUNCTION("""COMPUTED_VALUE"""),233.81)</f>
        <v>233.81</v>
      </c>
      <c r="F92" s="2">
        <f>IFERROR(__xludf.DUMMYFUNCTION("""COMPUTED_VALUE"""),1.6161447E7)</f>
        <v>16161447</v>
      </c>
    </row>
    <row r="93">
      <c r="A93" s="3">
        <f>IFERROR(__xludf.DUMMYFUNCTION("""COMPUTED_VALUE"""),45061.66666666667)</f>
        <v>45061.66667</v>
      </c>
      <c r="B93" s="2">
        <f>IFERROR(__xludf.DUMMYFUNCTION("""COMPUTED_VALUE"""),236.92)</f>
        <v>236.92</v>
      </c>
      <c r="C93" s="2">
        <f>IFERROR(__xludf.DUMMYFUNCTION("""COMPUTED_VALUE"""),240.26)</f>
        <v>240.26</v>
      </c>
      <c r="D93" s="2">
        <f>IFERROR(__xludf.DUMMYFUNCTION("""COMPUTED_VALUE"""),235.33)</f>
        <v>235.33</v>
      </c>
      <c r="E93" s="2">
        <f>IFERROR(__xludf.DUMMYFUNCTION("""COMPUTED_VALUE"""),238.86)</f>
        <v>238.86</v>
      </c>
      <c r="F93" s="2">
        <f>IFERROR(__xludf.DUMMYFUNCTION("""COMPUTED_VALUE"""),2.0653229E7)</f>
        <v>20653229</v>
      </c>
    </row>
    <row r="94">
      <c r="A94" s="3">
        <f>IFERROR(__xludf.DUMMYFUNCTION("""COMPUTED_VALUE"""),45062.66666666667)</f>
        <v>45062.66667</v>
      </c>
      <c r="B94" s="2">
        <f>IFERROR(__xludf.DUMMYFUNCTION("""COMPUTED_VALUE"""),235.79)</f>
        <v>235.79</v>
      </c>
      <c r="C94" s="2">
        <f>IFERROR(__xludf.DUMMYFUNCTION("""COMPUTED_VALUE"""),239.64)</f>
        <v>239.64</v>
      </c>
      <c r="D94" s="2">
        <f>IFERROR(__xludf.DUMMYFUNCTION("""COMPUTED_VALUE"""),235.52)</f>
        <v>235.52</v>
      </c>
      <c r="E94" s="2">
        <f>IFERROR(__xludf.DUMMYFUNCTION("""COMPUTED_VALUE"""),238.82)</f>
        <v>238.82</v>
      </c>
      <c r="F94" s="2">
        <f>IFERROR(__xludf.DUMMYFUNCTION("""COMPUTED_VALUE"""),1.8163772E7)</f>
        <v>18163772</v>
      </c>
    </row>
    <row r="95">
      <c r="A95" s="3">
        <f>IFERROR(__xludf.DUMMYFUNCTION("""COMPUTED_VALUE"""),45063.66666666667)</f>
        <v>45063.66667</v>
      </c>
      <c r="B95" s="2">
        <f>IFERROR(__xludf.DUMMYFUNCTION("""COMPUTED_VALUE"""),238.45)</f>
        <v>238.45</v>
      </c>
      <c r="C95" s="2">
        <f>IFERROR(__xludf.DUMMYFUNCTION("""COMPUTED_VALUE"""),243.84)</f>
        <v>243.84</v>
      </c>
      <c r="D95" s="2">
        <f>IFERROR(__xludf.DUMMYFUNCTION("""COMPUTED_VALUE"""),238.14)</f>
        <v>238.14</v>
      </c>
      <c r="E95" s="2">
        <f>IFERROR(__xludf.DUMMYFUNCTION("""COMPUTED_VALUE"""),242.49)</f>
        <v>242.49</v>
      </c>
      <c r="F95" s="2">
        <f>IFERROR(__xludf.DUMMYFUNCTION("""COMPUTED_VALUE"""),2.119308E7)</f>
        <v>21193080</v>
      </c>
    </row>
    <row r="96">
      <c r="A96" s="3">
        <f>IFERROR(__xludf.DUMMYFUNCTION("""COMPUTED_VALUE"""),45064.66666666667)</f>
        <v>45064.66667</v>
      </c>
      <c r="B96" s="2">
        <f>IFERROR(__xludf.DUMMYFUNCTION("""COMPUTED_VALUE"""),241.3)</f>
        <v>241.3</v>
      </c>
      <c r="C96" s="2">
        <f>IFERROR(__xludf.DUMMYFUNCTION("""COMPUTED_VALUE"""),247.09)</f>
        <v>247.09</v>
      </c>
      <c r="D96" s="2">
        <f>IFERROR(__xludf.DUMMYFUNCTION("""COMPUTED_VALUE"""),241.19)</f>
        <v>241.19</v>
      </c>
      <c r="E96" s="2">
        <f>IFERROR(__xludf.DUMMYFUNCTION("""COMPUTED_VALUE"""),246.85)</f>
        <v>246.85</v>
      </c>
      <c r="F96" s="2">
        <f>IFERROR(__xludf.DUMMYFUNCTION("""COMPUTED_VALUE"""),2.2943297E7)</f>
        <v>22943297</v>
      </c>
    </row>
    <row r="97">
      <c r="A97" s="3">
        <f>IFERROR(__xludf.DUMMYFUNCTION("""COMPUTED_VALUE"""),45065.66666666667)</f>
        <v>45065.66667</v>
      </c>
      <c r="B97" s="2">
        <f>IFERROR(__xludf.DUMMYFUNCTION("""COMPUTED_VALUE"""),247.47)</f>
        <v>247.47</v>
      </c>
      <c r="C97" s="2">
        <f>IFERROR(__xludf.DUMMYFUNCTION("""COMPUTED_VALUE"""),248.69)</f>
        <v>248.69</v>
      </c>
      <c r="D97" s="2">
        <f>IFERROR(__xludf.DUMMYFUNCTION("""COMPUTED_VALUE"""),243.41)</f>
        <v>243.41</v>
      </c>
      <c r="E97" s="2">
        <f>IFERROR(__xludf.DUMMYFUNCTION("""COMPUTED_VALUE"""),245.64)</f>
        <v>245.64</v>
      </c>
      <c r="F97" s="2">
        <f>IFERROR(__xludf.DUMMYFUNCTION("""COMPUTED_VALUE"""),2.1733581E7)</f>
        <v>21733581</v>
      </c>
    </row>
    <row r="98">
      <c r="A98" s="3">
        <f>IFERROR(__xludf.DUMMYFUNCTION("""COMPUTED_VALUE"""),45068.66666666667)</f>
        <v>45068.66667</v>
      </c>
      <c r="B98" s="2">
        <f>IFERROR(__xludf.DUMMYFUNCTION("""COMPUTED_VALUE"""),245.41)</f>
        <v>245.41</v>
      </c>
      <c r="C98" s="2">
        <f>IFERROR(__xludf.DUMMYFUNCTION("""COMPUTED_VALUE"""),253.57)</f>
        <v>253.57</v>
      </c>
      <c r="D98" s="2">
        <f>IFERROR(__xludf.DUMMYFUNCTION("""COMPUTED_VALUE"""),245.12)</f>
        <v>245.12</v>
      </c>
      <c r="E98" s="2">
        <f>IFERROR(__xludf.DUMMYFUNCTION("""COMPUTED_VALUE"""),248.32)</f>
        <v>248.32</v>
      </c>
      <c r="F98" s="2">
        <f>IFERROR(__xludf.DUMMYFUNCTION("""COMPUTED_VALUE"""),2.7738479E7)</f>
        <v>27738479</v>
      </c>
    </row>
    <row r="99">
      <c r="A99" s="3">
        <f>IFERROR(__xludf.DUMMYFUNCTION("""COMPUTED_VALUE"""),45069.66666666667)</f>
        <v>45069.66667</v>
      </c>
      <c r="B99" s="2">
        <f>IFERROR(__xludf.DUMMYFUNCTION("""COMPUTED_VALUE"""),246.81)</f>
        <v>246.81</v>
      </c>
      <c r="C99" s="2">
        <f>IFERROR(__xludf.DUMMYFUNCTION("""COMPUTED_VALUE"""),251.61)</f>
        <v>251.61</v>
      </c>
      <c r="D99" s="2">
        <f>IFERROR(__xludf.DUMMYFUNCTION("""COMPUTED_VALUE"""),246.65)</f>
        <v>246.65</v>
      </c>
      <c r="E99" s="2">
        <f>IFERROR(__xludf.DUMMYFUNCTION("""COMPUTED_VALUE"""),246.74)</f>
        <v>246.74</v>
      </c>
      <c r="F99" s="2">
        <f>IFERROR(__xludf.DUMMYFUNCTION("""COMPUTED_VALUE"""),1.7748115E7)</f>
        <v>17748115</v>
      </c>
    </row>
    <row r="100">
      <c r="A100" s="3">
        <f>IFERROR(__xludf.DUMMYFUNCTION("""COMPUTED_VALUE"""),45070.66666666667)</f>
        <v>45070.66667</v>
      </c>
      <c r="B100" s="2">
        <f>IFERROR(__xludf.DUMMYFUNCTION("""COMPUTED_VALUE"""),245.28)</f>
        <v>245.28</v>
      </c>
      <c r="C100" s="2">
        <f>IFERROR(__xludf.DUMMYFUNCTION("""COMPUTED_VALUE"""),249.59)</f>
        <v>249.59</v>
      </c>
      <c r="D100" s="2">
        <f>IFERROR(__xludf.DUMMYFUNCTION("""COMPUTED_VALUE"""),244.95)</f>
        <v>244.95</v>
      </c>
      <c r="E100" s="2">
        <f>IFERROR(__xludf.DUMMYFUNCTION("""COMPUTED_VALUE"""),249.21)</f>
        <v>249.21</v>
      </c>
      <c r="F100" s="2">
        <f>IFERROR(__xludf.DUMMYFUNCTION("""COMPUTED_VALUE"""),1.7724338E7)</f>
        <v>17724338</v>
      </c>
    </row>
    <row r="101">
      <c r="A101" s="3">
        <f>IFERROR(__xludf.DUMMYFUNCTION("""COMPUTED_VALUE"""),45071.66666666667)</f>
        <v>45071.66667</v>
      </c>
      <c r="B101" s="2">
        <f>IFERROR(__xludf.DUMMYFUNCTION("""COMPUTED_VALUE"""),253.4)</f>
        <v>253.4</v>
      </c>
      <c r="C101" s="2">
        <f>IFERROR(__xludf.DUMMYFUNCTION("""COMPUTED_VALUE"""),255.62)</f>
        <v>255.62</v>
      </c>
      <c r="D101" s="2">
        <f>IFERROR(__xludf.DUMMYFUNCTION("""COMPUTED_VALUE"""),249.17)</f>
        <v>249.17</v>
      </c>
      <c r="E101" s="2">
        <f>IFERROR(__xludf.DUMMYFUNCTION("""COMPUTED_VALUE"""),252.69)</f>
        <v>252.69</v>
      </c>
      <c r="F101" s="2">
        <f>IFERROR(__xludf.DUMMYFUNCTION("""COMPUTED_VALUE"""),2.2371435E7)</f>
        <v>22371435</v>
      </c>
    </row>
    <row r="102">
      <c r="A102" s="3">
        <f>IFERROR(__xludf.DUMMYFUNCTION("""COMPUTED_VALUE"""),45072.66666666667)</f>
        <v>45072.66667</v>
      </c>
      <c r="B102" s="2">
        <f>IFERROR(__xludf.DUMMYFUNCTION("""COMPUTED_VALUE"""),252.93)</f>
        <v>252.93</v>
      </c>
      <c r="C102" s="2">
        <f>IFERROR(__xludf.DUMMYFUNCTION("""COMPUTED_VALUE"""),262.31)</f>
        <v>262.31</v>
      </c>
      <c r="D102" s="2">
        <f>IFERROR(__xludf.DUMMYFUNCTION("""COMPUTED_VALUE"""),252.71)</f>
        <v>252.71</v>
      </c>
      <c r="E102" s="2">
        <f>IFERROR(__xludf.DUMMYFUNCTION("""COMPUTED_VALUE"""),262.04)</f>
        <v>262.04</v>
      </c>
      <c r="F102" s="2">
        <f>IFERROR(__xludf.DUMMYFUNCTION("""COMPUTED_VALUE"""),2.5768663E7)</f>
        <v>25768663</v>
      </c>
    </row>
    <row r="103">
      <c r="A103" s="3">
        <f>IFERROR(__xludf.DUMMYFUNCTION("""COMPUTED_VALUE"""),45076.66666666667)</f>
        <v>45076.66667</v>
      </c>
      <c r="B103" s="2">
        <f>IFERROR(__xludf.DUMMYFUNCTION("""COMPUTED_VALUE"""),265.25)</f>
        <v>265.25</v>
      </c>
      <c r="C103" s="2">
        <f>IFERROR(__xludf.DUMMYFUNCTION("""COMPUTED_VALUE"""),268.65)</f>
        <v>268.65</v>
      </c>
      <c r="D103" s="2">
        <f>IFERROR(__xludf.DUMMYFUNCTION("""COMPUTED_VALUE"""),261.29)</f>
        <v>261.29</v>
      </c>
      <c r="E103" s="2">
        <f>IFERROR(__xludf.DUMMYFUNCTION("""COMPUTED_VALUE"""),262.52)</f>
        <v>262.52</v>
      </c>
      <c r="F103" s="2">
        <f>IFERROR(__xludf.DUMMYFUNCTION("""COMPUTED_VALUE"""),2.3816483E7)</f>
        <v>23816483</v>
      </c>
    </row>
    <row r="104">
      <c r="A104" s="3">
        <f>IFERROR(__xludf.DUMMYFUNCTION("""COMPUTED_VALUE"""),45077.66666666667)</f>
        <v>45077.66667</v>
      </c>
      <c r="B104" s="2">
        <f>IFERROR(__xludf.DUMMYFUNCTION("""COMPUTED_VALUE"""),260.0)</f>
        <v>260</v>
      </c>
      <c r="C104" s="2">
        <f>IFERROR(__xludf.DUMMYFUNCTION("""COMPUTED_VALUE"""),265.0)</f>
        <v>265</v>
      </c>
      <c r="D104" s="2">
        <f>IFERROR(__xludf.DUMMYFUNCTION("""COMPUTED_VALUE"""),258.45)</f>
        <v>258.45</v>
      </c>
      <c r="E104" s="2">
        <f>IFERROR(__xludf.DUMMYFUNCTION("""COMPUTED_VALUE"""),264.72)</f>
        <v>264.72</v>
      </c>
      <c r="F104" s="2">
        <f>IFERROR(__xludf.DUMMYFUNCTION("""COMPUTED_VALUE"""),2.547369E7)</f>
        <v>25473690</v>
      </c>
    </row>
    <row r="105">
      <c r="A105" s="3">
        <f>IFERROR(__xludf.DUMMYFUNCTION("""COMPUTED_VALUE"""),45078.66666666667)</f>
        <v>45078.66667</v>
      </c>
      <c r="B105" s="2">
        <f>IFERROR(__xludf.DUMMYFUNCTION("""COMPUTED_VALUE"""),265.9)</f>
        <v>265.9</v>
      </c>
      <c r="C105" s="2">
        <f>IFERROR(__xludf.DUMMYFUNCTION("""COMPUTED_VALUE"""),274.0)</f>
        <v>274</v>
      </c>
      <c r="D105" s="2">
        <f>IFERROR(__xludf.DUMMYFUNCTION("""COMPUTED_VALUE"""),265.89)</f>
        <v>265.89</v>
      </c>
      <c r="E105" s="2">
        <f>IFERROR(__xludf.DUMMYFUNCTION("""COMPUTED_VALUE"""),272.61)</f>
        <v>272.61</v>
      </c>
      <c r="F105" s="2">
        <f>IFERROR(__xludf.DUMMYFUNCTION("""COMPUTED_VALUE"""),2.5609508E7)</f>
        <v>25609508</v>
      </c>
    </row>
    <row r="106">
      <c r="A106" s="3">
        <f>IFERROR(__xludf.DUMMYFUNCTION("""COMPUTED_VALUE"""),45079.66666666667)</f>
        <v>45079.66667</v>
      </c>
      <c r="B106" s="2">
        <f>IFERROR(__xludf.DUMMYFUNCTION("""COMPUTED_VALUE"""),272.66)</f>
        <v>272.66</v>
      </c>
      <c r="C106" s="2">
        <f>IFERROR(__xludf.DUMMYFUNCTION("""COMPUTED_VALUE"""),275.35)</f>
        <v>275.35</v>
      </c>
      <c r="D106" s="2">
        <f>IFERROR(__xludf.DUMMYFUNCTION("""COMPUTED_VALUE"""),271.12)</f>
        <v>271.12</v>
      </c>
      <c r="E106" s="2">
        <f>IFERROR(__xludf.DUMMYFUNCTION("""COMPUTED_VALUE"""),272.61)</f>
        <v>272.61</v>
      </c>
      <c r="F106" s="2">
        <f>IFERROR(__xludf.DUMMYFUNCTION("""COMPUTED_VALUE"""),1.941693E7)</f>
        <v>19416930</v>
      </c>
    </row>
    <row r="107">
      <c r="A107" s="3">
        <f>IFERROR(__xludf.DUMMYFUNCTION("""COMPUTED_VALUE"""),45082.66666666667)</f>
        <v>45082.66667</v>
      </c>
      <c r="B107" s="2">
        <f>IFERROR(__xludf.DUMMYFUNCTION("""COMPUTED_VALUE"""),270.3)</f>
        <v>270.3</v>
      </c>
      <c r="C107" s="2">
        <f>IFERROR(__xludf.DUMMYFUNCTION("""COMPUTED_VALUE"""),275.57)</f>
        <v>275.57</v>
      </c>
      <c r="D107" s="2">
        <f>IFERROR(__xludf.DUMMYFUNCTION("""COMPUTED_VALUE"""),269.56)</f>
        <v>269.56</v>
      </c>
      <c r="E107" s="2">
        <f>IFERROR(__xludf.DUMMYFUNCTION("""COMPUTED_VALUE"""),271.39)</f>
        <v>271.39</v>
      </c>
      <c r="F107" s="2">
        <f>IFERROR(__xludf.DUMMYFUNCTION("""COMPUTED_VALUE"""),2.0742946E7)</f>
        <v>20742946</v>
      </c>
    </row>
    <row r="108">
      <c r="A108" s="3">
        <f>IFERROR(__xludf.DUMMYFUNCTION("""COMPUTED_VALUE"""),45083.66666666667)</f>
        <v>45083.66667</v>
      </c>
      <c r="B108" s="2">
        <f>IFERROR(__xludf.DUMMYFUNCTION("""COMPUTED_VALUE"""),270.14)</f>
        <v>270.14</v>
      </c>
      <c r="C108" s="2">
        <f>IFERROR(__xludf.DUMMYFUNCTION("""COMPUTED_VALUE"""),276.57)</f>
        <v>276.57</v>
      </c>
      <c r="D108" s="2">
        <f>IFERROR(__xludf.DUMMYFUNCTION("""COMPUTED_VALUE"""),269.69)</f>
        <v>269.69</v>
      </c>
      <c r="E108" s="2">
        <f>IFERROR(__xludf.DUMMYFUNCTION("""COMPUTED_VALUE"""),271.12)</f>
        <v>271.12</v>
      </c>
      <c r="F108" s="2">
        <f>IFERROR(__xludf.DUMMYFUNCTION("""COMPUTED_VALUE"""),1.941901E7)</f>
        <v>19419010</v>
      </c>
    </row>
    <row r="109">
      <c r="A109" s="3">
        <f>IFERROR(__xludf.DUMMYFUNCTION("""COMPUTED_VALUE"""),45084.66666666667)</f>
        <v>45084.66667</v>
      </c>
      <c r="B109" s="2">
        <f>IFERROR(__xludf.DUMMYFUNCTION("""COMPUTED_VALUE"""),271.67)</f>
        <v>271.67</v>
      </c>
      <c r="C109" s="2">
        <f>IFERROR(__xludf.DUMMYFUNCTION("""COMPUTED_VALUE"""),274.25)</f>
        <v>274.25</v>
      </c>
      <c r="D109" s="2">
        <f>IFERROR(__xludf.DUMMYFUNCTION("""COMPUTED_VALUE"""),262.8)</f>
        <v>262.8</v>
      </c>
      <c r="E109" s="2">
        <f>IFERROR(__xludf.DUMMYFUNCTION("""COMPUTED_VALUE"""),263.6)</f>
        <v>263.6</v>
      </c>
      <c r="F109" s="2">
        <f>IFERROR(__xludf.DUMMYFUNCTION("""COMPUTED_VALUE"""),2.6163627E7)</f>
        <v>26163627</v>
      </c>
    </row>
    <row r="110">
      <c r="A110" s="3">
        <f>IFERROR(__xludf.DUMMYFUNCTION("""COMPUTED_VALUE"""),45085.66666666667)</f>
        <v>45085.66667</v>
      </c>
      <c r="B110" s="2">
        <f>IFERROR(__xludf.DUMMYFUNCTION("""COMPUTED_VALUE"""),260.62)</f>
        <v>260.62</v>
      </c>
      <c r="C110" s="2">
        <f>IFERROR(__xludf.DUMMYFUNCTION("""COMPUTED_VALUE"""),267.65)</f>
        <v>267.65</v>
      </c>
      <c r="D110" s="2">
        <f>IFERROR(__xludf.DUMMYFUNCTION("""COMPUTED_VALUE"""),258.88)</f>
        <v>258.88</v>
      </c>
      <c r="E110" s="2">
        <f>IFERROR(__xludf.DUMMYFUNCTION("""COMPUTED_VALUE"""),264.58)</f>
        <v>264.58</v>
      </c>
      <c r="F110" s="2">
        <f>IFERROR(__xludf.DUMMYFUNCTION("""COMPUTED_VALUE"""),2.0899359E7)</f>
        <v>20899359</v>
      </c>
    </row>
    <row r="111">
      <c r="A111" s="3">
        <f>IFERROR(__xludf.DUMMYFUNCTION("""COMPUTED_VALUE"""),45086.66666666667)</f>
        <v>45086.66667</v>
      </c>
      <c r="B111" s="2">
        <f>IFERROR(__xludf.DUMMYFUNCTION("""COMPUTED_VALUE"""),262.48)</f>
        <v>262.48</v>
      </c>
      <c r="C111" s="2">
        <f>IFERROR(__xludf.DUMMYFUNCTION("""COMPUTED_VALUE"""),267.95)</f>
        <v>267.95</v>
      </c>
      <c r="D111" s="2">
        <f>IFERROR(__xludf.DUMMYFUNCTION("""COMPUTED_VALUE"""),261.7)</f>
        <v>261.7</v>
      </c>
      <c r="E111" s="2">
        <f>IFERROR(__xludf.DUMMYFUNCTION("""COMPUTED_VALUE"""),264.95)</f>
        <v>264.95</v>
      </c>
      <c r="F111" s="2">
        <f>IFERROR(__xludf.DUMMYFUNCTION("""COMPUTED_VALUE"""),1.6949794E7)</f>
        <v>16949794</v>
      </c>
    </row>
    <row r="112">
      <c r="A112" s="3">
        <f>IFERROR(__xludf.DUMMYFUNCTION("""COMPUTED_VALUE"""),45089.66666666667)</f>
        <v>45089.66667</v>
      </c>
      <c r="B112" s="2">
        <f>IFERROR(__xludf.DUMMYFUNCTION("""COMPUTED_VALUE"""),267.17)</f>
        <v>267.17</v>
      </c>
      <c r="C112" s="2">
        <f>IFERROR(__xludf.DUMMYFUNCTION("""COMPUTED_VALUE"""),271.75)</f>
        <v>271.75</v>
      </c>
      <c r="D112" s="2">
        <f>IFERROR(__xludf.DUMMYFUNCTION("""COMPUTED_VALUE"""),265.33)</f>
        <v>265.33</v>
      </c>
      <c r="E112" s="2">
        <f>IFERROR(__xludf.DUMMYFUNCTION("""COMPUTED_VALUE"""),271.05)</f>
        <v>271.05</v>
      </c>
      <c r="F112" s="2">
        <f>IFERROR(__xludf.DUMMYFUNCTION("""COMPUTED_VALUE"""),1.5471702E7)</f>
        <v>15471702</v>
      </c>
    </row>
    <row r="113">
      <c r="A113" s="3">
        <f>IFERROR(__xludf.DUMMYFUNCTION("""COMPUTED_VALUE"""),45090.66666666667)</f>
        <v>45090.66667</v>
      </c>
      <c r="B113" s="2">
        <f>IFERROR(__xludf.DUMMYFUNCTION("""COMPUTED_VALUE"""),274.88)</f>
        <v>274.88</v>
      </c>
      <c r="C113" s="2">
        <f>IFERROR(__xludf.DUMMYFUNCTION("""COMPUTED_VALUE"""),275.72)</f>
        <v>275.72</v>
      </c>
      <c r="D113" s="2">
        <f>IFERROR(__xludf.DUMMYFUNCTION("""COMPUTED_VALUE"""),269.09)</f>
        <v>269.09</v>
      </c>
      <c r="E113" s="2">
        <f>IFERROR(__xludf.DUMMYFUNCTION("""COMPUTED_VALUE"""),271.32)</f>
        <v>271.32</v>
      </c>
      <c r="F113" s="2">
        <f>IFERROR(__xludf.DUMMYFUNCTION("""COMPUTED_VALUE"""),1.6164024E7)</f>
        <v>16164024</v>
      </c>
    </row>
    <row r="114">
      <c r="A114" s="3">
        <f>IFERROR(__xludf.DUMMYFUNCTION("""COMPUTED_VALUE"""),45091.66666666667)</f>
        <v>45091.66667</v>
      </c>
      <c r="B114" s="2">
        <f>IFERROR(__xludf.DUMMYFUNCTION("""COMPUTED_VALUE"""),271.89)</f>
        <v>271.89</v>
      </c>
      <c r="C114" s="2">
        <f>IFERROR(__xludf.DUMMYFUNCTION("""COMPUTED_VALUE"""),274.99)</f>
        <v>274.99</v>
      </c>
      <c r="D114" s="2">
        <f>IFERROR(__xludf.DUMMYFUNCTION("""COMPUTED_VALUE"""),268.32)</f>
        <v>268.32</v>
      </c>
      <c r="E114" s="2">
        <f>IFERROR(__xludf.DUMMYFUNCTION("""COMPUTED_VALUE"""),273.35)</f>
        <v>273.35</v>
      </c>
      <c r="F114" s="2">
        <f>IFERROR(__xludf.DUMMYFUNCTION("""COMPUTED_VALUE"""),1.9175066E7)</f>
        <v>19175066</v>
      </c>
    </row>
    <row r="115">
      <c r="A115" s="3">
        <f>IFERROR(__xludf.DUMMYFUNCTION("""COMPUTED_VALUE"""),45092.66666666667)</f>
        <v>45092.66667</v>
      </c>
      <c r="B115" s="2">
        <f>IFERROR(__xludf.DUMMYFUNCTION("""COMPUTED_VALUE"""),272.3)</f>
        <v>272.3</v>
      </c>
      <c r="C115" s="2">
        <f>IFERROR(__xludf.DUMMYFUNCTION("""COMPUTED_VALUE"""),283.99)</f>
        <v>283.99</v>
      </c>
      <c r="D115" s="2">
        <f>IFERROR(__xludf.DUMMYFUNCTION("""COMPUTED_VALUE"""),271.42)</f>
        <v>271.42</v>
      </c>
      <c r="E115" s="2">
        <f>IFERROR(__xludf.DUMMYFUNCTION("""COMPUTED_VALUE"""),281.83)</f>
        <v>281.83</v>
      </c>
      <c r="F115" s="2">
        <f>IFERROR(__xludf.DUMMYFUNCTION("""COMPUTED_VALUE"""),2.5973455E7)</f>
        <v>25973455</v>
      </c>
    </row>
    <row r="116">
      <c r="A116" s="3">
        <f>IFERROR(__xludf.DUMMYFUNCTION("""COMPUTED_VALUE"""),45093.66666666667)</f>
        <v>45093.66667</v>
      </c>
      <c r="B116" s="2">
        <f>IFERROR(__xludf.DUMMYFUNCTION("""COMPUTED_VALUE"""),284.75)</f>
        <v>284.75</v>
      </c>
      <c r="C116" s="2">
        <f>IFERROR(__xludf.DUMMYFUNCTION("""COMPUTED_VALUE"""),287.85)</f>
        <v>287.85</v>
      </c>
      <c r="D116" s="2">
        <f>IFERROR(__xludf.DUMMYFUNCTION("""COMPUTED_VALUE"""),280.13)</f>
        <v>280.13</v>
      </c>
      <c r="E116" s="2">
        <f>IFERROR(__xludf.DUMMYFUNCTION("""COMPUTED_VALUE"""),281.0)</f>
        <v>281</v>
      </c>
      <c r="F116" s="2">
        <f>IFERROR(__xludf.DUMMYFUNCTION("""COMPUTED_VALUE"""),4.3127731E7)</f>
        <v>43127731</v>
      </c>
    </row>
    <row r="117">
      <c r="A117" s="3">
        <f>IFERROR(__xludf.DUMMYFUNCTION("""COMPUTED_VALUE"""),45097.66666666667)</f>
        <v>45097.66667</v>
      </c>
      <c r="B117" s="2">
        <f>IFERROR(__xludf.DUMMYFUNCTION("""COMPUTED_VALUE"""),278.73)</f>
        <v>278.73</v>
      </c>
      <c r="C117" s="2">
        <f>IFERROR(__xludf.DUMMYFUNCTION("""COMPUTED_VALUE"""),284.8)</f>
        <v>284.8</v>
      </c>
      <c r="D117" s="2">
        <f>IFERROR(__xludf.DUMMYFUNCTION("""COMPUTED_VALUE"""),276.22)</f>
        <v>276.22</v>
      </c>
      <c r="E117" s="2">
        <f>IFERROR(__xludf.DUMMYFUNCTION("""COMPUTED_VALUE"""),284.33)</f>
        <v>284.33</v>
      </c>
      <c r="F117" s="2">
        <f>IFERROR(__xludf.DUMMYFUNCTION("""COMPUTED_VALUE"""),2.0701589E7)</f>
        <v>20701589</v>
      </c>
    </row>
    <row r="118">
      <c r="A118" s="3">
        <f>IFERROR(__xludf.DUMMYFUNCTION("""COMPUTED_VALUE"""),45098.66666666667)</f>
        <v>45098.66667</v>
      </c>
      <c r="B118" s="2">
        <f>IFERROR(__xludf.DUMMYFUNCTION("""COMPUTED_VALUE"""),283.53)</f>
        <v>283.53</v>
      </c>
      <c r="C118" s="2">
        <f>IFERROR(__xludf.DUMMYFUNCTION("""COMPUTED_VALUE"""),284.0)</f>
        <v>284</v>
      </c>
      <c r="D118" s="2">
        <f>IFERROR(__xludf.DUMMYFUNCTION("""COMPUTED_VALUE"""),278.36)</f>
        <v>278.36</v>
      </c>
      <c r="E118" s="2">
        <f>IFERROR(__xludf.DUMMYFUNCTION("""COMPUTED_VALUE"""),281.64)</f>
        <v>281.64</v>
      </c>
      <c r="F118" s="2">
        <f>IFERROR(__xludf.DUMMYFUNCTION("""COMPUTED_VALUE"""),2.055617E7)</f>
        <v>20556170</v>
      </c>
    </row>
    <row r="119">
      <c r="A119" s="3">
        <f>IFERROR(__xludf.DUMMYFUNCTION("""COMPUTED_VALUE"""),45099.66666666667)</f>
        <v>45099.66667</v>
      </c>
      <c r="B119" s="2">
        <f>IFERROR(__xludf.DUMMYFUNCTION("""COMPUTED_VALUE"""),279.08)</f>
        <v>279.08</v>
      </c>
      <c r="C119" s="2">
        <f>IFERROR(__xludf.DUMMYFUNCTION("""COMPUTED_VALUE"""),285.26)</f>
        <v>285.26</v>
      </c>
      <c r="D119" s="2">
        <f>IFERROR(__xludf.DUMMYFUNCTION("""COMPUTED_VALUE"""),277.79)</f>
        <v>277.79</v>
      </c>
      <c r="E119" s="2">
        <f>IFERROR(__xludf.DUMMYFUNCTION("""COMPUTED_VALUE"""),284.88)</f>
        <v>284.88</v>
      </c>
      <c r="F119" s="2">
        <f>IFERROR(__xludf.DUMMYFUNCTION("""COMPUTED_VALUE"""),1.7563061E7)</f>
        <v>17563061</v>
      </c>
    </row>
    <row r="120">
      <c r="A120" s="3">
        <f>IFERROR(__xludf.DUMMYFUNCTION("""COMPUTED_VALUE"""),45100.66666666667)</f>
        <v>45100.66667</v>
      </c>
      <c r="B120" s="2">
        <f>IFERROR(__xludf.DUMMYFUNCTION("""COMPUTED_VALUE"""),281.51)</f>
        <v>281.51</v>
      </c>
      <c r="C120" s="2">
        <f>IFERROR(__xludf.DUMMYFUNCTION("""COMPUTED_VALUE"""),289.67)</f>
        <v>289.67</v>
      </c>
      <c r="D120" s="2">
        <f>IFERROR(__xludf.DUMMYFUNCTION("""COMPUTED_VALUE"""),278.95)</f>
        <v>278.95</v>
      </c>
      <c r="E120" s="2">
        <f>IFERROR(__xludf.DUMMYFUNCTION("""COMPUTED_VALUE"""),288.73)</f>
        <v>288.73</v>
      </c>
      <c r="F120" s="2">
        <f>IFERROR(__xludf.DUMMYFUNCTION("""COMPUTED_VALUE"""),5.1092038E7)</f>
        <v>51092038</v>
      </c>
    </row>
    <row r="121">
      <c r="A121" s="3">
        <f>IFERROR(__xludf.DUMMYFUNCTION("""COMPUTED_VALUE"""),45103.66666666667)</f>
        <v>45103.66667</v>
      </c>
      <c r="B121" s="2">
        <f>IFERROR(__xludf.DUMMYFUNCTION("""COMPUTED_VALUE"""),288.7)</f>
        <v>288.7</v>
      </c>
      <c r="C121" s="2">
        <f>IFERROR(__xludf.DUMMYFUNCTION("""COMPUTED_VALUE"""),289.79)</f>
        <v>289.79</v>
      </c>
      <c r="D121" s="2">
        <f>IFERROR(__xludf.DUMMYFUNCTION("""COMPUTED_VALUE"""),277.6)</f>
        <v>277.6</v>
      </c>
      <c r="E121" s="2">
        <f>IFERROR(__xludf.DUMMYFUNCTION("""COMPUTED_VALUE"""),278.47)</f>
        <v>278.47</v>
      </c>
      <c r="F121" s="2">
        <f>IFERROR(__xludf.DUMMYFUNCTION("""COMPUTED_VALUE"""),2.4232651E7)</f>
        <v>24232651</v>
      </c>
    </row>
    <row r="122">
      <c r="A122" s="3">
        <f>IFERROR(__xludf.DUMMYFUNCTION("""COMPUTED_VALUE"""),45104.66666666667)</f>
        <v>45104.66667</v>
      </c>
      <c r="B122" s="2">
        <f>IFERROR(__xludf.DUMMYFUNCTION("""COMPUTED_VALUE"""),282.01)</f>
        <v>282.01</v>
      </c>
      <c r="C122" s="2">
        <f>IFERROR(__xludf.DUMMYFUNCTION("""COMPUTED_VALUE"""),289.35)</f>
        <v>289.35</v>
      </c>
      <c r="D122" s="2">
        <f>IFERROR(__xludf.DUMMYFUNCTION("""COMPUTED_VALUE"""),280.65)</f>
        <v>280.65</v>
      </c>
      <c r="E122" s="2">
        <f>IFERROR(__xludf.DUMMYFUNCTION("""COMPUTED_VALUE"""),287.05)</f>
        <v>287.05</v>
      </c>
      <c r="F122" s="2">
        <f>IFERROR(__xludf.DUMMYFUNCTION("""COMPUTED_VALUE"""),2.610826E7)</f>
        <v>26108260</v>
      </c>
    </row>
    <row r="123">
      <c r="A123" s="3">
        <f>IFERROR(__xludf.DUMMYFUNCTION("""COMPUTED_VALUE"""),45105.66666666667)</f>
        <v>45105.66667</v>
      </c>
      <c r="B123" s="2">
        <f>IFERROR(__xludf.DUMMYFUNCTION("""COMPUTED_VALUE"""),284.82)</f>
        <v>284.82</v>
      </c>
      <c r="C123" s="2">
        <f>IFERROR(__xludf.DUMMYFUNCTION("""COMPUTED_VALUE"""),289.55)</f>
        <v>289.55</v>
      </c>
      <c r="D123" s="2">
        <f>IFERROR(__xludf.DUMMYFUNCTION("""COMPUTED_VALUE"""),284.06)</f>
        <v>284.06</v>
      </c>
      <c r="E123" s="2">
        <f>IFERROR(__xludf.DUMMYFUNCTION("""COMPUTED_VALUE"""),285.29)</f>
        <v>285.29</v>
      </c>
      <c r="F123" s="2">
        <f>IFERROR(__xludf.DUMMYFUNCTION("""COMPUTED_VALUE"""),1.6722117E7)</f>
        <v>16722117</v>
      </c>
    </row>
    <row r="124">
      <c r="A124" s="3">
        <f>IFERROR(__xludf.DUMMYFUNCTION("""COMPUTED_VALUE"""),45106.66666666667)</f>
        <v>45106.66667</v>
      </c>
      <c r="B124" s="2">
        <f>IFERROR(__xludf.DUMMYFUNCTION("""COMPUTED_VALUE"""),284.5)</f>
        <v>284.5</v>
      </c>
      <c r="C124" s="2">
        <f>IFERROR(__xludf.DUMMYFUNCTION("""COMPUTED_VALUE"""),286.57)</f>
        <v>286.57</v>
      </c>
      <c r="D124" s="2">
        <f>IFERROR(__xludf.DUMMYFUNCTION("""COMPUTED_VALUE"""),280.69)</f>
        <v>280.69</v>
      </c>
      <c r="E124" s="2">
        <f>IFERROR(__xludf.DUMMYFUNCTION("""COMPUTED_VALUE"""),281.53)</f>
        <v>281.53</v>
      </c>
      <c r="F124" s="2">
        <f>IFERROR(__xludf.DUMMYFUNCTION("""COMPUTED_VALUE"""),1.539569E7)</f>
        <v>15395690</v>
      </c>
    </row>
    <row r="125">
      <c r="A125" s="3">
        <f>IFERROR(__xludf.DUMMYFUNCTION("""COMPUTED_VALUE"""),45107.66666666667)</f>
        <v>45107.66667</v>
      </c>
      <c r="B125" s="2">
        <f>IFERROR(__xludf.DUMMYFUNCTION("""COMPUTED_VALUE"""),284.76)</f>
        <v>284.76</v>
      </c>
      <c r="C125" s="2">
        <f>IFERROR(__xludf.DUMMYFUNCTION("""COMPUTED_VALUE"""),289.05)</f>
        <v>289.05</v>
      </c>
      <c r="D125" s="2">
        <f>IFERROR(__xludf.DUMMYFUNCTION("""COMPUTED_VALUE"""),284.42)</f>
        <v>284.42</v>
      </c>
      <c r="E125" s="2">
        <f>IFERROR(__xludf.DUMMYFUNCTION("""COMPUTED_VALUE"""),286.98)</f>
        <v>286.98</v>
      </c>
      <c r="F125" s="2">
        <f>IFERROR(__xludf.DUMMYFUNCTION("""COMPUTED_VALUE"""),1.9694872E7)</f>
        <v>19694872</v>
      </c>
    </row>
    <row r="126">
      <c r="A126" s="3">
        <f>IFERROR(__xludf.DUMMYFUNCTION("""COMPUTED_VALUE"""),45110.54513888889)</f>
        <v>45110.54514</v>
      </c>
      <c r="B126" s="2">
        <f>IFERROR(__xludf.DUMMYFUNCTION("""COMPUTED_VALUE"""),286.7)</f>
        <v>286.7</v>
      </c>
      <c r="C126" s="2">
        <f>IFERROR(__xludf.DUMMYFUNCTION("""COMPUTED_VALUE"""),289.4)</f>
        <v>289.4</v>
      </c>
      <c r="D126" s="2">
        <f>IFERROR(__xludf.DUMMYFUNCTION("""COMPUTED_VALUE"""),284.85)</f>
        <v>284.85</v>
      </c>
      <c r="E126" s="2">
        <f>IFERROR(__xludf.DUMMYFUNCTION("""COMPUTED_VALUE"""),286.02)</f>
        <v>286.02</v>
      </c>
      <c r="F126" s="2">
        <f>IFERROR(__xludf.DUMMYFUNCTION("""COMPUTED_VALUE"""),8629269.0)</f>
        <v>8629269</v>
      </c>
    </row>
    <row r="127">
      <c r="A127" s="3">
        <f>IFERROR(__xludf.DUMMYFUNCTION("""COMPUTED_VALUE"""),45112.66666666667)</f>
        <v>45112.66667</v>
      </c>
      <c r="B127" s="2">
        <f>IFERROR(__xludf.DUMMYFUNCTION("""COMPUTED_VALUE"""),287.65)</f>
        <v>287.65</v>
      </c>
      <c r="C127" s="2">
        <f>IFERROR(__xludf.DUMMYFUNCTION("""COMPUTED_VALUE"""),298.12)</f>
        <v>298.12</v>
      </c>
      <c r="D127" s="2">
        <f>IFERROR(__xludf.DUMMYFUNCTION("""COMPUTED_VALUE"""),286.36)</f>
        <v>286.36</v>
      </c>
      <c r="E127" s="2">
        <f>IFERROR(__xludf.DUMMYFUNCTION("""COMPUTED_VALUE"""),294.37)</f>
        <v>294.37</v>
      </c>
      <c r="F127" s="2">
        <f>IFERROR(__xludf.DUMMYFUNCTION("""COMPUTED_VALUE"""),3.3865457E7)</f>
        <v>33865457</v>
      </c>
    </row>
    <row r="128">
      <c r="A128" s="3">
        <f>IFERROR(__xludf.DUMMYFUNCTION("""COMPUTED_VALUE"""),45113.66666666667)</f>
        <v>45113.66667</v>
      </c>
      <c r="B128" s="2">
        <f>IFERROR(__xludf.DUMMYFUNCTION("""COMPUTED_VALUE"""),295.89)</f>
        <v>295.89</v>
      </c>
      <c r="C128" s="2">
        <f>IFERROR(__xludf.DUMMYFUNCTION("""COMPUTED_VALUE"""),298.12)</f>
        <v>298.12</v>
      </c>
      <c r="D128" s="2">
        <f>IFERROR(__xludf.DUMMYFUNCTION("""COMPUTED_VALUE"""),291.31)</f>
        <v>291.31</v>
      </c>
      <c r="E128" s="2">
        <f>IFERROR(__xludf.DUMMYFUNCTION("""COMPUTED_VALUE"""),291.99)</f>
        <v>291.99</v>
      </c>
      <c r="F128" s="2">
        <f>IFERROR(__xludf.DUMMYFUNCTION("""COMPUTED_VALUE"""),4.7733829E7)</f>
        <v>47733829</v>
      </c>
    </row>
    <row r="129">
      <c r="A129" s="3">
        <f>IFERROR(__xludf.DUMMYFUNCTION("""COMPUTED_VALUE"""),45114.66666666667)</f>
        <v>45114.66667</v>
      </c>
      <c r="B129" s="2">
        <f>IFERROR(__xludf.DUMMYFUNCTION("""COMPUTED_VALUE"""),292.18)</f>
        <v>292.18</v>
      </c>
      <c r="C129" s="2">
        <f>IFERROR(__xludf.DUMMYFUNCTION("""COMPUTED_VALUE"""),296.2)</f>
        <v>296.2</v>
      </c>
      <c r="D129" s="2">
        <f>IFERROR(__xludf.DUMMYFUNCTION("""COMPUTED_VALUE"""),288.66)</f>
        <v>288.66</v>
      </c>
      <c r="E129" s="2">
        <f>IFERROR(__xludf.DUMMYFUNCTION("""COMPUTED_VALUE"""),290.53)</f>
        <v>290.53</v>
      </c>
      <c r="F129" s="2">
        <f>IFERROR(__xludf.DUMMYFUNCTION("""COMPUTED_VALUE"""),2.5585975E7)</f>
        <v>25585975</v>
      </c>
    </row>
    <row r="130">
      <c r="A130" s="3">
        <f>IFERROR(__xludf.DUMMYFUNCTION("""COMPUTED_VALUE"""),45117.66666666667)</f>
        <v>45117.66667</v>
      </c>
      <c r="B130" s="2">
        <f>IFERROR(__xludf.DUMMYFUNCTION("""COMPUTED_VALUE"""),295.55)</f>
        <v>295.55</v>
      </c>
      <c r="C130" s="2">
        <f>IFERROR(__xludf.DUMMYFUNCTION("""COMPUTED_VALUE"""),298.13)</f>
        <v>298.13</v>
      </c>
      <c r="D130" s="2">
        <f>IFERROR(__xludf.DUMMYFUNCTION("""COMPUTED_VALUE"""),287.05)</f>
        <v>287.05</v>
      </c>
      <c r="E130" s="2">
        <f>IFERROR(__xludf.DUMMYFUNCTION("""COMPUTED_VALUE"""),294.1)</f>
        <v>294.1</v>
      </c>
      <c r="F130" s="2">
        <f>IFERROR(__xludf.DUMMYFUNCTION("""COMPUTED_VALUE"""),3.7058306E7)</f>
        <v>37058306</v>
      </c>
    </row>
    <row r="131">
      <c r="A131" s="3">
        <f>IFERROR(__xludf.DUMMYFUNCTION("""COMPUTED_VALUE"""),45118.66666666667)</f>
        <v>45118.66667</v>
      </c>
      <c r="B131" s="2">
        <f>IFERROR(__xludf.DUMMYFUNCTION("""COMPUTED_VALUE"""),293.9)</f>
        <v>293.9</v>
      </c>
      <c r="C131" s="2">
        <f>IFERROR(__xludf.DUMMYFUNCTION("""COMPUTED_VALUE"""),300.18)</f>
        <v>300.18</v>
      </c>
      <c r="D131" s="2">
        <f>IFERROR(__xludf.DUMMYFUNCTION("""COMPUTED_VALUE"""),291.9)</f>
        <v>291.9</v>
      </c>
      <c r="E131" s="2">
        <f>IFERROR(__xludf.DUMMYFUNCTION("""COMPUTED_VALUE"""),298.29)</f>
        <v>298.29</v>
      </c>
      <c r="F131" s="2">
        <f>IFERROR(__xludf.DUMMYFUNCTION("""COMPUTED_VALUE"""),2.7585918E7)</f>
        <v>27585918</v>
      </c>
    </row>
    <row r="132">
      <c r="A132" s="3">
        <f>IFERROR(__xludf.DUMMYFUNCTION("""COMPUTED_VALUE"""),45119.66666666667)</f>
        <v>45119.66667</v>
      </c>
      <c r="B132" s="2">
        <f>IFERROR(__xludf.DUMMYFUNCTION("""COMPUTED_VALUE"""),301.75)</f>
        <v>301.75</v>
      </c>
      <c r="C132" s="2">
        <f>IFERROR(__xludf.DUMMYFUNCTION("""COMPUTED_VALUE"""),309.45)</f>
        <v>309.45</v>
      </c>
      <c r="D132" s="2">
        <f>IFERROR(__xludf.DUMMYFUNCTION("""COMPUTED_VALUE"""),300.1)</f>
        <v>300.1</v>
      </c>
      <c r="E132" s="2">
        <f>IFERROR(__xludf.DUMMYFUNCTION("""COMPUTED_VALUE"""),309.34)</f>
        <v>309.34</v>
      </c>
      <c r="F132" s="2">
        <f>IFERROR(__xludf.DUMMYFUNCTION("""COMPUTED_VALUE"""),3.6677127E7)</f>
        <v>36677127</v>
      </c>
    </row>
    <row r="133">
      <c r="A133" s="3">
        <f>IFERROR(__xludf.DUMMYFUNCTION("""COMPUTED_VALUE"""),45120.66666666667)</f>
        <v>45120.66667</v>
      </c>
      <c r="B133" s="2">
        <f>IFERROR(__xludf.DUMMYFUNCTION("""COMPUTED_VALUE"""),313.62)</f>
        <v>313.62</v>
      </c>
      <c r="C133" s="2">
        <f>IFERROR(__xludf.DUMMYFUNCTION("""COMPUTED_VALUE"""),316.24)</f>
        <v>316.24</v>
      </c>
      <c r="D133" s="2">
        <f>IFERROR(__xludf.DUMMYFUNCTION("""COMPUTED_VALUE"""),310.29)</f>
        <v>310.29</v>
      </c>
      <c r="E133" s="2">
        <f>IFERROR(__xludf.DUMMYFUNCTION("""COMPUTED_VALUE"""),313.41)</f>
        <v>313.41</v>
      </c>
      <c r="F133" s="2">
        <f>IFERROR(__xludf.DUMMYFUNCTION("""COMPUTED_VALUE"""),3.0280972E7)</f>
        <v>30280972</v>
      </c>
    </row>
    <row r="134">
      <c r="A134" s="3">
        <f>IFERROR(__xludf.DUMMYFUNCTION("""COMPUTED_VALUE"""),45121.66666666667)</f>
        <v>45121.66667</v>
      </c>
      <c r="B134" s="2">
        <f>IFERROR(__xludf.DUMMYFUNCTION("""COMPUTED_VALUE"""),311.79)</f>
        <v>311.79</v>
      </c>
      <c r="C134" s="2">
        <f>IFERROR(__xludf.DUMMYFUNCTION("""COMPUTED_VALUE"""),314.88)</f>
        <v>314.88</v>
      </c>
      <c r="D134" s="2">
        <f>IFERROR(__xludf.DUMMYFUNCTION("""COMPUTED_VALUE"""),307.36)</f>
        <v>307.36</v>
      </c>
      <c r="E134" s="2">
        <f>IFERROR(__xludf.DUMMYFUNCTION("""COMPUTED_VALUE"""),308.87)</f>
        <v>308.87</v>
      </c>
      <c r="F134" s="2">
        <f>IFERROR(__xludf.DUMMYFUNCTION("""COMPUTED_VALUE"""),2.3054108E7)</f>
        <v>23054108</v>
      </c>
    </row>
    <row r="135">
      <c r="A135" s="3">
        <f>IFERROR(__xludf.DUMMYFUNCTION("""COMPUTED_VALUE"""),45124.66666666667)</f>
        <v>45124.66667</v>
      </c>
      <c r="B135" s="2">
        <f>IFERROR(__xludf.DUMMYFUNCTION("""COMPUTED_VALUE"""),307.54)</f>
        <v>307.54</v>
      </c>
      <c r="C135" s="2">
        <f>IFERROR(__xludf.DUMMYFUNCTION("""COMPUTED_VALUE"""),311.71)</f>
        <v>311.71</v>
      </c>
      <c r="D135" s="2">
        <f>IFERROR(__xludf.DUMMYFUNCTION("""COMPUTED_VALUE"""),304.71)</f>
        <v>304.71</v>
      </c>
      <c r="E135" s="2">
        <f>IFERROR(__xludf.DUMMYFUNCTION("""COMPUTED_VALUE"""),310.62)</f>
        <v>310.62</v>
      </c>
      <c r="F135" s="2">
        <f>IFERROR(__xludf.DUMMYFUNCTION("""COMPUTED_VALUE"""),2.5323126E7)</f>
        <v>25323126</v>
      </c>
    </row>
    <row r="136">
      <c r="A136" s="3">
        <f>IFERROR(__xludf.DUMMYFUNCTION("""COMPUTED_VALUE"""),45125.66666666667)</f>
        <v>45125.66667</v>
      </c>
      <c r="B136" s="2">
        <f>IFERROR(__xludf.DUMMYFUNCTION("""COMPUTED_VALUE"""),310.88)</f>
        <v>310.88</v>
      </c>
      <c r="C136" s="2">
        <f>IFERROR(__xludf.DUMMYFUNCTION("""COMPUTED_VALUE"""),314.2)</f>
        <v>314.2</v>
      </c>
      <c r="D136" s="2">
        <f>IFERROR(__xludf.DUMMYFUNCTION("""COMPUTED_VALUE"""),307.62)</f>
        <v>307.62</v>
      </c>
      <c r="E136" s="2">
        <f>IFERROR(__xludf.DUMMYFUNCTION("""COMPUTED_VALUE"""),312.05)</f>
        <v>312.05</v>
      </c>
      <c r="F136" s="2">
        <f>IFERROR(__xludf.DUMMYFUNCTION("""COMPUTED_VALUE"""),2.076458E7)</f>
        <v>20764580</v>
      </c>
    </row>
    <row r="137">
      <c r="A137" s="3">
        <f>IFERROR(__xludf.DUMMYFUNCTION("""COMPUTED_VALUE"""),45126.66666666667)</f>
        <v>45126.66667</v>
      </c>
      <c r="B137" s="2">
        <f>IFERROR(__xludf.DUMMYFUNCTION("""COMPUTED_VALUE"""),313.03)</f>
        <v>313.03</v>
      </c>
      <c r="C137" s="2">
        <f>IFERROR(__xludf.DUMMYFUNCTION("""COMPUTED_VALUE"""),318.68)</f>
        <v>318.68</v>
      </c>
      <c r="D137" s="2">
        <f>IFERROR(__xludf.DUMMYFUNCTION("""COMPUTED_VALUE"""),310.52)</f>
        <v>310.52</v>
      </c>
      <c r="E137" s="2">
        <f>IFERROR(__xludf.DUMMYFUNCTION("""COMPUTED_VALUE"""),316.01)</f>
        <v>316.01</v>
      </c>
      <c r="F137" s="2">
        <f>IFERROR(__xludf.DUMMYFUNCTION("""COMPUTED_VALUE"""),2.1763688E7)</f>
        <v>21763688</v>
      </c>
    </row>
    <row r="138">
      <c r="A138" s="3">
        <f>IFERROR(__xludf.DUMMYFUNCTION("""COMPUTED_VALUE"""),45127.66666666667)</f>
        <v>45127.66667</v>
      </c>
      <c r="B138" s="2">
        <f>IFERROR(__xludf.DUMMYFUNCTION("""COMPUTED_VALUE"""),313.5)</f>
        <v>313.5</v>
      </c>
      <c r="C138" s="2">
        <f>IFERROR(__xludf.DUMMYFUNCTION("""COMPUTED_VALUE"""),315.54)</f>
        <v>315.54</v>
      </c>
      <c r="D138" s="2">
        <f>IFERROR(__xludf.DUMMYFUNCTION("""COMPUTED_VALUE"""),302.22)</f>
        <v>302.22</v>
      </c>
      <c r="E138" s="2">
        <f>IFERROR(__xludf.DUMMYFUNCTION("""COMPUTED_VALUE"""),302.52)</f>
        <v>302.52</v>
      </c>
      <c r="F138" s="2">
        <f>IFERROR(__xludf.DUMMYFUNCTION("""COMPUTED_VALUE"""),2.3836876E7)</f>
        <v>23836876</v>
      </c>
    </row>
    <row r="139">
      <c r="A139" s="3">
        <f>IFERROR(__xludf.DUMMYFUNCTION("""COMPUTED_VALUE"""),45128.66666666667)</f>
        <v>45128.66667</v>
      </c>
      <c r="B139" s="2">
        <f>IFERROR(__xludf.DUMMYFUNCTION("""COMPUTED_VALUE"""),304.57)</f>
        <v>304.57</v>
      </c>
      <c r="C139" s="2">
        <f>IFERROR(__xludf.DUMMYFUNCTION("""COMPUTED_VALUE"""),305.46)</f>
        <v>305.46</v>
      </c>
      <c r="D139" s="2">
        <f>IFERROR(__xludf.DUMMYFUNCTION("""COMPUTED_VALUE"""),291.2)</f>
        <v>291.2</v>
      </c>
      <c r="E139" s="2">
        <f>IFERROR(__xludf.DUMMYFUNCTION("""COMPUTED_VALUE"""),294.26)</f>
        <v>294.26</v>
      </c>
      <c r="F139" s="2">
        <f>IFERROR(__xludf.DUMMYFUNCTION("""COMPUTED_VALUE"""),4.2139259E7)</f>
        <v>42139259</v>
      </c>
    </row>
    <row r="140">
      <c r="A140" s="3">
        <f>IFERROR(__xludf.DUMMYFUNCTION("""COMPUTED_VALUE"""),45131.66666666667)</f>
        <v>45131.66667</v>
      </c>
      <c r="B140" s="2">
        <f>IFERROR(__xludf.DUMMYFUNCTION("""COMPUTED_VALUE"""),295.79)</f>
        <v>295.79</v>
      </c>
      <c r="C140" s="2">
        <f>IFERROR(__xludf.DUMMYFUNCTION("""COMPUTED_VALUE"""),297.52)</f>
        <v>297.52</v>
      </c>
      <c r="D140" s="2">
        <f>IFERROR(__xludf.DUMMYFUNCTION("""COMPUTED_VALUE"""),288.3)</f>
        <v>288.3</v>
      </c>
      <c r="E140" s="2">
        <f>IFERROR(__xludf.DUMMYFUNCTION("""COMPUTED_VALUE"""),291.61)</f>
        <v>291.61</v>
      </c>
      <c r="F140" s="2">
        <f>IFERROR(__xludf.DUMMYFUNCTION("""COMPUTED_VALUE"""),2.4949405E7)</f>
        <v>24949405</v>
      </c>
    </row>
    <row r="141">
      <c r="A141" s="3">
        <f>IFERROR(__xludf.DUMMYFUNCTION("""COMPUTED_VALUE"""),45132.66666666667)</f>
        <v>45132.66667</v>
      </c>
      <c r="B141" s="2">
        <f>IFERROR(__xludf.DUMMYFUNCTION("""COMPUTED_VALUE"""),295.19)</f>
        <v>295.19</v>
      </c>
      <c r="C141" s="2">
        <f>IFERROR(__xludf.DUMMYFUNCTION("""COMPUTED_VALUE"""),298.3)</f>
        <v>298.3</v>
      </c>
      <c r="D141" s="2">
        <f>IFERROR(__xludf.DUMMYFUNCTION("""COMPUTED_VALUE"""),291.86)</f>
        <v>291.86</v>
      </c>
      <c r="E141" s="2">
        <f>IFERROR(__xludf.DUMMYFUNCTION("""COMPUTED_VALUE"""),294.47)</f>
        <v>294.47</v>
      </c>
      <c r="F141" s="2">
        <f>IFERROR(__xludf.DUMMYFUNCTION("""COMPUTED_VALUE"""),1.9585584E7)</f>
        <v>19585584</v>
      </c>
    </row>
    <row r="142">
      <c r="A142" s="3">
        <f>IFERROR(__xludf.DUMMYFUNCTION("""COMPUTED_VALUE"""),45133.66666666667)</f>
        <v>45133.66667</v>
      </c>
      <c r="B142" s="2">
        <f>IFERROR(__xludf.DUMMYFUNCTION("""COMPUTED_VALUE"""),301.19)</f>
        <v>301.19</v>
      </c>
      <c r="C142" s="2">
        <f>IFERROR(__xludf.DUMMYFUNCTION("""COMPUTED_VALUE"""),301.77)</f>
        <v>301.77</v>
      </c>
      <c r="D142" s="2">
        <f>IFERROR(__xludf.DUMMYFUNCTION("""COMPUTED_VALUE"""),291.9)</f>
        <v>291.9</v>
      </c>
      <c r="E142" s="2">
        <f>IFERROR(__xludf.DUMMYFUNCTION("""COMPUTED_VALUE"""),298.57)</f>
        <v>298.57</v>
      </c>
      <c r="F142" s="2">
        <f>IFERROR(__xludf.DUMMYFUNCTION("""COMPUTED_VALUE"""),4.725693E7)</f>
        <v>47256930</v>
      </c>
    </row>
    <row r="143">
      <c r="A143" s="3">
        <f>IFERROR(__xludf.DUMMYFUNCTION("""COMPUTED_VALUE"""),45134.66666666667)</f>
        <v>45134.66667</v>
      </c>
      <c r="B143" s="2">
        <f>IFERROR(__xludf.DUMMYFUNCTION("""COMPUTED_VALUE"""),325.12)</f>
        <v>325.12</v>
      </c>
      <c r="C143" s="2">
        <f>IFERROR(__xludf.DUMMYFUNCTION("""COMPUTED_VALUE"""),325.35)</f>
        <v>325.35</v>
      </c>
      <c r="D143" s="2">
        <f>IFERROR(__xludf.DUMMYFUNCTION("""COMPUTED_VALUE"""),309.84)</f>
        <v>309.84</v>
      </c>
      <c r="E143" s="2">
        <f>IFERROR(__xludf.DUMMYFUNCTION("""COMPUTED_VALUE"""),311.71)</f>
        <v>311.71</v>
      </c>
      <c r="F143" s="2">
        <f>IFERROR(__xludf.DUMMYFUNCTION("""COMPUTED_VALUE"""),6.4229173E7)</f>
        <v>64229173</v>
      </c>
    </row>
    <row r="144">
      <c r="A144" s="3">
        <f>IFERROR(__xludf.DUMMYFUNCTION("""COMPUTED_VALUE"""),45135.66666666667)</f>
        <v>45135.66667</v>
      </c>
      <c r="B144" s="2">
        <f>IFERROR(__xludf.DUMMYFUNCTION("""COMPUTED_VALUE"""),316.88)</f>
        <v>316.88</v>
      </c>
      <c r="C144" s="2">
        <f>IFERROR(__xludf.DUMMYFUNCTION("""COMPUTED_VALUE"""),326.2)</f>
        <v>326.2</v>
      </c>
      <c r="D144" s="2">
        <f>IFERROR(__xludf.DUMMYFUNCTION("""COMPUTED_VALUE"""),314.25)</f>
        <v>314.25</v>
      </c>
      <c r="E144" s="2">
        <f>IFERROR(__xludf.DUMMYFUNCTION("""COMPUTED_VALUE"""),325.48)</f>
        <v>325.48</v>
      </c>
      <c r="F144" s="2">
        <f>IFERROR(__xludf.DUMMYFUNCTION("""COMPUTED_VALUE"""),3.922027E7)</f>
        <v>39220270</v>
      </c>
    </row>
    <row r="145">
      <c r="A145" s="3">
        <f>IFERROR(__xludf.DUMMYFUNCTION("""COMPUTED_VALUE"""),45138.66666666667)</f>
        <v>45138.66667</v>
      </c>
      <c r="B145" s="2">
        <f>IFERROR(__xludf.DUMMYFUNCTION("""COMPUTED_VALUE"""),323.69)</f>
        <v>323.69</v>
      </c>
      <c r="C145" s="2">
        <f>IFERROR(__xludf.DUMMYFUNCTION("""COMPUTED_VALUE"""),325.66)</f>
        <v>325.66</v>
      </c>
      <c r="D145" s="2">
        <f>IFERROR(__xludf.DUMMYFUNCTION("""COMPUTED_VALUE"""),317.59)</f>
        <v>317.59</v>
      </c>
      <c r="E145" s="2">
        <f>IFERROR(__xludf.DUMMYFUNCTION("""COMPUTED_VALUE"""),318.6)</f>
        <v>318.6</v>
      </c>
      <c r="F145" s="2">
        <f>IFERROR(__xludf.DUMMYFUNCTION("""COMPUTED_VALUE"""),2.5799603E7)</f>
        <v>25799603</v>
      </c>
    </row>
    <row r="146">
      <c r="A146" s="3">
        <f>IFERROR(__xludf.DUMMYFUNCTION("""COMPUTED_VALUE"""),45139.66666666667)</f>
        <v>45139.66667</v>
      </c>
      <c r="B146" s="2">
        <f>IFERROR(__xludf.DUMMYFUNCTION("""COMPUTED_VALUE"""),317.54)</f>
        <v>317.54</v>
      </c>
      <c r="C146" s="2">
        <f>IFERROR(__xludf.DUMMYFUNCTION("""COMPUTED_VALUE"""),324.14)</f>
        <v>324.14</v>
      </c>
      <c r="D146" s="2">
        <f>IFERROR(__xludf.DUMMYFUNCTION("""COMPUTED_VALUE"""),314.66)</f>
        <v>314.66</v>
      </c>
      <c r="E146" s="2">
        <f>IFERROR(__xludf.DUMMYFUNCTION("""COMPUTED_VALUE"""),322.71)</f>
        <v>322.71</v>
      </c>
      <c r="F146" s="2">
        <f>IFERROR(__xludf.DUMMYFUNCTION("""COMPUTED_VALUE"""),2.288987E7)</f>
        <v>22889870</v>
      </c>
    </row>
    <row r="147">
      <c r="A147" s="3">
        <f>IFERROR(__xludf.DUMMYFUNCTION("""COMPUTED_VALUE"""),45140.66666666667)</f>
        <v>45140.66667</v>
      </c>
      <c r="B147" s="2">
        <f>IFERROR(__xludf.DUMMYFUNCTION("""COMPUTED_VALUE"""),318.0)</f>
        <v>318</v>
      </c>
      <c r="C147" s="2">
        <f>IFERROR(__xludf.DUMMYFUNCTION("""COMPUTED_VALUE"""),318.39)</f>
        <v>318.39</v>
      </c>
      <c r="D147" s="2">
        <f>IFERROR(__xludf.DUMMYFUNCTION("""COMPUTED_VALUE"""),310.65)</f>
        <v>310.65</v>
      </c>
      <c r="E147" s="2">
        <f>IFERROR(__xludf.DUMMYFUNCTION("""COMPUTED_VALUE"""),314.31)</f>
        <v>314.31</v>
      </c>
      <c r="F147" s="2">
        <f>IFERROR(__xludf.DUMMYFUNCTION("""COMPUTED_VALUE"""),2.0461094E7)</f>
        <v>20461094</v>
      </c>
    </row>
    <row r="148">
      <c r="A148" s="3">
        <f>IFERROR(__xludf.DUMMYFUNCTION("""COMPUTED_VALUE"""),45141.66666666667)</f>
        <v>45141.66667</v>
      </c>
      <c r="B148" s="2">
        <f>IFERROR(__xludf.DUMMYFUNCTION("""COMPUTED_VALUE"""),309.93)</f>
        <v>309.93</v>
      </c>
      <c r="C148" s="2">
        <f>IFERROR(__xludf.DUMMYFUNCTION("""COMPUTED_VALUE"""),315.95)</f>
        <v>315.95</v>
      </c>
      <c r="D148" s="2">
        <f>IFERROR(__xludf.DUMMYFUNCTION("""COMPUTED_VALUE"""),309.93)</f>
        <v>309.93</v>
      </c>
      <c r="E148" s="2">
        <f>IFERROR(__xludf.DUMMYFUNCTION("""COMPUTED_VALUE"""),313.19)</f>
        <v>313.19</v>
      </c>
      <c r="F148" s="2">
        <f>IFERROR(__xludf.DUMMYFUNCTION("""COMPUTED_VALUE"""),1.5215422E7)</f>
        <v>15215422</v>
      </c>
    </row>
    <row r="149">
      <c r="A149" s="3">
        <f>IFERROR(__xludf.DUMMYFUNCTION("""COMPUTED_VALUE"""),45142.66666666667)</f>
        <v>45142.66667</v>
      </c>
      <c r="B149" s="2">
        <f>IFERROR(__xludf.DUMMYFUNCTION("""COMPUTED_VALUE"""),314.96)</f>
        <v>314.96</v>
      </c>
      <c r="C149" s="2">
        <f>IFERROR(__xludf.DUMMYFUNCTION("""COMPUTED_VALUE"""),318.41)</f>
        <v>318.41</v>
      </c>
      <c r="D149" s="2">
        <f>IFERROR(__xludf.DUMMYFUNCTION("""COMPUTED_VALUE"""),310.2)</f>
        <v>310.2</v>
      </c>
      <c r="E149" s="2">
        <f>IFERROR(__xludf.DUMMYFUNCTION("""COMPUTED_VALUE"""),310.73)</f>
        <v>310.73</v>
      </c>
      <c r="F149" s="2">
        <f>IFERROR(__xludf.DUMMYFUNCTION("""COMPUTED_VALUE"""),1.7612762E7)</f>
        <v>17612762</v>
      </c>
    </row>
    <row r="150">
      <c r="A150" s="3">
        <f>IFERROR(__xludf.DUMMYFUNCTION("""COMPUTED_VALUE"""),45145.66666666667)</f>
        <v>45145.66667</v>
      </c>
      <c r="B150" s="2">
        <f>IFERROR(__xludf.DUMMYFUNCTION("""COMPUTED_VALUE"""),313.23)</f>
        <v>313.23</v>
      </c>
      <c r="C150" s="2">
        <f>IFERROR(__xludf.DUMMYFUNCTION("""COMPUTED_VALUE"""),317.07)</f>
        <v>317.07</v>
      </c>
      <c r="D150" s="2">
        <f>IFERROR(__xludf.DUMMYFUNCTION("""COMPUTED_VALUE"""),310.46)</f>
        <v>310.46</v>
      </c>
      <c r="E150" s="2">
        <f>IFERROR(__xludf.DUMMYFUNCTION("""COMPUTED_VALUE"""),316.56)</f>
        <v>316.56</v>
      </c>
      <c r="F150" s="2">
        <f>IFERROR(__xludf.DUMMYFUNCTION("""COMPUTED_VALUE"""),1.6236504E7)</f>
        <v>16236504</v>
      </c>
    </row>
    <row r="151">
      <c r="A151" s="3">
        <f>IFERROR(__xludf.DUMMYFUNCTION("""COMPUTED_VALUE"""),45146.66666666667)</f>
        <v>45146.66667</v>
      </c>
      <c r="B151" s="2">
        <f>IFERROR(__xludf.DUMMYFUNCTION("""COMPUTED_VALUE"""),314.4)</f>
        <v>314.4</v>
      </c>
      <c r="C151" s="2">
        <f>IFERROR(__xludf.DUMMYFUNCTION("""COMPUTED_VALUE"""),317.89)</f>
        <v>317.89</v>
      </c>
      <c r="D151" s="2">
        <f>IFERROR(__xludf.DUMMYFUNCTION("""COMPUTED_VALUE"""),310.11)</f>
        <v>310.11</v>
      </c>
      <c r="E151" s="2">
        <f>IFERROR(__xludf.DUMMYFUNCTION("""COMPUTED_VALUE"""),312.64)</f>
        <v>312.64</v>
      </c>
      <c r="F151" s="2">
        <f>IFERROR(__xludf.DUMMYFUNCTION("""COMPUTED_VALUE"""),1.5183532E7)</f>
        <v>15183532</v>
      </c>
    </row>
    <row r="152">
      <c r="A152" s="3">
        <f>IFERROR(__xludf.DUMMYFUNCTION("""COMPUTED_VALUE"""),45147.66666666667)</f>
        <v>45147.66667</v>
      </c>
      <c r="B152" s="2">
        <f>IFERROR(__xludf.DUMMYFUNCTION("""COMPUTED_VALUE"""),312.88)</f>
        <v>312.88</v>
      </c>
      <c r="C152" s="2">
        <f>IFERROR(__xludf.DUMMYFUNCTION("""COMPUTED_VALUE"""),313.63)</f>
        <v>313.63</v>
      </c>
      <c r="D152" s="2">
        <f>IFERROR(__xludf.DUMMYFUNCTION("""COMPUTED_VALUE"""),302.85)</f>
        <v>302.85</v>
      </c>
      <c r="E152" s="2">
        <f>IFERROR(__xludf.DUMMYFUNCTION("""COMPUTED_VALUE"""),305.21)</f>
        <v>305.21</v>
      </c>
      <c r="F152" s="2">
        <f>IFERROR(__xludf.DUMMYFUNCTION("""COMPUTED_VALUE"""),1.9955783E7)</f>
        <v>19955783</v>
      </c>
    </row>
    <row r="153">
      <c r="A153" s="3">
        <f>IFERROR(__xludf.DUMMYFUNCTION("""COMPUTED_VALUE"""),45148.66666666667)</f>
        <v>45148.66667</v>
      </c>
      <c r="B153" s="2">
        <f>IFERROR(__xludf.DUMMYFUNCTION("""COMPUTED_VALUE"""),307.94)</f>
        <v>307.94</v>
      </c>
      <c r="C153" s="2">
        <f>IFERROR(__xludf.DUMMYFUNCTION("""COMPUTED_VALUE"""),312.34)</f>
        <v>312.34</v>
      </c>
      <c r="D153" s="2">
        <f>IFERROR(__xludf.DUMMYFUNCTION("""COMPUTED_VALUE"""),303.87)</f>
        <v>303.87</v>
      </c>
      <c r="E153" s="2">
        <f>IFERROR(__xludf.DUMMYFUNCTION("""COMPUTED_VALUE"""),305.74)</f>
        <v>305.74</v>
      </c>
      <c r="F153" s="2">
        <f>IFERROR(__xludf.DUMMYFUNCTION("""COMPUTED_VALUE"""),1.4358897E7)</f>
        <v>14358897</v>
      </c>
    </row>
    <row r="154">
      <c r="A154" s="3">
        <f>IFERROR(__xludf.DUMMYFUNCTION("""COMPUTED_VALUE"""),45149.66666666667)</f>
        <v>45149.66667</v>
      </c>
      <c r="B154" s="2">
        <f>IFERROR(__xludf.DUMMYFUNCTION("""COMPUTED_VALUE"""),302.57)</f>
        <v>302.57</v>
      </c>
      <c r="C154" s="2">
        <f>IFERROR(__xludf.DUMMYFUNCTION("""COMPUTED_VALUE"""),304.72)</f>
        <v>304.72</v>
      </c>
      <c r="D154" s="2">
        <f>IFERROR(__xludf.DUMMYFUNCTION("""COMPUTED_VALUE"""),300.36)</f>
        <v>300.36</v>
      </c>
      <c r="E154" s="2">
        <f>IFERROR(__xludf.DUMMYFUNCTION("""COMPUTED_VALUE"""),301.64)</f>
        <v>301.64</v>
      </c>
      <c r="F154" s="2">
        <f>IFERROR(__xludf.DUMMYFUNCTION("""COMPUTED_VALUE"""),1.404625E7)</f>
        <v>14046250</v>
      </c>
    </row>
    <row r="155">
      <c r="A155" s="3">
        <f>IFERROR(__xludf.DUMMYFUNCTION("""COMPUTED_VALUE"""),45152.66666666667)</f>
        <v>45152.66667</v>
      </c>
      <c r="B155" s="2">
        <f>IFERROR(__xludf.DUMMYFUNCTION("""COMPUTED_VALUE"""),300.98)</f>
        <v>300.98</v>
      </c>
      <c r="C155" s="2">
        <f>IFERROR(__xludf.DUMMYFUNCTION("""COMPUTED_VALUE"""),306.21)</f>
        <v>306.21</v>
      </c>
      <c r="D155" s="2">
        <f>IFERROR(__xludf.DUMMYFUNCTION("""COMPUTED_VALUE"""),298.25)</f>
        <v>298.25</v>
      </c>
      <c r="E155" s="2">
        <f>IFERROR(__xludf.DUMMYFUNCTION("""COMPUTED_VALUE"""),306.19)</f>
        <v>306.19</v>
      </c>
      <c r="F155" s="2">
        <f>IFERROR(__xludf.DUMMYFUNCTION("""COMPUTED_VALUE"""),1.5641921E7)</f>
        <v>15641921</v>
      </c>
    </row>
    <row r="156">
      <c r="A156" s="3">
        <f>IFERROR(__xludf.DUMMYFUNCTION("""COMPUTED_VALUE"""),45153.66666666667)</f>
        <v>45153.66667</v>
      </c>
      <c r="B156" s="2">
        <f>IFERROR(__xludf.DUMMYFUNCTION("""COMPUTED_VALUE"""),306.14)</f>
        <v>306.14</v>
      </c>
      <c r="C156" s="2">
        <f>IFERROR(__xludf.DUMMYFUNCTION("""COMPUTED_VALUE"""),307.23)</f>
        <v>307.23</v>
      </c>
      <c r="D156" s="2">
        <f>IFERROR(__xludf.DUMMYFUNCTION("""COMPUTED_VALUE"""),300.03)</f>
        <v>300.03</v>
      </c>
      <c r="E156" s="2">
        <f>IFERROR(__xludf.DUMMYFUNCTION("""COMPUTED_VALUE"""),301.95)</f>
        <v>301.95</v>
      </c>
      <c r="F156" s="2">
        <f>IFERROR(__xludf.DUMMYFUNCTION("""COMPUTED_VALUE"""),1.1623613E7)</f>
        <v>11623613</v>
      </c>
    </row>
    <row r="157">
      <c r="A157" s="3">
        <f>IFERROR(__xludf.DUMMYFUNCTION("""COMPUTED_VALUE"""),45154.66666666667)</f>
        <v>45154.66667</v>
      </c>
      <c r="B157" s="2">
        <f>IFERROR(__xludf.DUMMYFUNCTION("""COMPUTED_VALUE"""),300.2)</f>
        <v>300.2</v>
      </c>
      <c r="C157" s="2">
        <f>IFERROR(__xludf.DUMMYFUNCTION("""COMPUTED_VALUE"""),301.08)</f>
        <v>301.08</v>
      </c>
      <c r="D157" s="2">
        <f>IFERROR(__xludf.DUMMYFUNCTION("""COMPUTED_VALUE"""),294.28)</f>
        <v>294.28</v>
      </c>
      <c r="E157" s="2">
        <f>IFERROR(__xludf.DUMMYFUNCTION("""COMPUTED_VALUE"""),294.29)</f>
        <v>294.29</v>
      </c>
      <c r="F157" s="2">
        <f>IFERROR(__xludf.DUMMYFUNCTION("""COMPUTED_VALUE"""),1.8547741E7)</f>
        <v>18547741</v>
      </c>
    </row>
    <row r="158">
      <c r="A158" s="3">
        <f>IFERROR(__xludf.DUMMYFUNCTION("""COMPUTED_VALUE"""),45155.66666666667)</f>
        <v>45155.66667</v>
      </c>
      <c r="B158" s="2">
        <f>IFERROR(__xludf.DUMMYFUNCTION("""COMPUTED_VALUE"""),293.05)</f>
        <v>293.05</v>
      </c>
      <c r="C158" s="2">
        <f>IFERROR(__xludf.DUMMYFUNCTION("""COMPUTED_VALUE"""),296.05)</f>
        <v>296.05</v>
      </c>
      <c r="D158" s="2">
        <f>IFERROR(__xludf.DUMMYFUNCTION("""COMPUTED_VALUE"""),284.95)</f>
        <v>284.95</v>
      </c>
      <c r="E158" s="2">
        <f>IFERROR(__xludf.DUMMYFUNCTION("""COMPUTED_VALUE"""),285.09)</f>
        <v>285.09</v>
      </c>
      <c r="F158" s="2">
        <f>IFERROR(__xludf.DUMMYFUNCTION("""COMPUTED_VALUE"""),2.3950089E7)</f>
        <v>23950089</v>
      </c>
    </row>
    <row r="159">
      <c r="A159" s="3">
        <f>IFERROR(__xludf.DUMMYFUNCTION("""COMPUTED_VALUE"""),45156.66666666667)</f>
        <v>45156.66667</v>
      </c>
      <c r="B159" s="2">
        <f>IFERROR(__xludf.DUMMYFUNCTION("""COMPUTED_VALUE"""),279.03)</f>
        <v>279.03</v>
      </c>
      <c r="C159" s="2">
        <f>IFERROR(__xludf.DUMMYFUNCTION("""COMPUTED_VALUE"""),285.69)</f>
        <v>285.69</v>
      </c>
      <c r="D159" s="2">
        <f>IFERROR(__xludf.DUMMYFUNCTION("""COMPUTED_VALUE"""),274.38)</f>
        <v>274.38</v>
      </c>
      <c r="E159" s="2">
        <f>IFERROR(__xludf.DUMMYFUNCTION("""COMPUTED_VALUE"""),283.25)</f>
        <v>283.25</v>
      </c>
      <c r="F159" s="2">
        <f>IFERROR(__xludf.DUMMYFUNCTION("""COMPUTED_VALUE"""),3.5347925E7)</f>
        <v>35347925</v>
      </c>
    </row>
    <row r="160">
      <c r="A160" s="3">
        <f>IFERROR(__xludf.DUMMYFUNCTION("""COMPUTED_VALUE"""),45159.66666666667)</f>
        <v>45159.66667</v>
      </c>
      <c r="B160" s="2">
        <f>IFERROR(__xludf.DUMMYFUNCTION("""COMPUTED_VALUE"""),283.45)</f>
        <v>283.45</v>
      </c>
      <c r="C160" s="2">
        <f>IFERROR(__xludf.DUMMYFUNCTION("""COMPUTED_VALUE"""),290.5)</f>
        <v>290.5</v>
      </c>
      <c r="D160" s="2">
        <f>IFERROR(__xludf.DUMMYFUNCTION("""COMPUTED_VALUE"""),281.85)</f>
        <v>281.85</v>
      </c>
      <c r="E160" s="2">
        <f>IFERROR(__xludf.DUMMYFUNCTION("""COMPUTED_VALUE"""),289.9)</f>
        <v>289.9</v>
      </c>
      <c r="F160" s="2">
        <f>IFERROR(__xludf.DUMMYFUNCTION("""COMPUTED_VALUE"""),2.0181475E7)</f>
        <v>20181475</v>
      </c>
    </row>
    <row r="161">
      <c r="A161" s="3">
        <f>IFERROR(__xludf.DUMMYFUNCTION("""COMPUTED_VALUE"""),45160.66666666667)</f>
        <v>45160.66667</v>
      </c>
      <c r="B161" s="2">
        <f>IFERROR(__xludf.DUMMYFUNCTION("""COMPUTED_VALUE"""),292.55)</f>
        <v>292.55</v>
      </c>
      <c r="C161" s="2">
        <f>IFERROR(__xludf.DUMMYFUNCTION("""COMPUTED_VALUE"""),292.9)</f>
        <v>292.9</v>
      </c>
      <c r="D161" s="2">
        <f>IFERROR(__xludf.DUMMYFUNCTION("""COMPUTED_VALUE"""),286.75)</f>
        <v>286.75</v>
      </c>
      <c r="E161" s="2">
        <f>IFERROR(__xludf.DUMMYFUNCTION("""COMPUTED_VALUE"""),287.6)</f>
        <v>287.6</v>
      </c>
      <c r="F161" s="2">
        <f>IFERROR(__xludf.DUMMYFUNCTION("""COMPUTED_VALUE"""),1.2999913E7)</f>
        <v>12999913</v>
      </c>
    </row>
    <row r="162">
      <c r="A162" s="3">
        <f>IFERROR(__xludf.DUMMYFUNCTION("""COMPUTED_VALUE"""),45161.66666666667)</f>
        <v>45161.66667</v>
      </c>
      <c r="B162" s="2">
        <f>IFERROR(__xludf.DUMMYFUNCTION("""COMPUTED_VALUE"""),288.5)</f>
        <v>288.5</v>
      </c>
      <c r="C162" s="2">
        <f>IFERROR(__xludf.DUMMYFUNCTION("""COMPUTED_VALUE"""),297.4)</f>
        <v>297.4</v>
      </c>
      <c r="D162" s="2">
        <f>IFERROR(__xludf.DUMMYFUNCTION("""COMPUTED_VALUE"""),287.67)</f>
        <v>287.67</v>
      </c>
      <c r="E162" s="2">
        <f>IFERROR(__xludf.DUMMYFUNCTION("""COMPUTED_VALUE"""),294.24)</f>
        <v>294.24</v>
      </c>
      <c r="F162" s="2">
        <f>IFERROR(__xludf.DUMMYFUNCTION("""COMPUTED_VALUE"""),1.8287001E7)</f>
        <v>18287001</v>
      </c>
    </row>
    <row r="163">
      <c r="A163" s="3">
        <f>IFERROR(__xludf.DUMMYFUNCTION("""COMPUTED_VALUE"""),45162.66666666667)</f>
        <v>45162.66667</v>
      </c>
      <c r="B163" s="2">
        <f>IFERROR(__xludf.DUMMYFUNCTION("""COMPUTED_VALUE"""),298.5)</f>
        <v>298.5</v>
      </c>
      <c r="C163" s="2">
        <f>IFERROR(__xludf.DUMMYFUNCTION("""COMPUTED_VALUE"""),299.46)</f>
        <v>299.46</v>
      </c>
      <c r="D163" s="2">
        <f>IFERROR(__xludf.DUMMYFUNCTION("""COMPUTED_VALUE"""),286.64)</f>
        <v>286.64</v>
      </c>
      <c r="E163" s="2">
        <f>IFERROR(__xludf.DUMMYFUNCTION("""COMPUTED_VALUE"""),286.75)</f>
        <v>286.75</v>
      </c>
      <c r="F163" s="2">
        <f>IFERROR(__xludf.DUMMYFUNCTION("""COMPUTED_VALUE"""),1.8360882E7)</f>
        <v>18360882</v>
      </c>
    </row>
    <row r="164">
      <c r="A164" s="3">
        <f>IFERROR(__xludf.DUMMYFUNCTION("""COMPUTED_VALUE"""),45163.66666666667)</f>
        <v>45163.66667</v>
      </c>
      <c r="B164" s="2">
        <f>IFERROR(__xludf.DUMMYFUNCTION("""COMPUTED_VALUE"""),286.13)</f>
        <v>286.13</v>
      </c>
      <c r="C164" s="2">
        <f>IFERROR(__xludf.DUMMYFUNCTION("""COMPUTED_VALUE"""),288.39)</f>
        <v>288.39</v>
      </c>
      <c r="D164" s="2">
        <f>IFERROR(__xludf.DUMMYFUNCTION("""COMPUTED_VALUE"""),276.03)</f>
        <v>276.03</v>
      </c>
      <c r="E164" s="2">
        <f>IFERROR(__xludf.DUMMYFUNCTION("""COMPUTED_VALUE"""),285.5)</f>
        <v>285.5</v>
      </c>
      <c r="F164" s="2">
        <f>IFERROR(__xludf.DUMMYFUNCTION("""COMPUTED_VALUE"""),2.3701443E7)</f>
        <v>23701443</v>
      </c>
    </row>
    <row r="165">
      <c r="A165" s="3">
        <f>IFERROR(__xludf.DUMMYFUNCTION("""COMPUTED_VALUE"""),45166.66666666667)</f>
        <v>45166.66667</v>
      </c>
      <c r="B165" s="2">
        <f>IFERROR(__xludf.DUMMYFUNCTION("""COMPUTED_VALUE"""),288.0)</f>
        <v>288</v>
      </c>
      <c r="C165" s="2">
        <f>IFERROR(__xludf.DUMMYFUNCTION("""COMPUTED_VALUE"""),291.45)</f>
        <v>291.45</v>
      </c>
      <c r="D165" s="2">
        <f>IFERROR(__xludf.DUMMYFUNCTION("""COMPUTED_VALUE"""),285.8)</f>
        <v>285.8</v>
      </c>
      <c r="E165" s="2">
        <f>IFERROR(__xludf.DUMMYFUNCTION("""COMPUTED_VALUE"""),290.26)</f>
        <v>290.26</v>
      </c>
      <c r="F165" s="2">
        <f>IFERROR(__xludf.DUMMYFUNCTION("""COMPUTED_VALUE"""),1.4239285E7)</f>
        <v>14239285</v>
      </c>
    </row>
    <row r="166">
      <c r="A166" s="3">
        <f>IFERROR(__xludf.DUMMYFUNCTION("""COMPUTED_VALUE"""),45167.66666666667)</f>
        <v>45167.66667</v>
      </c>
      <c r="B166" s="2">
        <f>IFERROR(__xludf.DUMMYFUNCTION("""COMPUTED_VALUE"""),288.58)</f>
        <v>288.58</v>
      </c>
      <c r="C166" s="2">
        <f>IFERROR(__xludf.DUMMYFUNCTION("""COMPUTED_VALUE"""),299.15)</f>
        <v>299.15</v>
      </c>
      <c r="D166" s="2">
        <f>IFERROR(__xludf.DUMMYFUNCTION("""COMPUTED_VALUE"""),288.18)</f>
        <v>288.18</v>
      </c>
      <c r="E166" s="2">
        <f>IFERROR(__xludf.DUMMYFUNCTION("""COMPUTED_VALUE"""),297.99)</f>
        <v>297.99</v>
      </c>
      <c r="F166" s="2">
        <f>IFERROR(__xludf.DUMMYFUNCTION("""COMPUTED_VALUE"""),2.0844522E7)</f>
        <v>20844522</v>
      </c>
    </row>
    <row r="167">
      <c r="A167" s="3">
        <f>IFERROR(__xludf.DUMMYFUNCTION("""COMPUTED_VALUE"""),45168.66666666667)</f>
        <v>45168.66667</v>
      </c>
      <c r="B167" s="2">
        <f>IFERROR(__xludf.DUMMYFUNCTION("""COMPUTED_VALUE"""),297.17)</f>
        <v>297.17</v>
      </c>
      <c r="C167" s="2">
        <f>IFERROR(__xludf.DUMMYFUNCTION("""COMPUTED_VALUE"""),298.29)</f>
        <v>298.29</v>
      </c>
      <c r="D167" s="2">
        <f>IFERROR(__xludf.DUMMYFUNCTION("""COMPUTED_VALUE"""),293.43)</f>
        <v>293.43</v>
      </c>
      <c r="E167" s="2">
        <f>IFERROR(__xludf.DUMMYFUNCTION("""COMPUTED_VALUE"""),295.1)</f>
        <v>295.1</v>
      </c>
      <c r="F167" s="2">
        <f>IFERROR(__xludf.DUMMYFUNCTION("""COMPUTED_VALUE"""),1.7717024E7)</f>
        <v>17717024</v>
      </c>
    </row>
    <row r="168">
      <c r="A168" s="3">
        <f>IFERROR(__xludf.DUMMYFUNCTION("""COMPUTED_VALUE"""),45169.66666666667)</f>
        <v>45169.66667</v>
      </c>
      <c r="B168" s="2">
        <f>IFERROR(__xludf.DUMMYFUNCTION("""COMPUTED_VALUE"""),295.8)</f>
        <v>295.8</v>
      </c>
      <c r="C168" s="2">
        <f>IFERROR(__xludf.DUMMYFUNCTION("""COMPUTED_VALUE"""),301.1)</f>
        <v>301.1</v>
      </c>
      <c r="D168" s="2">
        <f>IFERROR(__xludf.DUMMYFUNCTION("""COMPUTED_VALUE"""),295.66)</f>
        <v>295.66</v>
      </c>
      <c r="E168" s="2">
        <f>IFERROR(__xludf.DUMMYFUNCTION("""COMPUTED_VALUE"""),295.89)</f>
        <v>295.89</v>
      </c>
      <c r="F168" s="2">
        <f>IFERROR(__xludf.DUMMYFUNCTION("""COMPUTED_VALUE"""),1.7229865E7)</f>
        <v>17229865</v>
      </c>
    </row>
    <row r="169">
      <c r="A169" s="3">
        <f>IFERROR(__xludf.DUMMYFUNCTION("""COMPUTED_VALUE"""),45170.66666666667)</f>
        <v>45170.66667</v>
      </c>
      <c r="B169" s="2">
        <f>IFERROR(__xludf.DUMMYFUNCTION("""COMPUTED_VALUE"""),299.37)</f>
        <v>299.37</v>
      </c>
      <c r="C169" s="2">
        <f>IFERROR(__xludf.DUMMYFUNCTION("""COMPUTED_VALUE"""),301.74)</f>
        <v>301.74</v>
      </c>
      <c r="D169" s="2">
        <f>IFERROR(__xludf.DUMMYFUNCTION("""COMPUTED_VALUE"""),294.47)</f>
        <v>294.47</v>
      </c>
      <c r="E169" s="2">
        <f>IFERROR(__xludf.DUMMYFUNCTION("""COMPUTED_VALUE"""),296.38)</f>
        <v>296.38</v>
      </c>
      <c r="F169" s="2">
        <f>IFERROR(__xludf.DUMMYFUNCTION("""COMPUTED_VALUE"""),1.2842257E7)</f>
        <v>12842257</v>
      </c>
    </row>
    <row r="170">
      <c r="A170" s="3">
        <f>IFERROR(__xludf.DUMMYFUNCTION("""COMPUTED_VALUE"""),45174.66666666667)</f>
        <v>45174.66667</v>
      </c>
      <c r="B170" s="2">
        <f>IFERROR(__xludf.DUMMYFUNCTION("""COMPUTED_VALUE"""),297.02)</f>
        <v>297.02</v>
      </c>
      <c r="C170" s="2">
        <f>IFERROR(__xludf.DUMMYFUNCTION("""COMPUTED_VALUE"""),301.39)</f>
        <v>301.39</v>
      </c>
      <c r="D170" s="2">
        <f>IFERROR(__xludf.DUMMYFUNCTION("""COMPUTED_VALUE"""),295.51)</f>
        <v>295.51</v>
      </c>
      <c r="E170" s="2">
        <f>IFERROR(__xludf.DUMMYFUNCTION("""COMPUTED_VALUE"""),300.15)</f>
        <v>300.15</v>
      </c>
      <c r="F170" s="2">
        <f>IFERROR(__xludf.DUMMYFUNCTION("""COMPUTED_VALUE"""),1.4955989E7)</f>
        <v>14955989</v>
      </c>
    </row>
    <row r="171">
      <c r="A171" s="3">
        <f>IFERROR(__xludf.DUMMYFUNCTION("""COMPUTED_VALUE"""),45175.66666666667)</f>
        <v>45175.66667</v>
      </c>
      <c r="B171" s="2">
        <f>IFERROR(__xludf.DUMMYFUNCTION("""COMPUTED_VALUE"""),301.71)</f>
        <v>301.71</v>
      </c>
      <c r="C171" s="2">
        <f>IFERROR(__xludf.DUMMYFUNCTION("""COMPUTED_VALUE"""),303.3)</f>
        <v>303.3</v>
      </c>
      <c r="D171" s="2">
        <f>IFERROR(__xludf.DUMMYFUNCTION("""COMPUTED_VALUE"""),295.66)</f>
        <v>295.66</v>
      </c>
      <c r="E171" s="2">
        <f>IFERROR(__xludf.DUMMYFUNCTION("""COMPUTED_VALUE"""),299.17)</f>
        <v>299.17</v>
      </c>
      <c r="F171" s="2">
        <f>IFERROR(__xludf.DUMMYFUNCTION("""COMPUTED_VALUE"""),1.5418092E7)</f>
        <v>15418092</v>
      </c>
    </row>
    <row r="172">
      <c r="A172" s="3">
        <f>IFERROR(__xludf.DUMMYFUNCTION("""COMPUTED_VALUE"""),45176.66666666667)</f>
        <v>45176.66667</v>
      </c>
      <c r="B172" s="2">
        <f>IFERROR(__xludf.DUMMYFUNCTION("""COMPUTED_VALUE"""),298.0)</f>
        <v>298</v>
      </c>
      <c r="C172" s="2">
        <f>IFERROR(__xludf.DUMMYFUNCTION("""COMPUTED_VALUE"""),307.05)</f>
        <v>307.05</v>
      </c>
      <c r="D172" s="2">
        <f>IFERROR(__xludf.DUMMYFUNCTION("""COMPUTED_VALUE"""),292.22)</f>
        <v>292.22</v>
      </c>
      <c r="E172" s="2">
        <f>IFERROR(__xludf.DUMMYFUNCTION("""COMPUTED_VALUE"""),298.67)</f>
        <v>298.67</v>
      </c>
      <c r="F172" s="2">
        <f>IFERROR(__xludf.DUMMYFUNCTION("""COMPUTED_VALUE"""),3.3748737E7)</f>
        <v>33748737</v>
      </c>
    </row>
    <row r="173">
      <c r="A173" s="3">
        <f>IFERROR(__xludf.DUMMYFUNCTION("""COMPUTED_VALUE"""),45177.66666666667)</f>
        <v>45177.66667</v>
      </c>
      <c r="B173" s="2">
        <f>IFERROR(__xludf.DUMMYFUNCTION("""COMPUTED_VALUE"""),299.22)</f>
        <v>299.22</v>
      </c>
      <c r="C173" s="2">
        <f>IFERROR(__xludf.DUMMYFUNCTION("""COMPUTED_VALUE"""),305.25)</f>
        <v>305.25</v>
      </c>
      <c r="D173" s="2">
        <f>IFERROR(__xludf.DUMMYFUNCTION("""COMPUTED_VALUE"""),296.78)</f>
        <v>296.78</v>
      </c>
      <c r="E173" s="2">
        <f>IFERROR(__xludf.DUMMYFUNCTION("""COMPUTED_VALUE"""),297.89)</f>
        <v>297.89</v>
      </c>
      <c r="F173" s="2">
        <f>IFERROR(__xludf.DUMMYFUNCTION("""COMPUTED_VALUE"""),1.7572203E7)</f>
        <v>17572203</v>
      </c>
    </row>
    <row r="174">
      <c r="A174" s="3">
        <f>IFERROR(__xludf.DUMMYFUNCTION("""COMPUTED_VALUE"""),45180.66666666667)</f>
        <v>45180.66667</v>
      </c>
      <c r="B174" s="2">
        <f>IFERROR(__xludf.DUMMYFUNCTION("""COMPUTED_VALUE"""),301.41)</f>
        <v>301.41</v>
      </c>
      <c r="C174" s="2">
        <f>IFERROR(__xludf.DUMMYFUNCTION("""COMPUTED_VALUE"""),309.04)</f>
        <v>309.04</v>
      </c>
      <c r="D174" s="2">
        <f>IFERROR(__xludf.DUMMYFUNCTION("""COMPUTED_VALUE"""),301.28)</f>
        <v>301.28</v>
      </c>
      <c r="E174" s="2">
        <f>IFERROR(__xludf.DUMMYFUNCTION("""COMPUTED_VALUE"""),307.56)</f>
        <v>307.56</v>
      </c>
      <c r="F174" s="2">
        <f>IFERROR(__xludf.DUMMYFUNCTION("""COMPUTED_VALUE"""),1.948933E7)</f>
        <v>19489330</v>
      </c>
    </row>
    <row r="175">
      <c r="A175" s="3">
        <f>IFERROR(__xludf.DUMMYFUNCTION("""COMPUTED_VALUE"""),45181.66666666667)</f>
        <v>45181.66667</v>
      </c>
      <c r="B175" s="2">
        <f>IFERROR(__xludf.DUMMYFUNCTION("""COMPUTED_VALUE"""),306.33)</f>
        <v>306.33</v>
      </c>
      <c r="C175" s="2">
        <f>IFERROR(__xludf.DUMMYFUNCTION("""COMPUTED_VALUE"""),308.66)</f>
        <v>308.66</v>
      </c>
      <c r="D175" s="2">
        <f>IFERROR(__xludf.DUMMYFUNCTION("""COMPUTED_VALUE"""),300.23)</f>
        <v>300.23</v>
      </c>
      <c r="E175" s="2">
        <f>IFERROR(__xludf.DUMMYFUNCTION("""COMPUTED_VALUE"""),301.66)</f>
        <v>301.66</v>
      </c>
      <c r="F175" s="2">
        <f>IFERROR(__xludf.DUMMYFUNCTION("""COMPUTED_VALUE"""),1.34804E7)</f>
        <v>13480400</v>
      </c>
    </row>
    <row r="176">
      <c r="A176" s="3">
        <f>IFERROR(__xludf.DUMMYFUNCTION("""COMPUTED_VALUE"""),45182.66666666667)</f>
        <v>45182.66667</v>
      </c>
      <c r="B176" s="2">
        <f>IFERROR(__xludf.DUMMYFUNCTION("""COMPUTED_VALUE"""),302.36)</f>
        <v>302.36</v>
      </c>
      <c r="C176" s="2">
        <f>IFERROR(__xludf.DUMMYFUNCTION("""COMPUTED_VALUE"""),307.18)</f>
        <v>307.18</v>
      </c>
      <c r="D176" s="2">
        <f>IFERROR(__xludf.DUMMYFUNCTION("""COMPUTED_VALUE"""),301.32)</f>
        <v>301.32</v>
      </c>
      <c r="E176" s="2">
        <f>IFERROR(__xludf.DUMMYFUNCTION("""COMPUTED_VALUE"""),305.06)</f>
        <v>305.06</v>
      </c>
      <c r="F176" s="2">
        <f>IFERROR(__xludf.DUMMYFUNCTION("""COMPUTED_VALUE"""),1.3210915E7)</f>
        <v>13210915</v>
      </c>
    </row>
    <row r="177">
      <c r="A177" s="3">
        <f>IFERROR(__xludf.DUMMYFUNCTION("""COMPUTED_VALUE"""),45183.66666666667)</f>
        <v>45183.66667</v>
      </c>
      <c r="B177" s="2">
        <f>IFERROR(__xludf.DUMMYFUNCTION("""COMPUTED_VALUE"""),306.74)</f>
        <v>306.74</v>
      </c>
      <c r="C177" s="2">
        <f>IFERROR(__xludf.DUMMYFUNCTION("""COMPUTED_VALUE"""),312.87)</f>
        <v>312.87</v>
      </c>
      <c r="D177" s="2">
        <f>IFERROR(__xludf.DUMMYFUNCTION("""COMPUTED_VALUE"""),305.03)</f>
        <v>305.03</v>
      </c>
      <c r="E177" s="2">
        <f>IFERROR(__xludf.DUMMYFUNCTION("""COMPUTED_VALUE"""),311.72)</f>
        <v>311.72</v>
      </c>
      <c r="F177" s="2">
        <f>IFERROR(__xludf.DUMMYFUNCTION("""COMPUTED_VALUE"""),1.9343102E7)</f>
        <v>19343102</v>
      </c>
    </row>
    <row r="178">
      <c r="A178" s="3">
        <f>IFERROR(__xludf.DUMMYFUNCTION("""COMPUTED_VALUE"""),45184.66666666667)</f>
        <v>45184.66667</v>
      </c>
      <c r="B178" s="2">
        <f>IFERROR(__xludf.DUMMYFUNCTION("""COMPUTED_VALUE"""),311.61)</f>
        <v>311.61</v>
      </c>
      <c r="C178" s="2">
        <f>IFERROR(__xludf.DUMMYFUNCTION("""COMPUTED_VALUE"""),312.0)</f>
        <v>312</v>
      </c>
      <c r="D178" s="2">
        <f>IFERROR(__xludf.DUMMYFUNCTION("""COMPUTED_VALUE"""),298.75)</f>
        <v>298.75</v>
      </c>
      <c r="E178" s="2">
        <f>IFERROR(__xludf.DUMMYFUNCTION("""COMPUTED_VALUE"""),300.31)</f>
        <v>300.31</v>
      </c>
      <c r="F178" s="2">
        <f>IFERROR(__xludf.DUMMYFUNCTION("""COMPUTED_VALUE"""),2.813114E7)</f>
        <v>28131140</v>
      </c>
    </row>
    <row r="179">
      <c r="A179" s="3">
        <f>IFERROR(__xludf.DUMMYFUNCTION("""COMPUTED_VALUE"""),45187.66666666667)</f>
        <v>45187.66667</v>
      </c>
      <c r="B179" s="2">
        <f>IFERROR(__xludf.DUMMYFUNCTION("""COMPUTED_VALUE"""),298.19)</f>
        <v>298.19</v>
      </c>
      <c r="C179" s="2">
        <f>IFERROR(__xludf.DUMMYFUNCTION("""COMPUTED_VALUE"""),303.6)</f>
        <v>303.6</v>
      </c>
      <c r="D179" s="2">
        <f>IFERROR(__xludf.DUMMYFUNCTION("""COMPUTED_VALUE"""),297.8)</f>
        <v>297.8</v>
      </c>
      <c r="E179" s="2">
        <f>IFERROR(__xludf.DUMMYFUNCTION("""COMPUTED_VALUE"""),302.55)</f>
        <v>302.55</v>
      </c>
      <c r="F179" s="2">
        <f>IFERROR(__xludf.DUMMYFUNCTION("""COMPUTED_VALUE"""),1.4234158E7)</f>
        <v>14234158</v>
      </c>
    </row>
    <row r="180">
      <c r="A180" s="3">
        <f>IFERROR(__xludf.DUMMYFUNCTION("""COMPUTED_VALUE"""),45188.66666666667)</f>
        <v>45188.66667</v>
      </c>
      <c r="B180" s="2">
        <f>IFERROR(__xludf.DUMMYFUNCTION("""COMPUTED_VALUE"""),302.48)</f>
        <v>302.48</v>
      </c>
      <c r="C180" s="2">
        <f>IFERROR(__xludf.DUMMYFUNCTION("""COMPUTED_VALUE"""),306.17)</f>
        <v>306.17</v>
      </c>
      <c r="D180" s="2">
        <f>IFERROR(__xludf.DUMMYFUNCTION("""COMPUTED_VALUE"""),299.81)</f>
        <v>299.81</v>
      </c>
      <c r="E180" s="2">
        <f>IFERROR(__xludf.DUMMYFUNCTION("""COMPUTED_VALUE"""),305.07)</f>
        <v>305.07</v>
      </c>
      <c r="F180" s="2">
        <f>IFERROR(__xludf.DUMMYFUNCTION("""COMPUTED_VALUE"""),1.5931618E7)</f>
        <v>15931618</v>
      </c>
    </row>
    <row r="181">
      <c r="A181" s="3">
        <f>IFERROR(__xludf.DUMMYFUNCTION("""COMPUTED_VALUE"""),45189.66666666667)</f>
        <v>45189.66667</v>
      </c>
      <c r="B181" s="2">
        <f>IFERROR(__xludf.DUMMYFUNCTION("""COMPUTED_VALUE"""),305.05)</f>
        <v>305.05</v>
      </c>
      <c r="C181" s="2">
        <f>IFERROR(__xludf.DUMMYFUNCTION("""COMPUTED_VALUE"""),308.06)</f>
        <v>308.06</v>
      </c>
      <c r="D181" s="2">
        <f>IFERROR(__xludf.DUMMYFUNCTION("""COMPUTED_VALUE"""),299.43)</f>
        <v>299.43</v>
      </c>
      <c r="E181" s="2">
        <f>IFERROR(__xludf.DUMMYFUNCTION("""COMPUTED_VALUE"""),299.67)</f>
        <v>299.67</v>
      </c>
      <c r="F181" s="2">
        <f>IFERROR(__xludf.DUMMYFUNCTION("""COMPUTED_VALUE"""),1.9379515E7)</f>
        <v>19379515</v>
      </c>
    </row>
    <row r="182">
      <c r="A182" s="3">
        <f>IFERROR(__xludf.DUMMYFUNCTION("""COMPUTED_VALUE"""),45190.66666666667)</f>
        <v>45190.66667</v>
      </c>
      <c r="B182" s="2">
        <f>IFERROR(__xludf.DUMMYFUNCTION("""COMPUTED_VALUE"""),295.7)</f>
        <v>295.7</v>
      </c>
      <c r="C182" s="2">
        <f>IFERROR(__xludf.DUMMYFUNCTION("""COMPUTED_VALUE"""),300.26)</f>
        <v>300.26</v>
      </c>
      <c r="D182" s="2">
        <f>IFERROR(__xludf.DUMMYFUNCTION("""COMPUTED_VALUE"""),293.27)</f>
        <v>293.27</v>
      </c>
      <c r="E182" s="2">
        <f>IFERROR(__xludf.DUMMYFUNCTION("""COMPUTED_VALUE"""),295.73)</f>
        <v>295.73</v>
      </c>
      <c r="F182" s="2">
        <f>IFERROR(__xludf.DUMMYFUNCTION("""COMPUTED_VALUE"""),2.1319582E7)</f>
        <v>21319582</v>
      </c>
    </row>
    <row r="183">
      <c r="A183" s="3">
        <f>IFERROR(__xludf.DUMMYFUNCTION("""COMPUTED_VALUE"""),45191.66666666667)</f>
        <v>45191.66667</v>
      </c>
      <c r="B183" s="2">
        <f>IFERROR(__xludf.DUMMYFUNCTION("""COMPUTED_VALUE"""),299.3)</f>
        <v>299.3</v>
      </c>
      <c r="C183" s="2">
        <f>IFERROR(__xludf.DUMMYFUNCTION("""COMPUTED_VALUE"""),305.38)</f>
        <v>305.38</v>
      </c>
      <c r="D183" s="2">
        <f>IFERROR(__xludf.DUMMYFUNCTION("""COMPUTED_VALUE"""),298.27)</f>
        <v>298.27</v>
      </c>
      <c r="E183" s="2">
        <f>IFERROR(__xludf.DUMMYFUNCTION("""COMPUTED_VALUE"""),299.08)</f>
        <v>299.08</v>
      </c>
      <c r="F183" s="2">
        <f>IFERROR(__xludf.DUMMYFUNCTION("""COMPUTED_VALUE"""),2.5369592E7)</f>
        <v>25369592</v>
      </c>
    </row>
    <row r="184">
      <c r="A184" s="3">
        <f>IFERROR(__xludf.DUMMYFUNCTION("""COMPUTED_VALUE"""),45194.66666666667)</f>
        <v>45194.66667</v>
      </c>
      <c r="B184" s="2">
        <f>IFERROR(__xludf.DUMMYFUNCTION("""COMPUTED_VALUE"""),295.64)</f>
        <v>295.64</v>
      </c>
      <c r="C184" s="2">
        <f>IFERROR(__xludf.DUMMYFUNCTION("""COMPUTED_VALUE"""),300.95)</f>
        <v>300.95</v>
      </c>
      <c r="D184" s="2">
        <f>IFERROR(__xludf.DUMMYFUNCTION("""COMPUTED_VALUE"""),293.7)</f>
        <v>293.7</v>
      </c>
      <c r="E184" s="2">
        <f>IFERROR(__xludf.DUMMYFUNCTION("""COMPUTED_VALUE"""),300.83)</f>
        <v>300.83</v>
      </c>
      <c r="F184" s="2">
        <f>IFERROR(__xludf.DUMMYFUNCTION("""COMPUTED_VALUE"""),1.8987014E7)</f>
        <v>18987014</v>
      </c>
    </row>
    <row r="185">
      <c r="A185" s="3">
        <f>IFERROR(__xludf.DUMMYFUNCTION("""COMPUTED_VALUE"""),45195.66666666667)</f>
        <v>45195.66667</v>
      </c>
      <c r="B185" s="2">
        <f>IFERROR(__xludf.DUMMYFUNCTION("""COMPUTED_VALUE"""),297.66)</f>
        <v>297.66</v>
      </c>
      <c r="C185" s="2">
        <f>IFERROR(__xludf.DUMMYFUNCTION("""COMPUTED_VALUE"""),300.3)</f>
        <v>300.3</v>
      </c>
      <c r="D185" s="2">
        <f>IFERROR(__xludf.DUMMYFUNCTION("""COMPUTED_VALUE"""),296.01)</f>
        <v>296.01</v>
      </c>
      <c r="E185" s="2">
        <f>IFERROR(__xludf.DUMMYFUNCTION("""COMPUTED_VALUE"""),298.96)</f>
        <v>298.96</v>
      </c>
      <c r="F185" s="2">
        <f>IFERROR(__xludf.DUMMYFUNCTION("""COMPUTED_VALUE"""),1.9417161E7)</f>
        <v>19417161</v>
      </c>
    </row>
    <row r="186">
      <c r="A186" s="3">
        <f>IFERROR(__xludf.DUMMYFUNCTION("""COMPUTED_VALUE"""),45196.66666666667)</f>
        <v>45196.66667</v>
      </c>
      <c r="B186" s="2">
        <f>IFERROR(__xludf.DUMMYFUNCTION("""COMPUTED_VALUE"""),300.45)</f>
        <v>300.45</v>
      </c>
      <c r="C186" s="2">
        <f>IFERROR(__xludf.DUMMYFUNCTION("""COMPUTED_VALUE"""),301.3)</f>
        <v>301.3</v>
      </c>
      <c r="D186" s="2">
        <f>IFERROR(__xludf.DUMMYFUNCTION("""COMPUTED_VALUE"""),286.79)</f>
        <v>286.79</v>
      </c>
      <c r="E186" s="2">
        <f>IFERROR(__xludf.DUMMYFUNCTION("""COMPUTED_VALUE"""),297.74)</f>
        <v>297.74</v>
      </c>
      <c r="F186" s="2">
        <f>IFERROR(__xludf.DUMMYFUNCTION("""COMPUTED_VALUE"""),3.6429835E7)</f>
        <v>36429835</v>
      </c>
    </row>
    <row r="187">
      <c r="A187" s="3">
        <f>IFERROR(__xludf.DUMMYFUNCTION("""COMPUTED_VALUE"""),45197.66666666667)</f>
        <v>45197.66667</v>
      </c>
      <c r="B187" s="2">
        <f>IFERROR(__xludf.DUMMYFUNCTION("""COMPUTED_VALUE"""),298.94)</f>
        <v>298.94</v>
      </c>
      <c r="C187" s="2">
        <f>IFERROR(__xludf.DUMMYFUNCTION("""COMPUTED_VALUE"""),306.33)</f>
        <v>306.33</v>
      </c>
      <c r="D187" s="2">
        <f>IFERROR(__xludf.DUMMYFUNCTION("""COMPUTED_VALUE"""),296.7)</f>
        <v>296.7</v>
      </c>
      <c r="E187" s="2">
        <f>IFERROR(__xludf.DUMMYFUNCTION("""COMPUTED_VALUE"""),303.96)</f>
        <v>303.96</v>
      </c>
      <c r="F187" s="2">
        <f>IFERROR(__xludf.DUMMYFUNCTION("""COMPUTED_VALUE"""),2.2167075E7)</f>
        <v>22167075</v>
      </c>
    </row>
    <row r="188">
      <c r="A188" s="3">
        <f>IFERROR(__xludf.DUMMYFUNCTION("""COMPUTED_VALUE"""),45198.66666666667)</f>
        <v>45198.66667</v>
      </c>
      <c r="B188" s="2">
        <f>IFERROR(__xludf.DUMMYFUNCTION("""COMPUTED_VALUE"""),307.38)</f>
        <v>307.38</v>
      </c>
      <c r="C188" s="2">
        <f>IFERROR(__xludf.DUMMYFUNCTION("""COMPUTED_VALUE"""),310.64)</f>
        <v>310.64</v>
      </c>
      <c r="D188" s="2">
        <f>IFERROR(__xludf.DUMMYFUNCTION("""COMPUTED_VALUE"""),299.36)</f>
        <v>299.36</v>
      </c>
      <c r="E188" s="2">
        <f>IFERROR(__xludf.DUMMYFUNCTION("""COMPUTED_VALUE"""),300.21)</f>
        <v>300.21</v>
      </c>
      <c r="F188" s="2">
        <f>IFERROR(__xludf.DUMMYFUNCTION("""COMPUTED_VALUE"""),2.5373695E7)</f>
        <v>25373695</v>
      </c>
    </row>
    <row r="189">
      <c r="A189" s="3">
        <f>IFERROR(__xludf.DUMMYFUNCTION("""COMPUTED_VALUE"""),45201.66666666667)</f>
        <v>45201.66667</v>
      </c>
      <c r="B189" s="2">
        <f>IFERROR(__xludf.DUMMYFUNCTION("""COMPUTED_VALUE"""),302.74)</f>
        <v>302.74</v>
      </c>
      <c r="C189" s="2">
        <f>IFERROR(__xludf.DUMMYFUNCTION("""COMPUTED_VALUE"""),307.18)</f>
        <v>307.18</v>
      </c>
      <c r="D189" s="2">
        <f>IFERROR(__xludf.DUMMYFUNCTION("""COMPUTED_VALUE"""),301.63)</f>
        <v>301.63</v>
      </c>
      <c r="E189" s="2">
        <f>IFERROR(__xludf.DUMMYFUNCTION("""COMPUTED_VALUE"""),306.82)</f>
        <v>306.82</v>
      </c>
      <c r="F189" s="2">
        <f>IFERROR(__xludf.DUMMYFUNCTION("""COMPUTED_VALUE"""),1.6265571E7)</f>
        <v>16265571</v>
      </c>
    </row>
    <row r="190">
      <c r="A190" s="3">
        <f>IFERROR(__xludf.DUMMYFUNCTION("""COMPUTED_VALUE"""),45202.66666666667)</f>
        <v>45202.66667</v>
      </c>
      <c r="B190" s="2">
        <f>IFERROR(__xludf.DUMMYFUNCTION("""COMPUTED_VALUE"""),304.26)</f>
        <v>304.26</v>
      </c>
      <c r="C190" s="2">
        <f>IFERROR(__xludf.DUMMYFUNCTION("""COMPUTED_VALUE"""),306.77)</f>
        <v>306.77</v>
      </c>
      <c r="D190" s="2">
        <f>IFERROR(__xludf.DUMMYFUNCTION("""COMPUTED_VALUE"""),299.64)</f>
        <v>299.64</v>
      </c>
      <c r="E190" s="2">
        <f>IFERROR(__xludf.DUMMYFUNCTION("""COMPUTED_VALUE"""),300.94)</f>
        <v>300.94</v>
      </c>
      <c r="F190" s="2">
        <f>IFERROR(__xludf.DUMMYFUNCTION("""COMPUTED_VALUE"""),1.736225E7)</f>
        <v>17362250</v>
      </c>
    </row>
    <row r="191">
      <c r="A191" s="3">
        <f>IFERROR(__xludf.DUMMYFUNCTION("""COMPUTED_VALUE"""),45203.66666666667)</f>
        <v>45203.66667</v>
      </c>
      <c r="B191" s="2">
        <f>IFERROR(__xludf.DUMMYFUNCTION("""COMPUTED_VALUE"""),298.73)</f>
        <v>298.73</v>
      </c>
      <c r="C191" s="2">
        <f>IFERROR(__xludf.DUMMYFUNCTION("""COMPUTED_VALUE"""),306.9)</f>
        <v>306.9</v>
      </c>
      <c r="D191" s="2">
        <f>IFERROR(__xludf.DUMMYFUNCTION("""COMPUTED_VALUE"""),298.5)</f>
        <v>298.5</v>
      </c>
      <c r="E191" s="2">
        <f>IFERROR(__xludf.DUMMYFUNCTION("""COMPUTED_VALUE"""),305.58)</f>
        <v>305.58</v>
      </c>
      <c r="F191" s="2">
        <f>IFERROR(__xludf.DUMMYFUNCTION("""COMPUTED_VALUE"""),1.6880484E7)</f>
        <v>16880484</v>
      </c>
    </row>
    <row r="192">
      <c r="A192" s="3">
        <f>IFERROR(__xludf.DUMMYFUNCTION("""COMPUTED_VALUE"""),45204.66666666667)</f>
        <v>45204.66667</v>
      </c>
      <c r="B192" s="2">
        <f>IFERROR(__xludf.DUMMYFUNCTION("""COMPUTED_VALUE"""),304.63)</f>
        <v>304.63</v>
      </c>
      <c r="C192" s="2">
        <f>IFERROR(__xludf.DUMMYFUNCTION("""COMPUTED_VALUE"""),306.21)</f>
        <v>306.21</v>
      </c>
      <c r="D192" s="2">
        <f>IFERROR(__xludf.DUMMYFUNCTION("""COMPUTED_VALUE"""),299.5)</f>
        <v>299.5</v>
      </c>
      <c r="E192" s="2">
        <f>IFERROR(__xludf.DUMMYFUNCTION("""COMPUTED_VALUE"""),304.79)</f>
        <v>304.79</v>
      </c>
      <c r="F192" s="2">
        <f>IFERROR(__xludf.DUMMYFUNCTION("""COMPUTED_VALUE"""),1.9129957E7)</f>
        <v>19129957</v>
      </c>
    </row>
    <row r="193">
      <c r="A193" s="3">
        <f>IFERROR(__xludf.DUMMYFUNCTION("""COMPUTED_VALUE"""),45205.66666666667)</f>
        <v>45205.66667</v>
      </c>
      <c r="B193" s="2">
        <f>IFERROR(__xludf.DUMMYFUNCTION("""COMPUTED_VALUE"""),301.44)</f>
        <v>301.44</v>
      </c>
      <c r="C193" s="2">
        <f>IFERROR(__xludf.DUMMYFUNCTION("""COMPUTED_VALUE"""),316.31)</f>
        <v>316.31</v>
      </c>
      <c r="D193" s="2">
        <f>IFERROR(__xludf.DUMMYFUNCTION("""COMPUTED_VALUE"""),300.91)</f>
        <v>300.91</v>
      </c>
      <c r="E193" s="2">
        <f>IFERROR(__xludf.DUMMYFUNCTION("""COMPUTED_VALUE"""),315.43)</f>
        <v>315.43</v>
      </c>
      <c r="F193" s="2">
        <f>IFERROR(__xludf.DUMMYFUNCTION("""COMPUTED_VALUE"""),2.1803856E7)</f>
        <v>21803856</v>
      </c>
    </row>
    <row r="194">
      <c r="A194" s="3">
        <f>IFERROR(__xludf.DUMMYFUNCTION("""COMPUTED_VALUE"""),45208.66666666667)</f>
        <v>45208.66667</v>
      </c>
      <c r="B194" s="2">
        <f>IFERROR(__xludf.DUMMYFUNCTION("""COMPUTED_VALUE"""),312.5)</f>
        <v>312.5</v>
      </c>
      <c r="C194" s="2">
        <f>IFERROR(__xludf.DUMMYFUNCTION("""COMPUTED_VALUE"""),320.33)</f>
        <v>320.33</v>
      </c>
      <c r="D194" s="2">
        <f>IFERROR(__xludf.DUMMYFUNCTION("""COMPUTED_VALUE"""),311.82)</f>
        <v>311.82</v>
      </c>
      <c r="E194" s="2">
        <f>IFERROR(__xludf.DUMMYFUNCTION("""COMPUTED_VALUE"""),318.36)</f>
        <v>318.36</v>
      </c>
      <c r="F194" s="2">
        <f>IFERROR(__xludf.DUMMYFUNCTION("""COMPUTED_VALUE"""),2.2503662E7)</f>
        <v>22503662</v>
      </c>
    </row>
    <row r="195">
      <c r="A195" s="3">
        <f>IFERROR(__xludf.DUMMYFUNCTION("""COMPUTED_VALUE"""),45209.66666666667)</f>
        <v>45209.66667</v>
      </c>
      <c r="B195" s="2">
        <f>IFERROR(__xludf.DUMMYFUNCTION("""COMPUTED_VALUE"""),319.12)</f>
        <v>319.12</v>
      </c>
      <c r="C195" s="2">
        <f>IFERROR(__xludf.DUMMYFUNCTION("""COMPUTED_VALUE"""),324.66)</f>
        <v>324.66</v>
      </c>
      <c r="D195" s="2">
        <f>IFERROR(__xludf.DUMMYFUNCTION("""COMPUTED_VALUE"""),318.16)</f>
        <v>318.16</v>
      </c>
      <c r="E195" s="2">
        <f>IFERROR(__xludf.DUMMYFUNCTION("""COMPUTED_VALUE"""),321.84)</f>
        <v>321.84</v>
      </c>
      <c r="F195" s="2">
        <f>IFERROR(__xludf.DUMMYFUNCTION("""COMPUTED_VALUE"""),1.9037973E7)</f>
        <v>19037973</v>
      </c>
    </row>
    <row r="196">
      <c r="A196" s="3">
        <f>IFERROR(__xludf.DUMMYFUNCTION("""COMPUTED_VALUE"""),45210.66666666667)</f>
        <v>45210.66667</v>
      </c>
      <c r="B196" s="2">
        <f>IFERROR(__xludf.DUMMYFUNCTION("""COMPUTED_VALUE"""),323.01)</f>
        <v>323.01</v>
      </c>
      <c r="C196" s="2">
        <f>IFERROR(__xludf.DUMMYFUNCTION("""COMPUTED_VALUE"""),328.84)</f>
        <v>328.84</v>
      </c>
      <c r="D196" s="2">
        <f>IFERROR(__xludf.DUMMYFUNCTION("""COMPUTED_VALUE"""),322.95)</f>
        <v>322.95</v>
      </c>
      <c r="E196" s="2">
        <f>IFERROR(__xludf.DUMMYFUNCTION("""COMPUTED_VALUE"""),327.82)</f>
        <v>327.82</v>
      </c>
      <c r="F196" s="2">
        <f>IFERROR(__xludf.DUMMYFUNCTION("""COMPUTED_VALUE"""),2.2036297E7)</f>
        <v>22036297</v>
      </c>
    </row>
    <row r="197">
      <c r="A197" s="3">
        <f>IFERROR(__xludf.DUMMYFUNCTION("""COMPUTED_VALUE"""),45211.66666666667)</f>
        <v>45211.66667</v>
      </c>
      <c r="B197" s="2">
        <f>IFERROR(__xludf.DUMMYFUNCTION("""COMPUTED_VALUE"""),328.0)</f>
        <v>328</v>
      </c>
      <c r="C197" s="2">
        <f>IFERROR(__xludf.DUMMYFUNCTION("""COMPUTED_VALUE"""),330.54)</f>
        <v>330.54</v>
      </c>
      <c r="D197" s="2">
        <f>IFERROR(__xludf.DUMMYFUNCTION("""COMPUTED_VALUE"""),322.69)</f>
        <v>322.69</v>
      </c>
      <c r="E197" s="2">
        <f>IFERROR(__xludf.DUMMYFUNCTION("""COMPUTED_VALUE"""),324.16)</f>
        <v>324.16</v>
      </c>
      <c r="F197" s="2">
        <f>IFERROR(__xludf.DUMMYFUNCTION("""COMPUTED_VALUE"""),2.0530518E7)</f>
        <v>20530518</v>
      </c>
    </row>
    <row r="198">
      <c r="A198" s="3">
        <f>IFERROR(__xludf.DUMMYFUNCTION("""COMPUTED_VALUE"""),45212.66666666667)</f>
        <v>45212.66667</v>
      </c>
      <c r="B198" s="2">
        <f>IFERROR(__xludf.DUMMYFUNCTION("""COMPUTED_VALUE"""),323.53)</f>
        <v>323.53</v>
      </c>
      <c r="C198" s="2">
        <f>IFERROR(__xludf.DUMMYFUNCTION("""COMPUTED_VALUE"""),325.05)</f>
        <v>325.05</v>
      </c>
      <c r="D198" s="2">
        <f>IFERROR(__xludf.DUMMYFUNCTION("""COMPUTED_VALUE"""),312.37)</f>
        <v>312.37</v>
      </c>
      <c r="E198" s="2">
        <f>IFERROR(__xludf.DUMMYFUNCTION("""COMPUTED_VALUE"""),314.69)</f>
        <v>314.69</v>
      </c>
      <c r="F198" s="2">
        <f>IFERROR(__xludf.DUMMYFUNCTION("""COMPUTED_VALUE"""),2.136079E7)</f>
        <v>21360790</v>
      </c>
    </row>
    <row r="199">
      <c r="A199" s="3">
        <f>IFERROR(__xludf.DUMMYFUNCTION("""COMPUTED_VALUE"""),45215.66666666667)</f>
        <v>45215.66667</v>
      </c>
      <c r="B199" s="2">
        <f>IFERROR(__xludf.DUMMYFUNCTION("""COMPUTED_VALUE"""),318.64)</f>
        <v>318.64</v>
      </c>
      <c r="C199" s="2">
        <f>IFERROR(__xludf.DUMMYFUNCTION("""COMPUTED_VALUE"""),321.82)</f>
        <v>321.82</v>
      </c>
      <c r="D199" s="2">
        <f>IFERROR(__xludf.DUMMYFUNCTION("""COMPUTED_VALUE"""),315.52)</f>
        <v>315.52</v>
      </c>
      <c r="E199" s="2">
        <f>IFERROR(__xludf.DUMMYFUNCTION("""COMPUTED_VALUE"""),321.15)</f>
        <v>321.15</v>
      </c>
      <c r="F199" s="2">
        <f>IFERROR(__xludf.DUMMYFUNCTION("""COMPUTED_VALUE"""),1.6536114E7)</f>
        <v>16536114</v>
      </c>
    </row>
    <row r="200">
      <c r="A200" s="3">
        <f>IFERROR(__xludf.DUMMYFUNCTION("""COMPUTED_VALUE"""),45216.66666666667)</f>
        <v>45216.66667</v>
      </c>
      <c r="B200" s="2">
        <f>IFERROR(__xludf.DUMMYFUNCTION("""COMPUTED_VALUE"""),318.18)</f>
        <v>318.18</v>
      </c>
      <c r="C200" s="2">
        <f>IFERROR(__xludf.DUMMYFUNCTION("""COMPUTED_VALUE"""),324.4)</f>
        <v>324.4</v>
      </c>
      <c r="D200" s="2">
        <f>IFERROR(__xludf.DUMMYFUNCTION("""COMPUTED_VALUE"""),317.3)</f>
        <v>317.3</v>
      </c>
      <c r="E200" s="2">
        <f>IFERROR(__xludf.DUMMYFUNCTION("""COMPUTED_VALUE"""),324.0)</f>
        <v>324</v>
      </c>
      <c r="F200" s="2">
        <f>IFERROR(__xludf.DUMMYFUNCTION("""COMPUTED_VALUE"""),1.6387799E7)</f>
        <v>16387799</v>
      </c>
    </row>
    <row r="201">
      <c r="A201" s="3">
        <f>IFERROR(__xludf.DUMMYFUNCTION("""COMPUTED_VALUE"""),45217.66666666667)</f>
        <v>45217.66667</v>
      </c>
      <c r="B201" s="2">
        <f>IFERROR(__xludf.DUMMYFUNCTION("""COMPUTED_VALUE"""),321.39)</f>
        <v>321.39</v>
      </c>
      <c r="C201" s="2">
        <f>IFERROR(__xludf.DUMMYFUNCTION("""COMPUTED_VALUE"""),325.94)</f>
        <v>325.94</v>
      </c>
      <c r="D201" s="2">
        <f>IFERROR(__xludf.DUMMYFUNCTION("""COMPUTED_VALUE"""),315.56)</f>
        <v>315.56</v>
      </c>
      <c r="E201" s="2">
        <f>IFERROR(__xludf.DUMMYFUNCTION("""COMPUTED_VALUE"""),316.97)</f>
        <v>316.97</v>
      </c>
      <c r="F201" s="2">
        <f>IFERROR(__xludf.DUMMYFUNCTION("""COMPUTED_VALUE"""),1.6851003E7)</f>
        <v>16851003</v>
      </c>
    </row>
    <row r="202">
      <c r="A202" s="3">
        <f>IFERROR(__xludf.DUMMYFUNCTION("""COMPUTED_VALUE"""),45218.66666666667)</f>
        <v>45218.66667</v>
      </c>
      <c r="B202" s="2">
        <f>IFERROR(__xludf.DUMMYFUNCTION("""COMPUTED_VALUE"""),319.88)</f>
        <v>319.88</v>
      </c>
      <c r="C202" s="2">
        <f>IFERROR(__xludf.DUMMYFUNCTION("""COMPUTED_VALUE"""),321.89)</f>
        <v>321.89</v>
      </c>
      <c r="D202" s="2">
        <f>IFERROR(__xludf.DUMMYFUNCTION("""COMPUTED_VALUE"""),311.75)</f>
        <v>311.75</v>
      </c>
      <c r="E202" s="2">
        <f>IFERROR(__xludf.DUMMYFUNCTION("""COMPUTED_VALUE"""),312.81)</f>
        <v>312.81</v>
      </c>
      <c r="F202" s="2">
        <f>IFERROR(__xludf.DUMMYFUNCTION("""COMPUTED_VALUE"""),1.870916E7)</f>
        <v>18709160</v>
      </c>
    </row>
    <row r="203">
      <c r="A203" s="3">
        <f>IFERROR(__xludf.DUMMYFUNCTION("""COMPUTED_VALUE"""),45219.66666666667)</f>
        <v>45219.66667</v>
      </c>
      <c r="B203" s="2">
        <f>IFERROR(__xludf.DUMMYFUNCTION("""COMPUTED_VALUE"""),314.14)</f>
        <v>314.14</v>
      </c>
      <c r="C203" s="2">
        <f>IFERROR(__xludf.DUMMYFUNCTION("""COMPUTED_VALUE"""),315.3)</f>
        <v>315.3</v>
      </c>
      <c r="D203" s="2">
        <f>IFERROR(__xludf.DUMMYFUNCTION("""COMPUTED_VALUE"""),306.47)</f>
        <v>306.47</v>
      </c>
      <c r="E203" s="2">
        <f>IFERROR(__xludf.DUMMYFUNCTION("""COMPUTED_VALUE"""),308.65)</f>
        <v>308.65</v>
      </c>
      <c r="F203" s="2">
        <f>IFERROR(__xludf.DUMMYFUNCTION("""COMPUTED_VALUE"""),2.2312275E7)</f>
        <v>22312275</v>
      </c>
    </row>
    <row r="204">
      <c r="A204" s="3">
        <f>IFERROR(__xludf.DUMMYFUNCTION("""COMPUTED_VALUE"""),45222.66666666667)</f>
        <v>45222.66667</v>
      </c>
      <c r="B204" s="2">
        <f>IFERROR(__xludf.DUMMYFUNCTION("""COMPUTED_VALUE"""),309.5)</f>
        <v>309.5</v>
      </c>
      <c r="C204" s="2">
        <f>IFERROR(__xludf.DUMMYFUNCTION("""COMPUTED_VALUE"""),317.36)</f>
        <v>317.36</v>
      </c>
      <c r="D204" s="2">
        <f>IFERROR(__xludf.DUMMYFUNCTION("""COMPUTED_VALUE"""),307.26)</f>
        <v>307.26</v>
      </c>
      <c r="E204" s="2">
        <f>IFERROR(__xludf.DUMMYFUNCTION("""COMPUTED_VALUE"""),314.01)</f>
        <v>314.01</v>
      </c>
      <c r="F204" s="2">
        <f>IFERROR(__xludf.DUMMYFUNCTION("""COMPUTED_VALUE"""),1.7796785E7)</f>
        <v>17796785</v>
      </c>
    </row>
    <row r="205">
      <c r="A205" s="3">
        <f>IFERROR(__xludf.DUMMYFUNCTION("""COMPUTED_VALUE"""),45223.66666666667)</f>
        <v>45223.66667</v>
      </c>
      <c r="B205" s="2">
        <f>IFERROR(__xludf.DUMMYFUNCTION("""COMPUTED_VALUE"""),316.78)</f>
        <v>316.78</v>
      </c>
      <c r="C205" s="2">
        <f>IFERROR(__xludf.DUMMYFUNCTION("""COMPUTED_VALUE"""),318.35)</f>
        <v>318.35</v>
      </c>
      <c r="D205" s="2">
        <f>IFERROR(__xludf.DUMMYFUNCTION("""COMPUTED_VALUE"""),310.63)</f>
        <v>310.63</v>
      </c>
      <c r="E205" s="2">
        <f>IFERROR(__xludf.DUMMYFUNCTION("""COMPUTED_VALUE"""),312.55)</f>
        <v>312.55</v>
      </c>
      <c r="F205" s="2">
        <f>IFERROR(__xludf.DUMMYFUNCTION("""COMPUTED_VALUE"""),1.9525488E7)</f>
        <v>19525488</v>
      </c>
    </row>
    <row r="206">
      <c r="A206" s="3">
        <f>IFERROR(__xludf.DUMMYFUNCTION("""COMPUTED_VALUE"""),45224.66666666667)</f>
        <v>45224.66667</v>
      </c>
      <c r="B206" s="2">
        <f>IFERROR(__xludf.DUMMYFUNCTION("""COMPUTED_VALUE"""),310.0)</f>
        <v>310</v>
      </c>
      <c r="C206" s="2">
        <f>IFERROR(__xludf.DUMMYFUNCTION("""COMPUTED_VALUE"""),310.88)</f>
        <v>310.88</v>
      </c>
      <c r="D206" s="2">
        <f>IFERROR(__xludf.DUMMYFUNCTION("""COMPUTED_VALUE"""),298.84)</f>
        <v>298.84</v>
      </c>
      <c r="E206" s="2">
        <f>IFERROR(__xludf.DUMMYFUNCTION("""COMPUTED_VALUE"""),299.53)</f>
        <v>299.53</v>
      </c>
      <c r="F206" s="2">
        <f>IFERROR(__xludf.DUMMYFUNCTION("""COMPUTED_VALUE"""),4.2192474E7)</f>
        <v>42192474</v>
      </c>
    </row>
    <row r="207">
      <c r="A207" s="3">
        <f>IFERROR(__xludf.DUMMYFUNCTION("""COMPUTED_VALUE"""),45225.66666666667)</f>
        <v>45225.66667</v>
      </c>
      <c r="B207" s="2">
        <f>IFERROR(__xludf.DUMMYFUNCTION("""COMPUTED_VALUE"""),295.0)</f>
        <v>295</v>
      </c>
      <c r="C207" s="2">
        <f>IFERROR(__xludf.DUMMYFUNCTION("""COMPUTED_VALUE"""),295.0)</f>
        <v>295</v>
      </c>
      <c r="D207" s="2">
        <f>IFERROR(__xludf.DUMMYFUNCTION("""COMPUTED_VALUE"""),279.4)</f>
        <v>279.4</v>
      </c>
      <c r="E207" s="2">
        <f>IFERROR(__xludf.DUMMYFUNCTION("""COMPUTED_VALUE"""),288.35)</f>
        <v>288.35</v>
      </c>
      <c r="F207" s="2">
        <f>IFERROR(__xludf.DUMMYFUNCTION("""COMPUTED_VALUE"""),6.6684141E7)</f>
        <v>66684141</v>
      </c>
    </row>
    <row r="208">
      <c r="A208" s="3">
        <f>IFERROR(__xludf.DUMMYFUNCTION("""COMPUTED_VALUE"""),45226.66666666667)</f>
        <v>45226.66667</v>
      </c>
      <c r="B208" s="2">
        <f>IFERROR(__xludf.DUMMYFUNCTION("""COMPUTED_VALUE"""),294.48)</f>
        <v>294.48</v>
      </c>
      <c r="C208" s="2">
        <f>IFERROR(__xludf.DUMMYFUNCTION("""COMPUTED_VALUE"""),299.31)</f>
        <v>299.31</v>
      </c>
      <c r="D208" s="2">
        <f>IFERROR(__xludf.DUMMYFUNCTION("""COMPUTED_VALUE"""),292.97)</f>
        <v>292.97</v>
      </c>
      <c r="E208" s="2">
        <f>IFERROR(__xludf.DUMMYFUNCTION("""COMPUTED_VALUE"""),296.73)</f>
        <v>296.73</v>
      </c>
      <c r="F208" s="2">
        <f>IFERROR(__xludf.DUMMYFUNCTION("""COMPUTED_VALUE"""),2.9596256E7)</f>
        <v>29596256</v>
      </c>
    </row>
    <row r="209">
      <c r="A209" s="3">
        <f>IFERROR(__xludf.DUMMYFUNCTION("""COMPUTED_VALUE"""),45229.66666666667)</f>
        <v>45229.66667</v>
      </c>
      <c r="B209" s="2">
        <f>IFERROR(__xludf.DUMMYFUNCTION("""COMPUTED_VALUE"""),299.09)</f>
        <v>299.09</v>
      </c>
      <c r="C209" s="2">
        <f>IFERROR(__xludf.DUMMYFUNCTION("""COMPUTED_VALUE"""),309.4)</f>
        <v>309.4</v>
      </c>
      <c r="D209" s="2">
        <f>IFERROR(__xludf.DUMMYFUNCTION("""COMPUTED_VALUE"""),299.05)</f>
        <v>299.05</v>
      </c>
      <c r="E209" s="2">
        <f>IFERROR(__xludf.DUMMYFUNCTION("""COMPUTED_VALUE"""),302.66)</f>
        <v>302.66</v>
      </c>
      <c r="F209" s="2">
        <f>IFERROR(__xludf.DUMMYFUNCTION("""COMPUTED_VALUE"""),2.8435053E7)</f>
        <v>28435053</v>
      </c>
    </row>
    <row r="210">
      <c r="A210" s="3">
        <f>IFERROR(__xludf.DUMMYFUNCTION("""COMPUTED_VALUE"""),45230.66666666667)</f>
        <v>45230.66667</v>
      </c>
      <c r="B210" s="2">
        <f>IFERROR(__xludf.DUMMYFUNCTION("""COMPUTED_VALUE"""),303.31)</f>
        <v>303.31</v>
      </c>
      <c r="C210" s="2">
        <f>IFERROR(__xludf.DUMMYFUNCTION("""COMPUTED_VALUE"""),303.68)</f>
        <v>303.68</v>
      </c>
      <c r="D210" s="2">
        <f>IFERROR(__xludf.DUMMYFUNCTION("""COMPUTED_VALUE"""),296.86)</f>
        <v>296.86</v>
      </c>
      <c r="E210" s="2">
        <f>IFERROR(__xludf.DUMMYFUNCTION("""COMPUTED_VALUE"""),301.27)</f>
        <v>301.27</v>
      </c>
      <c r="F210" s="2">
        <f>IFERROR(__xludf.DUMMYFUNCTION("""COMPUTED_VALUE"""),1.9434168E7)</f>
        <v>19434168</v>
      </c>
    </row>
    <row r="211">
      <c r="A211" s="3">
        <f>IFERROR(__xludf.DUMMYFUNCTION("""COMPUTED_VALUE"""),45231.66666666667)</f>
        <v>45231.66667</v>
      </c>
      <c r="B211" s="2">
        <f>IFERROR(__xludf.DUMMYFUNCTION("""COMPUTED_VALUE"""),301.85)</f>
        <v>301.85</v>
      </c>
      <c r="C211" s="2">
        <f>IFERROR(__xludf.DUMMYFUNCTION("""COMPUTED_VALUE"""),312.74)</f>
        <v>312.74</v>
      </c>
      <c r="D211" s="2">
        <f>IFERROR(__xludf.DUMMYFUNCTION("""COMPUTED_VALUE"""),301.85)</f>
        <v>301.85</v>
      </c>
      <c r="E211" s="2">
        <f>IFERROR(__xludf.DUMMYFUNCTION("""COMPUTED_VALUE"""),311.85)</f>
        <v>311.85</v>
      </c>
      <c r="F211" s="2">
        <f>IFERROR(__xludf.DUMMYFUNCTION("""COMPUTED_VALUE"""),2.043458E7)</f>
        <v>20434580</v>
      </c>
    </row>
    <row r="212">
      <c r="A212" s="3">
        <f>IFERROR(__xludf.DUMMYFUNCTION("""COMPUTED_VALUE"""),45232.66666666667)</f>
        <v>45232.66667</v>
      </c>
      <c r="B212" s="2">
        <f>IFERROR(__xludf.DUMMYFUNCTION("""COMPUTED_VALUE"""),317.3)</f>
        <v>317.3</v>
      </c>
      <c r="C212" s="2">
        <f>IFERROR(__xludf.DUMMYFUNCTION("""COMPUTED_VALUE"""),318.82)</f>
        <v>318.82</v>
      </c>
      <c r="D212" s="2">
        <f>IFERROR(__xludf.DUMMYFUNCTION("""COMPUTED_VALUE"""),308.33)</f>
        <v>308.33</v>
      </c>
      <c r="E212" s="2">
        <f>IFERROR(__xludf.DUMMYFUNCTION("""COMPUTED_VALUE"""),310.87)</f>
        <v>310.87</v>
      </c>
      <c r="F212" s="2">
        <f>IFERROR(__xludf.DUMMYFUNCTION("""COMPUTED_VALUE"""),2.163182E7)</f>
        <v>21631820</v>
      </c>
    </row>
    <row r="213">
      <c r="A213" s="3">
        <f>IFERROR(__xludf.DUMMYFUNCTION("""COMPUTED_VALUE"""),45233.66666666667)</f>
        <v>45233.66667</v>
      </c>
      <c r="B213" s="2">
        <f>IFERROR(__xludf.DUMMYFUNCTION("""COMPUTED_VALUE"""),312.55)</f>
        <v>312.55</v>
      </c>
      <c r="C213" s="2">
        <f>IFERROR(__xludf.DUMMYFUNCTION("""COMPUTED_VALUE"""),315.55)</f>
        <v>315.55</v>
      </c>
      <c r="D213" s="2">
        <f>IFERROR(__xludf.DUMMYFUNCTION("""COMPUTED_VALUE"""),311.02)</f>
        <v>311.02</v>
      </c>
      <c r="E213" s="2">
        <f>IFERROR(__xludf.DUMMYFUNCTION("""COMPUTED_VALUE"""),314.6)</f>
        <v>314.6</v>
      </c>
      <c r="F213" s="2">
        <f>IFERROR(__xludf.DUMMYFUNCTION("""COMPUTED_VALUE"""),1.6764315E7)</f>
        <v>16764315</v>
      </c>
    </row>
    <row r="214">
      <c r="A214" s="3">
        <f>IFERROR(__xludf.DUMMYFUNCTION("""COMPUTED_VALUE"""),45236.66666666667)</f>
        <v>45236.66667</v>
      </c>
      <c r="B214" s="2">
        <f>IFERROR(__xludf.DUMMYFUNCTION("""COMPUTED_VALUE"""),315.98)</f>
        <v>315.98</v>
      </c>
      <c r="C214" s="2">
        <f>IFERROR(__xludf.DUMMYFUNCTION("""COMPUTED_VALUE"""),318.33)</f>
        <v>318.33</v>
      </c>
      <c r="D214" s="2">
        <f>IFERROR(__xludf.DUMMYFUNCTION("""COMPUTED_VALUE"""),314.45)</f>
        <v>314.45</v>
      </c>
      <c r="E214" s="2">
        <f>IFERROR(__xludf.DUMMYFUNCTION("""COMPUTED_VALUE"""),315.8)</f>
        <v>315.8</v>
      </c>
      <c r="F214" s="2">
        <f>IFERROR(__xludf.DUMMYFUNCTION("""COMPUTED_VALUE"""),1.2887699E7)</f>
        <v>12887699</v>
      </c>
    </row>
    <row r="215">
      <c r="A215" s="3">
        <f>IFERROR(__xludf.DUMMYFUNCTION("""COMPUTED_VALUE"""),45237.66666666667)</f>
        <v>45237.66667</v>
      </c>
      <c r="B215" s="2">
        <f>IFERROR(__xludf.DUMMYFUNCTION("""COMPUTED_VALUE"""),317.06)</f>
        <v>317.06</v>
      </c>
      <c r="C215" s="2">
        <f>IFERROR(__xludf.DUMMYFUNCTION("""COMPUTED_VALUE"""),321.0)</f>
        <v>321</v>
      </c>
      <c r="D215" s="2">
        <f>IFERROR(__xludf.DUMMYFUNCTION("""COMPUTED_VALUE"""),315.12)</f>
        <v>315.12</v>
      </c>
      <c r="E215" s="2">
        <f>IFERROR(__xludf.DUMMYFUNCTION("""COMPUTED_VALUE"""),318.82)</f>
        <v>318.82</v>
      </c>
      <c r="F215" s="2">
        <f>IFERROR(__xludf.DUMMYFUNCTION("""COMPUTED_VALUE"""),1.4055614E7)</f>
        <v>14055614</v>
      </c>
    </row>
    <row r="216">
      <c r="A216" s="3">
        <f>IFERROR(__xludf.DUMMYFUNCTION("""COMPUTED_VALUE"""),45238.66666666667)</f>
        <v>45238.66667</v>
      </c>
      <c r="B216" s="2">
        <f>IFERROR(__xludf.DUMMYFUNCTION("""COMPUTED_VALUE"""),318.14)</f>
        <v>318.14</v>
      </c>
      <c r="C216" s="2">
        <f>IFERROR(__xludf.DUMMYFUNCTION("""COMPUTED_VALUE"""),321.33)</f>
        <v>321.33</v>
      </c>
      <c r="D216" s="2">
        <f>IFERROR(__xludf.DUMMYFUNCTION("""COMPUTED_VALUE"""),314.88)</f>
        <v>314.88</v>
      </c>
      <c r="E216" s="2">
        <f>IFERROR(__xludf.DUMMYFUNCTION("""COMPUTED_VALUE"""),319.78)</f>
        <v>319.78</v>
      </c>
      <c r="F216" s="2">
        <f>IFERROR(__xludf.DUMMYFUNCTION("""COMPUTED_VALUE"""),1.3609704E7)</f>
        <v>13609704</v>
      </c>
    </row>
    <row r="217">
      <c r="A217" s="3">
        <f>IFERROR(__xludf.DUMMYFUNCTION("""COMPUTED_VALUE"""),45239.66666666667)</f>
        <v>45239.66667</v>
      </c>
      <c r="B217" s="2">
        <f>IFERROR(__xludf.DUMMYFUNCTION("""COMPUTED_VALUE"""),319.42)</f>
        <v>319.42</v>
      </c>
      <c r="C217" s="2">
        <f>IFERROR(__xludf.DUMMYFUNCTION("""COMPUTED_VALUE"""),324.18)</f>
        <v>324.18</v>
      </c>
      <c r="D217" s="2">
        <f>IFERROR(__xludf.DUMMYFUNCTION("""COMPUTED_VALUE"""),318.8)</f>
        <v>318.8</v>
      </c>
      <c r="E217" s="2">
        <f>IFERROR(__xludf.DUMMYFUNCTION("""COMPUTED_VALUE"""),320.55)</f>
        <v>320.55</v>
      </c>
      <c r="F217" s="2">
        <f>IFERROR(__xludf.DUMMYFUNCTION("""COMPUTED_VALUE"""),1.6103071E7)</f>
        <v>16103071</v>
      </c>
    </row>
    <row r="218">
      <c r="A218" s="3">
        <f>IFERROR(__xludf.DUMMYFUNCTION("""COMPUTED_VALUE"""),45240.66666666667)</f>
        <v>45240.66667</v>
      </c>
      <c r="B218" s="2">
        <f>IFERROR(__xludf.DUMMYFUNCTION("""COMPUTED_VALUE"""),319.94)</f>
        <v>319.94</v>
      </c>
      <c r="C218" s="2">
        <f>IFERROR(__xludf.DUMMYFUNCTION("""COMPUTED_VALUE"""),329.1)</f>
        <v>329.1</v>
      </c>
      <c r="D218" s="2">
        <f>IFERROR(__xludf.DUMMYFUNCTION("""COMPUTED_VALUE"""),319.46)</f>
        <v>319.46</v>
      </c>
      <c r="E218" s="2">
        <f>IFERROR(__xludf.DUMMYFUNCTION("""COMPUTED_VALUE"""),328.77)</f>
        <v>328.77</v>
      </c>
      <c r="F218" s="2">
        <f>IFERROR(__xludf.DUMMYFUNCTION("""COMPUTED_VALUE"""),1.9116921E7)</f>
        <v>19116921</v>
      </c>
    </row>
    <row r="219">
      <c r="A219" s="3">
        <f>IFERROR(__xludf.DUMMYFUNCTION("""COMPUTED_VALUE"""),45243.66666666667)</f>
        <v>45243.66667</v>
      </c>
      <c r="B219" s="2">
        <f>IFERROR(__xludf.DUMMYFUNCTION("""COMPUTED_VALUE"""),326.2)</f>
        <v>326.2</v>
      </c>
      <c r="C219" s="2">
        <f>IFERROR(__xludf.DUMMYFUNCTION("""COMPUTED_VALUE"""),332.33)</f>
        <v>332.33</v>
      </c>
      <c r="D219" s="2">
        <f>IFERROR(__xludf.DUMMYFUNCTION("""COMPUTED_VALUE"""),325.7)</f>
        <v>325.7</v>
      </c>
      <c r="E219" s="2">
        <f>IFERROR(__xludf.DUMMYFUNCTION("""COMPUTED_VALUE"""),329.19)</f>
        <v>329.19</v>
      </c>
      <c r="F219" s="2">
        <f>IFERROR(__xludf.DUMMYFUNCTION("""COMPUTED_VALUE"""),1.6908948E7)</f>
        <v>16908948</v>
      </c>
    </row>
    <row r="220">
      <c r="A220" s="3">
        <f>IFERROR(__xludf.DUMMYFUNCTION("""COMPUTED_VALUE"""),45244.66666666667)</f>
        <v>45244.66667</v>
      </c>
      <c r="B220" s="2">
        <f>IFERROR(__xludf.DUMMYFUNCTION("""COMPUTED_VALUE"""),334.54)</f>
        <v>334.54</v>
      </c>
      <c r="C220" s="2">
        <f>IFERROR(__xludf.DUMMYFUNCTION("""COMPUTED_VALUE"""),338.1)</f>
        <v>338.1</v>
      </c>
      <c r="D220" s="2">
        <f>IFERROR(__xludf.DUMMYFUNCTION("""COMPUTED_VALUE"""),333.33)</f>
        <v>333.33</v>
      </c>
      <c r="E220" s="2">
        <f>IFERROR(__xludf.DUMMYFUNCTION("""COMPUTED_VALUE"""),336.31)</f>
        <v>336.31</v>
      </c>
      <c r="F220" s="2">
        <f>IFERROR(__xludf.DUMMYFUNCTION("""COMPUTED_VALUE"""),1.7179403E7)</f>
        <v>17179403</v>
      </c>
    </row>
    <row r="221">
      <c r="A221" s="3">
        <f>IFERROR(__xludf.DUMMYFUNCTION("""COMPUTED_VALUE"""),45245.66666666667)</f>
        <v>45245.66667</v>
      </c>
      <c r="B221" s="2">
        <f>IFERROR(__xludf.DUMMYFUNCTION("""COMPUTED_VALUE"""),337.93)</f>
        <v>337.93</v>
      </c>
      <c r="C221" s="2">
        <f>IFERROR(__xludf.DUMMYFUNCTION("""COMPUTED_VALUE"""),338.4)</f>
        <v>338.4</v>
      </c>
      <c r="D221" s="2">
        <f>IFERROR(__xludf.DUMMYFUNCTION("""COMPUTED_VALUE"""),330.02)</f>
        <v>330.02</v>
      </c>
      <c r="E221" s="2">
        <f>IFERROR(__xludf.DUMMYFUNCTION("""COMPUTED_VALUE"""),332.71)</f>
        <v>332.71</v>
      </c>
      <c r="F221" s="2">
        <f>IFERROR(__xludf.DUMMYFUNCTION("""COMPUTED_VALUE"""),1.453118E7)</f>
        <v>14531180</v>
      </c>
    </row>
    <row r="222">
      <c r="A222" s="3">
        <f>IFERROR(__xludf.DUMMYFUNCTION("""COMPUTED_VALUE"""),45246.66666666667)</f>
        <v>45246.66667</v>
      </c>
      <c r="B222" s="2">
        <f>IFERROR(__xludf.DUMMYFUNCTION("""COMPUTED_VALUE"""),329.37)</f>
        <v>329.37</v>
      </c>
      <c r="C222" s="2">
        <f>IFERROR(__xludf.DUMMYFUNCTION("""COMPUTED_VALUE"""),334.58)</f>
        <v>334.58</v>
      </c>
      <c r="D222" s="2">
        <f>IFERROR(__xludf.DUMMYFUNCTION("""COMPUTED_VALUE"""),326.38)</f>
        <v>326.38</v>
      </c>
      <c r="E222" s="2">
        <f>IFERROR(__xludf.DUMMYFUNCTION("""COMPUTED_VALUE"""),334.19)</f>
        <v>334.19</v>
      </c>
      <c r="F222" s="2">
        <f>IFERROR(__xludf.DUMMYFUNCTION("""COMPUTED_VALUE"""),1.8932572E7)</f>
        <v>18932572</v>
      </c>
    </row>
    <row r="223">
      <c r="A223" s="3">
        <f>IFERROR(__xludf.DUMMYFUNCTION("""COMPUTED_VALUE"""),45247.66666666667)</f>
        <v>45247.66667</v>
      </c>
      <c r="B223" s="2">
        <f>IFERROR(__xludf.DUMMYFUNCTION("""COMPUTED_VALUE"""),330.26)</f>
        <v>330.26</v>
      </c>
      <c r="C223" s="2">
        <f>IFERROR(__xludf.DUMMYFUNCTION("""COMPUTED_VALUE"""),335.5)</f>
        <v>335.5</v>
      </c>
      <c r="D223" s="2">
        <f>IFERROR(__xludf.DUMMYFUNCTION("""COMPUTED_VALUE"""),329.35)</f>
        <v>329.35</v>
      </c>
      <c r="E223" s="2">
        <f>IFERROR(__xludf.DUMMYFUNCTION("""COMPUTED_VALUE"""),335.04)</f>
        <v>335.04</v>
      </c>
      <c r="F223" s="2">
        <f>IFERROR(__xludf.DUMMYFUNCTION("""COMPUTED_VALUE"""),1.4519213E7)</f>
        <v>14519213</v>
      </c>
    </row>
    <row r="224">
      <c r="A224" s="3">
        <f>IFERROR(__xludf.DUMMYFUNCTION("""COMPUTED_VALUE"""),45250.66666666667)</f>
        <v>45250.66667</v>
      </c>
      <c r="B224" s="2">
        <f>IFERROR(__xludf.DUMMYFUNCTION("""COMPUTED_VALUE"""),334.89)</f>
        <v>334.89</v>
      </c>
      <c r="C224" s="2">
        <f>IFERROR(__xludf.DUMMYFUNCTION("""COMPUTED_VALUE"""),341.87)</f>
        <v>341.87</v>
      </c>
      <c r="D224" s="2">
        <f>IFERROR(__xludf.DUMMYFUNCTION("""COMPUTED_VALUE"""),334.19)</f>
        <v>334.19</v>
      </c>
      <c r="E224" s="2">
        <f>IFERROR(__xludf.DUMMYFUNCTION("""COMPUTED_VALUE"""),339.97)</f>
        <v>339.97</v>
      </c>
      <c r="F224" s="2">
        <f>IFERROR(__xludf.DUMMYFUNCTION("""COMPUTED_VALUE"""),1.6976129E7)</f>
        <v>16976129</v>
      </c>
    </row>
    <row r="225">
      <c r="A225" s="3">
        <f>IFERROR(__xludf.DUMMYFUNCTION("""COMPUTED_VALUE"""),45251.66666666667)</f>
        <v>45251.66667</v>
      </c>
      <c r="B225" s="2">
        <f>IFERROR(__xludf.DUMMYFUNCTION("""COMPUTED_VALUE"""),338.33)</f>
        <v>338.33</v>
      </c>
      <c r="C225" s="2">
        <f>IFERROR(__xludf.DUMMYFUNCTION("""COMPUTED_VALUE"""),339.9)</f>
        <v>339.9</v>
      </c>
      <c r="D225" s="2">
        <f>IFERROR(__xludf.DUMMYFUNCTION("""COMPUTED_VALUE"""),335.9)</f>
        <v>335.9</v>
      </c>
      <c r="E225" s="2">
        <f>IFERROR(__xludf.DUMMYFUNCTION("""COMPUTED_VALUE"""),336.98)</f>
        <v>336.98</v>
      </c>
      <c r="F225" s="2">
        <f>IFERROR(__xludf.DUMMYFUNCTION("""COMPUTED_VALUE"""),1.2027863E7)</f>
        <v>12027863</v>
      </c>
    </row>
    <row r="226">
      <c r="A226" s="3">
        <f>IFERROR(__xludf.DUMMYFUNCTION("""COMPUTED_VALUE"""),45252.66666666667)</f>
        <v>45252.66667</v>
      </c>
      <c r="B226" s="2">
        <f>IFERROR(__xludf.DUMMYFUNCTION("""COMPUTED_VALUE"""),339.21)</f>
        <v>339.21</v>
      </c>
      <c r="C226" s="2">
        <f>IFERROR(__xludf.DUMMYFUNCTION("""COMPUTED_VALUE"""),342.92)</f>
        <v>342.92</v>
      </c>
      <c r="D226" s="2">
        <f>IFERROR(__xludf.DUMMYFUNCTION("""COMPUTED_VALUE"""),338.58)</f>
        <v>338.58</v>
      </c>
      <c r="E226" s="2">
        <f>IFERROR(__xludf.DUMMYFUNCTION("""COMPUTED_VALUE"""),341.49)</f>
        <v>341.49</v>
      </c>
      <c r="F226" s="2">
        <f>IFERROR(__xludf.DUMMYFUNCTION("""COMPUTED_VALUE"""),1.0715177E7)</f>
        <v>10715177</v>
      </c>
    </row>
    <row r="227">
      <c r="A227" s="3">
        <f>IFERROR(__xludf.DUMMYFUNCTION("""COMPUTED_VALUE"""),45254.54513888889)</f>
        <v>45254.54514</v>
      </c>
      <c r="B227" s="2">
        <f>IFERROR(__xludf.DUMMYFUNCTION("""COMPUTED_VALUE"""),340.13)</f>
        <v>340.13</v>
      </c>
      <c r="C227" s="2">
        <f>IFERROR(__xludf.DUMMYFUNCTION("""COMPUTED_VALUE"""),341.86)</f>
        <v>341.86</v>
      </c>
      <c r="D227" s="2">
        <f>IFERROR(__xludf.DUMMYFUNCTION("""COMPUTED_VALUE"""),336.77)</f>
        <v>336.77</v>
      </c>
      <c r="E227" s="2">
        <f>IFERROR(__xludf.DUMMYFUNCTION("""COMPUTED_VALUE"""),338.23)</f>
        <v>338.23</v>
      </c>
      <c r="F227" s="2">
        <f>IFERROR(__xludf.DUMMYFUNCTION("""COMPUTED_VALUE"""),5467488.0)</f>
        <v>5467488</v>
      </c>
    </row>
    <row r="228">
      <c r="A228" s="3">
        <f>IFERROR(__xludf.DUMMYFUNCTION("""COMPUTED_VALUE"""),45257.66666666667)</f>
        <v>45257.66667</v>
      </c>
      <c r="B228" s="2">
        <f>IFERROR(__xludf.DUMMYFUNCTION("""COMPUTED_VALUE"""),336.18)</f>
        <v>336.18</v>
      </c>
      <c r="C228" s="2">
        <f>IFERROR(__xludf.DUMMYFUNCTION("""COMPUTED_VALUE"""),339.9)</f>
        <v>339.9</v>
      </c>
      <c r="D228" s="2">
        <f>IFERROR(__xludf.DUMMYFUNCTION("""COMPUTED_VALUE"""),334.2)</f>
        <v>334.2</v>
      </c>
      <c r="E228" s="2">
        <f>IFERROR(__xludf.DUMMYFUNCTION("""COMPUTED_VALUE"""),334.7)</f>
        <v>334.7</v>
      </c>
      <c r="F228" s="2">
        <f>IFERROR(__xludf.DUMMYFUNCTION("""COMPUTED_VALUE"""),1.5684454E7)</f>
        <v>15684454</v>
      </c>
    </row>
    <row r="229">
      <c r="A229" s="3">
        <f>IFERROR(__xludf.DUMMYFUNCTION("""COMPUTED_VALUE"""),45258.66666666667)</f>
        <v>45258.66667</v>
      </c>
      <c r="B229" s="2">
        <f>IFERROR(__xludf.DUMMYFUNCTION("""COMPUTED_VALUE"""),333.4)</f>
        <v>333.4</v>
      </c>
      <c r="C229" s="2">
        <f>IFERROR(__xludf.DUMMYFUNCTION("""COMPUTED_VALUE"""),339.38)</f>
        <v>339.38</v>
      </c>
      <c r="D229" s="2">
        <f>IFERROR(__xludf.DUMMYFUNCTION("""COMPUTED_VALUE"""),333.4)</f>
        <v>333.4</v>
      </c>
      <c r="E229" s="2">
        <f>IFERROR(__xludf.DUMMYFUNCTION("""COMPUTED_VALUE"""),338.99)</f>
        <v>338.99</v>
      </c>
      <c r="F229" s="2">
        <f>IFERROR(__xludf.DUMMYFUNCTION("""COMPUTED_VALUE"""),1.2637245E7)</f>
        <v>12637245</v>
      </c>
    </row>
    <row r="230">
      <c r="A230" s="3">
        <f>IFERROR(__xludf.DUMMYFUNCTION("""COMPUTED_VALUE"""),45259.66666666667)</f>
        <v>45259.66667</v>
      </c>
      <c r="B230" s="2">
        <f>IFERROR(__xludf.DUMMYFUNCTION("""COMPUTED_VALUE"""),339.69)</f>
        <v>339.69</v>
      </c>
      <c r="C230" s="2">
        <f>IFERROR(__xludf.DUMMYFUNCTION("""COMPUTED_VALUE"""),339.9)</f>
        <v>339.9</v>
      </c>
      <c r="D230" s="2">
        <f>IFERROR(__xludf.DUMMYFUNCTION("""COMPUTED_VALUE"""),330.78)</f>
        <v>330.78</v>
      </c>
      <c r="E230" s="2">
        <f>IFERROR(__xludf.DUMMYFUNCTION("""COMPUTED_VALUE"""),332.2)</f>
        <v>332.2</v>
      </c>
      <c r="F230" s="2">
        <f>IFERROR(__xludf.DUMMYFUNCTION("""COMPUTED_VALUE"""),1.6024497E7)</f>
        <v>16024497</v>
      </c>
    </row>
    <row r="231">
      <c r="A231" s="3">
        <f>IFERROR(__xludf.DUMMYFUNCTION("""COMPUTED_VALUE"""),45260.66666666667)</f>
        <v>45260.66667</v>
      </c>
      <c r="B231" s="2">
        <f>IFERROR(__xludf.DUMMYFUNCTION("""COMPUTED_VALUE"""),331.89)</f>
        <v>331.89</v>
      </c>
      <c r="C231" s="2">
        <f>IFERROR(__xludf.DUMMYFUNCTION("""COMPUTED_VALUE"""),333.5)</f>
        <v>333.5</v>
      </c>
      <c r="D231" s="2">
        <f>IFERROR(__xludf.DUMMYFUNCTION("""COMPUTED_VALUE"""),322.4)</f>
        <v>322.4</v>
      </c>
      <c r="E231" s="2">
        <f>IFERROR(__xludf.DUMMYFUNCTION("""COMPUTED_VALUE"""),327.15)</f>
        <v>327.15</v>
      </c>
      <c r="F231" s="2">
        <f>IFERROR(__xludf.DUMMYFUNCTION("""COMPUTED_VALUE"""),2.3146387E7)</f>
        <v>23146387</v>
      </c>
    </row>
    <row r="232">
      <c r="A232" s="3">
        <f>IFERROR(__xludf.DUMMYFUNCTION("""COMPUTED_VALUE"""),45261.66666666667)</f>
        <v>45261.66667</v>
      </c>
      <c r="B232" s="2">
        <f>IFERROR(__xludf.DUMMYFUNCTION("""COMPUTED_VALUE"""),325.48)</f>
        <v>325.48</v>
      </c>
      <c r="C232" s="2">
        <f>IFERROR(__xludf.DUMMYFUNCTION("""COMPUTED_VALUE"""),326.86)</f>
        <v>326.86</v>
      </c>
      <c r="D232" s="2">
        <f>IFERROR(__xludf.DUMMYFUNCTION("""COMPUTED_VALUE"""),320.76)</f>
        <v>320.76</v>
      </c>
      <c r="E232" s="2">
        <f>IFERROR(__xludf.DUMMYFUNCTION("""COMPUTED_VALUE"""),324.82)</f>
        <v>324.82</v>
      </c>
      <c r="F232" s="2">
        <f>IFERROR(__xludf.DUMMYFUNCTION("""COMPUTED_VALUE"""),1.5276375E7)</f>
        <v>15276375</v>
      </c>
    </row>
    <row r="233">
      <c r="A233" s="3">
        <f>IFERROR(__xludf.DUMMYFUNCTION("""COMPUTED_VALUE"""),45264.66666666667)</f>
        <v>45264.66667</v>
      </c>
      <c r="B233" s="2">
        <f>IFERROR(__xludf.DUMMYFUNCTION("""COMPUTED_VALUE"""),317.29)</f>
        <v>317.29</v>
      </c>
      <c r="C233" s="2">
        <f>IFERROR(__xludf.DUMMYFUNCTION("""COMPUTED_VALUE"""),320.86)</f>
        <v>320.86</v>
      </c>
      <c r="D233" s="2">
        <f>IFERROR(__xludf.DUMMYFUNCTION("""COMPUTED_VALUE"""),313.66)</f>
        <v>313.66</v>
      </c>
      <c r="E233" s="2">
        <f>IFERROR(__xludf.DUMMYFUNCTION("""COMPUTED_VALUE"""),320.02)</f>
        <v>320.02</v>
      </c>
      <c r="F233" s="2">
        <f>IFERROR(__xludf.DUMMYFUNCTION("""COMPUTED_VALUE"""),1.903708E7)</f>
        <v>19037080</v>
      </c>
    </row>
    <row r="234">
      <c r="A234" s="3">
        <f>IFERROR(__xludf.DUMMYFUNCTION("""COMPUTED_VALUE"""),45265.66666666667)</f>
        <v>45265.66667</v>
      </c>
      <c r="B234" s="2">
        <f>IFERROR(__xludf.DUMMYFUNCTION("""COMPUTED_VALUE"""),318.98)</f>
        <v>318.98</v>
      </c>
      <c r="C234" s="2">
        <f>IFERROR(__xludf.DUMMYFUNCTION("""COMPUTED_VALUE"""),321.88)</f>
        <v>321.88</v>
      </c>
      <c r="D234" s="2">
        <f>IFERROR(__xludf.DUMMYFUNCTION("""COMPUTED_VALUE"""),315.39)</f>
        <v>315.39</v>
      </c>
      <c r="E234" s="2">
        <f>IFERROR(__xludf.DUMMYFUNCTION("""COMPUTED_VALUE"""),318.29)</f>
        <v>318.29</v>
      </c>
      <c r="F234" s="2">
        <f>IFERROR(__xludf.DUMMYFUNCTION("""COMPUTED_VALUE"""),1.6952128E7)</f>
        <v>16952128</v>
      </c>
    </row>
    <row r="235">
      <c r="A235" s="3">
        <f>IFERROR(__xludf.DUMMYFUNCTION("""COMPUTED_VALUE"""),45266.66666666667)</f>
        <v>45266.66667</v>
      </c>
      <c r="B235" s="2">
        <f>IFERROR(__xludf.DUMMYFUNCTION("""COMPUTED_VALUE"""),321.93)</f>
        <v>321.93</v>
      </c>
      <c r="C235" s="2">
        <f>IFERROR(__xludf.DUMMYFUNCTION("""COMPUTED_VALUE"""),322.25)</f>
        <v>322.25</v>
      </c>
      <c r="D235" s="2">
        <f>IFERROR(__xludf.DUMMYFUNCTION("""COMPUTED_VALUE"""),317.04)</f>
        <v>317.04</v>
      </c>
      <c r="E235" s="2">
        <f>IFERROR(__xludf.DUMMYFUNCTION("""COMPUTED_VALUE"""),317.45)</f>
        <v>317.45</v>
      </c>
      <c r="F235" s="2">
        <f>IFERROR(__xludf.DUMMYFUNCTION("""COMPUTED_VALUE"""),1.1294337E7)</f>
        <v>11294337</v>
      </c>
    </row>
    <row r="236">
      <c r="A236" s="3">
        <f>IFERROR(__xludf.DUMMYFUNCTION("""COMPUTED_VALUE"""),45267.66666666667)</f>
        <v>45267.66667</v>
      </c>
      <c r="B236" s="2">
        <f>IFERROR(__xludf.DUMMYFUNCTION("""COMPUTED_VALUE"""),317.77)</f>
        <v>317.77</v>
      </c>
      <c r="C236" s="2">
        <f>IFERROR(__xludf.DUMMYFUNCTION("""COMPUTED_VALUE"""),328.24)</f>
        <v>328.24</v>
      </c>
      <c r="D236" s="2">
        <f>IFERROR(__xludf.DUMMYFUNCTION("""COMPUTED_VALUE"""),317.77)</f>
        <v>317.77</v>
      </c>
      <c r="E236" s="2">
        <f>IFERROR(__xludf.DUMMYFUNCTION("""COMPUTED_VALUE"""),326.59)</f>
        <v>326.59</v>
      </c>
      <c r="F236" s="2">
        <f>IFERROR(__xludf.DUMMYFUNCTION("""COMPUTED_VALUE"""),1.5905079E7)</f>
        <v>15905079</v>
      </c>
    </row>
    <row r="237">
      <c r="A237" s="3">
        <f>IFERROR(__xludf.DUMMYFUNCTION("""COMPUTED_VALUE"""),45268.66666666667)</f>
        <v>45268.66667</v>
      </c>
      <c r="B237" s="2">
        <f>IFERROR(__xludf.DUMMYFUNCTION("""COMPUTED_VALUE"""),323.09)</f>
        <v>323.09</v>
      </c>
      <c r="C237" s="2">
        <f>IFERROR(__xludf.DUMMYFUNCTION("""COMPUTED_VALUE"""),333.17)</f>
        <v>333.17</v>
      </c>
      <c r="D237" s="2">
        <f>IFERROR(__xludf.DUMMYFUNCTION("""COMPUTED_VALUE"""),323.0)</f>
        <v>323</v>
      </c>
      <c r="E237" s="2">
        <f>IFERROR(__xludf.DUMMYFUNCTION("""COMPUTED_VALUE"""),332.75)</f>
        <v>332.75</v>
      </c>
      <c r="F237" s="2">
        <f>IFERROR(__xludf.DUMMYFUNCTION("""COMPUTED_VALUE"""),1.4087351E7)</f>
        <v>14087351</v>
      </c>
    </row>
    <row r="238">
      <c r="A238" s="3">
        <f>IFERROR(__xludf.DUMMYFUNCTION("""COMPUTED_VALUE"""),45271.66666666667)</f>
        <v>45271.66667</v>
      </c>
      <c r="B238" s="2">
        <f>IFERROR(__xludf.DUMMYFUNCTION("""COMPUTED_VALUE"""),329.4)</f>
        <v>329.4</v>
      </c>
      <c r="C238" s="2">
        <f>IFERROR(__xludf.DUMMYFUNCTION("""COMPUTED_VALUE"""),329.89)</f>
        <v>329.89</v>
      </c>
      <c r="D238" s="2">
        <f>IFERROR(__xludf.DUMMYFUNCTION("""COMPUTED_VALUE"""),320.0)</f>
        <v>320</v>
      </c>
      <c r="E238" s="2">
        <f>IFERROR(__xludf.DUMMYFUNCTION("""COMPUTED_VALUE"""),325.28)</f>
        <v>325.28</v>
      </c>
      <c r="F238" s="2">
        <f>IFERROR(__xludf.DUMMYFUNCTION("""COMPUTED_VALUE"""),2.5802462E7)</f>
        <v>25802462</v>
      </c>
    </row>
    <row r="239">
      <c r="A239" s="3">
        <f>IFERROR(__xludf.DUMMYFUNCTION("""COMPUTED_VALUE"""),45272.66666666667)</f>
        <v>45272.66667</v>
      </c>
      <c r="B239" s="2">
        <f>IFERROR(__xludf.DUMMYFUNCTION("""COMPUTED_VALUE"""),324.6)</f>
        <v>324.6</v>
      </c>
      <c r="C239" s="2">
        <f>IFERROR(__xludf.DUMMYFUNCTION("""COMPUTED_VALUE"""),334.47)</f>
        <v>334.47</v>
      </c>
      <c r="D239" s="2">
        <f>IFERROR(__xludf.DUMMYFUNCTION("""COMPUTED_VALUE"""),324.56)</f>
        <v>324.56</v>
      </c>
      <c r="E239" s="2">
        <f>IFERROR(__xludf.DUMMYFUNCTION("""COMPUTED_VALUE"""),334.22)</f>
        <v>334.22</v>
      </c>
      <c r="F239" s="2">
        <f>IFERROR(__xludf.DUMMYFUNCTION("""COMPUTED_VALUE"""),1.8485461E7)</f>
        <v>18485461</v>
      </c>
    </row>
    <row r="240">
      <c r="A240" s="3">
        <f>IFERROR(__xludf.DUMMYFUNCTION("""COMPUTED_VALUE"""),45273.66666666667)</f>
        <v>45273.66667</v>
      </c>
      <c r="B240" s="2">
        <f>IFERROR(__xludf.DUMMYFUNCTION("""COMPUTED_VALUE"""),333.93)</f>
        <v>333.93</v>
      </c>
      <c r="C240" s="2">
        <f>IFERROR(__xludf.DUMMYFUNCTION("""COMPUTED_VALUE"""),338.37)</f>
        <v>338.37</v>
      </c>
      <c r="D240" s="2">
        <f>IFERROR(__xludf.DUMMYFUNCTION("""COMPUTED_VALUE"""),332.64)</f>
        <v>332.64</v>
      </c>
      <c r="E240" s="2">
        <f>IFERROR(__xludf.DUMMYFUNCTION("""COMPUTED_VALUE"""),334.74)</f>
        <v>334.74</v>
      </c>
      <c r="F240" s="2">
        <f>IFERROR(__xludf.DUMMYFUNCTION("""COMPUTED_VALUE"""),1.6353321E7)</f>
        <v>16353321</v>
      </c>
    </row>
    <row r="241">
      <c r="A241" s="3">
        <f>IFERROR(__xludf.DUMMYFUNCTION("""COMPUTED_VALUE"""),45274.66666666667)</f>
        <v>45274.66667</v>
      </c>
      <c r="B241" s="2">
        <f>IFERROR(__xludf.DUMMYFUNCTION("""COMPUTED_VALUE"""),333.85)</f>
        <v>333.85</v>
      </c>
      <c r="C241" s="2">
        <f>IFERROR(__xludf.DUMMYFUNCTION("""COMPUTED_VALUE"""),334.7)</f>
        <v>334.7</v>
      </c>
      <c r="D241" s="2">
        <f>IFERROR(__xludf.DUMMYFUNCTION("""COMPUTED_VALUE"""),328.64)</f>
        <v>328.64</v>
      </c>
      <c r="E241" s="2">
        <f>IFERROR(__xludf.DUMMYFUNCTION("""COMPUTED_VALUE"""),333.17)</f>
        <v>333.17</v>
      </c>
      <c r="F241" s="2">
        <f>IFERROR(__xludf.DUMMYFUNCTION("""COMPUTED_VALUE"""),1.9607335E7)</f>
        <v>19607335</v>
      </c>
    </row>
    <row r="242">
      <c r="A242" s="3">
        <f>IFERROR(__xludf.DUMMYFUNCTION("""COMPUTED_VALUE"""),45275.66666666667)</f>
        <v>45275.66667</v>
      </c>
      <c r="B242" s="2">
        <f>IFERROR(__xludf.DUMMYFUNCTION("""COMPUTED_VALUE"""),331.99)</f>
        <v>331.99</v>
      </c>
      <c r="C242" s="2">
        <f>IFERROR(__xludf.DUMMYFUNCTION("""COMPUTED_VALUE"""),338.66)</f>
        <v>338.66</v>
      </c>
      <c r="D242" s="2">
        <f>IFERROR(__xludf.DUMMYFUNCTION("""COMPUTED_VALUE"""),331.22)</f>
        <v>331.22</v>
      </c>
      <c r="E242" s="2">
        <f>IFERROR(__xludf.DUMMYFUNCTION("""COMPUTED_VALUE"""),334.92)</f>
        <v>334.92</v>
      </c>
      <c r="F242" s="2">
        <f>IFERROR(__xludf.DUMMYFUNCTION("""COMPUTED_VALUE"""),3.1776852E7)</f>
        <v>31776852</v>
      </c>
    </row>
    <row r="243">
      <c r="A243" s="3">
        <f>IFERROR(__xludf.DUMMYFUNCTION("""COMPUTED_VALUE"""),45278.66666666667)</f>
        <v>45278.66667</v>
      </c>
      <c r="B243" s="2">
        <f>IFERROR(__xludf.DUMMYFUNCTION("""COMPUTED_VALUE"""),337.48)</f>
        <v>337.48</v>
      </c>
      <c r="C243" s="2">
        <f>IFERROR(__xludf.DUMMYFUNCTION("""COMPUTED_VALUE"""),347.56)</f>
        <v>347.56</v>
      </c>
      <c r="D243" s="2">
        <f>IFERROR(__xludf.DUMMYFUNCTION("""COMPUTED_VALUE"""),337.02)</f>
        <v>337.02</v>
      </c>
      <c r="E243" s="2">
        <f>IFERROR(__xludf.DUMMYFUNCTION("""COMPUTED_VALUE"""),344.62)</f>
        <v>344.62</v>
      </c>
      <c r="F243" s="2">
        <f>IFERROR(__xludf.DUMMYFUNCTION("""COMPUTED_VALUE"""),1.8993852E7)</f>
        <v>18993852</v>
      </c>
    </row>
    <row r="244">
      <c r="A244" s="3">
        <f>IFERROR(__xludf.DUMMYFUNCTION("""COMPUTED_VALUE"""),45279.66666666667)</f>
        <v>45279.66667</v>
      </c>
      <c r="B244" s="2">
        <f>IFERROR(__xludf.DUMMYFUNCTION("""COMPUTED_VALUE"""),345.58)</f>
        <v>345.58</v>
      </c>
      <c r="C244" s="2">
        <f>IFERROR(__xludf.DUMMYFUNCTION("""COMPUTED_VALUE"""),353.6)</f>
        <v>353.6</v>
      </c>
      <c r="D244" s="2">
        <f>IFERROR(__xludf.DUMMYFUNCTION("""COMPUTED_VALUE"""),345.12)</f>
        <v>345.12</v>
      </c>
      <c r="E244" s="2">
        <f>IFERROR(__xludf.DUMMYFUNCTION("""COMPUTED_VALUE"""),350.36)</f>
        <v>350.36</v>
      </c>
      <c r="F244" s="2">
        <f>IFERROR(__xludf.DUMMYFUNCTION("""COMPUTED_VALUE"""),1.7729362E7)</f>
        <v>17729362</v>
      </c>
    </row>
    <row r="245">
      <c r="A245" s="3">
        <f>IFERROR(__xludf.DUMMYFUNCTION("""COMPUTED_VALUE"""),45280.66666666667)</f>
        <v>45280.66667</v>
      </c>
      <c r="B245" s="2">
        <f>IFERROR(__xludf.DUMMYFUNCTION("""COMPUTED_VALUE"""),348.65)</f>
        <v>348.65</v>
      </c>
      <c r="C245" s="2">
        <f>IFERROR(__xludf.DUMMYFUNCTION("""COMPUTED_VALUE"""),354.96)</f>
        <v>354.96</v>
      </c>
      <c r="D245" s="2">
        <f>IFERROR(__xludf.DUMMYFUNCTION("""COMPUTED_VALUE"""),347.79)</f>
        <v>347.79</v>
      </c>
      <c r="E245" s="2">
        <f>IFERROR(__xludf.DUMMYFUNCTION("""COMPUTED_VALUE"""),349.28)</f>
        <v>349.28</v>
      </c>
      <c r="F245" s="2">
        <f>IFERROR(__xludf.DUMMYFUNCTION("""COMPUTED_VALUE"""),1.636985E7)</f>
        <v>16369850</v>
      </c>
    </row>
    <row r="246">
      <c r="A246" s="3">
        <f>IFERROR(__xludf.DUMMYFUNCTION("""COMPUTED_VALUE"""),45281.66666666667)</f>
        <v>45281.66667</v>
      </c>
      <c r="B246" s="2">
        <f>IFERROR(__xludf.DUMMYFUNCTION("""COMPUTED_VALUE"""),352.98)</f>
        <v>352.98</v>
      </c>
      <c r="C246" s="2">
        <f>IFERROR(__xludf.DUMMYFUNCTION("""COMPUTED_VALUE"""),356.41)</f>
        <v>356.41</v>
      </c>
      <c r="D246" s="2">
        <f>IFERROR(__xludf.DUMMYFUNCTION("""COMPUTED_VALUE"""),349.21)</f>
        <v>349.21</v>
      </c>
      <c r="E246" s="2">
        <f>IFERROR(__xludf.DUMMYFUNCTION("""COMPUTED_VALUE"""),354.09)</f>
        <v>354.09</v>
      </c>
      <c r="F246" s="2">
        <f>IFERROR(__xludf.DUMMYFUNCTION("""COMPUTED_VALUE"""),1.5289556E7)</f>
        <v>15289556</v>
      </c>
    </row>
    <row r="247">
      <c r="A247" s="3">
        <f>IFERROR(__xludf.DUMMYFUNCTION("""COMPUTED_VALUE"""),45282.66666666667)</f>
        <v>45282.66667</v>
      </c>
      <c r="B247" s="2">
        <f>IFERROR(__xludf.DUMMYFUNCTION("""COMPUTED_VALUE"""),355.58)</f>
        <v>355.58</v>
      </c>
      <c r="C247" s="2">
        <f>IFERROR(__xludf.DUMMYFUNCTION("""COMPUTED_VALUE"""),357.2)</f>
        <v>357.2</v>
      </c>
      <c r="D247" s="2">
        <f>IFERROR(__xludf.DUMMYFUNCTION("""COMPUTED_VALUE"""),351.22)</f>
        <v>351.22</v>
      </c>
      <c r="E247" s="2">
        <f>IFERROR(__xludf.DUMMYFUNCTION("""COMPUTED_VALUE"""),353.39)</f>
        <v>353.39</v>
      </c>
      <c r="F247" s="2">
        <f>IFERROR(__xludf.DUMMYFUNCTION("""COMPUTED_VALUE"""),1.1772779E7)</f>
        <v>11772779</v>
      </c>
    </row>
    <row r="248">
      <c r="A248" s="3">
        <f>IFERROR(__xludf.DUMMYFUNCTION("""COMPUTED_VALUE"""),45286.66666666667)</f>
        <v>45286.66667</v>
      </c>
      <c r="B248" s="2">
        <f>IFERROR(__xludf.DUMMYFUNCTION("""COMPUTED_VALUE"""),354.99)</f>
        <v>354.99</v>
      </c>
      <c r="C248" s="2">
        <f>IFERROR(__xludf.DUMMYFUNCTION("""COMPUTED_VALUE"""),356.98)</f>
        <v>356.98</v>
      </c>
      <c r="D248" s="2">
        <f>IFERROR(__xludf.DUMMYFUNCTION("""COMPUTED_VALUE"""),353.45)</f>
        <v>353.45</v>
      </c>
      <c r="E248" s="2">
        <f>IFERROR(__xludf.DUMMYFUNCTION("""COMPUTED_VALUE"""),354.83)</f>
        <v>354.83</v>
      </c>
      <c r="F248" s="2">
        <f>IFERROR(__xludf.DUMMYFUNCTION("""COMPUTED_VALUE"""),9898614.0)</f>
        <v>9898614</v>
      </c>
    </row>
    <row r="249">
      <c r="A249" s="3">
        <f>IFERROR(__xludf.DUMMYFUNCTION("""COMPUTED_VALUE"""),45287.66666666667)</f>
        <v>45287.66667</v>
      </c>
      <c r="B249" s="2">
        <f>IFERROR(__xludf.DUMMYFUNCTION("""COMPUTED_VALUE"""),356.07)</f>
        <v>356.07</v>
      </c>
      <c r="C249" s="2">
        <f>IFERROR(__xludf.DUMMYFUNCTION("""COMPUTED_VALUE"""),359.0)</f>
        <v>359</v>
      </c>
      <c r="D249" s="2">
        <f>IFERROR(__xludf.DUMMYFUNCTION("""COMPUTED_VALUE"""),355.31)</f>
        <v>355.31</v>
      </c>
      <c r="E249" s="2">
        <f>IFERROR(__xludf.DUMMYFUNCTION("""COMPUTED_VALUE"""),357.83)</f>
        <v>357.83</v>
      </c>
      <c r="F249" s="2">
        <f>IFERROR(__xludf.DUMMYFUNCTION("""COMPUTED_VALUE"""),1.3207928E7)</f>
        <v>13207928</v>
      </c>
    </row>
    <row r="250">
      <c r="A250" s="3">
        <f>IFERROR(__xludf.DUMMYFUNCTION("""COMPUTED_VALUE"""),45288.66666666667)</f>
        <v>45288.66667</v>
      </c>
      <c r="B250" s="2">
        <f>IFERROR(__xludf.DUMMYFUNCTION("""COMPUTED_VALUE"""),359.7)</f>
        <v>359.7</v>
      </c>
      <c r="C250" s="2">
        <f>IFERROR(__xludf.DUMMYFUNCTION("""COMPUTED_VALUE"""),361.9)</f>
        <v>361.9</v>
      </c>
      <c r="D250" s="2">
        <f>IFERROR(__xludf.DUMMYFUNCTION("""COMPUTED_VALUE"""),357.81)</f>
        <v>357.81</v>
      </c>
      <c r="E250" s="2">
        <f>IFERROR(__xludf.DUMMYFUNCTION("""COMPUTED_VALUE"""),358.32)</f>
        <v>358.32</v>
      </c>
      <c r="F250" s="2">
        <f>IFERROR(__xludf.DUMMYFUNCTION("""COMPUTED_VALUE"""),1.1798807E7)</f>
        <v>11798807</v>
      </c>
    </row>
    <row r="251">
      <c r="A251" s="3">
        <f>IFERROR(__xludf.DUMMYFUNCTION("""COMPUTED_VALUE"""),45289.66666666667)</f>
        <v>45289.66667</v>
      </c>
      <c r="B251" s="2">
        <f>IFERROR(__xludf.DUMMYFUNCTION("""COMPUTED_VALUE"""),358.99)</f>
        <v>358.99</v>
      </c>
      <c r="C251" s="2">
        <f>IFERROR(__xludf.DUMMYFUNCTION("""COMPUTED_VALUE"""),360.0)</f>
        <v>360</v>
      </c>
      <c r="D251" s="2">
        <f>IFERROR(__xludf.DUMMYFUNCTION("""COMPUTED_VALUE"""),351.82)</f>
        <v>351.82</v>
      </c>
      <c r="E251" s="2">
        <f>IFERROR(__xludf.DUMMYFUNCTION("""COMPUTED_VALUE"""),353.96)</f>
        <v>353.96</v>
      </c>
      <c r="F251" s="2">
        <f>IFERROR(__xludf.DUMMYFUNCTION("""COMPUTED_VALUE"""),1.4987092E7)</f>
        <v>14987092</v>
      </c>
    </row>
    <row r="252">
      <c r="A252" s="3">
        <f>IFERROR(__xludf.DUMMYFUNCTION("""COMPUTED_VALUE"""),45293.66666666667)</f>
        <v>45293.66667</v>
      </c>
      <c r="B252" s="2">
        <f>IFERROR(__xludf.DUMMYFUNCTION("""COMPUTED_VALUE"""),351.32)</f>
        <v>351.32</v>
      </c>
      <c r="C252" s="2">
        <f>IFERROR(__xludf.DUMMYFUNCTION("""COMPUTED_VALUE"""),353.16)</f>
        <v>353.16</v>
      </c>
      <c r="D252" s="2">
        <f>IFERROR(__xludf.DUMMYFUNCTION("""COMPUTED_VALUE"""),340.01)</f>
        <v>340.01</v>
      </c>
      <c r="E252" s="2">
        <f>IFERROR(__xludf.DUMMYFUNCTION("""COMPUTED_VALUE"""),346.29)</f>
        <v>346.29</v>
      </c>
      <c r="F252" s="2">
        <f>IFERROR(__xludf.DUMMYFUNCTION("""COMPUTED_VALUE"""),1.9042152E7)</f>
        <v>19042152</v>
      </c>
    </row>
    <row r="253">
      <c r="A253" s="3">
        <f>IFERROR(__xludf.DUMMYFUNCTION("""COMPUTED_VALUE"""),45294.66666666667)</f>
        <v>45294.66667</v>
      </c>
      <c r="B253" s="2">
        <f>IFERROR(__xludf.DUMMYFUNCTION("""COMPUTED_VALUE"""),344.98)</f>
        <v>344.98</v>
      </c>
      <c r="C253" s="2">
        <f>IFERROR(__xludf.DUMMYFUNCTION("""COMPUTED_VALUE"""),347.95)</f>
        <v>347.95</v>
      </c>
      <c r="D253" s="2">
        <f>IFERROR(__xludf.DUMMYFUNCTION("""COMPUTED_VALUE"""),343.18)</f>
        <v>343.18</v>
      </c>
      <c r="E253" s="2">
        <f>IFERROR(__xludf.DUMMYFUNCTION("""COMPUTED_VALUE"""),344.47)</f>
        <v>344.47</v>
      </c>
      <c r="F253" s="2">
        <f>IFERROR(__xludf.DUMMYFUNCTION("""COMPUTED_VALUE"""),1.5451133E7)</f>
        <v>15451133</v>
      </c>
    </row>
    <row r="254">
      <c r="A254" s="3">
        <f>IFERROR(__xludf.DUMMYFUNCTION("""COMPUTED_VALUE"""),45295.66666666667)</f>
        <v>45295.66667</v>
      </c>
      <c r="B254" s="2">
        <f>IFERROR(__xludf.DUMMYFUNCTION("""COMPUTED_VALUE"""),344.5)</f>
        <v>344.5</v>
      </c>
      <c r="C254" s="2">
        <f>IFERROR(__xludf.DUMMYFUNCTION("""COMPUTED_VALUE"""),348.15)</f>
        <v>348.15</v>
      </c>
      <c r="D254" s="2">
        <f>IFERROR(__xludf.DUMMYFUNCTION("""COMPUTED_VALUE"""),343.4)</f>
        <v>343.4</v>
      </c>
      <c r="E254" s="2">
        <f>IFERROR(__xludf.DUMMYFUNCTION("""COMPUTED_VALUE"""),347.12)</f>
        <v>347.12</v>
      </c>
      <c r="F254" s="2">
        <f>IFERROR(__xludf.DUMMYFUNCTION("""COMPUTED_VALUE"""),1.2099895E7)</f>
        <v>12099895</v>
      </c>
    </row>
    <row r="255">
      <c r="A255" s="3">
        <f>IFERROR(__xludf.DUMMYFUNCTION("""COMPUTED_VALUE"""),45296.66666666667)</f>
        <v>45296.66667</v>
      </c>
      <c r="B255" s="2">
        <f>IFERROR(__xludf.DUMMYFUNCTION("""COMPUTED_VALUE"""),346.99)</f>
        <v>346.99</v>
      </c>
      <c r="C255" s="2">
        <f>IFERROR(__xludf.DUMMYFUNCTION("""COMPUTED_VALUE"""),353.5)</f>
        <v>353.5</v>
      </c>
      <c r="D255" s="2">
        <f>IFERROR(__xludf.DUMMYFUNCTION("""COMPUTED_VALUE"""),346.26)</f>
        <v>346.26</v>
      </c>
      <c r="E255" s="2">
        <f>IFERROR(__xludf.DUMMYFUNCTION("""COMPUTED_VALUE"""),351.95)</f>
        <v>351.95</v>
      </c>
      <c r="F255" s="2">
        <f>IFERROR(__xludf.DUMMYFUNCTION("""COMPUTED_VALUE"""),1.3750912E7)</f>
        <v>13750912</v>
      </c>
    </row>
    <row r="256">
      <c r="A256" s="3">
        <f>IFERROR(__xludf.DUMMYFUNCTION("""COMPUTED_VALUE"""),45299.66666666667)</f>
        <v>45299.66667</v>
      </c>
      <c r="B256" s="2">
        <f>IFERROR(__xludf.DUMMYFUNCTION("""COMPUTED_VALUE"""),354.7)</f>
        <v>354.7</v>
      </c>
      <c r="C256" s="2">
        <f>IFERROR(__xludf.DUMMYFUNCTION("""COMPUTED_VALUE"""),358.98)</f>
        <v>358.98</v>
      </c>
      <c r="D256" s="2">
        <f>IFERROR(__xludf.DUMMYFUNCTION("""COMPUTED_VALUE"""),352.05)</f>
        <v>352.05</v>
      </c>
      <c r="E256" s="2">
        <f>IFERROR(__xludf.DUMMYFUNCTION("""COMPUTED_VALUE"""),358.66)</f>
        <v>358.66</v>
      </c>
      <c r="F256" s="2">
        <f>IFERROR(__xludf.DUMMYFUNCTION("""COMPUTED_VALUE"""),1.3890222E7)</f>
        <v>13890222</v>
      </c>
    </row>
    <row r="257">
      <c r="A257" s="3">
        <f>IFERROR(__xludf.DUMMYFUNCTION("""COMPUTED_VALUE"""),45300.66666666667)</f>
        <v>45300.66667</v>
      </c>
      <c r="B257" s="2">
        <f>IFERROR(__xludf.DUMMYFUNCTION("""COMPUTED_VALUE"""),356.4)</f>
        <v>356.4</v>
      </c>
      <c r="C257" s="2">
        <f>IFERROR(__xludf.DUMMYFUNCTION("""COMPUTED_VALUE"""),360.64)</f>
        <v>360.64</v>
      </c>
      <c r="D257" s="2">
        <f>IFERROR(__xludf.DUMMYFUNCTION("""COMPUTED_VALUE"""),355.36)</f>
        <v>355.36</v>
      </c>
      <c r="E257" s="2">
        <f>IFERROR(__xludf.DUMMYFUNCTION("""COMPUTED_VALUE"""),357.43)</f>
        <v>357.43</v>
      </c>
      <c r="F257" s="2">
        <f>IFERROR(__xludf.DUMMYFUNCTION("""COMPUTED_VALUE"""),1.3463871E7)</f>
        <v>13463871</v>
      </c>
    </row>
    <row r="258">
      <c r="A258" s="3">
        <f>IFERROR(__xludf.DUMMYFUNCTION("""COMPUTED_VALUE"""),45301.66666666667)</f>
        <v>45301.66667</v>
      </c>
      <c r="B258" s="2">
        <f>IFERROR(__xludf.DUMMYFUNCTION("""COMPUTED_VALUE"""),360.17)</f>
        <v>360.17</v>
      </c>
      <c r="C258" s="2">
        <f>IFERROR(__xludf.DUMMYFUNCTION("""COMPUTED_VALUE"""),372.94)</f>
        <v>372.94</v>
      </c>
      <c r="D258" s="2">
        <f>IFERROR(__xludf.DUMMYFUNCTION("""COMPUTED_VALUE"""),359.08)</f>
        <v>359.08</v>
      </c>
      <c r="E258" s="2">
        <f>IFERROR(__xludf.DUMMYFUNCTION("""COMPUTED_VALUE"""),370.47)</f>
        <v>370.47</v>
      </c>
      <c r="F258" s="2">
        <f>IFERROR(__xludf.DUMMYFUNCTION("""COMPUTED_VALUE"""),2.2117206E7)</f>
        <v>22117206</v>
      </c>
    </row>
    <row r="259">
      <c r="A259" s="3">
        <f>IFERROR(__xludf.DUMMYFUNCTION("""COMPUTED_VALUE"""),45302.66666666667)</f>
        <v>45302.66667</v>
      </c>
      <c r="B259" s="2">
        <f>IFERROR(__xludf.DUMMYFUNCTION("""COMPUTED_VALUE"""),372.13)</f>
        <v>372.13</v>
      </c>
      <c r="C259" s="2">
        <f>IFERROR(__xludf.DUMMYFUNCTION("""COMPUTED_VALUE"""),372.78)</f>
        <v>372.78</v>
      </c>
      <c r="D259" s="2">
        <f>IFERROR(__xludf.DUMMYFUNCTION("""COMPUTED_VALUE"""),362.93)</f>
        <v>362.93</v>
      </c>
      <c r="E259" s="2">
        <f>IFERROR(__xludf.DUMMYFUNCTION("""COMPUTED_VALUE"""),369.67)</f>
        <v>369.67</v>
      </c>
      <c r="F259" s="2">
        <f>IFERROR(__xludf.DUMMYFUNCTION("""COMPUTED_VALUE"""),1.7205385E7)</f>
        <v>17205385</v>
      </c>
    </row>
    <row r="260">
      <c r="A260" s="3">
        <f>IFERROR(__xludf.DUMMYFUNCTION("""COMPUTED_VALUE"""),45303.66666666667)</f>
        <v>45303.66667</v>
      </c>
      <c r="B260" s="2">
        <f>IFERROR(__xludf.DUMMYFUNCTION("""COMPUTED_VALUE"""),370.16)</f>
        <v>370.16</v>
      </c>
      <c r="C260" s="2">
        <f>IFERROR(__xludf.DUMMYFUNCTION("""COMPUTED_VALUE"""),377.06)</f>
        <v>377.06</v>
      </c>
      <c r="D260" s="2">
        <f>IFERROR(__xludf.DUMMYFUNCTION("""COMPUTED_VALUE"""),369.54)</f>
        <v>369.54</v>
      </c>
      <c r="E260" s="2">
        <f>IFERROR(__xludf.DUMMYFUNCTION("""COMPUTED_VALUE"""),374.49)</f>
        <v>374.49</v>
      </c>
      <c r="F260" s="2">
        <f>IFERROR(__xludf.DUMMYFUNCTION("""COMPUTED_VALUE"""),1.9310046E7)</f>
        <v>19310046</v>
      </c>
    </row>
    <row r="261">
      <c r="A261" s="3">
        <f>IFERROR(__xludf.DUMMYFUNCTION("""COMPUTED_VALUE"""),45307.66666666667)</f>
        <v>45307.66667</v>
      </c>
      <c r="B261" s="2">
        <f>IFERROR(__xludf.DUMMYFUNCTION("""COMPUTED_VALUE"""),373.65)</f>
        <v>373.65</v>
      </c>
      <c r="C261" s="2">
        <f>IFERROR(__xludf.DUMMYFUNCTION("""COMPUTED_VALUE"""),375.61)</f>
        <v>375.61</v>
      </c>
      <c r="D261" s="2">
        <f>IFERROR(__xludf.DUMMYFUNCTION("""COMPUTED_VALUE"""),367.23)</f>
        <v>367.23</v>
      </c>
      <c r="E261" s="2">
        <f>IFERROR(__xludf.DUMMYFUNCTION("""COMPUTED_VALUE"""),367.46)</f>
        <v>367.46</v>
      </c>
      <c r="F261" s="2">
        <f>IFERROR(__xludf.DUMMYFUNCTION("""COMPUTED_VALUE"""),1.5306885E7)</f>
        <v>15306885</v>
      </c>
    </row>
    <row r="262">
      <c r="A262" s="3">
        <f>IFERROR(__xludf.DUMMYFUNCTION("""COMPUTED_VALUE"""),45308.66666666667)</f>
        <v>45308.66667</v>
      </c>
      <c r="B262" s="2">
        <f>IFERROR(__xludf.DUMMYFUNCTION("""COMPUTED_VALUE"""),366.3)</f>
        <v>366.3</v>
      </c>
      <c r="C262" s="2">
        <f>IFERROR(__xludf.DUMMYFUNCTION("""COMPUTED_VALUE"""),368.54)</f>
        <v>368.54</v>
      </c>
      <c r="D262" s="2">
        <f>IFERROR(__xludf.DUMMYFUNCTION("""COMPUTED_VALUE"""),358.61)</f>
        <v>358.61</v>
      </c>
      <c r="E262" s="2">
        <f>IFERROR(__xludf.DUMMYFUNCTION("""COMPUTED_VALUE"""),368.37)</f>
        <v>368.37</v>
      </c>
      <c r="F262" s="2">
        <f>IFERROR(__xludf.DUMMYFUNCTION("""COMPUTED_VALUE"""),1.2724779E7)</f>
        <v>12724779</v>
      </c>
    </row>
    <row r="263">
      <c r="A263" s="3">
        <f>IFERROR(__xludf.DUMMYFUNCTION("""COMPUTED_VALUE"""),45309.66666666667)</f>
        <v>45309.66667</v>
      </c>
      <c r="B263" s="2">
        <f>IFERROR(__xludf.DUMMYFUNCTION("""COMPUTED_VALUE"""),371.49)</f>
        <v>371.49</v>
      </c>
      <c r="C263" s="2">
        <f>IFERROR(__xludf.DUMMYFUNCTION("""COMPUTED_VALUE"""),376.85)</f>
        <v>376.85</v>
      </c>
      <c r="D263" s="2">
        <f>IFERROR(__xludf.DUMMYFUNCTION("""COMPUTED_VALUE"""),370.95)</f>
        <v>370.95</v>
      </c>
      <c r="E263" s="2">
        <f>IFERROR(__xludf.DUMMYFUNCTION("""COMPUTED_VALUE"""),376.13)</f>
        <v>376.13</v>
      </c>
      <c r="F263" s="2">
        <f>IFERROR(__xludf.DUMMYFUNCTION("""COMPUTED_VALUE"""),1.6354332E7)</f>
        <v>16354332</v>
      </c>
    </row>
    <row r="264">
      <c r="A264" s="3">
        <f>IFERROR(__xludf.DUMMYFUNCTION("""COMPUTED_VALUE"""),45310.66666666667)</f>
        <v>45310.66667</v>
      </c>
      <c r="B264" s="2">
        <f>IFERROR(__xludf.DUMMYFUNCTION("""COMPUTED_VALUE"""),379.0)</f>
        <v>379</v>
      </c>
      <c r="C264" s="2">
        <f>IFERROR(__xludf.DUMMYFUNCTION("""COMPUTED_VALUE"""),384.36)</f>
        <v>384.36</v>
      </c>
      <c r="D264" s="2">
        <f>IFERROR(__xludf.DUMMYFUNCTION("""COMPUTED_VALUE"""),377.97)</f>
        <v>377.97</v>
      </c>
      <c r="E264" s="2">
        <f>IFERROR(__xludf.DUMMYFUNCTION("""COMPUTED_VALUE"""),383.45)</f>
        <v>383.45</v>
      </c>
      <c r="F264" s="2">
        <f>IFERROR(__xludf.DUMMYFUNCTION("""COMPUTED_VALUE"""),2.1670806E7)</f>
        <v>21670806</v>
      </c>
    </row>
    <row r="265">
      <c r="A265" s="3">
        <f>IFERROR(__xludf.DUMMYFUNCTION("""COMPUTED_VALUE"""),45313.66666666667)</f>
        <v>45313.66667</v>
      </c>
      <c r="B265" s="2">
        <f>IFERROR(__xludf.DUMMYFUNCTION("""COMPUTED_VALUE"""),387.95)</f>
        <v>387.95</v>
      </c>
      <c r="C265" s="2">
        <f>IFERROR(__xludf.DUMMYFUNCTION("""COMPUTED_VALUE"""),390.35)</f>
        <v>390.35</v>
      </c>
      <c r="D265" s="2">
        <f>IFERROR(__xludf.DUMMYFUNCTION("""COMPUTED_VALUE"""),381.16)</f>
        <v>381.16</v>
      </c>
      <c r="E265" s="2">
        <f>IFERROR(__xludf.DUMMYFUNCTION("""COMPUTED_VALUE"""),381.78)</f>
        <v>381.78</v>
      </c>
      <c r="F265" s="2">
        <f>IFERROR(__xludf.DUMMYFUNCTION("""COMPUTED_VALUE"""),1.7680454E7)</f>
        <v>17680454</v>
      </c>
    </row>
    <row r="266">
      <c r="A266" s="3">
        <f>IFERROR(__xludf.DUMMYFUNCTION("""COMPUTED_VALUE"""),45314.66666666667)</f>
        <v>45314.66667</v>
      </c>
      <c r="B266" s="2">
        <f>IFERROR(__xludf.DUMMYFUNCTION("""COMPUTED_VALUE"""),384.62)</f>
        <v>384.62</v>
      </c>
      <c r="C266" s="2">
        <f>IFERROR(__xludf.DUMMYFUNCTION("""COMPUTED_VALUE"""),388.38)</f>
        <v>388.38</v>
      </c>
      <c r="D266" s="2">
        <f>IFERROR(__xludf.DUMMYFUNCTION("""COMPUTED_VALUE"""),382.08)</f>
        <v>382.08</v>
      </c>
      <c r="E266" s="2">
        <f>IFERROR(__xludf.DUMMYFUNCTION("""COMPUTED_VALUE"""),385.2)</f>
        <v>385.2</v>
      </c>
      <c r="F266" s="2">
        <f>IFERROR(__xludf.DUMMYFUNCTION("""COMPUTED_VALUE"""),1.5506096E7)</f>
        <v>15506096</v>
      </c>
    </row>
    <row r="267">
      <c r="A267" s="3">
        <f>IFERROR(__xludf.DUMMYFUNCTION("""COMPUTED_VALUE"""),45315.66666666667)</f>
        <v>45315.66667</v>
      </c>
      <c r="B267" s="2">
        <f>IFERROR(__xludf.DUMMYFUNCTION("""COMPUTED_VALUE"""),390.0)</f>
        <v>390</v>
      </c>
      <c r="C267" s="2">
        <f>IFERROR(__xludf.DUMMYFUNCTION("""COMPUTED_VALUE"""),396.15)</f>
        <v>396.15</v>
      </c>
      <c r="D267" s="2">
        <f>IFERROR(__xludf.DUMMYFUNCTION("""COMPUTED_VALUE"""),387.81)</f>
        <v>387.81</v>
      </c>
      <c r="E267" s="2">
        <f>IFERROR(__xludf.DUMMYFUNCTION("""COMPUTED_VALUE"""),390.7)</f>
        <v>390.7</v>
      </c>
      <c r="F267" s="2">
        <f>IFERROR(__xludf.DUMMYFUNCTION("""COMPUTED_VALUE"""),1.5604285E7)</f>
        <v>15604285</v>
      </c>
    </row>
    <row r="268">
      <c r="A268" s="3">
        <f>IFERROR(__xludf.DUMMYFUNCTION("""COMPUTED_VALUE"""),45316.66666666667)</f>
        <v>45316.66667</v>
      </c>
      <c r="B268" s="2">
        <f>IFERROR(__xludf.DUMMYFUNCTION("""COMPUTED_VALUE"""),390.17)</f>
        <v>390.17</v>
      </c>
      <c r="C268" s="2">
        <f>IFERROR(__xludf.DUMMYFUNCTION("""COMPUTED_VALUE"""),395.49)</f>
        <v>395.49</v>
      </c>
      <c r="D268" s="2">
        <f>IFERROR(__xludf.DUMMYFUNCTION("""COMPUTED_VALUE"""),385.66)</f>
        <v>385.66</v>
      </c>
      <c r="E268" s="2">
        <f>IFERROR(__xludf.DUMMYFUNCTION("""COMPUTED_VALUE"""),393.18)</f>
        <v>393.18</v>
      </c>
      <c r="F268" s="2">
        <f>IFERROR(__xludf.DUMMYFUNCTION("""COMPUTED_VALUE"""),1.509108E7)</f>
        <v>15091080</v>
      </c>
    </row>
    <row r="269">
      <c r="A269" s="3">
        <f>IFERROR(__xludf.DUMMYFUNCTION("""COMPUTED_VALUE"""),45317.66666666667)</f>
        <v>45317.66667</v>
      </c>
      <c r="B269" s="2">
        <f>IFERROR(__xludf.DUMMYFUNCTION("""COMPUTED_VALUE"""),394.35)</f>
        <v>394.35</v>
      </c>
      <c r="C269" s="2">
        <f>IFERROR(__xludf.DUMMYFUNCTION("""COMPUTED_VALUE"""),396.79)</f>
        <v>396.79</v>
      </c>
      <c r="D269" s="2">
        <f>IFERROR(__xludf.DUMMYFUNCTION("""COMPUTED_VALUE"""),391.59)</f>
        <v>391.59</v>
      </c>
      <c r="E269" s="2">
        <f>IFERROR(__xludf.DUMMYFUNCTION("""COMPUTED_VALUE"""),394.14)</f>
        <v>394.14</v>
      </c>
      <c r="F269" s="2">
        <f>IFERROR(__xludf.DUMMYFUNCTION("""COMPUTED_VALUE"""),1.315929E7)</f>
        <v>13159290</v>
      </c>
    </row>
    <row r="270">
      <c r="A270" s="3">
        <f>IFERROR(__xludf.DUMMYFUNCTION("""COMPUTED_VALUE"""),45320.66666666667)</f>
        <v>45320.66667</v>
      </c>
      <c r="B270" s="2">
        <f>IFERROR(__xludf.DUMMYFUNCTION("""COMPUTED_VALUE"""),394.99)</f>
        <v>394.99</v>
      </c>
      <c r="C270" s="2">
        <f>IFERROR(__xludf.DUMMYFUNCTION("""COMPUTED_VALUE"""),402.93)</f>
        <v>402.93</v>
      </c>
      <c r="D270" s="2">
        <f>IFERROR(__xludf.DUMMYFUNCTION("""COMPUTED_VALUE"""),393.1)</f>
        <v>393.1</v>
      </c>
      <c r="E270" s="2">
        <f>IFERROR(__xludf.DUMMYFUNCTION("""COMPUTED_VALUE"""),401.02)</f>
        <v>401.02</v>
      </c>
      <c r="F270" s="2">
        <f>IFERROR(__xludf.DUMMYFUNCTION("""COMPUTED_VALUE"""),1.8742433E7)</f>
        <v>18742433</v>
      </c>
    </row>
    <row r="271">
      <c r="A271" s="3">
        <f>IFERROR(__xludf.DUMMYFUNCTION("""COMPUTED_VALUE"""),45321.66666666667)</f>
        <v>45321.66667</v>
      </c>
      <c r="B271" s="2">
        <f>IFERROR(__xludf.DUMMYFUNCTION("""COMPUTED_VALUE"""),403.59)</f>
        <v>403.59</v>
      </c>
      <c r="C271" s="2">
        <f>IFERROR(__xludf.DUMMYFUNCTION("""COMPUTED_VALUE"""),406.36)</f>
        <v>406.36</v>
      </c>
      <c r="D271" s="2">
        <f>IFERROR(__xludf.DUMMYFUNCTION("""COMPUTED_VALUE"""),399.57)</f>
        <v>399.57</v>
      </c>
      <c r="E271" s="2">
        <f>IFERROR(__xludf.DUMMYFUNCTION("""COMPUTED_VALUE"""),400.06)</f>
        <v>400.06</v>
      </c>
      <c r="F271" s="2">
        <f>IFERROR(__xludf.DUMMYFUNCTION("""COMPUTED_VALUE"""),1.8614727E7)</f>
        <v>18614727</v>
      </c>
    </row>
    <row r="272">
      <c r="A272" s="3">
        <f>IFERROR(__xludf.DUMMYFUNCTION("""COMPUTED_VALUE"""),45322.66666666667)</f>
        <v>45322.66667</v>
      </c>
      <c r="B272" s="2">
        <f>IFERROR(__xludf.DUMMYFUNCTION("""COMPUTED_VALUE"""),389.0)</f>
        <v>389</v>
      </c>
      <c r="C272" s="2">
        <f>IFERROR(__xludf.DUMMYFUNCTION("""COMPUTED_VALUE"""),398.0)</f>
        <v>398</v>
      </c>
      <c r="D272" s="2">
        <f>IFERROR(__xludf.DUMMYFUNCTION("""COMPUTED_VALUE"""),387.1)</f>
        <v>387.1</v>
      </c>
      <c r="E272" s="2">
        <f>IFERROR(__xludf.DUMMYFUNCTION("""COMPUTED_VALUE"""),390.14)</f>
        <v>390.14</v>
      </c>
      <c r="F272" s="2">
        <f>IFERROR(__xludf.DUMMYFUNCTION("""COMPUTED_VALUE"""),2.0180817E7)</f>
        <v>20180817</v>
      </c>
    </row>
    <row r="273">
      <c r="A273" s="3">
        <f>IFERROR(__xludf.DUMMYFUNCTION("""COMPUTED_VALUE"""),45323.66666666667)</f>
        <v>45323.66667</v>
      </c>
      <c r="B273" s="2">
        <f>IFERROR(__xludf.DUMMYFUNCTION("""COMPUTED_VALUE"""),393.94)</f>
        <v>393.94</v>
      </c>
      <c r="C273" s="2">
        <f>IFERROR(__xludf.DUMMYFUNCTION("""COMPUTED_VALUE"""),400.5)</f>
        <v>400.5</v>
      </c>
      <c r="D273" s="2">
        <f>IFERROR(__xludf.DUMMYFUNCTION("""COMPUTED_VALUE"""),393.05)</f>
        <v>393.05</v>
      </c>
      <c r="E273" s="2">
        <f>IFERROR(__xludf.DUMMYFUNCTION("""COMPUTED_VALUE"""),394.78)</f>
        <v>394.78</v>
      </c>
      <c r="F273" s="2">
        <f>IFERROR(__xludf.DUMMYFUNCTION("""COMPUTED_VALUE"""),2.9727051E7)</f>
        <v>29727051</v>
      </c>
    </row>
    <row r="274">
      <c r="A274" s="3">
        <f>IFERROR(__xludf.DUMMYFUNCTION("""COMPUTED_VALUE"""),45324.66666666667)</f>
        <v>45324.66667</v>
      </c>
      <c r="B274" s="2">
        <f>IFERROR(__xludf.DUMMYFUNCTION("""COMPUTED_VALUE"""),459.6)</f>
        <v>459.6</v>
      </c>
      <c r="C274" s="2">
        <f>IFERROR(__xludf.DUMMYFUNCTION("""COMPUTED_VALUE"""),485.96)</f>
        <v>485.96</v>
      </c>
      <c r="D274" s="2">
        <f>IFERROR(__xludf.DUMMYFUNCTION("""COMPUTED_VALUE"""),453.01)</f>
        <v>453.01</v>
      </c>
      <c r="E274" s="2">
        <f>IFERROR(__xludf.DUMMYFUNCTION("""COMPUTED_VALUE"""),474.99)</f>
        <v>474.99</v>
      </c>
      <c r="F274" s="2">
        <f>IFERROR(__xludf.DUMMYFUNCTION("""COMPUTED_VALUE"""),8.4707646E7)</f>
        <v>84707646</v>
      </c>
    </row>
    <row r="275">
      <c r="A275" s="3">
        <f>IFERROR(__xludf.DUMMYFUNCTION("""COMPUTED_VALUE"""),45327.66666666667)</f>
        <v>45327.66667</v>
      </c>
      <c r="B275" s="2">
        <f>IFERROR(__xludf.DUMMYFUNCTION("""COMPUTED_VALUE"""),469.88)</f>
        <v>469.88</v>
      </c>
      <c r="C275" s="2">
        <f>IFERROR(__xludf.DUMMYFUNCTION("""COMPUTED_VALUE"""),471.9)</f>
        <v>471.9</v>
      </c>
      <c r="D275" s="2">
        <f>IFERROR(__xludf.DUMMYFUNCTION("""COMPUTED_VALUE"""),459.22)</f>
        <v>459.22</v>
      </c>
      <c r="E275" s="2">
        <f>IFERROR(__xludf.DUMMYFUNCTION("""COMPUTED_VALUE"""),459.41)</f>
        <v>459.41</v>
      </c>
      <c r="F275" s="2">
        <f>IFERROR(__xludf.DUMMYFUNCTION("""COMPUTED_VALUE"""),4.0832376E7)</f>
        <v>40832376</v>
      </c>
    </row>
    <row r="276">
      <c r="A276" s="3">
        <f>IFERROR(__xludf.DUMMYFUNCTION("""COMPUTED_VALUE"""),45328.66666666667)</f>
        <v>45328.66667</v>
      </c>
      <c r="B276" s="2">
        <f>IFERROR(__xludf.DUMMYFUNCTION("""COMPUTED_VALUE"""),464.0)</f>
        <v>464</v>
      </c>
      <c r="C276" s="2">
        <f>IFERROR(__xludf.DUMMYFUNCTION("""COMPUTED_VALUE"""),467.12)</f>
        <v>467.12</v>
      </c>
      <c r="D276" s="2">
        <f>IFERROR(__xludf.DUMMYFUNCTION("""COMPUTED_VALUE"""),453.0)</f>
        <v>453</v>
      </c>
      <c r="E276" s="2">
        <f>IFERROR(__xludf.DUMMYFUNCTION("""COMPUTED_VALUE"""),454.72)</f>
        <v>454.72</v>
      </c>
      <c r="F276" s="2">
        <f>IFERROR(__xludf.DUMMYFUNCTION("""COMPUTED_VALUE"""),2.1655214E7)</f>
        <v>21655214</v>
      </c>
    </row>
    <row r="277">
      <c r="A277" s="3">
        <f>IFERROR(__xludf.DUMMYFUNCTION("""COMPUTED_VALUE"""),45329.66666666667)</f>
        <v>45329.66667</v>
      </c>
      <c r="B277" s="2">
        <f>IFERROR(__xludf.DUMMYFUNCTION("""COMPUTED_VALUE"""),458.0)</f>
        <v>458</v>
      </c>
      <c r="C277" s="2">
        <f>IFERROR(__xludf.DUMMYFUNCTION("""COMPUTED_VALUE"""),471.52)</f>
        <v>471.52</v>
      </c>
      <c r="D277" s="2">
        <f>IFERROR(__xludf.DUMMYFUNCTION("""COMPUTED_VALUE"""),456.18)</f>
        <v>456.18</v>
      </c>
      <c r="E277" s="2">
        <f>IFERROR(__xludf.DUMMYFUNCTION("""COMPUTED_VALUE"""),469.59)</f>
        <v>469.59</v>
      </c>
      <c r="F277" s="2">
        <f>IFERROR(__xludf.DUMMYFUNCTION("""COMPUTED_VALUE"""),2.3065994E7)</f>
        <v>23065994</v>
      </c>
    </row>
    <row r="278">
      <c r="A278" s="3">
        <f>IFERROR(__xludf.DUMMYFUNCTION("""COMPUTED_VALUE"""),45330.66666666667)</f>
        <v>45330.66667</v>
      </c>
      <c r="B278" s="2">
        <f>IFERROR(__xludf.DUMMYFUNCTION("""COMPUTED_VALUE"""),468.32)</f>
        <v>468.32</v>
      </c>
      <c r="C278" s="2">
        <f>IFERROR(__xludf.DUMMYFUNCTION("""COMPUTED_VALUE"""),470.59)</f>
        <v>470.59</v>
      </c>
      <c r="D278" s="2">
        <f>IFERROR(__xludf.DUMMYFUNCTION("""COMPUTED_VALUE"""),465.03)</f>
        <v>465.03</v>
      </c>
      <c r="E278" s="2">
        <f>IFERROR(__xludf.DUMMYFUNCTION("""COMPUTED_VALUE"""),470.0)</f>
        <v>470</v>
      </c>
      <c r="F278" s="2">
        <f>IFERROR(__xludf.DUMMYFUNCTION("""COMPUTED_VALUE"""),1.8815097E7)</f>
        <v>18815097</v>
      </c>
    </row>
    <row r="279">
      <c r="A279" s="3">
        <f>IFERROR(__xludf.DUMMYFUNCTION("""COMPUTED_VALUE"""),45331.66666666667)</f>
        <v>45331.66667</v>
      </c>
      <c r="B279" s="2">
        <f>IFERROR(__xludf.DUMMYFUNCTION("""COMPUTED_VALUE"""),472.95)</f>
        <v>472.95</v>
      </c>
      <c r="C279" s="2">
        <f>IFERROR(__xludf.DUMMYFUNCTION("""COMPUTED_VALUE"""),473.59)</f>
        <v>473.59</v>
      </c>
      <c r="D279" s="2">
        <f>IFERROR(__xludf.DUMMYFUNCTION("""COMPUTED_VALUE"""),467.47)</f>
        <v>467.47</v>
      </c>
      <c r="E279" s="2">
        <f>IFERROR(__xludf.DUMMYFUNCTION("""COMPUTED_VALUE"""),468.11)</f>
        <v>468.11</v>
      </c>
      <c r="F279" s="2">
        <f>IFERROR(__xludf.DUMMYFUNCTION("""COMPUTED_VALUE"""),1.8413137E7)</f>
        <v>18413137</v>
      </c>
    </row>
    <row r="280">
      <c r="A280" s="3">
        <f>IFERROR(__xludf.DUMMYFUNCTION("""COMPUTED_VALUE"""),45334.66666666667)</f>
        <v>45334.66667</v>
      </c>
      <c r="B280" s="2">
        <f>IFERROR(__xludf.DUMMYFUNCTION("""COMPUTED_VALUE"""),468.19)</f>
        <v>468.19</v>
      </c>
      <c r="C280" s="2">
        <f>IFERROR(__xludf.DUMMYFUNCTION("""COMPUTED_VALUE"""),479.15)</f>
        <v>479.15</v>
      </c>
      <c r="D280" s="2">
        <f>IFERROR(__xludf.DUMMYFUNCTION("""COMPUTED_VALUE"""),466.58)</f>
        <v>466.58</v>
      </c>
      <c r="E280" s="2">
        <f>IFERROR(__xludf.DUMMYFUNCTION("""COMPUTED_VALUE"""),468.9)</f>
        <v>468.9</v>
      </c>
      <c r="F280" s="2">
        <f>IFERROR(__xludf.DUMMYFUNCTION("""COMPUTED_VALUE"""),1.9381963E7)</f>
        <v>19381963</v>
      </c>
    </row>
    <row r="281">
      <c r="A281" s="3">
        <f>IFERROR(__xludf.DUMMYFUNCTION("""COMPUTED_VALUE"""),45335.66666666667)</f>
        <v>45335.66667</v>
      </c>
      <c r="B281" s="2">
        <f>IFERROR(__xludf.DUMMYFUNCTION("""COMPUTED_VALUE"""),456.87)</f>
        <v>456.87</v>
      </c>
      <c r="C281" s="2">
        <f>IFERROR(__xludf.DUMMYFUNCTION("""COMPUTED_VALUE"""),467.89)</f>
        <v>467.89</v>
      </c>
      <c r="D281" s="2">
        <f>IFERROR(__xludf.DUMMYFUNCTION("""COMPUTED_VALUE"""),455.09)</f>
        <v>455.09</v>
      </c>
      <c r="E281" s="2">
        <f>IFERROR(__xludf.DUMMYFUNCTION("""COMPUTED_VALUE"""),460.12)</f>
        <v>460.12</v>
      </c>
      <c r="F281" s="2">
        <f>IFERROR(__xludf.DUMMYFUNCTION("""COMPUTED_VALUE"""),2.0916602E7)</f>
        <v>20916602</v>
      </c>
    </row>
    <row r="282">
      <c r="A282" s="3">
        <f>IFERROR(__xludf.DUMMYFUNCTION("""COMPUTED_VALUE"""),45336.66666666667)</f>
        <v>45336.66667</v>
      </c>
      <c r="B282" s="2">
        <f>IFERROR(__xludf.DUMMYFUNCTION("""COMPUTED_VALUE"""),467.93)</f>
        <v>467.93</v>
      </c>
      <c r="C282" s="2">
        <f>IFERROR(__xludf.DUMMYFUNCTION("""COMPUTED_VALUE"""),474.11)</f>
        <v>474.11</v>
      </c>
      <c r="D282" s="2">
        <f>IFERROR(__xludf.DUMMYFUNCTION("""COMPUTED_VALUE"""),466.09)</f>
        <v>466.09</v>
      </c>
      <c r="E282" s="2">
        <f>IFERROR(__xludf.DUMMYFUNCTION("""COMPUTED_VALUE"""),473.28)</f>
        <v>473.28</v>
      </c>
      <c r="F282" s="2">
        <f>IFERROR(__xludf.DUMMYFUNCTION("""COMPUTED_VALUE"""),1.6858401E7)</f>
        <v>16858401</v>
      </c>
    </row>
    <row r="283">
      <c r="A283" s="3">
        <f>IFERROR(__xludf.DUMMYFUNCTION("""COMPUTED_VALUE"""),45337.66666666667)</f>
        <v>45337.66667</v>
      </c>
      <c r="B283" s="2">
        <f>IFERROR(__xludf.DUMMYFUNCTION("""COMPUTED_VALUE"""),475.28)</f>
        <v>475.28</v>
      </c>
      <c r="C283" s="2">
        <f>IFERROR(__xludf.DUMMYFUNCTION("""COMPUTED_VALUE"""),488.62)</f>
        <v>488.62</v>
      </c>
      <c r="D283" s="2">
        <f>IFERROR(__xludf.DUMMYFUNCTION("""COMPUTED_VALUE"""),472.22)</f>
        <v>472.22</v>
      </c>
      <c r="E283" s="2">
        <f>IFERROR(__xludf.DUMMYFUNCTION("""COMPUTED_VALUE"""),484.03)</f>
        <v>484.03</v>
      </c>
      <c r="F283" s="2">
        <f>IFERROR(__xludf.DUMMYFUNCTION("""COMPUTED_VALUE"""),2.4212326E7)</f>
        <v>24212326</v>
      </c>
    </row>
    <row r="284">
      <c r="A284" s="3">
        <f>IFERROR(__xludf.DUMMYFUNCTION("""COMPUTED_VALUE"""),45338.66666666667)</f>
        <v>45338.66667</v>
      </c>
      <c r="B284" s="2">
        <f>IFERROR(__xludf.DUMMYFUNCTION("""COMPUTED_VALUE"""),478.11)</f>
        <v>478.11</v>
      </c>
      <c r="C284" s="2">
        <f>IFERROR(__xludf.DUMMYFUNCTION("""COMPUTED_VALUE"""),478.96)</f>
        <v>478.96</v>
      </c>
      <c r="D284" s="2">
        <f>IFERROR(__xludf.DUMMYFUNCTION("""COMPUTED_VALUE"""),469.21)</f>
        <v>469.21</v>
      </c>
      <c r="E284" s="2">
        <f>IFERROR(__xludf.DUMMYFUNCTION("""COMPUTED_VALUE"""),473.32)</f>
        <v>473.32</v>
      </c>
      <c r="F284" s="2">
        <f>IFERROR(__xludf.DUMMYFUNCTION("""COMPUTED_VALUE"""),2.332462E7)</f>
        <v>23324620</v>
      </c>
    </row>
    <row r="285">
      <c r="A285" s="3">
        <f>IFERROR(__xludf.DUMMYFUNCTION("""COMPUTED_VALUE"""),45342.66666666667)</f>
        <v>45342.66667</v>
      </c>
      <c r="B285" s="2">
        <f>IFERROR(__xludf.DUMMYFUNCTION("""COMPUTED_VALUE"""),469.72)</f>
        <v>469.72</v>
      </c>
      <c r="C285" s="2">
        <f>IFERROR(__xludf.DUMMYFUNCTION("""COMPUTED_VALUE"""),476.18)</f>
        <v>476.18</v>
      </c>
      <c r="D285" s="2">
        <f>IFERROR(__xludf.DUMMYFUNCTION("""COMPUTED_VALUE"""),466.56)</f>
        <v>466.56</v>
      </c>
      <c r="E285" s="2">
        <f>IFERROR(__xludf.DUMMYFUNCTION("""COMPUTED_VALUE"""),471.75)</f>
        <v>471.75</v>
      </c>
      <c r="F285" s="2">
        <f>IFERROR(__xludf.DUMMYFUNCTION("""COMPUTED_VALUE"""),1.8015523E7)</f>
        <v>18015523</v>
      </c>
    </row>
    <row r="286">
      <c r="A286" s="3">
        <f>IFERROR(__xludf.DUMMYFUNCTION("""COMPUTED_VALUE"""),45343.66666666667)</f>
        <v>45343.66667</v>
      </c>
      <c r="B286" s="2">
        <f>IFERROR(__xludf.DUMMYFUNCTION("""COMPUTED_VALUE"""),466.5)</f>
        <v>466.5</v>
      </c>
      <c r="C286" s="2">
        <f>IFERROR(__xludf.DUMMYFUNCTION("""COMPUTED_VALUE"""),469.0)</f>
        <v>469</v>
      </c>
      <c r="D286" s="2">
        <f>IFERROR(__xludf.DUMMYFUNCTION("""COMPUTED_VALUE"""),461.79)</f>
        <v>461.79</v>
      </c>
      <c r="E286" s="2">
        <f>IFERROR(__xludf.DUMMYFUNCTION("""COMPUTED_VALUE"""),468.03)</f>
        <v>468.03</v>
      </c>
      <c r="F286" s="2">
        <f>IFERROR(__xludf.DUMMYFUNCTION("""COMPUTED_VALUE"""),1.297705E7)</f>
        <v>12977050</v>
      </c>
    </row>
    <row r="287">
      <c r="A287" s="3">
        <f>IFERROR(__xludf.DUMMYFUNCTION("""COMPUTED_VALUE"""),45344.66666666667)</f>
        <v>45344.66667</v>
      </c>
      <c r="B287" s="2">
        <f>IFERROR(__xludf.DUMMYFUNCTION("""COMPUTED_VALUE"""),480.24)</f>
        <v>480.24</v>
      </c>
      <c r="C287" s="2">
        <f>IFERROR(__xludf.DUMMYFUNCTION("""COMPUTED_VALUE"""),489.99)</f>
        <v>489.99</v>
      </c>
      <c r="D287" s="2">
        <f>IFERROR(__xludf.DUMMYFUNCTION("""COMPUTED_VALUE"""),476.06)</f>
        <v>476.06</v>
      </c>
      <c r="E287" s="2">
        <f>IFERROR(__xludf.DUMMYFUNCTION("""COMPUTED_VALUE"""),486.13)</f>
        <v>486.13</v>
      </c>
      <c r="F287" s="2">
        <f>IFERROR(__xludf.DUMMYFUNCTION("""COMPUTED_VALUE"""),2.1625805E7)</f>
        <v>21625805</v>
      </c>
    </row>
    <row r="288">
      <c r="A288" s="3">
        <f>IFERROR(__xludf.DUMMYFUNCTION("""COMPUTED_VALUE"""),45345.66666666667)</f>
        <v>45345.66667</v>
      </c>
      <c r="B288" s="2">
        <f>IFERROR(__xludf.DUMMYFUNCTION("""COMPUTED_VALUE"""),488.05)</f>
        <v>488.05</v>
      </c>
      <c r="C288" s="2">
        <f>IFERROR(__xludf.DUMMYFUNCTION("""COMPUTED_VALUE"""),494.36)</f>
        <v>494.36</v>
      </c>
      <c r="D288" s="2">
        <f>IFERROR(__xludf.DUMMYFUNCTION("""COMPUTED_VALUE"""),482.35)</f>
        <v>482.35</v>
      </c>
      <c r="E288" s="2">
        <f>IFERROR(__xludf.DUMMYFUNCTION("""COMPUTED_VALUE"""),484.03)</f>
        <v>484.03</v>
      </c>
      <c r="F288" s="2">
        <f>IFERROR(__xludf.DUMMYFUNCTION("""COMPUTED_VALUE"""),1.8374286E7)</f>
        <v>18374286</v>
      </c>
    </row>
    <row r="289">
      <c r="A289" s="3">
        <f>IFERROR(__xludf.DUMMYFUNCTION("""COMPUTED_VALUE"""),45348.66666666667)</f>
        <v>45348.66667</v>
      </c>
      <c r="B289" s="2">
        <f>IFERROR(__xludf.DUMMYFUNCTION("""COMPUTED_VALUE"""),483.47)</f>
        <v>483.47</v>
      </c>
      <c r="C289" s="2">
        <f>IFERROR(__xludf.DUMMYFUNCTION("""COMPUTED_VALUE"""),486.14)</f>
        <v>486.14</v>
      </c>
      <c r="D289" s="2">
        <f>IFERROR(__xludf.DUMMYFUNCTION("""COMPUTED_VALUE"""),480.6)</f>
        <v>480.6</v>
      </c>
      <c r="E289" s="2">
        <f>IFERROR(__xludf.DUMMYFUNCTION("""COMPUTED_VALUE"""),481.74)</f>
        <v>481.74</v>
      </c>
      <c r="F289" s="2">
        <f>IFERROR(__xludf.DUMMYFUNCTION("""COMPUTED_VALUE"""),1.2101415E7)</f>
        <v>12101415</v>
      </c>
    </row>
    <row r="290">
      <c r="A290" s="3">
        <f>IFERROR(__xludf.DUMMYFUNCTION("""COMPUTED_VALUE"""),45349.66666666667)</f>
        <v>45349.66667</v>
      </c>
      <c r="B290" s="2">
        <f>IFERROR(__xludf.DUMMYFUNCTION("""COMPUTED_VALUE"""),479.98)</f>
        <v>479.98</v>
      </c>
      <c r="C290" s="2">
        <f>IFERROR(__xludf.DUMMYFUNCTION("""COMPUTED_VALUE"""),487.27)</f>
        <v>487.27</v>
      </c>
      <c r="D290" s="2">
        <f>IFERROR(__xludf.DUMMYFUNCTION("""COMPUTED_VALUE"""),479.92)</f>
        <v>479.92</v>
      </c>
      <c r="E290" s="2">
        <f>IFERROR(__xludf.DUMMYFUNCTION("""COMPUTED_VALUE"""),487.05)</f>
        <v>487.05</v>
      </c>
      <c r="F290" s="2">
        <f>IFERROR(__xludf.DUMMYFUNCTION("""COMPUTED_VALUE"""),1.0809595E7)</f>
        <v>10809595</v>
      </c>
    </row>
    <row r="291">
      <c r="A291" s="3">
        <f>IFERROR(__xludf.DUMMYFUNCTION("""COMPUTED_VALUE"""),45350.66666666667)</f>
        <v>45350.66667</v>
      </c>
      <c r="B291" s="2">
        <f>IFERROR(__xludf.DUMMYFUNCTION("""COMPUTED_VALUE"""),485.0)</f>
        <v>485</v>
      </c>
      <c r="C291" s="2">
        <f>IFERROR(__xludf.DUMMYFUNCTION("""COMPUTED_VALUE"""),491.05)</f>
        <v>491.05</v>
      </c>
      <c r="D291" s="2">
        <f>IFERROR(__xludf.DUMMYFUNCTION("""COMPUTED_VALUE"""),482.75)</f>
        <v>482.75</v>
      </c>
      <c r="E291" s="2">
        <f>IFERROR(__xludf.DUMMYFUNCTION("""COMPUTED_VALUE"""),484.02)</f>
        <v>484.02</v>
      </c>
      <c r="F291" s="2">
        <f>IFERROR(__xludf.DUMMYFUNCTION("""COMPUTED_VALUE"""),1.2715486E7)</f>
        <v>12715486</v>
      </c>
    </row>
    <row r="292">
      <c r="A292" s="3">
        <f>IFERROR(__xludf.DUMMYFUNCTION("""COMPUTED_VALUE"""),45351.66666666667)</f>
        <v>45351.66667</v>
      </c>
      <c r="B292" s="2">
        <f>IFERROR(__xludf.DUMMYFUNCTION("""COMPUTED_VALUE"""),488.44)</f>
        <v>488.44</v>
      </c>
      <c r="C292" s="2">
        <f>IFERROR(__xludf.DUMMYFUNCTION("""COMPUTED_VALUE"""),491.7)</f>
        <v>491.7</v>
      </c>
      <c r="D292" s="2">
        <f>IFERROR(__xludf.DUMMYFUNCTION("""COMPUTED_VALUE"""),482.61)</f>
        <v>482.61</v>
      </c>
      <c r="E292" s="2">
        <f>IFERROR(__xludf.DUMMYFUNCTION("""COMPUTED_VALUE"""),490.13)</f>
        <v>490.13</v>
      </c>
      <c r="F292" s="2">
        <f>IFERROR(__xludf.DUMMYFUNCTION("""COMPUTED_VALUE"""),1.7732045E7)</f>
        <v>17732045</v>
      </c>
    </row>
    <row r="293">
      <c r="A293" s="3">
        <f>IFERROR(__xludf.DUMMYFUNCTION("""COMPUTED_VALUE"""),45352.66666666667)</f>
        <v>45352.66667</v>
      </c>
      <c r="B293" s="2">
        <f>IFERROR(__xludf.DUMMYFUNCTION("""COMPUTED_VALUE"""),492.11)</f>
        <v>492.11</v>
      </c>
      <c r="C293" s="2">
        <f>IFERROR(__xludf.DUMMYFUNCTION("""COMPUTED_VALUE"""),504.25)</f>
        <v>504.25</v>
      </c>
      <c r="D293" s="2">
        <f>IFERROR(__xludf.DUMMYFUNCTION("""COMPUTED_VALUE"""),491.85)</f>
        <v>491.85</v>
      </c>
      <c r="E293" s="2">
        <f>IFERROR(__xludf.DUMMYFUNCTION("""COMPUTED_VALUE"""),502.3)</f>
        <v>502.3</v>
      </c>
      <c r="F293" s="2">
        <f>IFERROR(__xludf.DUMMYFUNCTION("""COMPUTED_VALUE"""),1.5884882E7)</f>
        <v>15884882</v>
      </c>
    </row>
    <row r="294">
      <c r="A294" s="3">
        <f>IFERROR(__xludf.DUMMYFUNCTION("""COMPUTED_VALUE"""),45355.66666666667)</f>
        <v>45355.66667</v>
      </c>
      <c r="B294" s="2">
        <f>IFERROR(__xludf.DUMMYFUNCTION("""COMPUTED_VALUE"""),503.0)</f>
        <v>503</v>
      </c>
      <c r="C294" s="2">
        <f>IFERROR(__xludf.DUMMYFUNCTION("""COMPUTED_VALUE"""),504.42)</f>
        <v>504.42</v>
      </c>
      <c r="D294" s="2">
        <f>IFERROR(__xludf.DUMMYFUNCTION("""COMPUTED_VALUE"""),496.42)</f>
        <v>496.42</v>
      </c>
      <c r="E294" s="2">
        <f>IFERROR(__xludf.DUMMYFUNCTION("""COMPUTED_VALUE"""),498.19)</f>
        <v>498.19</v>
      </c>
      <c r="F294" s="2">
        <f>IFERROR(__xludf.DUMMYFUNCTION("""COMPUTED_VALUE"""),1.2324141E7)</f>
        <v>12324141</v>
      </c>
    </row>
    <row r="295">
      <c r="A295" s="3">
        <f>IFERROR(__xludf.DUMMYFUNCTION("""COMPUTED_VALUE"""),45356.66666666667)</f>
        <v>45356.66667</v>
      </c>
      <c r="B295" s="2">
        <f>IFERROR(__xludf.DUMMYFUNCTION("""COMPUTED_VALUE"""),495.0)</f>
        <v>495</v>
      </c>
      <c r="C295" s="2">
        <f>IFERROR(__xludf.DUMMYFUNCTION("""COMPUTED_VALUE"""),495.58)</f>
        <v>495.58</v>
      </c>
      <c r="D295" s="2">
        <f>IFERROR(__xludf.DUMMYFUNCTION("""COMPUTED_VALUE"""),487.89)</f>
        <v>487.89</v>
      </c>
      <c r="E295" s="2">
        <f>IFERROR(__xludf.DUMMYFUNCTION("""COMPUTED_VALUE"""),490.22)</f>
        <v>490.22</v>
      </c>
      <c r="F295" s="2">
        <f>IFERROR(__xludf.DUMMYFUNCTION("""COMPUTED_VALUE"""),1.5325299E7)</f>
        <v>15325299</v>
      </c>
    </row>
    <row r="296">
      <c r="A296" s="3">
        <f>IFERROR(__xludf.DUMMYFUNCTION("""COMPUTED_VALUE"""),45357.66666666667)</f>
        <v>45357.66667</v>
      </c>
      <c r="B296" s="2">
        <f>IFERROR(__xludf.DUMMYFUNCTION("""COMPUTED_VALUE"""),497.63)</f>
        <v>497.63</v>
      </c>
      <c r="C296" s="2">
        <f>IFERROR(__xludf.DUMMYFUNCTION("""COMPUTED_VALUE"""),502.97)</f>
        <v>502.97</v>
      </c>
      <c r="D296" s="2">
        <f>IFERROR(__xludf.DUMMYFUNCTION("""COMPUTED_VALUE"""),494.29)</f>
        <v>494.29</v>
      </c>
      <c r="E296" s="2">
        <f>IFERROR(__xludf.DUMMYFUNCTION("""COMPUTED_VALUE"""),496.09)</f>
        <v>496.09</v>
      </c>
      <c r="F296" s="2">
        <f>IFERROR(__xludf.DUMMYFUNCTION("""COMPUTED_VALUE"""),1.1757925E7)</f>
        <v>11757925</v>
      </c>
    </row>
    <row r="297">
      <c r="A297" s="3">
        <f>IFERROR(__xludf.DUMMYFUNCTION("""COMPUTED_VALUE"""),45358.66666666667)</f>
        <v>45358.66667</v>
      </c>
      <c r="B297" s="2">
        <f>IFERROR(__xludf.DUMMYFUNCTION("""COMPUTED_VALUE"""),503.28)</f>
        <v>503.28</v>
      </c>
      <c r="C297" s="2">
        <f>IFERROR(__xludf.DUMMYFUNCTION("""COMPUTED_VALUE"""),519.85)</f>
        <v>519.85</v>
      </c>
      <c r="D297" s="2">
        <f>IFERROR(__xludf.DUMMYFUNCTION("""COMPUTED_VALUE"""),501.38)</f>
        <v>501.38</v>
      </c>
      <c r="E297" s="2">
        <f>IFERROR(__xludf.DUMMYFUNCTION("""COMPUTED_VALUE"""),512.19)</f>
        <v>512.19</v>
      </c>
      <c r="F297" s="2">
        <f>IFERROR(__xludf.DUMMYFUNCTION("""COMPUTED_VALUE"""),1.8586437E7)</f>
        <v>18586437</v>
      </c>
    </row>
    <row r="298">
      <c r="A298" s="3">
        <f>IFERROR(__xludf.DUMMYFUNCTION("""COMPUTED_VALUE"""),45359.66666666667)</f>
        <v>45359.66667</v>
      </c>
      <c r="B298" s="2">
        <f>IFERROR(__xludf.DUMMYFUNCTION("""COMPUTED_VALUE"""),514.19)</f>
        <v>514.19</v>
      </c>
      <c r="C298" s="2">
        <f>IFERROR(__xludf.DUMMYFUNCTION("""COMPUTED_VALUE"""),523.57)</f>
        <v>523.57</v>
      </c>
      <c r="D298" s="2">
        <f>IFERROR(__xludf.DUMMYFUNCTION("""COMPUTED_VALUE"""),499.35)</f>
        <v>499.35</v>
      </c>
      <c r="E298" s="2">
        <f>IFERROR(__xludf.DUMMYFUNCTION("""COMPUTED_VALUE"""),505.95)</f>
        <v>505.95</v>
      </c>
      <c r="F298" s="2">
        <f>IFERROR(__xludf.DUMMYFUNCTION("""COMPUTED_VALUE"""),1.8597059E7)</f>
        <v>18597059</v>
      </c>
    </row>
    <row r="299">
      <c r="A299" s="3">
        <f>IFERROR(__xludf.DUMMYFUNCTION("""COMPUTED_VALUE"""),45362.66666666667)</f>
        <v>45362.66667</v>
      </c>
      <c r="B299" s="2">
        <f>IFERROR(__xludf.DUMMYFUNCTION("""COMPUTED_VALUE"""),497.01)</f>
        <v>497.01</v>
      </c>
      <c r="C299" s="2">
        <f>IFERROR(__xludf.DUMMYFUNCTION("""COMPUTED_VALUE"""),497.32)</f>
        <v>497.32</v>
      </c>
      <c r="D299" s="2">
        <f>IFERROR(__xludf.DUMMYFUNCTION("""COMPUTED_VALUE"""),476.0)</f>
        <v>476</v>
      </c>
      <c r="E299" s="2">
        <f>IFERROR(__xludf.DUMMYFUNCTION("""COMPUTED_VALUE"""),483.59)</f>
        <v>483.59</v>
      </c>
      <c r="F299" s="2">
        <f>IFERROR(__xludf.DUMMYFUNCTION("""COMPUTED_VALUE"""),2.0428274E7)</f>
        <v>20428274</v>
      </c>
    </row>
    <row r="300">
      <c r="A300" s="3">
        <f>IFERROR(__xludf.DUMMYFUNCTION("""COMPUTED_VALUE"""),45363.66666666667)</f>
        <v>45363.66667</v>
      </c>
      <c r="B300" s="2">
        <f>IFERROR(__xludf.DUMMYFUNCTION("""COMPUTED_VALUE"""),493.26)</f>
        <v>493.26</v>
      </c>
      <c r="C300" s="2">
        <f>IFERROR(__xludf.DUMMYFUNCTION("""COMPUTED_VALUE"""),502.31)</f>
        <v>502.31</v>
      </c>
      <c r="D300" s="2">
        <f>IFERROR(__xludf.DUMMYFUNCTION("""COMPUTED_VALUE"""),484.73)</f>
        <v>484.73</v>
      </c>
      <c r="E300" s="2">
        <f>IFERROR(__xludf.DUMMYFUNCTION("""COMPUTED_VALUE"""),499.75)</f>
        <v>499.75</v>
      </c>
      <c r="F300" s="2">
        <f>IFERROR(__xludf.DUMMYFUNCTION("""COMPUTED_VALUE"""),1.5448232E7)</f>
        <v>15448232</v>
      </c>
    </row>
    <row r="301">
      <c r="A301" s="3">
        <f>IFERROR(__xludf.DUMMYFUNCTION("""COMPUTED_VALUE"""),45364.66666666667)</f>
        <v>45364.66667</v>
      </c>
      <c r="B301" s="2">
        <f>IFERROR(__xludf.DUMMYFUNCTION("""COMPUTED_VALUE"""),495.39)</f>
        <v>495.39</v>
      </c>
      <c r="C301" s="2">
        <f>IFERROR(__xludf.DUMMYFUNCTION("""COMPUTED_VALUE"""),500.98)</f>
        <v>500.98</v>
      </c>
      <c r="D301" s="2">
        <f>IFERROR(__xludf.DUMMYFUNCTION("""COMPUTED_VALUE"""),491.03)</f>
        <v>491.03</v>
      </c>
      <c r="E301" s="2">
        <f>IFERROR(__xludf.DUMMYFUNCTION("""COMPUTED_VALUE"""),495.57)</f>
        <v>495.57</v>
      </c>
      <c r="F301" s="2">
        <f>IFERROR(__xludf.DUMMYFUNCTION("""COMPUTED_VALUE"""),1.2090656E7)</f>
        <v>12090656</v>
      </c>
    </row>
    <row r="302">
      <c r="A302" s="3">
        <f>IFERROR(__xludf.DUMMYFUNCTION("""COMPUTED_VALUE"""),45365.66666666667)</f>
        <v>45365.66667</v>
      </c>
      <c r="B302" s="2">
        <f>IFERROR(__xludf.DUMMYFUNCTION("""COMPUTED_VALUE"""),500.26)</f>
        <v>500.26</v>
      </c>
      <c r="C302" s="2">
        <f>IFERROR(__xludf.DUMMYFUNCTION("""COMPUTED_VALUE"""),501.35)</f>
        <v>501.35</v>
      </c>
      <c r="D302" s="2">
        <f>IFERROR(__xludf.DUMMYFUNCTION("""COMPUTED_VALUE"""),488.16)</f>
        <v>488.16</v>
      </c>
      <c r="E302" s="2">
        <f>IFERROR(__xludf.DUMMYFUNCTION("""COMPUTED_VALUE"""),491.83)</f>
        <v>491.83</v>
      </c>
      <c r="F302" s="2">
        <f>IFERROR(__xludf.DUMMYFUNCTION("""COMPUTED_VALUE"""),1.2620014E7)</f>
        <v>12620014</v>
      </c>
    </row>
    <row r="303">
      <c r="A303" s="3">
        <f>IFERROR(__xludf.DUMMYFUNCTION("""COMPUTED_VALUE"""),45366.66666666667)</f>
        <v>45366.66667</v>
      </c>
      <c r="B303" s="2">
        <f>IFERROR(__xludf.DUMMYFUNCTION("""COMPUTED_VALUE"""),489.01)</f>
        <v>489.01</v>
      </c>
      <c r="C303" s="2">
        <f>IFERROR(__xludf.DUMMYFUNCTION("""COMPUTED_VALUE"""),491.83)</f>
        <v>491.83</v>
      </c>
      <c r="D303" s="2">
        <f>IFERROR(__xludf.DUMMYFUNCTION("""COMPUTED_VALUE"""),481.3)</f>
        <v>481.3</v>
      </c>
      <c r="E303" s="2">
        <f>IFERROR(__xludf.DUMMYFUNCTION("""COMPUTED_VALUE"""),484.1)</f>
        <v>484.1</v>
      </c>
      <c r="F303" s="2">
        <f>IFERROR(__xludf.DUMMYFUNCTION("""COMPUTED_VALUE"""),2.9153576E7)</f>
        <v>29153576</v>
      </c>
    </row>
    <row r="304">
      <c r="A304" s="3">
        <f>IFERROR(__xludf.DUMMYFUNCTION("""COMPUTED_VALUE"""),45369.66666666667)</f>
        <v>45369.66667</v>
      </c>
      <c r="B304" s="2">
        <f>IFERROR(__xludf.DUMMYFUNCTION("""COMPUTED_VALUE"""),491.91)</f>
        <v>491.91</v>
      </c>
      <c r="C304" s="2">
        <f>IFERROR(__xludf.DUMMYFUNCTION("""COMPUTED_VALUE"""),497.42)</f>
        <v>497.42</v>
      </c>
      <c r="D304" s="2">
        <f>IFERROR(__xludf.DUMMYFUNCTION("""COMPUTED_VALUE"""),486.81)</f>
        <v>486.81</v>
      </c>
      <c r="E304" s="2">
        <f>IFERROR(__xludf.DUMMYFUNCTION("""COMPUTED_VALUE"""),496.98)</f>
        <v>496.98</v>
      </c>
      <c r="F304" s="2">
        <f>IFERROR(__xludf.DUMMYFUNCTION("""COMPUTED_VALUE"""),1.1755251E7)</f>
        <v>11755251</v>
      </c>
    </row>
    <row r="305">
      <c r="A305" s="3">
        <f>IFERROR(__xludf.DUMMYFUNCTION("""COMPUTED_VALUE"""),45370.66666666667)</f>
        <v>45370.66667</v>
      </c>
      <c r="B305" s="2">
        <f>IFERROR(__xludf.DUMMYFUNCTION("""COMPUTED_VALUE"""),488.17)</f>
        <v>488.17</v>
      </c>
      <c r="C305" s="2">
        <f>IFERROR(__xludf.DUMMYFUNCTION("""COMPUTED_VALUE"""),496.63)</f>
        <v>496.63</v>
      </c>
      <c r="D305" s="2">
        <f>IFERROR(__xludf.DUMMYFUNCTION("""COMPUTED_VALUE"""),481.28)</f>
        <v>481.28</v>
      </c>
      <c r="E305" s="2">
        <f>IFERROR(__xludf.DUMMYFUNCTION("""COMPUTED_VALUE"""),496.24)</f>
        <v>496.24</v>
      </c>
      <c r="F305" s="2">
        <f>IFERROR(__xludf.DUMMYFUNCTION("""COMPUTED_VALUE"""),1.0903092E7)</f>
        <v>10903092</v>
      </c>
    </row>
    <row r="306">
      <c r="A306" s="3">
        <f>IFERROR(__xludf.DUMMYFUNCTION("""COMPUTED_VALUE"""),45371.66666666667)</f>
        <v>45371.66667</v>
      </c>
      <c r="B306" s="2">
        <f>IFERROR(__xludf.DUMMYFUNCTION("""COMPUTED_VALUE"""),499.5)</f>
        <v>499.5</v>
      </c>
      <c r="C306" s="2">
        <f>IFERROR(__xludf.DUMMYFUNCTION("""COMPUTED_VALUE"""),508.2)</f>
        <v>508.2</v>
      </c>
      <c r="D306" s="2">
        <f>IFERROR(__xludf.DUMMYFUNCTION("""COMPUTED_VALUE"""),495.17)</f>
        <v>495.17</v>
      </c>
      <c r="E306" s="2">
        <f>IFERROR(__xludf.DUMMYFUNCTION("""COMPUTED_VALUE"""),505.52)</f>
        <v>505.52</v>
      </c>
      <c r="F306" s="2">
        <f>IFERROR(__xludf.DUMMYFUNCTION("""COMPUTED_VALUE"""),1.17111E7)</f>
        <v>11711100</v>
      </c>
    </row>
    <row r="307">
      <c r="A307" s="3">
        <f>IFERROR(__xludf.DUMMYFUNCTION("""COMPUTED_VALUE"""),45372.66666666667)</f>
        <v>45372.66667</v>
      </c>
      <c r="B307" s="2">
        <f>IFERROR(__xludf.DUMMYFUNCTION("""COMPUTED_VALUE"""),514.71)</f>
        <v>514.71</v>
      </c>
      <c r="C307" s="2">
        <f>IFERROR(__xludf.DUMMYFUNCTION("""COMPUTED_VALUE"""),515.04)</f>
        <v>515.04</v>
      </c>
      <c r="D307" s="2">
        <f>IFERROR(__xludf.DUMMYFUNCTION("""COMPUTED_VALUE"""),506.01)</f>
        <v>506.01</v>
      </c>
      <c r="E307" s="2">
        <f>IFERROR(__xludf.DUMMYFUNCTION("""COMPUTED_VALUE"""),507.76)</f>
        <v>507.76</v>
      </c>
      <c r="F307" s="2">
        <f>IFERROR(__xludf.DUMMYFUNCTION("""COMPUTED_VALUE"""),9712549.0)</f>
        <v>9712549</v>
      </c>
    </row>
    <row r="308">
      <c r="A308" s="3">
        <f>IFERROR(__xludf.DUMMYFUNCTION("""COMPUTED_VALUE"""),45373.66666666667)</f>
        <v>45373.66667</v>
      </c>
      <c r="B308" s="2">
        <f>IFERROR(__xludf.DUMMYFUNCTION("""COMPUTED_VALUE"""),507.0)</f>
        <v>507</v>
      </c>
      <c r="C308" s="2">
        <f>IFERROR(__xludf.DUMMYFUNCTION("""COMPUTED_VALUE"""),509.97)</f>
        <v>509.97</v>
      </c>
      <c r="D308" s="2">
        <f>IFERROR(__xludf.DUMMYFUNCTION("""COMPUTED_VALUE"""),504.34)</f>
        <v>504.34</v>
      </c>
      <c r="E308" s="2">
        <f>IFERROR(__xludf.DUMMYFUNCTION("""COMPUTED_VALUE"""),509.58)</f>
        <v>509.58</v>
      </c>
      <c r="F308" s="2">
        <f>IFERROR(__xludf.DUMMYFUNCTION("""COMPUTED_VALUE"""),8120593.0)</f>
        <v>8120593</v>
      </c>
    </row>
    <row r="309">
      <c r="A309" s="3">
        <f>IFERROR(__xludf.DUMMYFUNCTION("""COMPUTED_VALUE"""),45376.66666666667)</f>
        <v>45376.66667</v>
      </c>
      <c r="B309" s="2">
        <f>IFERROR(__xludf.DUMMYFUNCTION("""COMPUTED_VALUE"""),505.79)</f>
        <v>505.79</v>
      </c>
      <c r="C309" s="2">
        <f>IFERROR(__xludf.DUMMYFUNCTION("""COMPUTED_VALUE"""),507.22)</f>
        <v>507.22</v>
      </c>
      <c r="D309" s="2">
        <f>IFERROR(__xludf.DUMMYFUNCTION("""COMPUTED_VALUE"""),500.24)</f>
        <v>500.24</v>
      </c>
      <c r="E309" s="2">
        <f>IFERROR(__xludf.DUMMYFUNCTION("""COMPUTED_VALUE"""),503.02)</f>
        <v>503.02</v>
      </c>
      <c r="F309" s="2">
        <f>IFERROR(__xludf.DUMMYFUNCTION("""COMPUTED_VALUE"""),8380617.0)</f>
        <v>8380617</v>
      </c>
    </row>
    <row r="310">
      <c r="A310" s="3">
        <f>IFERROR(__xludf.DUMMYFUNCTION("""COMPUTED_VALUE"""),45377.66666666667)</f>
        <v>45377.66667</v>
      </c>
      <c r="B310" s="2">
        <f>IFERROR(__xludf.DUMMYFUNCTION("""COMPUTED_VALUE"""),505.13)</f>
        <v>505.13</v>
      </c>
      <c r="C310" s="2">
        <f>IFERROR(__xludf.DUMMYFUNCTION("""COMPUTED_VALUE"""),510.0)</f>
        <v>510</v>
      </c>
      <c r="D310" s="2">
        <f>IFERROR(__xludf.DUMMYFUNCTION("""COMPUTED_VALUE"""),495.21)</f>
        <v>495.21</v>
      </c>
      <c r="E310" s="2">
        <f>IFERROR(__xludf.DUMMYFUNCTION("""COMPUTED_VALUE"""),495.89)</f>
        <v>495.89</v>
      </c>
      <c r="F310" s="2">
        <f>IFERROR(__xludf.DUMMYFUNCTION("""COMPUTED_VALUE"""),1.1205382E7)</f>
        <v>11205382</v>
      </c>
    </row>
    <row r="311">
      <c r="A311" s="3">
        <f>IFERROR(__xludf.DUMMYFUNCTION("""COMPUTED_VALUE"""),45378.66666666667)</f>
        <v>45378.66667</v>
      </c>
      <c r="B311" s="2">
        <f>IFERROR(__xludf.DUMMYFUNCTION("""COMPUTED_VALUE"""),499.3)</f>
        <v>499.3</v>
      </c>
      <c r="C311" s="2">
        <f>IFERROR(__xludf.DUMMYFUNCTION("""COMPUTED_VALUE"""),499.89)</f>
        <v>499.89</v>
      </c>
      <c r="D311" s="2">
        <f>IFERROR(__xludf.DUMMYFUNCTION("""COMPUTED_VALUE"""),488.07)</f>
        <v>488.07</v>
      </c>
      <c r="E311" s="2">
        <f>IFERROR(__xludf.DUMMYFUNCTION("""COMPUTED_VALUE"""),493.86)</f>
        <v>493.86</v>
      </c>
      <c r="F311" s="2">
        <f>IFERROR(__xludf.DUMMYFUNCTION("""COMPUTED_VALUE"""),9989676.0)</f>
        <v>9989676</v>
      </c>
    </row>
    <row r="312">
      <c r="A312" s="3">
        <f>IFERROR(__xludf.DUMMYFUNCTION("""COMPUTED_VALUE"""),45379.66666666667)</f>
        <v>45379.66667</v>
      </c>
      <c r="B312" s="2">
        <f>IFERROR(__xludf.DUMMYFUNCTION("""COMPUTED_VALUE"""),492.84)</f>
        <v>492.84</v>
      </c>
      <c r="C312" s="2">
        <f>IFERROR(__xludf.DUMMYFUNCTION("""COMPUTED_VALUE"""),492.89)</f>
        <v>492.89</v>
      </c>
      <c r="D312" s="2">
        <f>IFERROR(__xludf.DUMMYFUNCTION("""COMPUTED_VALUE"""),485.15)</f>
        <v>485.15</v>
      </c>
      <c r="E312" s="2">
        <f>IFERROR(__xludf.DUMMYFUNCTION("""COMPUTED_VALUE"""),485.58)</f>
        <v>485.58</v>
      </c>
      <c r="F312" s="2">
        <f>IFERROR(__xludf.DUMMYFUNCTION("""COMPUTED_VALUE"""),1.5212764E7)</f>
        <v>15212764</v>
      </c>
    </row>
    <row r="313">
      <c r="A313" s="3">
        <f>IFERROR(__xludf.DUMMYFUNCTION("""COMPUTED_VALUE"""),45383.66666666667)</f>
        <v>45383.66667</v>
      </c>
      <c r="B313" s="2">
        <f>IFERROR(__xludf.DUMMYFUNCTION("""COMPUTED_VALUE"""),487.2)</f>
        <v>487.2</v>
      </c>
      <c r="C313" s="2">
        <f>IFERROR(__xludf.DUMMYFUNCTION("""COMPUTED_VALUE"""),497.43)</f>
        <v>497.43</v>
      </c>
      <c r="D313" s="2">
        <f>IFERROR(__xludf.DUMMYFUNCTION("""COMPUTED_VALUE"""),481.78)</f>
        <v>481.78</v>
      </c>
      <c r="E313" s="2">
        <f>IFERROR(__xludf.DUMMYFUNCTION("""COMPUTED_VALUE"""),491.35)</f>
        <v>491.35</v>
      </c>
      <c r="F313" s="2">
        <f>IFERROR(__xludf.DUMMYFUNCTION("""COMPUTED_VALUE"""),9247007.0)</f>
        <v>9247007</v>
      </c>
    </row>
    <row r="314">
      <c r="A314" s="3">
        <f>IFERROR(__xludf.DUMMYFUNCTION("""COMPUTED_VALUE"""),45384.66666666667)</f>
        <v>45384.66667</v>
      </c>
      <c r="B314" s="2">
        <f>IFERROR(__xludf.DUMMYFUNCTION("""COMPUTED_VALUE"""),485.1)</f>
        <v>485.1</v>
      </c>
      <c r="C314" s="2">
        <f>IFERROR(__xludf.DUMMYFUNCTION("""COMPUTED_VALUE"""),497.53)</f>
        <v>497.53</v>
      </c>
      <c r="D314" s="2">
        <f>IFERROR(__xludf.DUMMYFUNCTION("""COMPUTED_VALUE"""),484.65)</f>
        <v>484.65</v>
      </c>
      <c r="E314" s="2">
        <f>IFERROR(__xludf.DUMMYFUNCTION("""COMPUTED_VALUE"""),497.37)</f>
        <v>497.37</v>
      </c>
      <c r="F314" s="2">
        <f>IFERROR(__xludf.DUMMYFUNCTION("""COMPUTED_VALUE"""),1.1081026E7)</f>
        <v>11081026</v>
      </c>
    </row>
    <row r="315">
      <c r="A315" s="3">
        <f>IFERROR(__xludf.DUMMYFUNCTION("""COMPUTED_VALUE"""),45385.66666666667)</f>
        <v>45385.66667</v>
      </c>
      <c r="B315" s="2">
        <f>IFERROR(__xludf.DUMMYFUNCTION("""COMPUTED_VALUE"""),498.93)</f>
        <v>498.93</v>
      </c>
      <c r="C315" s="2">
        <f>IFERROR(__xludf.DUMMYFUNCTION("""COMPUTED_VALUE"""),507.24)</f>
        <v>507.24</v>
      </c>
      <c r="D315" s="2">
        <f>IFERROR(__xludf.DUMMYFUNCTION("""COMPUTED_VALUE"""),498.75)</f>
        <v>498.75</v>
      </c>
      <c r="E315" s="2">
        <f>IFERROR(__xludf.DUMMYFUNCTION("""COMPUTED_VALUE"""),506.74)</f>
        <v>506.74</v>
      </c>
      <c r="F315" s="2">
        <f>IFERROR(__xludf.DUMMYFUNCTION("""COMPUTED_VALUE"""),1.2099171E7)</f>
        <v>12099171</v>
      </c>
    </row>
    <row r="316">
      <c r="A316" s="3">
        <f>IFERROR(__xludf.DUMMYFUNCTION("""COMPUTED_VALUE"""),45386.66666666667)</f>
        <v>45386.66667</v>
      </c>
      <c r="B316" s="2">
        <f>IFERROR(__xludf.DUMMYFUNCTION("""COMPUTED_VALUE"""),516.42)</f>
        <v>516.42</v>
      </c>
      <c r="C316" s="2">
        <f>IFERROR(__xludf.DUMMYFUNCTION("""COMPUTED_VALUE"""),530.0)</f>
        <v>530</v>
      </c>
      <c r="D316" s="2">
        <f>IFERROR(__xludf.DUMMYFUNCTION("""COMPUTED_VALUE"""),510.58)</f>
        <v>510.58</v>
      </c>
      <c r="E316" s="2">
        <f>IFERROR(__xludf.DUMMYFUNCTION("""COMPUTED_VALUE"""),510.92)</f>
        <v>510.92</v>
      </c>
      <c r="F316" s="2">
        <f>IFERROR(__xludf.DUMMYFUNCTION("""COMPUTED_VALUE"""),2.6476253E7)</f>
        <v>26476253</v>
      </c>
    </row>
    <row r="317">
      <c r="A317" s="3">
        <f>IFERROR(__xludf.DUMMYFUNCTION("""COMPUTED_VALUE"""),45387.66666666667)</f>
        <v>45387.66667</v>
      </c>
      <c r="B317" s="2">
        <f>IFERROR(__xludf.DUMMYFUNCTION("""COMPUTED_VALUE"""),516.86)</f>
        <v>516.86</v>
      </c>
      <c r="C317" s="2">
        <f>IFERROR(__xludf.DUMMYFUNCTION("""COMPUTED_VALUE"""),530.7)</f>
        <v>530.7</v>
      </c>
      <c r="D317" s="2">
        <f>IFERROR(__xludf.DUMMYFUNCTION("""COMPUTED_VALUE"""),514.41)</f>
        <v>514.41</v>
      </c>
      <c r="E317" s="2">
        <f>IFERROR(__xludf.DUMMYFUNCTION("""COMPUTED_VALUE"""),527.34)</f>
        <v>527.34</v>
      </c>
      <c r="F317" s="2">
        <f>IFERROR(__xludf.DUMMYFUNCTION("""COMPUTED_VALUE"""),1.9263265E7)</f>
        <v>19263265</v>
      </c>
    </row>
    <row r="318">
      <c r="A318" s="3">
        <f>IFERROR(__xludf.DUMMYFUNCTION("""COMPUTED_VALUE"""),45390.66666666667)</f>
        <v>45390.66667</v>
      </c>
      <c r="B318" s="2">
        <f>IFERROR(__xludf.DUMMYFUNCTION("""COMPUTED_VALUE"""),529.28)</f>
        <v>529.28</v>
      </c>
      <c r="C318" s="2">
        <f>IFERROR(__xludf.DUMMYFUNCTION("""COMPUTED_VALUE"""),531.49)</f>
        <v>531.49</v>
      </c>
      <c r="D318" s="2">
        <f>IFERROR(__xludf.DUMMYFUNCTION("""COMPUTED_VALUE"""),518.89)</f>
        <v>518.89</v>
      </c>
      <c r="E318" s="2">
        <f>IFERROR(__xludf.DUMMYFUNCTION("""COMPUTED_VALUE"""),519.25)</f>
        <v>519.25</v>
      </c>
      <c r="F318" s="2">
        <f>IFERROR(__xludf.DUMMYFUNCTION("""COMPUTED_VALUE"""),1.3260579E7)</f>
        <v>13260579</v>
      </c>
    </row>
    <row r="319">
      <c r="A319" s="3">
        <f>IFERROR(__xludf.DUMMYFUNCTION("""COMPUTED_VALUE"""),45391.66666666667)</f>
        <v>45391.66667</v>
      </c>
      <c r="B319" s="2">
        <f>IFERROR(__xludf.DUMMYFUNCTION("""COMPUTED_VALUE"""),522.23)</f>
        <v>522.23</v>
      </c>
      <c r="C319" s="2">
        <f>IFERROR(__xludf.DUMMYFUNCTION("""COMPUTED_VALUE"""),525.87)</f>
        <v>525.87</v>
      </c>
      <c r="D319" s="2">
        <f>IFERROR(__xludf.DUMMYFUNCTION("""COMPUTED_VALUE"""),506.74)</f>
        <v>506.74</v>
      </c>
      <c r="E319" s="2">
        <f>IFERROR(__xludf.DUMMYFUNCTION("""COMPUTED_VALUE"""),516.9)</f>
        <v>516.9</v>
      </c>
      <c r="F319" s="2">
        <f>IFERROR(__xludf.DUMMYFUNCTION("""COMPUTED_VALUE"""),1.0881445E7)</f>
        <v>10881445</v>
      </c>
    </row>
    <row r="320">
      <c r="A320" s="3">
        <f>IFERROR(__xludf.DUMMYFUNCTION("""COMPUTED_VALUE"""),45392.66666666667)</f>
        <v>45392.66667</v>
      </c>
      <c r="B320" s="2">
        <f>IFERROR(__xludf.DUMMYFUNCTION("""COMPUTED_VALUE"""),509.29)</f>
        <v>509.29</v>
      </c>
      <c r="C320" s="2">
        <f>IFERROR(__xludf.DUMMYFUNCTION("""COMPUTED_VALUE"""),522.56)</f>
        <v>522.56</v>
      </c>
      <c r="D320" s="2">
        <f>IFERROR(__xludf.DUMMYFUNCTION("""COMPUTED_VALUE"""),505.8)</f>
        <v>505.8</v>
      </c>
      <c r="E320" s="2">
        <f>IFERROR(__xludf.DUMMYFUNCTION("""COMPUTED_VALUE"""),519.83)</f>
        <v>519.83</v>
      </c>
      <c r="F320" s="2">
        <f>IFERROR(__xludf.DUMMYFUNCTION("""COMPUTED_VALUE"""),1.1418491E7)</f>
        <v>11418491</v>
      </c>
    </row>
    <row r="321">
      <c r="A321" s="3">
        <f>IFERROR(__xludf.DUMMYFUNCTION("""COMPUTED_VALUE"""),45393.66666666667)</f>
        <v>45393.66667</v>
      </c>
      <c r="B321" s="2">
        <f>IFERROR(__xludf.DUMMYFUNCTION("""COMPUTED_VALUE"""),521.11)</f>
        <v>521.11</v>
      </c>
      <c r="C321" s="2">
        <f>IFERROR(__xludf.DUMMYFUNCTION("""COMPUTED_VALUE"""),523.86)</f>
        <v>523.86</v>
      </c>
      <c r="D321" s="2">
        <f>IFERROR(__xludf.DUMMYFUNCTION("""COMPUTED_VALUE"""),517.29)</f>
        <v>517.29</v>
      </c>
      <c r="E321" s="2">
        <f>IFERROR(__xludf.DUMMYFUNCTION("""COMPUTED_VALUE"""),523.16)</f>
        <v>523.16</v>
      </c>
      <c r="F321" s="2">
        <f>IFERROR(__xludf.DUMMYFUNCTION("""COMPUTED_VALUE"""),1.0369469E7)</f>
        <v>10369469</v>
      </c>
    </row>
    <row r="322">
      <c r="A322" s="3">
        <f>IFERROR(__xludf.DUMMYFUNCTION("""COMPUTED_VALUE"""),45394.66666666667)</f>
        <v>45394.66667</v>
      </c>
      <c r="B322" s="2">
        <f>IFERROR(__xludf.DUMMYFUNCTION("""COMPUTED_VALUE"""),517.75)</f>
        <v>517.75</v>
      </c>
      <c r="C322" s="2">
        <f>IFERROR(__xludf.DUMMYFUNCTION("""COMPUTED_VALUE"""),520.19)</f>
        <v>520.19</v>
      </c>
      <c r="D322" s="2">
        <f>IFERROR(__xludf.DUMMYFUNCTION("""COMPUTED_VALUE"""),509.33)</f>
        <v>509.33</v>
      </c>
      <c r="E322" s="2">
        <f>IFERROR(__xludf.DUMMYFUNCTION("""COMPUTED_VALUE"""),511.9)</f>
        <v>511.9</v>
      </c>
      <c r="F322" s="2">
        <f>IFERROR(__xludf.DUMMYFUNCTION("""COMPUTED_VALUE"""),1.1984535E7)</f>
        <v>11984535</v>
      </c>
    </row>
    <row r="323">
      <c r="A323" s="3">
        <f>IFERROR(__xludf.DUMMYFUNCTION("""COMPUTED_VALUE"""),45397.66666666667)</f>
        <v>45397.66667</v>
      </c>
      <c r="B323" s="2">
        <f>IFERROR(__xludf.DUMMYFUNCTION("""COMPUTED_VALUE"""),516.72)</f>
        <v>516.72</v>
      </c>
      <c r="C323" s="2">
        <f>IFERROR(__xludf.DUMMYFUNCTION("""COMPUTED_VALUE"""),518.53)</f>
        <v>518.53</v>
      </c>
      <c r="D323" s="2">
        <f>IFERROR(__xludf.DUMMYFUNCTION("""COMPUTED_VALUE"""),497.28)</f>
        <v>497.28</v>
      </c>
      <c r="E323" s="2">
        <f>IFERROR(__xludf.DUMMYFUNCTION("""COMPUTED_VALUE"""),500.23)</f>
        <v>500.23</v>
      </c>
      <c r="F323" s="2">
        <f>IFERROR(__xludf.DUMMYFUNCTION("""COMPUTED_VALUE"""),1.3512893E7)</f>
        <v>13512893</v>
      </c>
    </row>
    <row r="324">
      <c r="A324" s="3">
        <f>IFERROR(__xludf.DUMMYFUNCTION("""COMPUTED_VALUE"""),45398.66666666667)</f>
        <v>45398.66667</v>
      </c>
      <c r="B324" s="2">
        <f>IFERROR(__xludf.DUMMYFUNCTION("""COMPUTED_VALUE"""),498.11)</f>
        <v>498.11</v>
      </c>
      <c r="C324" s="2">
        <f>IFERROR(__xludf.DUMMYFUNCTION("""COMPUTED_VALUE"""),504.77)</f>
        <v>504.77</v>
      </c>
      <c r="D324" s="2">
        <f>IFERROR(__xludf.DUMMYFUNCTION("""COMPUTED_VALUE"""),497.11)</f>
        <v>497.11</v>
      </c>
      <c r="E324" s="2">
        <f>IFERROR(__xludf.DUMMYFUNCTION("""COMPUTED_VALUE"""),499.76)</f>
        <v>499.76</v>
      </c>
      <c r="F324" s="2">
        <f>IFERROR(__xludf.DUMMYFUNCTION("""COMPUTED_VALUE"""),9847925.0)</f>
        <v>9847925</v>
      </c>
    </row>
    <row r="325">
      <c r="A325" s="3">
        <f>IFERROR(__xludf.DUMMYFUNCTION("""COMPUTED_VALUE"""),45399.66666666667)</f>
        <v>45399.66667</v>
      </c>
      <c r="B325" s="2">
        <f>IFERROR(__xludf.DUMMYFUNCTION("""COMPUTED_VALUE"""),503.1)</f>
        <v>503.1</v>
      </c>
      <c r="C325" s="2">
        <f>IFERROR(__xludf.DUMMYFUNCTION("""COMPUTED_VALUE"""),503.16)</f>
        <v>503.16</v>
      </c>
      <c r="D325" s="2">
        <f>IFERROR(__xludf.DUMMYFUNCTION("""COMPUTED_VALUE"""),487.14)</f>
        <v>487.14</v>
      </c>
      <c r="E325" s="2">
        <f>IFERROR(__xludf.DUMMYFUNCTION("""COMPUTED_VALUE"""),494.17)</f>
        <v>494.17</v>
      </c>
      <c r="F325" s="2">
        <f>IFERROR(__xludf.DUMMYFUNCTION("""COMPUTED_VALUE"""),1.2193743E7)</f>
        <v>12193743</v>
      </c>
    </row>
    <row r="326">
      <c r="A326" s="3">
        <f>IFERROR(__xludf.DUMMYFUNCTION("""COMPUTED_VALUE"""),45400.66666666667)</f>
        <v>45400.66667</v>
      </c>
      <c r="B326" s="2">
        <f>IFERROR(__xludf.DUMMYFUNCTION("""COMPUTED_VALUE"""),499.82)</f>
        <v>499.82</v>
      </c>
      <c r="C326" s="2">
        <f>IFERROR(__xludf.DUMMYFUNCTION("""COMPUTED_VALUE"""),512.21)</f>
        <v>512.21</v>
      </c>
      <c r="D326" s="2">
        <f>IFERROR(__xludf.DUMMYFUNCTION("""COMPUTED_VALUE"""),499.04)</f>
        <v>499.04</v>
      </c>
      <c r="E326" s="2">
        <f>IFERROR(__xludf.DUMMYFUNCTION("""COMPUTED_VALUE"""),501.8)</f>
        <v>501.8</v>
      </c>
      <c r="F326" s="2">
        <f>IFERROR(__xludf.DUMMYFUNCTION("""COMPUTED_VALUE"""),1.480867E7)</f>
        <v>14808670</v>
      </c>
    </row>
    <row r="327">
      <c r="A327" s="3">
        <f>IFERROR(__xludf.DUMMYFUNCTION("""COMPUTED_VALUE"""),45401.66666666667)</f>
        <v>45401.66667</v>
      </c>
      <c r="B327" s="2">
        <f>IFERROR(__xludf.DUMMYFUNCTION("""COMPUTED_VALUE"""),502.8)</f>
        <v>502.8</v>
      </c>
      <c r="C327" s="2">
        <f>IFERROR(__xludf.DUMMYFUNCTION("""COMPUTED_VALUE"""),502.8)</f>
        <v>502.8</v>
      </c>
      <c r="D327" s="2">
        <f>IFERROR(__xludf.DUMMYFUNCTION("""COMPUTED_VALUE"""),475.73)</f>
        <v>475.73</v>
      </c>
      <c r="E327" s="2">
        <f>IFERROR(__xludf.DUMMYFUNCTION("""COMPUTED_VALUE"""),481.07)</f>
        <v>481.07</v>
      </c>
      <c r="F327" s="2">
        <f>IFERROR(__xludf.DUMMYFUNCTION("""COMPUTED_VALUE"""),2.5215364E7)</f>
        <v>25215364</v>
      </c>
    </row>
    <row r="328">
      <c r="A328" s="3">
        <f>IFERROR(__xludf.DUMMYFUNCTION("""COMPUTED_VALUE"""),45404.66666666667)</f>
        <v>45404.66667</v>
      </c>
      <c r="B328" s="2">
        <f>IFERROR(__xludf.DUMMYFUNCTION("""COMPUTED_VALUE"""),489.72)</f>
        <v>489.72</v>
      </c>
      <c r="C328" s="2">
        <f>IFERROR(__xludf.DUMMYFUNCTION("""COMPUTED_VALUE"""),492.01)</f>
        <v>492.01</v>
      </c>
      <c r="D328" s="2">
        <f>IFERROR(__xludf.DUMMYFUNCTION("""COMPUTED_VALUE"""),473.4)</f>
        <v>473.4</v>
      </c>
      <c r="E328" s="2">
        <f>IFERROR(__xludf.DUMMYFUNCTION("""COMPUTED_VALUE"""),481.73)</f>
        <v>481.73</v>
      </c>
      <c r="F328" s="2">
        <f>IFERROR(__xludf.DUMMYFUNCTION("""COMPUTED_VALUE"""),1.7271125E7)</f>
        <v>17271125</v>
      </c>
    </row>
    <row r="329">
      <c r="A329" s="3">
        <f>IFERROR(__xludf.DUMMYFUNCTION("""COMPUTED_VALUE"""),45405.66666666667)</f>
        <v>45405.66667</v>
      </c>
      <c r="B329" s="2">
        <f>IFERROR(__xludf.DUMMYFUNCTION("""COMPUTED_VALUE"""),491.25)</f>
        <v>491.25</v>
      </c>
      <c r="C329" s="2">
        <f>IFERROR(__xludf.DUMMYFUNCTION("""COMPUTED_VALUE"""),498.76)</f>
        <v>498.76</v>
      </c>
      <c r="D329" s="2">
        <f>IFERROR(__xludf.DUMMYFUNCTION("""COMPUTED_VALUE"""),488.97)</f>
        <v>488.97</v>
      </c>
      <c r="E329" s="2">
        <f>IFERROR(__xludf.DUMMYFUNCTION("""COMPUTED_VALUE"""),496.1)</f>
        <v>496.1</v>
      </c>
      <c r="F329" s="2">
        <f>IFERROR(__xludf.DUMMYFUNCTION("""COMPUTED_VALUE"""),1.5079196E7)</f>
        <v>15079196</v>
      </c>
    </row>
    <row r="330">
      <c r="A330" s="3">
        <f>IFERROR(__xludf.DUMMYFUNCTION("""COMPUTED_VALUE"""),45406.66666666667)</f>
        <v>45406.66667</v>
      </c>
      <c r="B330" s="2">
        <f>IFERROR(__xludf.DUMMYFUNCTION("""COMPUTED_VALUE"""),508.06)</f>
        <v>508.06</v>
      </c>
      <c r="C330" s="2">
        <f>IFERROR(__xludf.DUMMYFUNCTION("""COMPUTED_VALUE"""),510.0)</f>
        <v>510</v>
      </c>
      <c r="D330" s="2">
        <f>IFERROR(__xludf.DUMMYFUNCTION("""COMPUTED_VALUE"""),484.58)</f>
        <v>484.58</v>
      </c>
      <c r="E330" s="2">
        <f>IFERROR(__xludf.DUMMYFUNCTION("""COMPUTED_VALUE"""),493.5)</f>
        <v>493.5</v>
      </c>
      <c r="F330" s="2">
        <f>IFERROR(__xludf.DUMMYFUNCTION("""COMPUTED_VALUE"""),3.7772677E7)</f>
        <v>37772677</v>
      </c>
    </row>
    <row r="331">
      <c r="A331" s="3">
        <f>IFERROR(__xludf.DUMMYFUNCTION("""COMPUTED_VALUE"""),45407.66666666667)</f>
        <v>45407.66667</v>
      </c>
      <c r="B331" s="2">
        <f>IFERROR(__xludf.DUMMYFUNCTION("""COMPUTED_VALUE"""),421.4)</f>
        <v>421.4</v>
      </c>
      <c r="C331" s="2">
        <f>IFERROR(__xludf.DUMMYFUNCTION("""COMPUTED_VALUE"""),445.77)</f>
        <v>445.77</v>
      </c>
      <c r="D331" s="2">
        <f>IFERROR(__xludf.DUMMYFUNCTION("""COMPUTED_VALUE"""),414.5)</f>
        <v>414.5</v>
      </c>
      <c r="E331" s="2">
        <f>IFERROR(__xludf.DUMMYFUNCTION("""COMPUTED_VALUE"""),441.38)</f>
        <v>441.38</v>
      </c>
      <c r="F331" s="2">
        <f>IFERROR(__xludf.DUMMYFUNCTION("""COMPUTED_VALUE"""),8.2890741E7)</f>
        <v>82890741</v>
      </c>
    </row>
    <row r="332">
      <c r="A332" s="3">
        <f>IFERROR(__xludf.DUMMYFUNCTION("""COMPUTED_VALUE"""),45408.66666666667)</f>
        <v>45408.66667</v>
      </c>
      <c r="B332" s="2">
        <f>IFERROR(__xludf.DUMMYFUNCTION("""COMPUTED_VALUE"""),441.46)</f>
        <v>441.46</v>
      </c>
      <c r="C332" s="2">
        <f>IFERROR(__xludf.DUMMYFUNCTION("""COMPUTED_VALUE"""),446.44)</f>
        <v>446.44</v>
      </c>
      <c r="D332" s="2">
        <f>IFERROR(__xludf.DUMMYFUNCTION("""COMPUTED_VALUE"""),431.96)</f>
        <v>431.96</v>
      </c>
      <c r="E332" s="2">
        <f>IFERROR(__xludf.DUMMYFUNCTION("""COMPUTED_VALUE"""),443.29)</f>
        <v>443.29</v>
      </c>
      <c r="F332" s="2">
        <f>IFERROR(__xludf.DUMMYFUNCTION("""COMPUTED_VALUE"""),3.2691443E7)</f>
        <v>32691443</v>
      </c>
    </row>
    <row r="333">
      <c r="A333" s="3">
        <f>IFERROR(__xludf.DUMMYFUNCTION("""COMPUTED_VALUE"""),45411.66666666667)</f>
        <v>45411.66667</v>
      </c>
      <c r="B333" s="2">
        <f>IFERROR(__xludf.DUMMYFUNCTION("""COMPUTED_VALUE"""),439.56)</f>
        <v>439.56</v>
      </c>
      <c r="C333" s="2">
        <f>IFERROR(__xludf.DUMMYFUNCTION("""COMPUTED_VALUE"""),439.76)</f>
        <v>439.76</v>
      </c>
      <c r="D333" s="2">
        <f>IFERROR(__xludf.DUMMYFUNCTION("""COMPUTED_VALUE"""),428.56)</f>
        <v>428.56</v>
      </c>
      <c r="E333" s="2">
        <f>IFERROR(__xludf.DUMMYFUNCTION("""COMPUTED_VALUE"""),432.62)</f>
        <v>432.62</v>
      </c>
      <c r="F333" s="2">
        <f>IFERROR(__xludf.DUMMYFUNCTION("""COMPUTED_VALUE"""),2.1502646E7)</f>
        <v>21502646</v>
      </c>
    </row>
    <row r="334">
      <c r="A334" s="3">
        <f>IFERROR(__xludf.DUMMYFUNCTION("""COMPUTED_VALUE"""),45412.66666666667)</f>
        <v>45412.66667</v>
      </c>
      <c r="B334" s="2">
        <f>IFERROR(__xludf.DUMMYFUNCTION("""COMPUTED_VALUE"""),431.05)</f>
        <v>431.05</v>
      </c>
      <c r="C334" s="2">
        <f>IFERROR(__xludf.DUMMYFUNCTION("""COMPUTED_VALUE"""),439.62)</f>
        <v>439.62</v>
      </c>
      <c r="D334" s="2">
        <f>IFERROR(__xludf.DUMMYFUNCTION("""COMPUTED_VALUE"""),429.72)</f>
        <v>429.72</v>
      </c>
      <c r="E334" s="2">
        <f>IFERROR(__xludf.DUMMYFUNCTION("""COMPUTED_VALUE"""),430.17)</f>
        <v>430.17</v>
      </c>
      <c r="F334" s="2">
        <f>IFERROR(__xludf.DUMMYFUNCTION("""COMPUTED_VALUE"""),1.8429496E7)</f>
        <v>18429496</v>
      </c>
    </row>
    <row r="335">
      <c r="A335" s="3">
        <f>IFERROR(__xludf.DUMMYFUNCTION("""COMPUTED_VALUE"""),45413.66666666667)</f>
        <v>45413.66667</v>
      </c>
      <c r="B335" s="2">
        <f>IFERROR(__xludf.DUMMYFUNCTION("""COMPUTED_VALUE"""),428.6)</f>
        <v>428.6</v>
      </c>
      <c r="C335" s="2">
        <f>IFERROR(__xludf.DUMMYFUNCTION("""COMPUTED_VALUE"""),449.96)</f>
        <v>449.96</v>
      </c>
      <c r="D335" s="2">
        <f>IFERROR(__xludf.DUMMYFUNCTION("""COMPUTED_VALUE"""),427.11)</f>
        <v>427.11</v>
      </c>
      <c r="E335" s="2">
        <f>IFERROR(__xludf.DUMMYFUNCTION("""COMPUTED_VALUE"""),439.19)</f>
        <v>439.19</v>
      </c>
      <c r="F335" s="2">
        <f>IFERROR(__xludf.DUMMYFUNCTION("""COMPUTED_VALUE"""),2.0344947E7)</f>
        <v>20344947</v>
      </c>
    </row>
    <row r="336">
      <c r="A336" s="3">
        <f>IFERROR(__xludf.DUMMYFUNCTION("""COMPUTED_VALUE"""),45414.66666666667)</f>
        <v>45414.66667</v>
      </c>
      <c r="B336" s="2">
        <f>IFERROR(__xludf.DUMMYFUNCTION("""COMPUTED_VALUE"""),438.84)</f>
        <v>438.84</v>
      </c>
      <c r="C336" s="2">
        <f>IFERROR(__xludf.DUMMYFUNCTION("""COMPUTED_VALUE"""),443.96)</f>
        <v>443.96</v>
      </c>
      <c r="D336" s="2">
        <f>IFERROR(__xludf.DUMMYFUNCTION("""COMPUTED_VALUE"""),432.28)</f>
        <v>432.28</v>
      </c>
      <c r="E336" s="2">
        <f>IFERROR(__xludf.DUMMYFUNCTION("""COMPUTED_VALUE"""),441.68)</f>
        <v>441.68</v>
      </c>
      <c r="F336" s="2">
        <f>IFERROR(__xludf.DUMMYFUNCTION("""COMPUTED_VALUE"""),1.5221322E7)</f>
        <v>15221322</v>
      </c>
    </row>
    <row r="337">
      <c r="A337" s="3">
        <f>IFERROR(__xludf.DUMMYFUNCTION("""COMPUTED_VALUE"""),45415.66666666667)</f>
        <v>45415.66667</v>
      </c>
      <c r="B337" s="2">
        <f>IFERROR(__xludf.DUMMYFUNCTION("""COMPUTED_VALUE"""),445.93)</f>
        <v>445.93</v>
      </c>
      <c r="C337" s="2">
        <f>IFERROR(__xludf.DUMMYFUNCTION("""COMPUTED_VALUE"""),454.17)</f>
        <v>454.17</v>
      </c>
      <c r="D337" s="2">
        <f>IFERROR(__xludf.DUMMYFUNCTION("""COMPUTED_VALUE"""),443.85)</f>
        <v>443.85</v>
      </c>
      <c r="E337" s="2">
        <f>IFERROR(__xludf.DUMMYFUNCTION("""COMPUTED_VALUE"""),451.96)</f>
        <v>451.96</v>
      </c>
      <c r="F337" s="2">
        <f>IFERROR(__xludf.DUMMYFUNCTION("""COMPUTED_VALUE"""),1.6489057E7)</f>
        <v>16489057</v>
      </c>
    </row>
    <row r="338">
      <c r="A338" s="3">
        <f>IFERROR(__xludf.DUMMYFUNCTION("""COMPUTED_VALUE"""),45418.66666666667)</f>
        <v>45418.66667</v>
      </c>
      <c r="B338" s="2">
        <f>IFERROR(__xludf.DUMMYFUNCTION("""COMPUTED_VALUE"""),455.58)</f>
        <v>455.58</v>
      </c>
      <c r="C338" s="2">
        <f>IFERROR(__xludf.DUMMYFUNCTION("""COMPUTED_VALUE"""),466.16)</f>
        <v>466.16</v>
      </c>
      <c r="D338" s="2">
        <f>IFERROR(__xludf.DUMMYFUNCTION("""COMPUTED_VALUE"""),453.34)</f>
        <v>453.34</v>
      </c>
      <c r="E338" s="2">
        <f>IFERROR(__xludf.DUMMYFUNCTION("""COMPUTED_VALUE"""),465.68)</f>
        <v>465.68</v>
      </c>
      <c r="F338" s="2">
        <f>IFERROR(__xludf.DUMMYFUNCTION("""COMPUTED_VALUE"""),1.5094627E7)</f>
        <v>15094627</v>
      </c>
    </row>
    <row r="339">
      <c r="A339" s="3">
        <f>IFERROR(__xludf.DUMMYFUNCTION("""COMPUTED_VALUE"""),45419.66666666667)</f>
        <v>45419.66667</v>
      </c>
      <c r="B339" s="2">
        <f>IFERROR(__xludf.DUMMYFUNCTION("""COMPUTED_VALUE"""),466.29)</f>
        <v>466.29</v>
      </c>
      <c r="C339" s="2">
        <f>IFERROR(__xludf.DUMMYFUNCTION("""COMPUTED_VALUE"""),471.53)</f>
        <v>471.53</v>
      </c>
      <c r="D339" s="2">
        <f>IFERROR(__xludf.DUMMYFUNCTION("""COMPUTED_VALUE"""),461.31)</f>
        <v>461.31</v>
      </c>
      <c r="E339" s="2">
        <f>IFERROR(__xludf.DUMMYFUNCTION("""COMPUTED_VALUE"""),468.24)</f>
        <v>468.24</v>
      </c>
      <c r="F339" s="2">
        <f>IFERROR(__xludf.DUMMYFUNCTION("""COMPUTED_VALUE"""),1.3406816E7)</f>
        <v>13406816</v>
      </c>
    </row>
    <row r="340">
      <c r="A340" s="3">
        <f>IFERROR(__xludf.DUMMYFUNCTION("""COMPUTED_VALUE"""),45420.66666666667)</f>
        <v>45420.66667</v>
      </c>
      <c r="B340" s="2">
        <f>IFERROR(__xludf.DUMMYFUNCTION("""COMPUTED_VALUE"""),463.5)</f>
        <v>463.5</v>
      </c>
      <c r="C340" s="2">
        <f>IFERROR(__xludf.DUMMYFUNCTION("""COMPUTED_VALUE"""),475.58)</f>
        <v>475.58</v>
      </c>
      <c r="D340" s="2">
        <f>IFERROR(__xludf.DUMMYFUNCTION("""COMPUTED_VALUE"""),463.0)</f>
        <v>463</v>
      </c>
      <c r="E340" s="2">
        <f>IFERROR(__xludf.DUMMYFUNCTION("""COMPUTED_VALUE"""),472.6)</f>
        <v>472.6</v>
      </c>
      <c r="F340" s="2">
        <f>IFERROR(__xludf.DUMMYFUNCTION("""COMPUTED_VALUE"""),1.1683929E7)</f>
        <v>11683929</v>
      </c>
    </row>
    <row r="341">
      <c r="A341" s="3">
        <f>IFERROR(__xludf.DUMMYFUNCTION("""COMPUTED_VALUE"""),45421.66666666667)</f>
        <v>45421.66667</v>
      </c>
      <c r="B341" s="2">
        <f>IFERROR(__xludf.DUMMYFUNCTION("""COMPUTED_VALUE"""),470.0)</f>
        <v>470</v>
      </c>
      <c r="C341" s="2">
        <f>IFERROR(__xludf.DUMMYFUNCTION("""COMPUTED_VALUE"""),476.08)</f>
        <v>476.08</v>
      </c>
      <c r="D341" s="2">
        <f>IFERROR(__xludf.DUMMYFUNCTION("""COMPUTED_VALUE"""),467.63)</f>
        <v>467.63</v>
      </c>
      <c r="E341" s="2">
        <f>IFERROR(__xludf.DUMMYFUNCTION("""COMPUTED_VALUE"""),475.42)</f>
        <v>475.42</v>
      </c>
      <c r="F341" s="2">
        <f>IFERROR(__xludf.DUMMYFUNCTION("""COMPUTED_VALUE"""),9437651.0)</f>
        <v>9437651</v>
      </c>
    </row>
    <row r="342">
      <c r="A342" s="3">
        <f>IFERROR(__xludf.DUMMYFUNCTION("""COMPUTED_VALUE"""),45422.66666666667)</f>
        <v>45422.66667</v>
      </c>
      <c r="B342" s="2">
        <f>IFERROR(__xludf.DUMMYFUNCTION("""COMPUTED_VALUE"""),477.09)</f>
        <v>477.09</v>
      </c>
      <c r="C342" s="2">
        <f>IFERROR(__xludf.DUMMYFUNCTION("""COMPUTED_VALUE"""),477.5)</f>
        <v>477.5</v>
      </c>
      <c r="D342" s="2">
        <f>IFERROR(__xludf.DUMMYFUNCTION("""COMPUTED_VALUE"""),469.6)</f>
        <v>469.6</v>
      </c>
      <c r="E342" s="2">
        <f>IFERROR(__xludf.DUMMYFUNCTION("""COMPUTED_VALUE"""),476.2)</f>
        <v>476.2</v>
      </c>
      <c r="F342" s="2">
        <f>IFERROR(__xludf.DUMMYFUNCTION("""COMPUTED_VALUE"""),1.0749999E7)</f>
        <v>10749999</v>
      </c>
    </row>
    <row r="343">
      <c r="A343" s="3">
        <f>IFERROR(__xludf.DUMMYFUNCTION("""COMPUTED_VALUE"""),45425.66666666667)</f>
        <v>45425.66667</v>
      </c>
      <c r="B343" s="2">
        <f>IFERROR(__xludf.DUMMYFUNCTION("""COMPUTED_VALUE"""),472.75)</f>
        <v>472.75</v>
      </c>
      <c r="C343" s="2">
        <f>IFERROR(__xludf.DUMMYFUNCTION("""COMPUTED_VALUE"""),473.35)</f>
        <v>473.35</v>
      </c>
      <c r="D343" s="2">
        <f>IFERROR(__xludf.DUMMYFUNCTION("""COMPUTED_VALUE"""),462.85)</f>
        <v>462.85</v>
      </c>
      <c r="E343" s="2">
        <f>IFERROR(__xludf.DUMMYFUNCTION("""COMPUTED_VALUE"""),468.01)</f>
        <v>468.01</v>
      </c>
      <c r="F343" s="2">
        <f>IFERROR(__xludf.DUMMYFUNCTION("""COMPUTED_VALUE"""),1.4668798E7)</f>
        <v>14668798</v>
      </c>
    </row>
    <row r="344">
      <c r="A344" s="3">
        <f>IFERROR(__xludf.DUMMYFUNCTION("""COMPUTED_VALUE"""),45426.66666666667)</f>
        <v>45426.66667</v>
      </c>
      <c r="B344" s="2">
        <f>IFERROR(__xludf.DUMMYFUNCTION("""COMPUTED_VALUE"""),463.37)</f>
        <v>463.37</v>
      </c>
      <c r="C344" s="2">
        <f>IFERROR(__xludf.DUMMYFUNCTION("""COMPUTED_VALUE"""),472.54)</f>
        <v>472.54</v>
      </c>
      <c r="D344" s="2">
        <f>IFERROR(__xludf.DUMMYFUNCTION("""COMPUTED_VALUE"""),460.08)</f>
        <v>460.08</v>
      </c>
      <c r="E344" s="2">
        <f>IFERROR(__xludf.DUMMYFUNCTION("""COMPUTED_VALUE"""),471.85)</f>
        <v>471.85</v>
      </c>
      <c r="F344" s="2">
        <f>IFERROR(__xludf.DUMMYFUNCTION("""COMPUTED_VALUE"""),1.0478553E7)</f>
        <v>10478553</v>
      </c>
    </row>
    <row r="345">
      <c r="A345" s="3">
        <f>IFERROR(__xludf.DUMMYFUNCTION("""COMPUTED_VALUE"""),45427.66666666667)</f>
        <v>45427.66667</v>
      </c>
      <c r="B345" s="2">
        <f>IFERROR(__xludf.DUMMYFUNCTION("""COMPUTED_VALUE"""),474.98)</f>
        <v>474.98</v>
      </c>
      <c r="C345" s="2">
        <f>IFERROR(__xludf.DUMMYFUNCTION("""COMPUTED_VALUE"""),482.5)</f>
        <v>482.5</v>
      </c>
      <c r="D345" s="2">
        <f>IFERROR(__xludf.DUMMYFUNCTION("""COMPUTED_VALUE"""),471.2)</f>
        <v>471.2</v>
      </c>
      <c r="E345" s="2">
        <f>IFERROR(__xludf.DUMMYFUNCTION("""COMPUTED_VALUE"""),481.54)</f>
        <v>481.54</v>
      </c>
      <c r="F345" s="2">
        <f>IFERROR(__xludf.DUMMYFUNCTION("""COMPUTED_VALUE"""),1.310047E7)</f>
        <v>13100470</v>
      </c>
    </row>
    <row r="346">
      <c r="A346" s="3">
        <f>IFERROR(__xludf.DUMMYFUNCTION("""COMPUTED_VALUE"""),45428.66666666667)</f>
        <v>45428.66667</v>
      </c>
      <c r="B346" s="2">
        <f>IFERROR(__xludf.DUMMYFUNCTION("""COMPUTED_VALUE"""),475.0)</f>
        <v>475</v>
      </c>
      <c r="C346" s="2">
        <f>IFERROR(__xludf.DUMMYFUNCTION("""COMPUTED_VALUE"""),477.69)</f>
        <v>477.69</v>
      </c>
      <c r="D346" s="2">
        <f>IFERROR(__xludf.DUMMYFUNCTION("""COMPUTED_VALUE"""),472.75)</f>
        <v>472.75</v>
      </c>
      <c r="E346" s="2">
        <f>IFERROR(__xludf.DUMMYFUNCTION("""COMPUTED_VALUE"""),473.23)</f>
        <v>473.23</v>
      </c>
      <c r="F346" s="2">
        <f>IFERROR(__xludf.DUMMYFUNCTION("""COMPUTED_VALUE"""),1.6608179E7)</f>
        <v>16608179</v>
      </c>
    </row>
    <row r="347">
      <c r="A347" s="3">
        <f>IFERROR(__xludf.DUMMYFUNCTION("""COMPUTED_VALUE"""),45429.66666666667)</f>
        <v>45429.66667</v>
      </c>
      <c r="B347" s="2">
        <f>IFERROR(__xludf.DUMMYFUNCTION("""COMPUTED_VALUE"""),470.83)</f>
        <v>470.83</v>
      </c>
      <c r="C347" s="2">
        <f>IFERROR(__xludf.DUMMYFUNCTION("""COMPUTED_VALUE"""),472.8)</f>
        <v>472.8</v>
      </c>
      <c r="D347" s="2">
        <f>IFERROR(__xludf.DUMMYFUNCTION("""COMPUTED_VALUE"""),468.42)</f>
        <v>468.42</v>
      </c>
      <c r="E347" s="2">
        <f>IFERROR(__xludf.DUMMYFUNCTION("""COMPUTED_VALUE"""),471.91)</f>
        <v>471.91</v>
      </c>
      <c r="F347" s="2">
        <f>IFERROR(__xludf.DUMMYFUNCTION("""COMPUTED_VALUE"""),1.0807289E7)</f>
        <v>10807289</v>
      </c>
    </row>
    <row r="348">
      <c r="A348" s="3">
        <f>IFERROR(__xludf.DUMMYFUNCTION("""COMPUTED_VALUE"""),45432.66666666667)</f>
        <v>45432.66667</v>
      </c>
      <c r="B348" s="2">
        <f>IFERROR(__xludf.DUMMYFUNCTION("""COMPUTED_VALUE"""),469.95)</f>
        <v>469.95</v>
      </c>
      <c r="C348" s="2">
        <f>IFERROR(__xludf.DUMMYFUNCTION("""COMPUTED_VALUE"""),473.2)</f>
        <v>473.2</v>
      </c>
      <c r="D348" s="2">
        <f>IFERROR(__xludf.DUMMYFUNCTION("""COMPUTED_VALUE"""),467.04)</f>
        <v>467.04</v>
      </c>
      <c r="E348" s="2">
        <f>IFERROR(__xludf.DUMMYFUNCTION("""COMPUTED_VALUE"""),468.84)</f>
        <v>468.84</v>
      </c>
      <c r="F348" s="2">
        <f>IFERROR(__xludf.DUMMYFUNCTION("""COMPUTED_VALUE"""),1.174508E7)</f>
        <v>11745080</v>
      </c>
    </row>
    <row r="349">
      <c r="A349" s="3">
        <f>IFERROR(__xludf.DUMMYFUNCTION("""COMPUTED_VALUE"""),45433.66666666667)</f>
        <v>45433.66667</v>
      </c>
      <c r="B349" s="2">
        <f>IFERROR(__xludf.DUMMYFUNCTION("""COMPUTED_VALUE"""),467.12)</f>
        <v>467.12</v>
      </c>
      <c r="C349" s="2">
        <f>IFERROR(__xludf.DUMMYFUNCTION("""COMPUTED_VALUE"""),470.7)</f>
        <v>470.7</v>
      </c>
      <c r="D349" s="2">
        <f>IFERROR(__xludf.DUMMYFUNCTION("""COMPUTED_VALUE"""),462.27)</f>
        <v>462.27</v>
      </c>
      <c r="E349" s="2">
        <f>IFERROR(__xludf.DUMMYFUNCTION("""COMPUTED_VALUE"""),464.63)</f>
        <v>464.63</v>
      </c>
      <c r="F349" s="2">
        <f>IFERROR(__xludf.DUMMYFUNCTION("""COMPUTED_VALUE"""),1.1742189E7)</f>
        <v>11742189</v>
      </c>
    </row>
    <row r="350">
      <c r="A350" s="3">
        <f>IFERROR(__xludf.DUMMYFUNCTION("""COMPUTED_VALUE"""),45434.66666666667)</f>
        <v>45434.66667</v>
      </c>
      <c r="B350" s="2">
        <f>IFERROR(__xludf.DUMMYFUNCTION("""COMPUTED_VALUE"""),467.87)</f>
        <v>467.87</v>
      </c>
      <c r="C350" s="2">
        <f>IFERROR(__xludf.DUMMYFUNCTION("""COMPUTED_VALUE"""),473.72)</f>
        <v>473.72</v>
      </c>
      <c r="D350" s="2">
        <f>IFERROR(__xludf.DUMMYFUNCTION("""COMPUTED_VALUE"""),465.65)</f>
        <v>465.65</v>
      </c>
      <c r="E350" s="2">
        <f>IFERROR(__xludf.DUMMYFUNCTION("""COMPUTED_VALUE"""),467.78)</f>
        <v>467.78</v>
      </c>
      <c r="F350" s="2">
        <f>IFERROR(__xludf.DUMMYFUNCTION("""COMPUTED_VALUE"""),1.0078611E7)</f>
        <v>10078611</v>
      </c>
    </row>
    <row r="351">
      <c r="A351" s="3">
        <f>IFERROR(__xludf.DUMMYFUNCTION("""COMPUTED_VALUE"""),45435.66666666667)</f>
        <v>45435.66667</v>
      </c>
      <c r="B351" s="2">
        <f>IFERROR(__xludf.DUMMYFUNCTION("""COMPUTED_VALUE"""),472.88)</f>
        <v>472.88</v>
      </c>
      <c r="C351" s="2">
        <f>IFERROR(__xludf.DUMMYFUNCTION("""COMPUTED_VALUE"""),474.36)</f>
        <v>474.36</v>
      </c>
      <c r="D351" s="2">
        <f>IFERROR(__xludf.DUMMYFUNCTION("""COMPUTED_VALUE"""),461.54)</f>
        <v>461.54</v>
      </c>
      <c r="E351" s="2">
        <f>IFERROR(__xludf.DUMMYFUNCTION("""COMPUTED_VALUE"""),465.78)</f>
        <v>465.78</v>
      </c>
      <c r="F351" s="2">
        <f>IFERROR(__xludf.DUMMYFUNCTION("""COMPUTED_VALUE"""),1.1747913E7)</f>
        <v>11747913</v>
      </c>
    </row>
    <row r="352">
      <c r="A352" s="3">
        <f>IFERROR(__xludf.DUMMYFUNCTION("""COMPUTED_VALUE"""),45436.66666666667)</f>
        <v>45436.66667</v>
      </c>
      <c r="B352" s="2">
        <f>IFERROR(__xludf.DUMMYFUNCTION("""COMPUTED_VALUE"""),467.62)</f>
        <v>467.62</v>
      </c>
      <c r="C352" s="2">
        <f>IFERROR(__xludf.DUMMYFUNCTION("""COMPUTED_VALUE"""),479.85)</f>
        <v>479.85</v>
      </c>
      <c r="D352" s="2">
        <f>IFERROR(__xludf.DUMMYFUNCTION("""COMPUTED_VALUE"""),466.3)</f>
        <v>466.3</v>
      </c>
      <c r="E352" s="2">
        <f>IFERROR(__xludf.DUMMYFUNCTION("""COMPUTED_VALUE"""),478.22)</f>
        <v>478.22</v>
      </c>
      <c r="F352" s="2">
        <f>IFERROR(__xludf.DUMMYFUNCTION("""COMPUTED_VALUE"""),1.2024254E7)</f>
        <v>12024254</v>
      </c>
    </row>
    <row r="353">
      <c r="A353" s="3">
        <f>IFERROR(__xludf.DUMMYFUNCTION("""COMPUTED_VALUE"""),45440.66666666667)</f>
        <v>45440.66667</v>
      </c>
      <c r="B353" s="2">
        <f>IFERROR(__xludf.DUMMYFUNCTION("""COMPUTED_VALUE"""),476.58)</f>
        <v>476.58</v>
      </c>
      <c r="C353" s="2">
        <f>IFERROR(__xludf.DUMMYFUNCTION("""COMPUTED_VALUE"""),480.86)</f>
        <v>480.86</v>
      </c>
      <c r="D353" s="2">
        <f>IFERROR(__xludf.DUMMYFUNCTION("""COMPUTED_VALUE"""),474.84)</f>
        <v>474.84</v>
      </c>
      <c r="E353" s="2">
        <f>IFERROR(__xludf.DUMMYFUNCTION("""COMPUTED_VALUE"""),479.92)</f>
        <v>479.92</v>
      </c>
      <c r="F353" s="2">
        <f>IFERROR(__xludf.DUMMYFUNCTION("""COMPUTED_VALUE"""),1.017577E7)</f>
        <v>10175770</v>
      </c>
    </row>
    <row r="354">
      <c r="A354" s="3">
        <f>IFERROR(__xludf.DUMMYFUNCTION("""COMPUTED_VALUE"""),45441.66666666667)</f>
        <v>45441.66667</v>
      </c>
      <c r="B354" s="2">
        <f>IFERROR(__xludf.DUMMYFUNCTION("""COMPUTED_VALUE"""),474.66)</f>
        <v>474.66</v>
      </c>
      <c r="C354" s="2">
        <f>IFERROR(__xludf.DUMMYFUNCTION("""COMPUTED_VALUE"""),479.85)</f>
        <v>479.85</v>
      </c>
      <c r="D354" s="2">
        <f>IFERROR(__xludf.DUMMYFUNCTION("""COMPUTED_VALUE"""),473.7)</f>
        <v>473.7</v>
      </c>
      <c r="E354" s="2">
        <f>IFERROR(__xludf.DUMMYFUNCTION("""COMPUTED_VALUE"""),474.36)</f>
        <v>474.36</v>
      </c>
      <c r="F354" s="2">
        <f>IFERROR(__xludf.DUMMYFUNCTION("""COMPUTED_VALUE"""),9226218.0)</f>
        <v>9226218</v>
      </c>
    </row>
    <row r="355">
      <c r="A355" s="3">
        <f>IFERROR(__xludf.DUMMYFUNCTION("""COMPUTED_VALUE"""),45442.66666666667)</f>
        <v>45442.66667</v>
      </c>
      <c r="B355" s="2">
        <f>IFERROR(__xludf.DUMMYFUNCTION("""COMPUTED_VALUE"""),471.67)</f>
        <v>471.67</v>
      </c>
      <c r="C355" s="2">
        <f>IFERROR(__xludf.DUMMYFUNCTION("""COMPUTED_VALUE"""),471.73)</f>
        <v>471.73</v>
      </c>
      <c r="D355" s="2">
        <f>IFERROR(__xludf.DUMMYFUNCTION("""COMPUTED_VALUE"""),464.71)</f>
        <v>464.71</v>
      </c>
      <c r="E355" s="2">
        <f>IFERROR(__xludf.DUMMYFUNCTION("""COMPUTED_VALUE"""),467.05)</f>
        <v>467.05</v>
      </c>
      <c r="F355" s="2">
        <f>IFERROR(__xludf.DUMMYFUNCTION("""COMPUTED_VALUE"""),1.0735226E7)</f>
        <v>10735226</v>
      </c>
    </row>
    <row r="356">
      <c r="A356" s="3">
        <f>IFERROR(__xludf.DUMMYFUNCTION("""COMPUTED_VALUE"""),45443.66666666667)</f>
        <v>45443.66667</v>
      </c>
      <c r="B356" s="2">
        <f>IFERROR(__xludf.DUMMYFUNCTION("""COMPUTED_VALUE"""),465.8)</f>
        <v>465.8</v>
      </c>
      <c r="C356" s="2">
        <f>IFERROR(__xludf.DUMMYFUNCTION("""COMPUTED_VALUE"""),469.12)</f>
        <v>469.12</v>
      </c>
      <c r="D356" s="2">
        <f>IFERROR(__xludf.DUMMYFUNCTION("""COMPUTED_VALUE"""),454.46)</f>
        <v>454.46</v>
      </c>
      <c r="E356" s="2">
        <f>IFERROR(__xludf.DUMMYFUNCTION("""COMPUTED_VALUE"""),466.83)</f>
        <v>466.83</v>
      </c>
      <c r="F356" s="2">
        <f>IFERROR(__xludf.DUMMYFUNCTION("""COMPUTED_VALUE"""),1.6919805E7)</f>
        <v>16919805</v>
      </c>
    </row>
    <row r="357">
      <c r="A357" s="3">
        <f>IFERROR(__xludf.DUMMYFUNCTION("""COMPUTED_VALUE"""),45446.66666666667)</f>
        <v>45446.66667</v>
      </c>
      <c r="B357" s="2">
        <f>IFERROR(__xludf.DUMMYFUNCTION("""COMPUTED_VALUE"""),470.86)</f>
        <v>470.86</v>
      </c>
      <c r="C357" s="2">
        <f>IFERROR(__xludf.DUMMYFUNCTION("""COMPUTED_VALUE"""),479.6)</f>
        <v>479.6</v>
      </c>
      <c r="D357" s="2">
        <f>IFERROR(__xludf.DUMMYFUNCTION("""COMPUTED_VALUE"""),468.24)</f>
        <v>468.24</v>
      </c>
      <c r="E357" s="2">
        <f>IFERROR(__xludf.DUMMYFUNCTION("""COMPUTED_VALUE"""),477.49)</f>
        <v>477.49</v>
      </c>
      <c r="F357" s="2">
        <f>IFERROR(__xludf.DUMMYFUNCTION("""COMPUTED_VALUE"""),1.127939E7)</f>
        <v>11279390</v>
      </c>
    </row>
    <row r="358">
      <c r="A358" s="3">
        <f>IFERROR(__xludf.DUMMYFUNCTION("""COMPUTED_VALUE"""),45447.66666666667)</f>
        <v>45447.66667</v>
      </c>
      <c r="B358" s="2">
        <f>IFERROR(__xludf.DUMMYFUNCTION("""COMPUTED_VALUE"""),477.0)</f>
        <v>477</v>
      </c>
      <c r="C358" s="2">
        <f>IFERROR(__xludf.DUMMYFUNCTION("""COMPUTED_VALUE"""),478.89)</f>
        <v>478.89</v>
      </c>
      <c r="D358" s="2">
        <f>IFERROR(__xludf.DUMMYFUNCTION("""COMPUTED_VALUE"""),473.23)</f>
        <v>473.23</v>
      </c>
      <c r="E358" s="2">
        <f>IFERROR(__xludf.DUMMYFUNCTION("""COMPUTED_VALUE"""),476.99)</f>
        <v>476.99</v>
      </c>
      <c r="F358" s="2">
        <f>IFERROR(__xludf.DUMMYFUNCTION("""COMPUTED_VALUE"""),7088718.0)</f>
        <v>7088718</v>
      </c>
    </row>
    <row r="359">
      <c r="A359" s="3">
        <f>IFERROR(__xludf.DUMMYFUNCTION("""COMPUTED_VALUE"""),45448.66666666667)</f>
        <v>45448.66667</v>
      </c>
      <c r="B359" s="2">
        <f>IFERROR(__xludf.DUMMYFUNCTION("""COMPUTED_VALUE"""),484.45)</f>
        <v>484.45</v>
      </c>
      <c r="C359" s="2">
        <f>IFERROR(__xludf.DUMMYFUNCTION("""COMPUTED_VALUE"""),496.65)</f>
        <v>496.65</v>
      </c>
      <c r="D359" s="2">
        <f>IFERROR(__xludf.DUMMYFUNCTION("""COMPUTED_VALUE"""),483.91)</f>
        <v>483.91</v>
      </c>
      <c r="E359" s="2">
        <f>IFERROR(__xludf.DUMMYFUNCTION("""COMPUTED_VALUE"""),495.06)</f>
        <v>495.06</v>
      </c>
      <c r="F359" s="2">
        <f>IFERROR(__xludf.DUMMYFUNCTION("""COMPUTED_VALUE"""),1.5690484E7)</f>
        <v>15690484</v>
      </c>
    </row>
    <row r="360">
      <c r="A360" s="3">
        <f>IFERROR(__xludf.DUMMYFUNCTION("""COMPUTED_VALUE"""),45449.66666666667)</f>
        <v>45449.66667</v>
      </c>
      <c r="B360" s="2">
        <f>IFERROR(__xludf.DUMMYFUNCTION("""COMPUTED_VALUE"""),492.98)</f>
        <v>492.98</v>
      </c>
      <c r="C360" s="2">
        <f>IFERROR(__xludf.DUMMYFUNCTION("""COMPUTED_VALUE"""),502.82)</f>
        <v>502.82</v>
      </c>
      <c r="D360" s="2">
        <f>IFERROR(__xludf.DUMMYFUNCTION("""COMPUTED_VALUE"""),490.89)</f>
        <v>490.89</v>
      </c>
      <c r="E360" s="2">
        <f>IFERROR(__xludf.DUMMYFUNCTION("""COMPUTED_VALUE"""),493.76)</f>
        <v>493.76</v>
      </c>
      <c r="F360" s="2">
        <f>IFERROR(__xludf.DUMMYFUNCTION("""COMPUTED_VALUE"""),1.0667339E7)</f>
        <v>10667339</v>
      </c>
    </row>
    <row r="361">
      <c r="A361" s="3">
        <f>IFERROR(__xludf.DUMMYFUNCTION("""COMPUTED_VALUE"""),45450.66666666667)</f>
        <v>45450.66667</v>
      </c>
      <c r="B361" s="2">
        <f>IFERROR(__xludf.DUMMYFUNCTION("""COMPUTED_VALUE"""),495.91)</f>
        <v>495.91</v>
      </c>
      <c r="C361" s="2">
        <f>IFERROR(__xludf.DUMMYFUNCTION("""COMPUTED_VALUE"""),498.91)</f>
        <v>498.91</v>
      </c>
      <c r="D361" s="2">
        <f>IFERROR(__xludf.DUMMYFUNCTION("""COMPUTED_VALUE"""),490.17)</f>
        <v>490.17</v>
      </c>
      <c r="E361" s="2">
        <f>IFERROR(__xludf.DUMMYFUNCTION("""COMPUTED_VALUE"""),492.96)</f>
        <v>492.96</v>
      </c>
      <c r="F361" s="2">
        <f>IFERROR(__xludf.DUMMYFUNCTION("""COMPUTED_VALUE"""),9380745.0)</f>
        <v>9380745</v>
      </c>
    </row>
    <row r="362">
      <c r="A362" s="3">
        <f>IFERROR(__xludf.DUMMYFUNCTION("""COMPUTED_VALUE"""),45453.66666666667)</f>
        <v>45453.66667</v>
      </c>
      <c r="B362" s="2">
        <f>IFERROR(__xludf.DUMMYFUNCTION("""COMPUTED_VALUE"""),493.86)</f>
        <v>493.86</v>
      </c>
      <c r="C362" s="2">
        <f>IFERROR(__xludf.DUMMYFUNCTION("""COMPUTED_VALUE"""),502.66)</f>
        <v>502.66</v>
      </c>
      <c r="D362" s="2">
        <f>IFERROR(__xludf.DUMMYFUNCTION("""COMPUTED_VALUE"""),493.41)</f>
        <v>493.41</v>
      </c>
      <c r="E362" s="2">
        <f>IFERROR(__xludf.DUMMYFUNCTION("""COMPUTED_VALUE"""),502.6)</f>
        <v>502.6</v>
      </c>
      <c r="F362" s="2">
        <f>IFERROR(__xludf.DUMMYFUNCTION("""COMPUTED_VALUE"""),1.1236919E7)</f>
        <v>11236919</v>
      </c>
    </row>
    <row r="363">
      <c r="A363" s="3">
        <f>IFERROR(__xludf.DUMMYFUNCTION("""COMPUTED_VALUE"""),45454.66666666667)</f>
        <v>45454.66667</v>
      </c>
      <c r="B363" s="2">
        <f>IFERROR(__xludf.DUMMYFUNCTION("""COMPUTED_VALUE"""),500.16)</f>
        <v>500.16</v>
      </c>
      <c r="C363" s="2">
        <f>IFERROR(__xludf.DUMMYFUNCTION("""COMPUTED_VALUE"""),507.6)</f>
        <v>507.6</v>
      </c>
      <c r="D363" s="2">
        <f>IFERROR(__xludf.DUMMYFUNCTION("""COMPUTED_VALUE"""),498.27)</f>
        <v>498.27</v>
      </c>
      <c r="E363" s="2">
        <f>IFERROR(__xludf.DUMMYFUNCTION("""COMPUTED_VALUE"""),507.47)</f>
        <v>507.47</v>
      </c>
      <c r="F363" s="2">
        <f>IFERROR(__xludf.DUMMYFUNCTION("""COMPUTED_VALUE"""),9673715.0)</f>
        <v>9673715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tr">
        <f>IFERROR(__xludf.DUMMYFUNCTION("(GOOGLEFINANCE(""MSFT"", ""all"", DATE(2023, 1, 1), today()))"),"Date")</f>
        <v>Date</v>
      </c>
      <c r="B1" s="2" t="str">
        <f>IFERROR(__xludf.DUMMYFUNCTION("""COMPUTED_VALUE"""),"Open")</f>
        <v>Open</v>
      </c>
      <c r="C1" s="2" t="str">
        <f>IFERROR(__xludf.DUMMYFUNCTION("""COMPUTED_VALUE"""),"High")</f>
        <v>High</v>
      </c>
      <c r="D1" s="2" t="str">
        <f>IFERROR(__xludf.DUMMYFUNCTION("""COMPUTED_VALUE"""),"Low")</f>
        <v>Low</v>
      </c>
      <c r="E1" s="2" t="str">
        <f>IFERROR(__xludf.DUMMYFUNCTION("""COMPUTED_VALUE"""),"Close")</f>
        <v>Close</v>
      </c>
      <c r="F1" s="2" t="str">
        <f>IFERROR(__xludf.DUMMYFUNCTION("""COMPUTED_VALUE"""),"Volume")</f>
        <v>Volume</v>
      </c>
    </row>
    <row r="2">
      <c r="A2" s="3">
        <f>IFERROR(__xludf.DUMMYFUNCTION("""COMPUTED_VALUE"""),44929.66666666667)</f>
        <v>44929.66667</v>
      </c>
      <c r="B2" s="2">
        <f>IFERROR(__xludf.DUMMYFUNCTION("""COMPUTED_VALUE"""),243.08)</f>
        <v>243.08</v>
      </c>
      <c r="C2" s="2">
        <f>IFERROR(__xludf.DUMMYFUNCTION("""COMPUTED_VALUE"""),245.75)</f>
        <v>245.75</v>
      </c>
      <c r="D2" s="2">
        <f>IFERROR(__xludf.DUMMYFUNCTION("""COMPUTED_VALUE"""),237.4)</f>
        <v>237.4</v>
      </c>
      <c r="E2" s="2">
        <f>IFERROR(__xludf.DUMMYFUNCTION("""COMPUTED_VALUE"""),239.58)</f>
        <v>239.58</v>
      </c>
      <c r="F2" s="2">
        <f>IFERROR(__xludf.DUMMYFUNCTION("""COMPUTED_VALUE"""),2.5740036E7)</f>
        <v>25740036</v>
      </c>
    </row>
    <row r="3">
      <c r="A3" s="3">
        <f>IFERROR(__xludf.DUMMYFUNCTION("""COMPUTED_VALUE"""),44930.66666666667)</f>
        <v>44930.66667</v>
      </c>
      <c r="B3" s="2">
        <f>IFERROR(__xludf.DUMMYFUNCTION("""COMPUTED_VALUE"""),232.28)</f>
        <v>232.28</v>
      </c>
      <c r="C3" s="2">
        <f>IFERROR(__xludf.DUMMYFUNCTION("""COMPUTED_VALUE"""),232.87)</f>
        <v>232.87</v>
      </c>
      <c r="D3" s="2">
        <f>IFERROR(__xludf.DUMMYFUNCTION("""COMPUTED_VALUE"""),225.96)</f>
        <v>225.96</v>
      </c>
      <c r="E3" s="2">
        <f>IFERROR(__xludf.DUMMYFUNCTION("""COMPUTED_VALUE"""),229.1)</f>
        <v>229.1</v>
      </c>
      <c r="F3" s="2">
        <f>IFERROR(__xludf.DUMMYFUNCTION("""COMPUTED_VALUE"""),5.0623394E7)</f>
        <v>50623394</v>
      </c>
    </row>
    <row r="4">
      <c r="A4" s="3">
        <f>IFERROR(__xludf.DUMMYFUNCTION("""COMPUTED_VALUE"""),44931.66666666667)</f>
        <v>44931.66667</v>
      </c>
      <c r="B4" s="2">
        <f>IFERROR(__xludf.DUMMYFUNCTION("""COMPUTED_VALUE"""),227.2)</f>
        <v>227.2</v>
      </c>
      <c r="C4" s="2">
        <f>IFERROR(__xludf.DUMMYFUNCTION("""COMPUTED_VALUE"""),227.55)</f>
        <v>227.55</v>
      </c>
      <c r="D4" s="2">
        <f>IFERROR(__xludf.DUMMYFUNCTION("""COMPUTED_VALUE"""),221.76)</f>
        <v>221.76</v>
      </c>
      <c r="E4" s="2">
        <f>IFERROR(__xludf.DUMMYFUNCTION("""COMPUTED_VALUE"""),222.31)</f>
        <v>222.31</v>
      </c>
      <c r="F4" s="2">
        <f>IFERROR(__xludf.DUMMYFUNCTION("""COMPUTED_VALUE"""),3.9585623E7)</f>
        <v>39585623</v>
      </c>
    </row>
    <row r="5">
      <c r="A5" s="3">
        <f>IFERROR(__xludf.DUMMYFUNCTION("""COMPUTED_VALUE"""),44932.66666666667)</f>
        <v>44932.66667</v>
      </c>
      <c r="B5" s="2">
        <f>IFERROR(__xludf.DUMMYFUNCTION("""COMPUTED_VALUE"""),223.0)</f>
        <v>223</v>
      </c>
      <c r="C5" s="2">
        <f>IFERROR(__xludf.DUMMYFUNCTION("""COMPUTED_VALUE"""),225.76)</f>
        <v>225.76</v>
      </c>
      <c r="D5" s="2">
        <f>IFERROR(__xludf.DUMMYFUNCTION("""COMPUTED_VALUE"""),219.35)</f>
        <v>219.35</v>
      </c>
      <c r="E5" s="2">
        <f>IFERROR(__xludf.DUMMYFUNCTION("""COMPUTED_VALUE"""),224.93)</f>
        <v>224.93</v>
      </c>
      <c r="F5" s="2">
        <f>IFERROR(__xludf.DUMMYFUNCTION("""COMPUTED_VALUE"""),4.3613574E7)</f>
        <v>43613574</v>
      </c>
    </row>
    <row r="6">
      <c r="A6" s="3">
        <f>IFERROR(__xludf.DUMMYFUNCTION("""COMPUTED_VALUE"""),44935.66666666667)</f>
        <v>44935.66667</v>
      </c>
      <c r="B6" s="2">
        <f>IFERROR(__xludf.DUMMYFUNCTION("""COMPUTED_VALUE"""),226.45)</f>
        <v>226.45</v>
      </c>
      <c r="C6" s="2">
        <f>IFERROR(__xludf.DUMMYFUNCTION("""COMPUTED_VALUE"""),231.24)</f>
        <v>231.24</v>
      </c>
      <c r="D6" s="2">
        <f>IFERROR(__xludf.DUMMYFUNCTION("""COMPUTED_VALUE"""),226.41)</f>
        <v>226.41</v>
      </c>
      <c r="E6" s="2">
        <f>IFERROR(__xludf.DUMMYFUNCTION("""COMPUTED_VALUE"""),227.12)</f>
        <v>227.12</v>
      </c>
      <c r="F6" s="2">
        <f>IFERROR(__xludf.DUMMYFUNCTION("""COMPUTED_VALUE"""),2.7369784E7)</f>
        <v>27369784</v>
      </c>
    </row>
    <row r="7">
      <c r="A7" s="3">
        <f>IFERROR(__xludf.DUMMYFUNCTION("""COMPUTED_VALUE"""),44936.66666666667)</f>
        <v>44936.66667</v>
      </c>
      <c r="B7" s="2">
        <f>IFERROR(__xludf.DUMMYFUNCTION("""COMPUTED_VALUE"""),227.76)</f>
        <v>227.76</v>
      </c>
      <c r="C7" s="2">
        <f>IFERROR(__xludf.DUMMYFUNCTION("""COMPUTED_VALUE"""),231.31)</f>
        <v>231.31</v>
      </c>
      <c r="D7" s="2">
        <f>IFERROR(__xludf.DUMMYFUNCTION("""COMPUTED_VALUE"""),227.33)</f>
        <v>227.33</v>
      </c>
      <c r="E7" s="2">
        <f>IFERROR(__xludf.DUMMYFUNCTION("""COMPUTED_VALUE"""),228.85)</f>
        <v>228.85</v>
      </c>
      <c r="F7" s="2">
        <f>IFERROR(__xludf.DUMMYFUNCTION("""COMPUTED_VALUE"""),2.7033881E7)</f>
        <v>27033881</v>
      </c>
    </row>
    <row r="8">
      <c r="A8" s="3">
        <f>IFERROR(__xludf.DUMMYFUNCTION("""COMPUTED_VALUE"""),44937.66666666667)</f>
        <v>44937.66667</v>
      </c>
      <c r="B8" s="2">
        <f>IFERROR(__xludf.DUMMYFUNCTION("""COMPUTED_VALUE"""),231.29)</f>
        <v>231.29</v>
      </c>
      <c r="C8" s="2">
        <f>IFERROR(__xludf.DUMMYFUNCTION("""COMPUTED_VALUE"""),235.95)</f>
        <v>235.95</v>
      </c>
      <c r="D8" s="2">
        <f>IFERROR(__xludf.DUMMYFUNCTION("""COMPUTED_VALUE"""),231.11)</f>
        <v>231.11</v>
      </c>
      <c r="E8" s="2">
        <f>IFERROR(__xludf.DUMMYFUNCTION("""COMPUTED_VALUE"""),235.77)</f>
        <v>235.77</v>
      </c>
      <c r="F8" s="2">
        <f>IFERROR(__xludf.DUMMYFUNCTION("""COMPUTED_VALUE"""),2.8669331E7)</f>
        <v>28669331</v>
      </c>
    </row>
    <row r="9">
      <c r="A9" s="3">
        <f>IFERROR(__xludf.DUMMYFUNCTION("""COMPUTED_VALUE"""),44938.66666666667)</f>
        <v>44938.66667</v>
      </c>
      <c r="B9" s="2">
        <f>IFERROR(__xludf.DUMMYFUNCTION("""COMPUTED_VALUE"""),235.26)</f>
        <v>235.26</v>
      </c>
      <c r="C9" s="2">
        <f>IFERROR(__xludf.DUMMYFUNCTION("""COMPUTED_VALUE"""),239.9)</f>
        <v>239.9</v>
      </c>
      <c r="D9" s="2">
        <f>IFERROR(__xludf.DUMMYFUNCTION("""COMPUTED_VALUE"""),233.56)</f>
        <v>233.56</v>
      </c>
      <c r="E9" s="2">
        <f>IFERROR(__xludf.DUMMYFUNCTION("""COMPUTED_VALUE"""),238.51)</f>
        <v>238.51</v>
      </c>
      <c r="F9" s="2">
        <f>IFERROR(__xludf.DUMMYFUNCTION("""COMPUTED_VALUE"""),2.7269486E7)</f>
        <v>27269486</v>
      </c>
    </row>
    <row r="10">
      <c r="A10" s="3">
        <f>IFERROR(__xludf.DUMMYFUNCTION("""COMPUTED_VALUE"""),44939.66666666667)</f>
        <v>44939.66667</v>
      </c>
      <c r="B10" s="2">
        <f>IFERROR(__xludf.DUMMYFUNCTION("""COMPUTED_VALUE"""),237.0)</f>
        <v>237</v>
      </c>
      <c r="C10" s="2">
        <f>IFERROR(__xludf.DUMMYFUNCTION("""COMPUTED_VALUE"""),239.37)</f>
        <v>239.37</v>
      </c>
      <c r="D10" s="2">
        <f>IFERROR(__xludf.DUMMYFUNCTION("""COMPUTED_VALUE"""),234.92)</f>
        <v>234.92</v>
      </c>
      <c r="E10" s="2">
        <f>IFERROR(__xludf.DUMMYFUNCTION("""COMPUTED_VALUE"""),239.23)</f>
        <v>239.23</v>
      </c>
      <c r="F10" s="2">
        <f>IFERROR(__xludf.DUMMYFUNCTION("""COMPUTED_VALUE"""),2.1333265E7)</f>
        <v>21333265</v>
      </c>
    </row>
    <row r="11">
      <c r="A11" s="3">
        <f>IFERROR(__xludf.DUMMYFUNCTION("""COMPUTED_VALUE"""),44943.66666666667)</f>
        <v>44943.66667</v>
      </c>
      <c r="B11" s="2">
        <f>IFERROR(__xludf.DUMMYFUNCTION("""COMPUTED_VALUE"""),237.97)</f>
        <v>237.97</v>
      </c>
      <c r="C11" s="2">
        <f>IFERROR(__xludf.DUMMYFUNCTION("""COMPUTED_VALUE"""),240.91)</f>
        <v>240.91</v>
      </c>
      <c r="D11" s="2">
        <f>IFERROR(__xludf.DUMMYFUNCTION("""COMPUTED_VALUE"""),237.09)</f>
        <v>237.09</v>
      </c>
      <c r="E11" s="2">
        <f>IFERROR(__xludf.DUMMYFUNCTION("""COMPUTED_VALUE"""),240.35)</f>
        <v>240.35</v>
      </c>
      <c r="F11" s="2">
        <f>IFERROR(__xludf.DUMMYFUNCTION("""COMPUTED_VALUE"""),2.9831257E7)</f>
        <v>29831257</v>
      </c>
    </row>
    <row r="12">
      <c r="A12" s="3">
        <f>IFERROR(__xludf.DUMMYFUNCTION("""COMPUTED_VALUE"""),44944.66666666667)</f>
        <v>44944.66667</v>
      </c>
      <c r="B12" s="2">
        <f>IFERROR(__xludf.DUMMYFUNCTION("""COMPUTED_VALUE"""),241.57)</f>
        <v>241.57</v>
      </c>
      <c r="C12" s="2">
        <f>IFERROR(__xludf.DUMMYFUNCTION("""COMPUTED_VALUE"""),242.38)</f>
        <v>242.38</v>
      </c>
      <c r="D12" s="2">
        <f>IFERROR(__xludf.DUMMYFUNCTION("""COMPUTED_VALUE"""),235.52)</f>
        <v>235.52</v>
      </c>
      <c r="E12" s="2">
        <f>IFERROR(__xludf.DUMMYFUNCTION("""COMPUTED_VALUE"""),235.81)</f>
        <v>235.81</v>
      </c>
      <c r="F12" s="2">
        <f>IFERROR(__xludf.DUMMYFUNCTION("""COMPUTED_VALUE"""),3.0028692E7)</f>
        <v>30028692</v>
      </c>
    </row>
    <row r="13">
      <c r="A13" s="3">
        <f>IFERROR(__xludf.DUMMYFUNCTION("""COMPUTED_VALUE"""),44945.66666666667)</f>
        <v>44945.66667</v>
      </c>
      <c r="B13" s="2">
        <f>IFERROR(__xludf.DUMMYFUNCTION("""COMPUTED_VALUE"""),233.78)</f>
        <v>233.78</v>
      </c>
      <c r="C13" s="2">
        <f>IFERROR(__xludf.DUMMYFUNCTION("""COMPUTED_VALUE"""),235.52)</f>
        <v>235.52</v>
      </c>
      <c r="D13" s="2">
        <f>IFERROR(__xludf.DUMMYFUNCTION("""COMPUTED_VALUE"""),230.68)</f>
        <v>230.68</v>
      </c>
      <c r="E13" s="2">
        <f>IFERROR(__xludf.DUMMYFUNCTION("""COMPUTED_VALUE"""),231.93)</f>
        <v>231.93</v>
      </c>
      <c r="F13" s="2">
        <f>IFERROR(__xludf.DUMMYFUNCTION("""COMPUTED_VALUE"""),2.8623033E7)</f>
        <v>28623033</v>
      </c>
    </row>
    <row r="14">
      <c r="A14" s="3">
        <f>IFERROR(__xludf.DUMMYFUNCTION("""COMPUTED_VALUE"""),44946.66666666667)</f>
        <v>44946.66667</v>
      </c>
      <c r="B14" s="2">
        <f>IFERROR(__xludf.DUMMYFUNCTION("""COMPUTED_VALUE"""),234.86)</f>
        <v>234.86</v>
      </c>
      <c r="C14" s="2">
        <f>IFERROR(__xludf.DUMMYFUNCTION("""COMPUTED_VALUE"""),240.74)</f>
        <v>240.74</v>
      </c>
      <c r="D14" s="2">
        <f>IFERROR(__xludf.DUMMYFUNCTION("""COMPUTED_VALUE"""),234.51)</f>
        <v>234.51</v>
      </c>
      <c r="E14" s="2">
        <f>IFERROR(__xludf.DUMMYFUNCTION("""COMPUTED_VALUE"""),240.22)</f>
        <v>240.22</v>
      </c>
      <c r="F14" s="2">
        <f>IFERROR(__xludf.DUMMYFUNCTION("""COMPUTED_VALUE"""),3.5389809E7)</f>
        <v>35389809</v>
      </c>
    </row>
    <row r="15">
      <c r="A15" s="3">
        <f>IFERROR(__xludf.DUMMYFUNCTION("""COMPUTED_VALUE"""),44949.66666666667)</f>
        <v>44949.66667</v>
      </c>
      <c r="B15" s="2">
        <f>IFERROR(__xludf.DUMMYFUNCTION("""COMPUTED_VALUE"""),241.1)</f>
        <v>241.1</v>
      </c>
      <c r="C15" s="2">
        <f>IFERROR(__xludf.DUMMYFUNCTION("""COMPUTED_VALUE"""),245.17)</f>
        <v>245.17</v>
      </c>
      <c r="D15" s="2">
        <f>IFERROR(__xludf.DUMMYFUNCTION("""COMPUTED_VALUE"""),239.65)</f>
        <v>239.65</v>
      </c>
      <c r="E15" s="2">
        <f>IFERROR(__xludf.DUMMYFUNCTION("""COMPUTED_VALUE"""),242.58)</f>
        <v>242.58</v>
      </c>
      <c r="F15" s="2">
        <f>IFERROR(__xludf.DUMMYFUNCTION("""COMPUTED_VALUE"""),3.1933951E7)</f>
        <v>31933951</v>
      </c>
    </row>
    <row r="16">
      <c r="A16" s="3">
        <f>IFERROR(__xludf.DUMMYFUNCTION("""COMPUTED_VALUE"""),44950.66666666667)</f>
        <v>44950.66667</v>
      </c>
      <c r="B16" s="2">
        <f>IFERROR(__xludf.DUMMYFUNCTION("""COMPUTED_VALUE"""),242.5)</f>
        <v>242.5</v>
      </c>
      <c r="C16" s="2">
        <f>IFERROR(__xludf.DUMMYFUNCTION("""COMPUTED_VALUE"""),243.95)</f>
        <v>243.95</v>
      </c>
      <c r="D16" s="2">
        <f>IFERROR(__xludf.DUMMYFUNCTION("""COMPUTED_VALUE"""),240.44)</f>
        <v>240.44</v>
      </c>
      <c r="E16" s="2">
        <f>IFERROR(__xludf.DUMMYFUNCTION("""COMPUTED_VALUE"""),242.04)</f>
        <v>242.04</v>
      </c>
      <c r="F16" s="2">
        <f>IFERROR(__xludf.DUMMYFUNCTION("""COMPUTED_VALUE"""),4.0234444E7)</f>
        <v>40234444</v>
      </c>
    </row>
    <row r="17">
      <c r="A17" s="3">
        <f>IFERROR(__xludf.DUMMYFUNCTION("""COMPUTED_VALUE"""),44951.66666666667)</f>
        <v>44951.66667</v>
      </c>
      <c r="B17" s="2">
        <f>IFERROR(__xludf.DUMMYFUNCTION("""COMPUTED_VALUE"""),234.48)</f>
        <v>234.48</v>
      </c>
      <c r="C17" s="2">
        <f>IFERROR(__xludf.DUMMYFUNCTION("""COMPUTED_VALUE"""),243.3)</f>
        <v>243.3</v>
      </c>
      <c r="D17" s="2">
        <f>IFERROR(__xludf.DUMMYFUNCTION("""COMPUTED_VALUE"""),230.9)</f>
        <v>230.9</v>
      </c>
      <c r="E17" s="2">
        <f>IFERROR(__xludf.DUMMYFUNCTION("""COMPUTED_VALUE"""),240.61)</f>
        <v>240.61</v>
      </c>
      <c r="F17" s="2">
        <f>IFERROR(__xludf.DUMMYFUNCTION("""COMPUTED_VALUE"""),6.6526641E7)</f>
        <v>66526641</v>
      </c>
    </row>
    <row r="18">
      <c r="A18" s="3">
        <f>IFERROR(__xludf.DUMMYFUNCTION("""COMPUTED_VALUE"""),44952.66666666667)</f>
        <v>44952.66667</v>
      </c>
      <c r="B18" s="2">
        <f>IFERROR(__xludf.DUMMYFUNCTION("""COMPUTED_VALUE"""),243.65)</f>
        <v>243.65</v>
      </c>
      <c r="C18" s="2">
        <f>IFERROR(__xludf.DUMMYFUNCTION("""COMPUTED_VALUE"""),248.31)</f>
        <v>248.31</v>
      </c>
      <c r="D18" s="2">
        <f>IFERROR(__xludf.DUMMYFUNCTION("""COMPUTED_VALUE"""),242.0)</f>
        <v>242</v>
      </c>
      <c r="E18" s="2">
        <f>IFERROR(__xludf.DUMMYFUNCTION("""COMPUTED_VALUE"""),248.0)</f>
        <v>248</v>
      </c>
      <c r="F18" s="2">
        <f>IFERROR(__xludf.DUMMYFUNCTION("""COMPUTED_VALUE"""),3.3454491E7)</f>
        <v>33454491</v>
      </c>
    </row>
    <row r="19">
      <c r="A19" s="3">
        <f>IFERROR(__xludf.DUMMYFUNCTION("""COMPUTED_VALUE"""),44953.66666666667)</f>
        <v>44953.66667</v>
      </c>
      <c r="B19" s="2">
        <f>IFERROR(__xludf.DUMMYFUNCTION("""COMPUTED_VALUE"""),248.99)</f>
        <v>248.99</v>
      </c>
      <c r="C19" s="2">
        <f>IFERROR(__xludf.DUMMYFUNCTION("""COMPUTED_VALUE"""),249.83)</f>
        <v>249.83</v>
      </c>
      <c r="D19" s="2">
        <f>IFERROR(__xludf.DUMMYFUNCTION("""COMPUTED_VALUE"""),246.83)</f>
        <v>246.83</v>
      </c>
      <c r="E19" s="2">
        <f>IFERROR(__xludf.DUMMYFUNCTION("""COMPUTED_VALUE"""),248.16)</f>
        <v>248.16</v>
      </c>
      <c r="F19" s="2">
        <f>IFERROR(__xludf.DUMMYFUNCTION("""COMPUTED_VALUE"""),2.6498939E7)</f>
        <v>26498939</v>
      </c>
    </row>
    <row r="20">
      <c r="A20" s="3">
        <f>IFERROR(__xludf.DUMMYFUNCTION("""COMPUTED_VALUE"""),44956.66666666667)</f>
        <v>44956.66667</v>
      </c>
      <c r="B20" s="2">
        <f>IFERROR(__xludf.DUMMYFUNCTION("""COMPUTED_VALUE"""),244.51)</f>
        <v>244.51</v>
      </c>
      <c r="C20" s="2">
        <f>IFERROR(__xludf.DUMMYFUNCTION("""COMPUTED_VALUE"""),245.6)</f>
        <v>245.6</v>
      </c>
      <c r="D20" s="2">
        <f>IFERROR(__xludf.DUMMYFUNCTION("""COMPUTED_VALUE"""),242.2)</f>
        <v>242.2</v>
      </c>
      <c r="E20" s="2">
        <f>IFERROR(__xludf.DUMMYFUNCTION("""COMPUTED_VALUE"""),242.71)</f>
        <v>242.71</v>
      </c>
      <c r="F20" s="2">
        <f>IFERROR(__xludf.DUMMYFUNCTION("""COMPUTED_VALUE"""),2.5867365E7)</f>
        <v>25867365</v>
      </c>
    </row>
    <row r="21">
      <c r="A21" s="3">
        <f>IFERROR(__xludf.DUMMYFUNCTION("""COMPUTED_VALUE"""),44957.66666666667)</f>
        <v>44957.66667</v>
      </c>
      <c r="B21" s="2">
        <f>IFERROR(__xludf.DUMMYFUNCTION("""COMPUTED_VALUE"""),243.45)</f>
        <v>243.45</v>
      </c>
      <c r="C21" s="2">
        <f>IFERROR(__xludf.DUMMYFUNCTION("""COMPUTED_VALUE"""),247.95)</f>
        <v>247.95</v>
      </c>
      <c r="D21" s="2">
        <f>IFERROR(__xludf.DUMMYFUNCTION("""COMPUTED_VALUE"""),242.95)</f>
        <v>242.95</v>
      </c>
      <c r="E21" s="2">
        <f>IFERROR(__xludf.DUMMYFUNCTION("""COMPUTED_VALUE"""),247.81)</f>
        <v>247.81</v>
      </c>
      <c r="F21" s="2">
        <f>IFERROR(__xludf.DUMMYFUNCTION("""COMPUTED_VALUE"""),2.6541072E7)</f>
        <v>26541072</v>
      </c>
    </row>
    <row r="22">
      <c r="A22" s="3">
        <f>IFERROR(__xludf.DUMMYFUNCTION("""COMPUTED_VALUE"""),44958.66666666667)</f>
        <v>44958.66667</v>
      </c>
      <c r="B22" s="2">
        <f>IFERROR(__xludf.DUMMYFUNCTION("""COMPUTED_VALUE"""),248.0)</f>
        <v>248</v>
      </c>
      <c r="C22" s="2">
        <f>IFERROR(__xludf.DUMMYFUNCTION("""COMPUTED_VALUE"""),255.18)</f>
        <v>255.18</v>
      </c>
      <c r="D22" s="2">
        <f>IFERROR(__xludf.DUMMYFUNCTION("""COMPUTED_VALUE"""),245.47)</f>
        <v>245.47</v>
      </c>
      <c r="E22" s="2">
        <f>IFERROR(__xludf.DUMMYFUNCTION("""COMPUTED_VALUE"""),252.75)</f>
        <v>252.75</v>
      </c>
      <c r="F22" s="2">
        <f>IFERROR(__xludf.DUMMYFUNCTION("""COMPUTED_VALUE"""),3.1259912E7)</f>
        <v>31259912</v>
      </c>
    </row>
    <row r="23">
      <c r="A23" s="3">
        <f>IFERROR(__xludf.DUMMYFUNCTION("""COMPUTED_VALUE"""),44959.66666666667)</f>
        <v>44959.66667</v>
      </c>
      <c r="B23" s="2">
        <f>IFERROR(__xludf.DUMMYFUNCTION("""COMPUTED_VALUE"""),258.82)</f>
        <v>258.82</v>
      </c>
      <c r="C23" s="2">
        <f>IFERROR(__xludf.DUMMYFUNCTION("""COMPUTED_VALUE"""),264.69)</f>
        <v>264.69</v>
      </c>
      <c r="D23" s="2">
        <f>IFERROR(__xludf.DUMMYFUNCTION("""COMPUTED_VALUE"""),257.25)</f>
        <v>257.25</v>
      </c>
      <c r="E23" s="2">
        <f>IFERROR(__xludf.DUMMYFUNCTION("""COMPUTED_VALUE"""),264.6)</f>
        <v>264.6</v>
      </c>
      <c r="F23" s="2">
        <f>IFERROR(__xludf.DUMMYFUNCTION("""COMPUTED_VALUE"""),3.9940437E7)</f>
        <v>39940437</v>
      </c>
    </row>
    <row r="24">
      <c r="A24" s="3">
        <f>IFERROR(__xludf.DUMMYFUNCTION("""COMPUTED_VALUE"""),44960.66666666667)</f>
        <v>44960.66667</v>
      </c>
      <c r="B24" s="2">
        <f>IFERROR(__xludf.DUMMYFUNCTION("""COMPUTED_VALUE"""),259.54)</f>
        <v>259.54</v>
      </c>
      <c r="C24" s="2">
        <f>IFERROR(__xludf.DUMMYFUNCTION("""COMPUTED_VALUE"""),264.2)</f>
        <v>264.2</v>
      </c>
      <c r="D24" s="2">
        <f>IFERROR(__xludf.DUMMYFUNCTION("""COMPUTED_VALUE"""),257.1)</f>
        <v>257.1</v>
      </c>
      <c r="E24" s="2">
        <f>IFERROR(__xludf.DUMMYFUNCTION("""COMPUTED_VALUE"""),258.35)</f>
        <v>258.35</v>
      </c>
      <c r="F24" s="2">
        <f>IFERROR(__xludf.DUMMYFUNCTION("""COMPUTED_VALUE"""),2.9077256E7)</f>
        <v>29077256</v>
      </c>
    </row>
    <row r="25">
      <c r="A25" s="3">
        <f>IFERROR(__xludf.DUMMYFUNCTION("""COMPUTED_VALUE"""),44963.66666666667)</f>
        <v>44963.66667</v>
      </c>
      <c r="B25" s="2">
        <f>IFERROR(__xludf.DUMMYFUNCTION("""COMPUTED_VALUE"""),257.44)</f>
        <v>257.44</v>
      </c>
      <c r="C25" s="2">
        <f>IFERROR(__xludf.DUMMYFUNCTION("""COMPUTED_VALUE"""),258.3)</f>
        <v>258.3</v>
      </c>
      <c r="D25" s="2">
        <f>IFERROR(__xludf.DUMMYFUNCTION("""COMPUTED_VALUE"""),254.78)</f>
        <v>254.78</v>
      </c>
      <c r="E25" s="2">
        <f>IFERROR(__xludf.DUMMYFUNCTION("""COMPUTED_VALUE"""),256.77)</f>
        <v>256.77</v>
      </c>
      <c r="F25" s="2">
        <f>IFERROR(__xludf.DUMMYFUNCTION("""COMPUTED_VALUE"""),2.2517997E7)</f>
        <v>22517997</v>
      </c>
    </row>
    <row r="26">
      <c r="A26" s="3">
        <f>IFERROR(__xludf.DUMMYFUNCTION("""COMPUTED_VALUE"""),44964.66666666667)</f>
        <v>44964.66667</v>
      </c>
      <c r="B26" s="2">
        <f>IFERROR(__xludf.DUMMYFUNCTION("""COMPUTED_VALUE"""),260.53)</f>
        <v>260.53</v>
      </c>
      <c r="C26" s="2">
        <f>IFERROR(__xludf.DUMMYFUNCTION("""COMPUTED_VALUE"""),268.77)</f>
        <v>268.77</v>
      </c>
      <c r="D26" s="2">
        <f>IFERROR(__xludf.DUMMYFUNCTION("""COMPUTED_VALUE"""),260.08)</f>
        <v>260.08</v>
      </c>
      <c r="E26" s="2">
        <f>IFERROR(__xludf.DUMMYFUNCTION("""COMPUTED_VALUE"""),267.56)</f>
        <v>267.56</v>
      </c>
      <c r="F26" s="2">
        <f>IFERROR(__xludf.DUMMYFUNCTION("""COMPUTED_VALUE"""),5.0841365E7)</f>
        <v>50841365</v>
      </c>
    </row>
    <row r="27">
      <c r="A27" s="3">
        <f>IFERROR(__xludf.DUMMYFUNCTION("""COMPUTED_VALUE"""),44965.66666666667)</f>
        <v>44965.66667</v>
      </c>
      <c r="B27" s="2">
        <f>IFERROR(__xludf.DUMMYFUNCTION("""COMPUTED_VALUE"""),273.2)</f>
        <v>273.2</v>
      </c>
      <c r="C27" s="2">
        <f>IFERROR(__xludf.DUMMYFUNCTION("""COMPUTED_VALUE"""),276.76)</f>
        <v>276.76</v>
      </c>
      <c r="D27" s="2">
        <f>IFERROR(__xludf.DUMMYFUNCTION("""COMPUTED_VALUE"""),266.21)</f>
        <v>266.21</v>
      </c>
      <c r="E27" s="2">
        <f>IFERROR(__xludf.DUMMYFUNCTION("""COMPUTED_VALUE"""),266.73)</f>
        <v>266.73</v>
      </c>
      <c r="F27" s="2">
        <f>IFERROR(__xludf.DUMMYFUNCTION("""COMPUTED_VALUE"""),5.4686049E7)</f>
        <v>54686049</v>
      </c>
    </row>
    <row r="28">
      <c r="A28" s="3">
        <f>IFERROR(__xludf.DUMMYFUNCTION("""COMPUTED_VALUE"""),44966.66666666667)</f>
        <v>44966.66667</v>
      </c>
      <c r="B28" s="2">
        <f>IFERROR(__xludf.DUMMYFUNCTION("""COMPUTED_VALUE"""),273.8)</f>
        <v>273.8</v>
      </c>
      <c r="C28" s="2">
        <f>IFERROR(__xludf.DUMMYFUNCTION("""COMPUTED_VALUE"""),273.98)</f>
        <v>273.98</v>
      </c>
      <c r="D28" s="2">
        <f>IFERROR(__xludf.DUMMYFUNCTION("""COMPUTED_VALUE"""),262.8)</f>
        <v>262.8</v>
      </c>
      <c r="E28" s="2">
        <f>IFERROR(__xludf.DUMMYFUNCTION("""COMPUTED_VALUE"""),263.62)</f>
        <v>263.62</v>
      </c>
      <c r="F28" s="2">
        <f>IFERROR(__xludf.DUMMYFUNCTION("""COMPUTED_VALUE"""),4.2375102E7)</f>
        <v>42375102</v>
      </c>
    </row>
    <row r="29">
      <c r="A29" s="3">
        <f>IFERROR(__xludf.DUMMYFUNCTION("""COMPUTED_VALUE"""),44967.66666666667)</f>
        <v>44967.66667</v>
      </c>
      <c r="B29" s="2">
        <f>IFERROR(__xludf.DUMMYFUNCTION("""COMPUTED_VALUE"""),261.53)</f>
        <v>261.53</v>
      </c>
      <c r="C29" s="2">
        <f>IFERROR(__xludf.DUMMYFUNCTION("""COMPUTED_VALUE"""),264.09)</f>
        <v>264.09</v>
      </c>
      <c r="D29" s="2">
        <f>IFERROR(__xludf.DUMMYFUNCTION("""COMPUTED_VALUE"""),260.66)</f>
        <v>260.66</v>
      </c>
      <c r="E29" s="2">
        <f>IFERROR(__xludf.DUMMYFUNCTION("""COMPUTED_VALUE"""),263.1)</f>
        <v>263.1</v>
      </c>
      <c r="F29" s="2">
        <f>IFERROR(__xludf.DUMMYFUNCTION("""COMPUTED_VALUE"""),2.5818489E7)</f>
        <v>25818489</v>
      </c>
    </row>
    <row r="30">
      <c r="A30" s="3">
        <f>IFERROR(__xludf.DUMMYFUNCTION("""COMPUTED_VALUE"""),44970.66666666667)</f>
        <v>44970.66667</v>
      </c>
      <c r="B30" s="2">
        <f>IFERROR(__xludf.DUMMYFUNCTION("""COMPUTED_VALUE"""),267.64)</f>
        <v>267.64</v>
      </c>
      <c r="C30" s="2">
        <f>IFERROR(__xludf.DUMMYFUNCTION("""COMPUTED_VALUE"""),274.6)</f>
        <v>274.6</v>
      </c>
      <c r="D30" s="2">
        <f>IFERROR(__xludf.DUMMYFUNCTION("""COMPUTED_VALUE"""),267.15)</f>
        <v>267.15</v>
      </c>
      <c r="E30" s="2">
        <f>IFERROR(__xludf.DUMMYFUNCTION("""COMPUTED_VALUE"""),271.32)</f>
        <v>271.32</v>
      </c>
      <c r="F30" s="2">
        <f>IFERROR(__xludf.DUMMYFUNCTION("""COMPUTED_VALUE"""),4.4630921E7)</f>
        <v>44630921</v>
      </c>
    </row>
    <row r="31">
      <c r="A31" s="3">
        <f>IFERROR(__xludf.DUMMYFUNCTION("""COMPUTED_VALUE"""),44971.66666666667)</f>
        <v>44971.66667</v>
      </c>
      <c r="B31" s="2">
        <f>IFERROR(__xludf.DUMMYFUNCTION("""COMPUTED_VALUE"""),272.67)</f>
        <v>272.67</v>
      </c>
      <c r="C31" s="2">
        <f>IFERROR(__xludf.DUMMYFUNCTION("""COMPUTED_VALUE"""),274.97)</f>
        <v>274.97</v>
      </c>
      <c r="D31" s="2">
        <f>IFERROR(__xludf.DUMMYFUNCTION("""COMPUTED_VALUE"""),269.28)</f>
        <v>269.28</v>
      </c>
      <c r="E31" s="2">
        <f>IFERROR(__xludf.DUMMYFUNCTION("""COMPUTED_VALUE"""),272.17)</f>
        <v>272.17</v>
      </c>
      <c r="F31" s="2">
        <f>IFERROR(__xludf.DUMMYFUNCTION("""COMPUTED_VALUE"""),3.7047924E7)</f>
        <v>37047924</v>
      </c>
    </row>
    <row r="32">
      <c r="A32" s="3">
        <f>IFERROR(__xludf.DUMMYFUNCTION("""COMPUTED_VALUE"""),44972.66666666667)</f>
        <v>44972.66667</v>
      </c>
      <c r="B32" s="2">
        <f>IFERROR(__xludf.DUMMYFUNCTION("""COMPUTED_VALUE"""),268.32)</f>
        <v>268.32</v>
      </c>
      <c r="C32" s="2">
        <f>IFERROR(__xludf.DUMMYFUNCTION("""COMPUTED_VALUE"""),270.73)</f>
        <v>270.73</v>
      </c>
      <c r="D32" s="2">
        <f>IFERROR(__xludf.DUMMYFUNCTION("""COMPUTED_VALUE"""),266.18)</f>
        <v>266.18</v>
      </c>
      <c r="E32" s="2">
        <f>IFERROR(__xludf.DUMMYFUNCTION("""COMPUTED_VALUE"""),269.32)</f>
        <v>269.32</v>
      </c>
      <c r="F32" s="2">
        <f>IFERROR(__xludf.DUMMYFUNCTION("""COMPUTED_VALUE"""),2.8962163E7)</f>
        <v>28962163</v>
      </c>
    </row>
    <row r="33">
      <c r="A33" s="3">
        <f>IFERROR(__xludf.DUMMYFUNCTION("""COMPUTED_VALUE"""),44973.66666666667)</f>
        <v>44973.66667</v>
      </c>
      <c r="B33" s="2">
        <f>IFERROR(__xludf.DUMMYFUNCTION("""COMPUTED_VALUE"""),264.02)</f>
        <v>264.02</v>
      </c>
      <c r="C33" s="2">
        <f>IFERROR(__xludf.DUMMYFUNCTION("""COMPUTED_VALUE"""),266.74)</f>
        <v>266.74</v>
      </c>
      <c r="D33" s="2">
        <f>IFERROR(__xludf.DUMMYFUNCTION("""COMPUTED_VALUE"""),261.9)</f>
        <v>261.9</v>
      </c>
      <c r="E33" s="2">
        <f>IFERROR(__xludf.DUMMYFUNCTION("""COMPUTED_VALUE"""),262.15)</f>
        <v>262.15</v>
      </c>
      <c r="F33" s="2">
        <f>IFERROR(__xludf.DUMMYFUNCTION("""COMPUTED_VALUE"""),2.9603616E7)</f>
        <v>29603616</v>
      </c>
    </row>
    <row r="34">
      <c r="A34" s="3">
        <f>IFERROR(__xludf.DUMMYFUNCTION("""COMPUTED_VALUE"""),44974.66666666667)</f>
        <v>44974.66667</v>
      </c>
      <c r="B34" s="2">
        <f>IFERROR(__xludf.DUMMYFUNCTION("""COMPUTED_VALUE"""),259.39)</f>
        <v>259.39</v>
      </c>
      <c r="C34" s="2">
        <f>IFERROR(__xludf.DUMMYFUNCTION("""COMPUTED_VALUE"""),260.09)</f>
        <v>260.09</v>
      </c>
      <c r="D34" s="2">
        <f>IFERROR(__xludf.DUMMYFUNCTION("""COMPUTED_VALUE"""),256.0)</f>
        <v>256</v>
      </c>
      <c r="E34" s="2">
        <f>IFERROR(__xludf.DUMMYFUNCTION("""COMPUTED_VALUE"""),258.06)</f>
        <v>258.06</v>
      </c>
      <c r="F34" s="2">
        <f>IFERROR(__xludf.DUMMYFUNCTION("""COMPUTED_VALUE"""),3.0000055E7)</f>
        <v>30000055</v>
      </c>
    </row>
    <row r="35">
      <c r="A35" s="3">
        <f>IFERROR(__xludf.DUMMYFUNCTION("""COMPUTED_VALUE"""),44978.66666666667)</f>
        <v>44978.66667</v>
      </c>
      <c r="B35" s="2">
        <f>IFERROR(__xludf.DUMMYFUNCTION("""COMPUTED_VALUE"""),254.48)</f>
        <v>254.48</v>
      </c>
      <c r="C35" s="2">
        <f>IFERROR(__xludf.DUMMYFUNCTION("""COMPUTED_VALUE"""),255.49)</f>
        <v>255.49</v>
      </c>
      <c r="D35" s="2">
        <f>IFERROR(__xludf.DUMMYFUNCTION("""COMPUTED_VALUE"""),251.59)</f>
        <v>251.59</v>
      </c>
      <c r="E35" s="2">
        <f>IFERROR(__xludf.DUMMYFUNCTION("""COMPUTED_VALUE"""),252.67)</f>
        <v>252.67</v>
      </c>
      <c r="F35" s="2">
        <f>IFERROR(__xludf.DUMMYFUNCTION("""COMPUTED_VALUE"""),2.8397444E7)</f>
        <v>28397444</v>
      </c>
    </row>
    <row r="36">
      <c r="A36" s="3">
        <f>IFERROR(__xludf.DUMMYFUNCTION("""COMPUTED_VALUE"""),44979.66666666667)</f>
        <v>44979.66667</v>
      </c>
      <c r="B36" s="2">
        <f>IFERROR(__xludf.DUMMYFUNCTION("""COMPUTED_VALUE"""),254.09)</f>
        <v>254.09</v>
      </c>
      <c r="C36" s="2">
        <f>IFERROR(__xludf.DUMMYFUNCTION("""COMPUTED_VALUE"""),254.34)</f>
        <v>254.34</v>
      </c>
      <c r="D36" s="2">
        <f>IFERROR(__xludf.DUMMYFUNCTION("""COMPUTED_VALUE"""),250.34)</f>
        <v>250.34</v>
      </c>
      <c r="E36" s="2">
        <f>IFERROR(__xludf.DUMMYFUNCTION("""COMPUTED_VALUE"""),251.51)</f>
        <v>251.51</v>
      </c>
      <c r="F36" s="2">
        <f>IFERROR(__xludf.DUMMYFUNCTION("""COMPUTED_VALUE"""),2.2491056E7)</f>
        <v>22491056</v>
      </c>
    </row>
    <row r="37">
      <c r="A37" s="3">
        <f>IFERROR(__xludf.DUMMYFUNCTION("""COMPUTED_VALUE"""),44980.66666666667)</f>
        <v>44980.66667</v>
      </c>
      <c r="B37" s="2">
        <f>IFERROR(__xludf.DUMMYFUNCTION("""COMPUTED_VALUE"""),255.56)</f>
        <v>255.56</v>
      </c>
      <c r="C37" s="2">
        <f>IFERROR(__xludf.DUMMYFUNCTION("""COMPUTED_VALUE"""),256.84)</f>
        <v>256.84</v>
      </c>
      <c r="D37" s="2">
        <f>IFERROR(__xludf.DUMMYFUNCTION("""COMPUTED_VALUE"""),250.48)</f>
        <v>250.48</v>
      </c>
      <c r="E37" s="2">
        <f>IFERROR(__xludf.DUMMYFUNCTION("""COMPUTED_VALUE"""),254.77)</f>
        <v>254.77</v>
      </c>
      <c r="F37" s="2">
        <f>IFERROR(__xludf.DUMMYFUNCTION("""COMPUTED_VALUE"""),2.9219095E7)</f>
        <v>29219095</v>
      </c>
    </row>
    <row r="38">
      <c r="A38" s="3">
        <f>IFERROR(__xludf.DUMMYFUNCTION("""COMPUTED_VALUE"""),44981.66666666667)</f>
        <v>44981.66667</v>
      </c>
      <c r="B38" s="2">
        <f>IFERROR(__xludf.DUMMYFUNCTION("""COMPUTED_VALUE"""),249.96)</f>
        <v>249.96</v>
      </c>
      <c r="C38" s="2">
        <f>IFERROR(__xludf.DUMMYFUNCTION("""COMPUTED_VALUE"""),251.0)</f>
        <v>251</v>
      </c>
      <c r="D38" s="2">
        <f>IFERROR(__xludf.DUMMYFUNCTION("""COMPUTED_VALUE"""),248.1)</f>
        <v>248.1</v>
      </c>
      <c r="E38" s="2">
        <f>IFERROR(__xludf.DUMMYFUNCTION("""COMPUTED_VALUE"""),249.22)</f>
        <v>249.22</v>
      </c>
      <c r="F38" s="2">
        <f>IFERROR(__xludf.DUMMYFUNCTION("""COMPUTED_VALUE"""),2.4990905E7)</f>
        <v>24990905</v>
      </c>
    </row>
    <row r="39">
      <c r="A39" s="3">
        <f>IFERROR(__xludf.DUMMYFUNCTION("""COMPUTED_VALUE"""),44984.66666666667)</f>
        <v>44984.66667</v>
      </c>
      <c r="B39" s="2">
        <f>IFERROR(__xludf.DUMMYFUNCTION("""COMPUTED_VALUE"""),252.46)</f>
        <v>252.46</v>
      </c>
      <c r="C39" s="2">
        <f>IFERROR(__xludf.DUMMYFUNCTION("""COMPUTED_VALUE"""),252.82)</f>
        <v>252.82</v>
      </c>
      <c r="D39" s="2">
        <f>IFERROR(__xludf.DUMMYFUNCTION("""COMPUTED_VALUE"""),249.39)</f>
        <v>249.39</v>
      </c>
      <c r="E39" s="2">
        <f>IFERROR(__xludf.DUMMYFUNCTION("""COMPUTED_VALUE"""),250.16)</f>
        <v>250.16</v>
      </c>
      <c r="F39" s="2">
        <f>IFERROR(__xludf.DUMMYFUNCTION("""COMPUTED_VALUE"""),2.1190042E7)</f>
        <v>21190042</v>
      </c>
    </row>
    <row r="40">
      <c r="A40" s="3">
        <f>IFERROR(__xludf.DUMMYFUNCTION("""COMPUTED_VALUE"""),44985.66666666667)</f>
        <v>44985.66667</v>
      </c>
      <c r="B40" s="2">
        <f>IFERROR(__xludf.DUMMYFUNCTION("""COMPUTED_VALUE"""),249.07)</f>
        <v>249.07</v>
      </c>
      <c r="C40" s="2">
        <f>IFERROR(__xludf.DUMMYFUNCTION("""COMPUTED_VALUE"""),251.49)</f>
        <v>251.49</v>
      </c>
      <c r="D40" s="2">
        <f>IFERROR(__xludf.DUMMYFUNCTION("""COMPUTED_VALUE"""),248.73)</f>
        <v>248.73</v>
      </c>
      <c r="E40" s="2">
        <f>IFERROR(__xludf.DUMMYFUNCTION("""COMPUTED_VALUE"""),249.42)</f>
        <v>249.42</v>
      </c>
      <c r="F40" s="2">
        <f>IFERROR(__xludf.DUMMYFUNCTION("""COMPUTED_VALUE"""),2.249095E7)</f>
        <v>22490950</v>
      </c>
    </row>
    <row r="41">
      <c r="A41" s="3">
        <f>IFERROR(__xludf.DUMMYFUNCTION("""COMPUTED_VALUE"""),44986.66666666667)</f>
        <v>44986.66667</v>
      </c>
      <c r="B41" s="2">
        <f>IFERROR(__xludf.DUMMYFUNCTION("""COMPUTED_VALUE"""),250.76)</f>
        <v>250.76</v>
      </c>
      <c r="C41" s="2">
        <f>IFERROR(__xludf.DUMMYFUNCTION("""COMPUTED_VALUE"""),250.93)</f>
        <v>250.93</v>
      </c>
      <c r="D41" s="2">
        <f>IFERROR(__xludf.DUMMYFUNCTION("""COMPUTED_VALUE"""),245.79)</f>
        <v>245.79</v>
      </c>
      <c r="E41" s="2">
        <f>IFERROR(__xludf.DUMMYFUNCTION("""COMPUTED_VALUE"""),246.27)</f>
        <v>246.27</v>
      </c>
      <c r="F41" s="2">
        <f>IFERROR(__xludf.DUMMYFUNCTION("""COMPUTED_VALUE"""),2.7565259E7)</f>
        <v>27565259</v>
      </c>
    </row>
    <row r="42">
      <c r="A42" s="3">
        <f>IFERROR(__xludf.DUMMYFUNCTION("""COMPUTED_VALUE"""),44987.66666666667)</f>
        <v>44987.66667</v>
      </c>
      <c r="B42" s="2">
        <f>IFERROR(__xludf.DUMMYFUNCTION("""COMPUTED_VALUE"""),246.55)</f>
        <v>246.55</v>
      </c>
      <c r="C42" s="2">
        <f>IFERROR(__xludf.DUMMYFUNCTION("""COMPUTED_VALUE"""),251.4)</f>
        <v>251.4</v>
      </c>
      <c r="D42" s="2">
        <f>IFERROR(__xludf.DUMMYFUNCTION("""COMPUTED_VALUE"""),245.61)</f>
        <v>245.61</v>
      </c>
      <c r="E42" s="2">
        <f>IFERROR(__xludf.DUMMYFUNCTION("""COMPUTED_VALUE"""),251.11)</f>
        <v>251.11</v>
      </c>
      <c r="F42" s="2">
        <f>IFERROR(__xludf.DUMMYFUNCTION("""COMPUTED_VALUE"""),2.4833646E7)</f>
        <v>24833646</v>
      </c>
    </row>
    <row r="43">
      <c r="A43" s="3">
        <f>IFERROR(__xludf.DUMMYFUNCTION("""COMPUTED_VALUE"""),44988.66666666667)</f>
        <v>44988.66667</v>
      </c>
      <c r="B43" s="2">
        <f>IFERROR(__xludf.DUMMYFUNCTION("""COMPUTED_VALUE"""),252.19)</f>
        <v>252.19</v>
      </c>
      <c r="C43" s="2">
        <f>IFERROR(__xludf.DUMMYFUNCTION("""COMPUTED_VALUE"""),255.62)</f>
        <v>255.62</v>
      </c>
      <c r="D43" s="2">
        <f>IFERROR(__xludf.DUMMYFUNCTION("""COMPUTED_VALUE"""),251.39)</f>
        <v>251.39</v>
      </c>
      <c r="E43" s="2">
        <f>IFERROR(__xludf.DUMMYFUNCTION("""COMPUTED_VALUE"""),255.29)</f>
        <v>255.29</v>
      </c>
      <c r="F43" s="2">
        <f>IFERROR(__xludf.DUMMYFUNCTION("""COMPUTED_VALUE"""),3.0760136E7)</f>
        <v>30760136</v>
      </c>
    </row>
    <row r="44">
      <c r="A44" s="3">
        <f>IFERROR(__xludf.DUMMYFUNCTION("""COMPUTED_VALUE"""),44991.66666666667)</f>
        <v>44991.66667</v>
      </c>
      <c r="B44" s="2">
        <f>IFERROR(__xludf.DUMMYFUNCTION("""COMPUTED_VALUE"""),256.43)</f>
        <v>256.43</v>
      </c>
      <c r="C44" s="2">
        <f>IFERROR(__xludf.DUMMYFUNCTION("""COMPUTED_VALUE"""),260.12)</f>
        <v>260.12</v>
      </c>
      <c r="D44" s="2">
        <f>IFERROR(__xludf.DUMMYFUNCTION("""COMPUTED_VALUE"""),255.98)</f>
        <v>255.98</v>
      </c>
      <c r="E44" s="2">
        <f>IFERROR(__xludf.DUMMYFUNCTION("""COMPUTED_VALUE"""),256.87)</f>
        <v>256.87</v>
      </c>
      <c r="F44" s="2">
        <f>IFERROR(__xludf.DUMMYFUNCTION("""COMPUTED_VALUE"""),2.4109849E7)</f>
        <v>24109849</v>
      </c>
    </row>
    <row r="45">
      <c r="A45" s="3">
        <f>IFERROR(__xludf.DUMMYFUNCTION("""COMPUTED_VALUE"""),44992.66666666667)</f>
        <v>44992.66667</v>
      </c>
      <c r="B45" s="2">
        <f>IFERROR(__xludf.DUMMYFUNCTION("""COMPUTED_VALUE"""),256.3)</f>
        <v>256.3</v>
      </c>
      <c r="C45" s="2">
        <f>IFERROR(__xludf.DUMMYFUNCTION("""COMPUTED_VALUE"""),257.69)</f>
        <v>257.69</v>
      </c>
      <c r="D45" s="2">
        <f>IFERROR(__xludf.DUMMYFUNCTION("""COMPUTED_VALUE"""),253.39)</f>
        <v>253.39</v>
      </c>
      <c r="E45" s="2">
        <f>IFERROR(__xludf.DUMMYFUNCTION("""COMPUTED_VALUE"""),254.15)</f>
        <v>254.15</v>
      </c>
      <c r="F45" s="2">
        <f>IFERROR(__xludf.DUMMYFUNCTION("""COMPUTED_VALUE"""),2.1473179E7)</f>
        <v>21473179</v>
      </c>
    </row>
    <row r="46">
      <c r="A46" s="3">
        <f>IFERROR(__xludf.DUMMYFUNCTION("""COMPUTED_VALUE"""),44993.66666666667)</f>
        <v>44993.66667</v>
      </c>
      <c r="B46" s="2">
        <f>IFERROR(__xludf.DUMMYFUNCTION("""COMPUTED_VALUE"""),254.04)</f>
        <v>254.04</v>
      </c>
      <c r="C46" s="2">
        <f>IFERROR(__xludf.DUMMYFUNCTION("""COMPUTED_VALUE"""),254.54)</f>
        <v>254.54</v>
      </c>
      <c r="D46" s="2">
        <f>IFERROR(__xludf.DUMMYFUNCTION("""COMPUTED_VALUE"""),250.81)</f>
        <v>250.81</v>
      </c>
      <c r="E46" s="2">
        <f>IFERROR(__xludf.DUMMYFUNCTION("""COMPUTED_VALUE"""),253.7)</f>
        <v>253.7</v>
      </c>
      <c r="F46" s="2">
        <f>IFERROR(__xludf.DUMMYFUNCTION("""COMPUTED_VALUE"""),1.7340217E7)</f>
        <v>17340217</v>
      </c>
    </row>
    <row r="47">
      <c r="A47" s="3">
        <f>IFERROR(__xludf.DUMMYFUNCTION("""COMPUTED_VALUE"""),44994.66666666667)</f>
        <v>44994.66667</v>
      </c>
      <c r="B47" s="2">
        <f>IFERROR(__xludf.DUMMYFUNCTION("""COMPUTED_VALUE"""),255.82)</f>
        <v>255.82</v>
      </c>
      <c r="C47" s="2">
        <f>IFERROR(__xludf.DUMMYFUNCTION("""COMPUTED_VALUE"""),259.56)</f>
        <v>259.56</v>
      </c>
      <c r="D47" s="2">
        <f>IFERROR(__xludf.DUMMYFUNCTION("""COMPUTED_VALUE"""),251.58)</f>
        <v>251.58</v>
      </c>
      <c r="E47" s="2">
        <f>IFERROR(__xludf.DUMMYFUNCTION("""COMPUTED_VALUE"""),252.32)</f>
        <v>252.32</v>
      </c>
      <c r="F47" s="2">
        <f>IFERROR(__xludf.DUMMYFUNCTION("""COMPUTED_VALUE"""),2.6653387E7)</f>
        <v>26653387</v>
      </c>
    </row>
    <row r="48">
      <c r="A48" s="3">
        <f>IFERROR(__xludf.DUMMYFUNCTION("""COMPUTED_VALUE"""),44995.66666666667)</f>
        <v>44995.66667</v>
      </c>
      <c r="B48" s="2">
        <f>IFERROR(__xludf.DUMMYFUNCTION("""COMPUTED_VALUE"""),251.08)</f>
        <v>251.08</v>
      </c>
      <c r="C48" s="2">
        <f>IFERROR(__xludf.DUMMYFUNCTION("""COMPUTED_VALUE"""),252.79)</f>
        <v>252.79</v>
      </c>
      <c r="D48" s="2">
        <f>IFERROR(__xludf.DUMMYFUNCTION("""COMPUTED_VALUE"""),247.6)</f>
        <v>247.6</v>
      </c>
      <c r="E48" s="2">
        <f>IFERROR(__xludf.DUMMYFUNCTION("""COMPUTED_VALUE"""),248.59)</f>
        <v>248.59</v>
      </c>
      <c r="F48" s="2">
        <f>IFERROR(__xludf.DUMMYFUNCTION("""COMPUTED_VALUE"""),2.833393E7)</f>
        <v>28333930</v>
      </c>
    </row>
    <row r="49">
      <c r="A49" s="3">
        <f>IFERROR(__xludf.DUMMYFUNCTION("""COMPUTED_VALUE"""),44998.66666666667)</f>
        <v>44998.66667</v>
      </c>
      <c r="B49" s="2">
        <f>IFERROR(__xludf.DUMMYFUNCTION("""COMPUTED_VALUE"""),247.4)</f>
        <v>247.4</v>
      </c>
      <c r="C49" s="2">
        <f>IFERROR(__xludf.DUMMYFUNCTION("""COMPUTED_VALUE"""),257.91)</f>
        <v>257.91</v>
      </c>
      <c r="D49" s="2">
        <f>IFERROR(__xludf.DUMMYFUNCTION("""COMPUTED_VALUE"""),245.73)</f>
        <v>245.73</v>
      </c>
      <c r="E49" s="2">
        <f>IFERROR(__xludf.DUMMYFUNCTION("""COMPUTED_VALUE"""),253.92)</f>
        <v>253.92</v>
      </c>
      <c r="F49" s="2">
        <f>IFERROR(__xludf.DUMMYFUNCTION("""COMPUTED_VALUE"""),3.3339721E7)</f>
        <v>33339721</v>
      </c>
    </row>
    <row r="50">
      <c r="A50" s="3">
        <f>IFERROR(__xludf.DUMMYFUNCTION("""COMPUTED_VALUE"""),44999.66666666667)</f>
        <v>44999.66667</v>
      </c>
      <c r="B50" s="2">
        <f>IFERROR(__xludf.DUMMYFUNCTION("""COMPUTED_VALUE"""),256.75)</f>
        <v>256.75</v>
      </c>
      <c r="C50" s="2">
        <f>IFERROR(__xludf.DUMMYFUNCTION("""COMPUTED_VALUE"""),261.07)</f>
        <v>261.07</v>
      </c>
      <c r="D50" s="2">
        <f>IFERROR(__xludf.DUMMYFUNCTION("""COMPUTED_VALUE"""),255.86)</f>
        <v>255.86</v>
      </c>
      <c r="E50" s="2">
        <f>IFERROR(__xludf.DUMMYFUNCTION("""COMPUTED_VALUE"""),260.79)</f>
        <v>260.79</v>
      </c>
      <c r="F50" s="2">
        <f>IFERROR(__xludf.DUMMYFUNCTION("""COMPUTED_VALUE"""),3.3620293E7)</f>
        <v>33620293</v>
      </c>
    </row>
    <row r="51">
      <c r="A51" s="3">
        <f>IFERROR(__xludf.DUMMYFUNCTION("""COMPUTED_VALUE"""),45000.66666666667)</f>
        <v>45000.66667</v>
      </c>
      <c r="B51" s="2">
        <f>IFERROR(__xludf.DUMMYFUNCTION("""COMPUTED_VALUE"""),259.98)</f>
        <v>259.98</v>
      </c>
      <c r="C51" s="2">
        <f>IFERROR(__xludf.DUMMYFUNCTION("""COMPUTED_VALUE"""),266.48)</f>
        <v>266.48</v>
      </c>
      <c r="D51" s="2">
        <f>IFERROR(__xludf.DUMMYFUNCTION("""COMPUTED_VALUE"""),259.21)</f>
        <v>259.21</v>
      </c>
      <c r="E51" s="2">
        <f>IFERROR(__xludf.DUMMYFUNCTION("""COMPUTED_VALUE"""),265.44)</f>
        <v>265.44</v>
      </c>
      <c r="F51" s="2">
        <f>IFERROR(__xludf.DUMMYFUNCTION("""COMPUTED_VALUE"""),4.6028047E7)</f>
        <v>46028047</v>
      </c>
    </row>
    <row r="52">
      <c r="A52" s="3">
        <f>IFERROR(__xludf.DUMMYFUNCTION("""COMPUTED_VALUE"""),45001.66666666667)</f>
        <v>45001.66667</v>
      </c>
      <c r="B52" s="2">
        <f>IFERROR(__xludf.DUMMYFUNCTION("""COMPUTED_VALUE"""),265.21)</f>
        <v>265.21</v>
      </c>
      <c r="C52" s="2">
        <f>IFERROR(__xludf.DUMMYFUNCTION("""COMPUTED_VALUE"""),276.56)</f>
        <v>276.56</v>
      </c>
      <c r="D52" s="2">
        <f>IFERROR(__xludf.DUMMYFUNCTION("""COMPUTED_VALUE"""),263.28)</f>
        <v>263.28</v>
      </c>
      <c r="E52" s="2">
        <f>IFERROR(__xludf.DUMMYFUNCTION("""COMPUTED_VALUE"""),276.2)</f>
        <v>276.2</v>
      </c>
      <c r="F52" s="2">
        <f>IFERROR(__xludf.DUMMYFUNCTION("""COMPUTED_VALUE"""),5.483214E7)</f>
        <v>54832140</v>
      </c>
    </row>
    <row r="53">
      <c r="A53" s="3">
        <f>IFERROR(__xludf.DUMMYFUNCTION("""COMPUTED_VALUE"""),45002.66666666667)</f>
        <v>45002.66667</v>
      </c>
      <c r="B53" s="2">
        <f>IFERROR(__xludf.DUMMYFUNCTION("""COMPUTED_VALUE"""),278.26)</f>
        <v>278.26</v>
      </c>
      <c r="C53" s="2">
        <f>IFERROR(__xludf.DUMMYFUNCTION("""COMPUTED_VALUE"""),283.33)</f>
        <v>283.33</v>
      </c>
      <c r="D53" s="2">
        <f>IFERROR(__xludf.DUMMYFUNCTION("""COMPUTED_VALUE"""),276.32)</f>
        <v>276.32</v>
      </c>
      <c r="E53" s="2">
        <f>IFERROR(__xludf.DUMMYFUNCTION("""COMPUTED_VALUE"""),279.43)</f>
        <v>279.43</v>
      </c>
      <c r="F53" s="2">
        <f>IFERROR(__xludf.DUMMYFUNCTION("""COMPUTED_VALUE"""),6.9527371E7)</f>
        <v>69527371</v>
      </c>
    </row>
    <row r="54">
      <c r="A54" s="3">
        <f>IFERROR(__xludf.DUMMYFUNCTION("""COMPUTED_VALUE"""),45005.66666666667)</f>
        <v>45005.66667</v>
      </c>
      <c r="B54" s="2">
        <f>IFERROR(__xludf.DUMMYFUNCTION("""COMPUTED_VALUE"""),276.98)</f>
        <v>276.98</v>
      </c>
      <c r="C54" s="2">
        <f>IFERROR(__xludf.DUMMYFUNCTION("""COMPUTED_VALUE"""),277.48)</f>
        <v>277.48</v>
      </c>
      <c r="D54" s="2">
        <f>IFERROR(__xludf.DUMMYFUNCTION("""COMPUTED_VALUE"""),269.85)</f>
        <v>269.85</v>
      </c>
      <c r="E54" s="2">
        <f>IFERROR(__xludf.DUMMYFUNCTION("""COMPUTED_VALUE"""),272.23)</f>
        <v>272.23</v>
      </c>
      <c r="F54" s="2">
        <f>IFERROR(__xludf.DUMMYFUNCTION("""COMPUTED_VALUE"""),4.3466649E7)</f>
        <v>43466649</v>
      </c>
    </row>
    <row r="55">
      <c r="A55" s="3">
        <f>IFERROR(__xludf.DUMMYFUNCTION("""COMPUTED_VALUE"""),45006.66666666667)</f>
        <v>45006.66667</v>
      </c>
      <c r="B55" s="2">
        <f>IFERROR(__xludf.DUMMYFUNCTION("""COMPUTED_VALUE"""),274.88)</f>
        <v>274.88</v>
      </c>
      <c r="C55" s="2">
        <f>IFERROR(__xludf.DUMMYFUNCTION("""COMPUTED_VALUE"""),275.0)</f>
        <v>275</v>
      </c>
      <c r="D55" s="2">
        <f>IFERROR(__xludf.DUMMYFUNCTION("""COMPUTED_VALUE"""),269.52)</f>
        <v>269.52</v>
      </c>
      <c r="E55" s="2">
        <f>IFERROR(__xludf.DUMMYFUNCTION("""COMPUTED_VALUE"""),273.78)</f>
        <v>273.78</v>
      </c>
      <c r="F55" s="2">
        <f>IFERROR(__xludf.DUMMYFUNCTION("""COMPUTED_VALUE"""),3.4558704E7)</f>
        <v>34558704</v>
      </c>
    </row>
    <row r="56">
      <c r="A56" s="3">
        <f>IFERROR(__xludf.DUMMYFUNCTION("""COMPUTED_VALUE"""),45007.66666666667)</f>
        <v>45007.66667</v>
      </c>
      <c r="B56" s="2">
        <f>IFERROR(__xludf.DUMMYFUNCTION("""COMPUTED_VALUE"""),273.4)</f>
        <v>273.4</v>
      </c>
      <c r="C56" s="2">
        <f>IFERROR(__xludf.DUMMYFUNCTION("""COMPUTED_VALUE"""),281.04)</f>
        <v>281.04</v>
      </c>
      <c r="D56" s="2">
        <f>IFERROR(__xludf.DUMMYFUNCTION("""COMPUTED_VALUE"""),272.18)</f>
        <v>272.18</v>
      </c>
      <c r="E56" s="2">
        <f>IFERROR(__xludf.DUMMYFUNCTION("""COMPUTED_VALUE"""),272.29)</f>
        <v>272.29</v>
      </c>
      <c r="F56" s="2">
        <f>IFERROR(__xludf.DUMMYFUNCTION("""COMPUTED_VALUE"""),3.487333E7)</f>
        <v>34873330</v>
      </c>
    </row>
    <row r="57">
      <c r="A57" s="3">
        <f>IFERROR(__xludf.DUMMYFUNCTION("""COMPUTED_VALUE"""),45008.66666666667)</f>
        <v>45008.66667</v>
      </c>
      <c r="B57" s="2">
        <f>IFERROR(__xludf.DUMMYFUNCTION("""COMPUTED_VALUE"""),277.94)</f>
        <v>277.94</v>
      </c>
      <c r="C57" s="2">
        <f>IFERROR(__xludf.DUMMYFUNCTION("""COMPUTED_VALUE"""),281.06)</f>
        <v>281.06</v>
      </c>
      <c r="D57" s="2">
        <f>IFERROR(__xludf.DUMMYFUNCTION("""COMPUTED_VALUE"""),275.2)</f>
        <v>275.2</v>
      </c>
      <c r="E57" s="2">
        <f>IFERROR(__xludf.DUMMYFUNCTION("""COMPUTED_VALUE"""),277.66)</f>
        <v>277.66</v>
      </c>
      <c r="F57" s="2">
        <f>IFERROR(__xludf.DUMMYFUNCTION("""COMPUTED_VALUE"""),3.6610879E7)</f>
        <v>36610879</v>
      </c>
    </row>
    <row r="58">
      <c r="A58" s="3">
        <f>IFERROR(__xludf.DUMMYFUNCTION("""COMPUTED_VALUE"""),45009.66666666667)</f>
        <v>45009.66667</v>
      </c>
      <c r="B58" s="2">
        <f>IFERROR(__xludf.DUMMYFUNCTION("""COMPUTED_VALUE"""),277.24)</f>
        <v>277.24</v>
      </c>
      <c r="C58" s="2">
        <f>IFERROR(__xludf.DUMMYFUNCTION("""COMPUTED_VALUE"""),280.63)</f>
        <v>280.63</v>
      </c>
      <c r="D58" s="2">
        <f>IFERROR(__xludf.DUMMYFUNCTION("""COMPUTED_VALUE"""),275.28)</f>
        <v>275.28</v>
      </c>
      <c r="E58" s="2">
        <f>IFERROR(__xludf.DUMMYFUNCTION("""COMPUTED_VALUE"""),280.57)</f>
        <v>280.57</v>
      </c>
      <c r="F58" s="2">
        <f>IFERROR(__xludf.DUMMYFUNCTION("""COMPUTED_VALUE"""),2.8199962E7)</f>
        <v>28199962</v>
      </c>
    </row>
    <row r="59">
      <c r="A59" s="3">
        <f>IFERROR(__xludf.DUMMYFUNCTION("""COMPUTED_VALUE"""),45012.66666666667)</f>
        <v>45012.66667</v>
      </c>
      <c r="B59" s="2">
        <f>IFERROR(__xludf.DUMMYFUNCTION("""COMPUTED_VALUE"""),280.5)</f>
        <v>280.5</v>
      </c>
      <c r="C59" s="2">
        <f>IFERROR(__xludf.DUMMYFUNCTION("""COMPUTED_VALUE"""),281.46)</f>
        <v>281.46</v>
      </c>
      <c r="D59" s="2">
        <f>IFERROR(__xludf.DUMMYFUNCTION("""COMPUTED_VALUE"""),275.52)</f>
        <v>275.52</v>
      </c>
      <c r="E59" s="2">
        <f>IFERROR(__xludf.DUMMYFUNCTION("""COMPUTED_VALUE"""),276.38)</f>
        <v>276.38</v>
      </c>
      <c r="F59" s="2">
        <f>IFERROR(__xludf.DUMMYFUNCTION("""COMPUTED_VALUE"""),2.6840212E7)</f>
        <v>26840212</v>
      </c>
    </row>
    <row r="60">
      <c r="A60" s="3">
        <f>IFERROR(__xludf.DUMMYFUNCTION("""COMPUTED_VALUE"""),45013.66666666667)</f>
        <v>45013.66667</v>
      </c>
      <c r="B60" s="2">
        <f>IFERROR(__xludf.DUMMYFUNCTION("""COMPUTED_VALUE"""),275.79)</f>
        <v>275.79</v>
      </c>
      <c r="C60" s="2">
        <f>IFERROR(__xludf.DUMMYFUNCTION("""COMPUTED_VALUE"""),276.14)</f>
        <v>276.14</v>
      </c>
      <c r="D60" s="2">
        <f>IFERROR(__xludf.DUMMYFUNCTION("""COMPUTED_VALUE"""),272.05)</f>
        <v>272.05</v>
      </c>
      <c r="E60" s="2">
        <f>IFERROR(__xludf.DUMMYFUNCTION("""COMPUTED_VALUE"""),275.23)</f>
        <v>275.23</v>
      </c>
      <c r="F60" s="2">
        <f>IFERROR(__xludf.DUMMYFUNCTION("""COMPUTED_VALUE"""),2.1878647E7)</f>
        <v>21878647</v>
      </c>
    </row>
    <row r="61">
      <c r="A61" s="3">
        <f>IFERROR(__xludf.DUMMYFUNCTION("""COMPUTED_VALUE"""),45014.66666666667)</f>
        <v>45014.66667</v>
      </c>
      <c r="B61" s="2">
        <f>IFERROR(__xludf.DUMMYFUNCTION("""COMPUTED_VALUE"""),278.96)</f>
        <v>278.96</v>
      </c>
      <c r="C61" s="2">
        <f>IFERROR(__xludf.DUMMYFUNCTION("""COMPUTED_VALUE"""),281.14)</f>
        <v>281.14</v>
      </c>
      <c r="D61" s="2">
        <f>IFERROR(__xludf.DUMMYFUNCTION("""COMPUTED_VALUE"""),278.41)</f>
        <v>278.41</v>
      </c>
      <c r="E61" s="2">
        <f>IFERROR(__xludf.DUMMYFUNCTION("""COMPUTED_VALUE"""),280.51)</f>
        <v>280.51</v>
      </c>
      <c r="F61" s="2">
        <f>IFERROR(__xludf.DUMMYFUNCTION("""COMPUTED_VALUE"""),2.5087032E7)</f>
        <v>25087032</v>
      </c>
    </row>
    <row r="62">
      <c r="A62" s="3">
        <f>IFERROR(__xludf.DUMMYFUNCTION("""COMPUTED_VALUE"""),45015.66666666667)</f>
        <v>45015.66667</v>
      </c>
      <c r="B62" s="2">
        <f>IFERROR(__xludf.DUMMYFUNCTION("""COMPUTED_VALUE"""),284.23)</f>
        <v>284.23</v>
      </c>
      <c r="C62" s="2">
        <f>IFERROR(__xludf.DUMMYFUNCTION("""COMPUTED_VALUE"""),284.46)</f>
        <v>284.46</v>
      </c>
      <c r="D62" s="2">
        <f>IFERROR(__xludf.DUMMYFUNCTION("""COMPUTED_VALUE"""),281.48)</f>
        <v>281.48</v>
      </c>
      <c r="E62" s="2">
        <f>IFERROR(__xludf.DUMMYFUNCTION("""COMPUTED_VALUE"""),284.05)</f>
        <v>284.05</v>
      </c>
      <c r="F62" s="2">
        <f>IFERROR(__xludf.DUMMYFUNCTION("""COMPUTED_VALUE"""),2.505341E7)</f>
        <v>25053410</v>
      </c>
    </row>
    <row r="63">
      <c r="A63" s="3">
        <f>IFERROR(__xludf.DUMMYFUNCTION("""COMPUTED_VALUE"""),45016.66666666667)</f>
        <v>45016.66667</v>
      </c>
      <c r="B63" s="2">
        <f>IFERROR(__xludf.DUMMYFUNCTION("""COMPUTED_VALUE"""),283.73)</f>
        <v>283.73</v>
      </c>
      <c r="C63" s="2">
        <f>IFERROR(__xludf.DUMMYFUNCTION("""COMPUTED_VALUE"""),289.27)</f>
        <v>289.27</v>
      </c>
      <c r="D63" s="2">
        <f>IFERROR(__xludf.DUMMYFUNCTION("""COMPUTED_VALUE"""),283.0)</f>
        <v>283</v>
      </c>
      <c r="E63" s="2">
        <f>IFERROR(__xludf.DUMMYFUNCTION("""COMPUTED_VALUE"""),288.3)</f>
        <v>288.3</v>
      </c>
      <c r="F63" s="2">
        <f>IFERROR(__xludf.DUMMYFUNCTION("""COMPUTED_VALUE"""),3.2765976E7)</f>
        <v>32765976</v>
      </c>
    </row>
    <row r="64">
      <c r="A64" s="3">
        <f>IFERROR(__xludf.DUMMYFUNCTION("""COMPUTED_VALUE"""),45019.66666666667)</f>
        <v>45019.66667</v>
      </c>
      <c r="B64" s="2">
        <f>IFERROR(__xludf.DUMMYFUNCTION("""COMPUTED_VALUE"""),286.52)</f>
        <v>286.52</v>
      </c>
      <c r="C64" s="2">
        <f>IFERROR(__xludf.DUMMYFUNCTION("""COMPUTED_VALUE"""),288.27)</f>
        <v>288.27</v>
      </c>
      <c r="D64" s="2">
        <f>IFERROR(__xludf.DUMMYFUNCTION("""COMPUTED_VALUE"""),283.95)</f>
        <v>283.95</v>
      </c>
      <c r="E64" s="2">
        <f>IFERROR(__xludf.DUMMYFUNCTION("""COMPUTED_VALUE"""),287.23)</f>
        <v>287.23</v>
      </c>
      <c r="F64" s="2">
        <f>IFERROR(__xludf.DUMMYFUNCTION("""COMPUTED_VALUE"""),2.4883342E7)</f>
        <v>24883342</v>
      </c>
    </row>
    <row r="65">
      <c r="A65" s="3">
        <f>IFERROR(__xludf.DUMMYFUNCTION("""COMPUTED_VALUE"""),45020.66666666667)</f>
        <v>45020.66667</v>
      </c>
      <c r="B65" s="2">
        <f>IFERROR(__xludf.DUMMYFUNCTION("""COMPUTED_VALUE"""),287.23)</f>
        <v>287.23</v>
      </c>
      <c r="C65" s="2">
        <f>IFERROR(__xludf.DUMMYFUNCTION("""COMPUTED_VALUE"""),290.45)</f>
        <v>290.45</v>
      </c>
      <c r="D65" s="2">
        <f>IFERROR(__xludf.DUMMYFUNCTION("""COMPUTED_VALUE"""),285.67)</f>
        <v>285.67</v>
      </c>
      <c r="E65" s="2">
        <f>IFERROR(__xludf.DUMMYFUNCTION("""COMPUTED_VALUE"""),287.18)</f>
        <v>287.18</v>
      </c>
      <c r="F65" s="2">
        <f>IFERROR(__xludf.DUMMYFUNCTION("""COMPUTED_VALUE"""),2.5824299E7)</f>
        <v>25824299</v>
      </c>
    </row>
    <row r="66">
      <c r="A66" s="3">
        <f>IFERROR(__xludf.DUMMYFUNCTION("""COMPUTED_VALUE"""),45021.66666666667)</f>
        <v>45021.66667</v>
      </c>
      <c r="B66" s="2">
        <f>IFERROR(__xludf.DUMMYFUNCTION("""COMPUTED_VALUE"""),285.85)</f>
        <v>285.85</v>
      </c>
      <c r="C66" s="2">
        <f>IFERROR(__xludf.DUMMYFUNCTION("""COMPUTED_VALUE"""),287.15)</f>
        <v>287.15</v>
      </c>
      <c r="D66" s="2">
        <f>IFERROR(__xludf.DUMMYFUNCTION("""COMPUTED_VALUE"""),282.92)</f>
        <v>282.92</v>
      </c>
      <c r="E66" s="2">
        <f>IFERROR(__xludf.DUMMYFUNCTION("""COMPUTED_VALUE"""),284.34)</f>
        <v>284.34</v>
      </c>
      <c r="F66" s="2">
        <f>IFERROR(__xludf.DUMMYFUNCTION("""COMPUTED_VALUE"""),2.206477E7)</f>
        <v>22064770</v>
      </c>
    </row>
    <row r="67">
      <c r="A67" s="3">
        <f>IFERROR(__xludf.DUMMYFUNCTION("""COMPUTED_VALUE"""),45022.66666666667)</f>
        <v>45022.66667</v>
      </c>
      <c r="B67" s="2">
        <f>IFERROR(__xludf.DUMMYFUNCTION("""COMPUTED_VALUE"""),283.21)</f>
        <v>283.21</v>
      </c>
      <c r="C67" s="2">
        <f>IFERROR(__xludf.DUMMYFUNCTION("""COMPUTED_VALUE"""),292.08)</f>
        <v>292.08</v>
      </c>
      <c r="D67" s="2">
        <f>IFERROR(__xludf.DUMMYFUNCTION("""COMPUTED_VALUE"""),282.03)</f>
        <v>282.03</v>
      </c>
      <c r="E67" s="2">
        <f>IFERROR(__xludf.DUMMYFUNCTION("""COMPUTED_VALUE"""),291.6)</f>
        <v>291.6</v>
      </c>
      <c r="F67" s="2">
        <f>IFERROR(__xludf.DUMMYFUNCTION("""COMPUTED_VALUE"""),2.9770334E7)</f>
        <v>29770334</v>
      </c>
    </row>
    <row r="68">
      <c r="A68" s="3">
        <f>IFERROR(__xludf.DUMMYFUNCTION("""COMPUTED_VALUE"""),45026.66666666667)</f>
        <v>45026.66667</v>
      </c>
      <c r="B68" s="2">
        <f>IFERROR(__xludf.DUMMYFUNCTION("""COMPUTED_VALUE"""),289.21)</f>
        <v>289.21</v>
      </c>
      <c r="C68" s="2">
        <f>IFERROR(__xludf.DUMMYFUNCTION("""COMPUTED_VALUE"""),289.6)</f>
        <v>289.6</v>
      </c>
      <c r="D68" s="2">
        <f>IFERROR(__xludf.DUMMYFUNCTION("""COMPUTED_VALUE"""),284.71)</f>
        <v>284.71</v>
      </c>
      <c r="E68" s="2">
        <f>IFERROR(__xludf.DUMMYFUNCTION("""COMPUTED_VALUE"""),289.39)</f>
        <v>289.39</v>
      </c>
      <c r="F68" s="2">
        <f>IFERROR(__xludf.DUMMYFUNCTION("""COMPUTED_VALUE"""),2.3102994E7)</f>
        <v>23102994</v>
      </c>
    </row>
    <row r="69">
      <c r="A69" s="3">
        <f>IFERROR(__xludf.DUMMYFUNCTION("""COMPUTED_VALUE"""),45027.66666666667)</f>
        <v>45027.66667</v>
      </c>
      <c r="B69" s="2">
        <f>IFERROR(__xludf.DUMMYFUNCTION("""COMPUTED_VALUE"""),285.75)</f>
        <v>285.75</v>
      </c>
      <c r="C69" s="2">
        <f>IFERROR(__xludf.DUMMYFUNCTION("""COMPUTED_VALUE"""),285.98)</f>
        <v>285.98</v>
      </c>
      <c r="D69" s="2">
        <f>IFERROR(__xludf.DUMMYFUNCTION("""COMPUTED_VALUE"""),281.64)</f>
        <v>281.64</v>
      </c>
      <c r="E69" s="2">
        <f>IFERROR(__xludf.DUMMYFUNCTION("""COMPUTED_VALUE"""),282.83)</f>
        <v>282.83</v>
      </c>
      <c r="F69" s="2">
        <f>IFERROR(__xludf.DUMMYFUNCTION("""COMPUTED_VALUE"""),2.7276589E7)</f>
        <v>27276589</v>
      </c>
    </row>
    <row r="70">
      <c r="A70" s="3">
        <f>IFERROR(__xludf.DUMMYFUNCTION("""COMPUTED_VALUE"""),45028.66666666667)</f>
        <v>45028.66667</v>
      </c>
      <c r="B70" s="2">
        <f>IFERROR(__xludf.DUMMYFUNCTION("""COMPUTED_VALUE"""),284.79)</f>
        <v>284.79</v>
      </c>
      <c r="C70" s="2">
        <f>IFERROR(__xludf.DUMMYFUNCTION("""COMPUTED_VALUE"""),287.01)</f>
        <v>287.01</v>
      </c>
      <c r="D70" s="2">
        <f>IFERROR(__xludf.DUMMYFUNCTION("""COMPUTED_VALUE"""),281.96)</f>
        <v>281.96</v>
      </c>
      <c r="E70" s="2">
        <f>IFERROR(__xludf.DUMMYFUNCTION("""COMPUTED_VALUE"""),283.49)</f>
        <v>283.49</v>
      </c>
      <c r="F70" s="2">
        <f>IFERROR(__xludf.DUMMYFUNCTION("""COMPUTED_VALUE"""),2.7403432E7)</f>
        <v>27403432</v>
      </c>
    </row>
    <row r="71">
      <c r="A71" s="3">
        <f>IFERROR(__xludf.DUMMYFUNCTION("""COMPUTED_VALUE"""),45029.66666666667)</f>
        <v>45029.66667</v>
      </c>
      <c r="B71" s="2">
        <f>IFERROR(__xludf.DUMMYFUNCTION("""COMPUTED_VALUE"""),283.59)</f>
        <v>283.59</v>
      </c>
      <c r="C71" s="2">
        <f>IFERROR(__xludf.DUMMYFUNCTION("""COMPUTED_VALUE"""),289.9)</f>
        <v>289.9</v>
      </c>
      <c r="D71" s="2">
        <f>IFERROR(__xludf.DUMMYFUNCTION("""COMPUTED_VALUE"""),283.17)</f>
        <v>283.17</v>
      </c>
      <c r="E71" s="2">
        <f>IFERROR(__xludf.DUMMYFUNCTION("""COMPUTED_VALUE"""),289.84)</f>
        <v>289.84</v>
      </c>
      <c r="F71" s="2">
        <f>IFERROR(__xludf.DUMMYFUNCTION("""COMPUTED_VALUE"""),2.4222678E7)</f>
        <v>24222678</v>
      </c>
    </row>
    <row r="72">
      <c r="A72" s="3">
        <f>IFERROR(__xludf.DUMMYFUNCTION("""COMPUTED_VALUE"""),45030.66666666667)</f>
        <v>45030.66667</v>
      </c>
      <c r="B72" s="2">
        <f>IFERROR(__xludf.DUMMYFUNCTION("""COMPUTED_VALUE"""),287.0)</f>
        <v>287</v>
      </c>
      <c r="C72" s="2">
        <f>IFERROR(__xludf.DUMMYFUNCTION("""COMPUTED_VALUE"""),288.48)</f>
        <v>288.48</v>
      </c>
      <c r="D72" s="2">
        <f>IFERROR(__xludf.DUMMYFUNCTION("""COMPUTED_VALUE"""),283.69)</f>
        <v>283.69</v>
      </c>
      <c r="E72" s="2">
        <f>IFERROR(__xludf.DUMMYFUNCTION("""COMPUTED_VALUE"""),286.14)</f>
        <v>286.14</v>
      </c>
      <c r="F72" s="2">
        <f>IFERROR(__xludf.DUMMYFUNCTION("""COMPUTED_VALUE"""),2.0987917E7)</f>
        <v>20987917</v>
      </c>
    </row>
    <row r="73">
      <c r="A73" s="3">
        <f>IFERROR(__xludf.DUMMYFUNCTION("""COMPUTED_VALUE"""),45033.66666666667)</f>
        <v>45033.66667</v>
      </c>
      <c r="B73" s="2">
        <f>IFERROR(__xludf.DUMMYFUNCTION("""COMPUTED_VALUE"""),289.93)</f>
        <v>289.93</v>
      </c>
      <c r="C73" s="2">
        <f>IFERROR(__xludf.DUMMYFUNCTION("""COMPUTED_VALUE"""),291.6)</f>
        <v>291.6</v>
      </c>
      <c r="D73" s="2">
        <f>IFERROR(__xludf.DUMMYFUNCTION("""COMPUTED_VALUE"""),286.16)</f>
        <v>286.16</v>
      </c>
      <c r="E73" s="2">
        <f>IFERROR(__xludf.DUMMYFUNCTION("""COMPUTED_VALUE"""),288.8)</f>
        <v>288.8</v>
      </c>
      <c r="F73" s="2">
        <f>IFERROR(__xludf.DUMMYFUNCTION("""COMPUTED_VALUE"""),2.3836223E7)</f>
        <v>23836223</v>
      </c>
    </row>
    <row r="74">
      <c r="A74" s="3">
        <f>IFERROR(__xludf.DUMMYFUNCTION("""COMPUTED_VALUE"""),45034.66666666667)</f>
        <v>45034.66667</v>
      </c>
      <c r="B74" s="2">
        <f>IFERROR(__xludf.DUMMYFUNCTION("""COMPUTED_VALUE"""),291.57)</f>
        <v>291.57</v>
      </c>
      <c r="C74" s="2">
        <f>IFERROR(__xludf.DUMMYFUNCTION("""COMPUTED_VALUE"""),291.76)</f>
        <v>291.76</v>
      </c>
      <c r="D74" s="2">
        <f>IFERROR(__xludf.DUMMYFUNCTION("""COMPUTED_VALUE"""),287.01)</f>
        <v>287.01</v>
      </c>
      <c r="E74" s="2">
        <f>IFERROR(__xludf.DUMMYFUNCTION("""COMPUTED_VALUE"""),288.37)</f>
        <v>288.37</v>
      </c>
      <c r="F74" s="2">
        <f>IFERROR(__xludf.DUMMYFUNCTION("""COMPUTED_VALUE"""),2.0161845E7)</f>
        <v>20161845</v>
      </c>
    </row>
    <row r="75">
      <c r="A75" s="3">
        <f>IFERROR(__xludf.DUMMYFUNCTION("""COMPUTED_VALUE"""),45035.66666666667)</f>
        <v>45035.66667</v>
      </c>
      <c r="B75" s="2">
        <f>IFERROR(__xludf.DUMMYFUNCTION("""COMPUTED_VALUE"""),285.99)</f>
        <v>285.99</v>
      </c>
      <c r="C75" s="2">
        <f>IFERROR(__xludf.DUMMYFUNCTION("""COMPUTED_VALUE"""),289.05)</f>
        <v>289.05</v>
      </c>
      <c r="D75" s="2">
        <f>IFERROR(__xludf.DUMMYFUNCTION("""COMPUTED_VALUE"""),284.54)</f>
        <v>284.54</v>
      </c>
      <c r="E75" s="2">
        <f>IFERROR(__xludf.DUMMYFUNCTION("""COMPUTED_VALUE"""),288.45)</f>
        <v>288.45</v>
      </c>
      <c r="F75" s="2">
        <f>IFERROR(__xludf.DUMMYFUNCTION("""COMPUTED_VALUE"""),1.7150271E7)</f>
        <v>17150271</v>
      </c>
    </row>
    <row r="76">
      <c r="A76" s="3">
        <f>IFERROR(__xludf.DUMMYFUNCTION("""COMPUTED_VALUE"""),45036.66666666667)</f>
        <v>45036.66667</v>
      </c>
      <c r="B76" s="2">
        <f>IFERROR(__xludf.DUMMYFUNCTION("""COMPUTED_VALUE"""),285.25)</f>
        <v>285.25</v>
      </c>
      <c r="C76" s="2">
        <f>IFERROR(__xludf.DUMMYFUNCTION("""COMPUTED_VALUE"""),289.03)</f>
        <v>289.03</v>
      </c>
      <c r="D76" s="2">
        <f>IFERROR(__xludf.DUMMYFUNCTION("""COMPUTED_VALUE"""),285.08)</f>
        <v>285.08</v>
      </c>
      <c r="E76" s="2">
        <f>IFERROR(__xludf.DUMMYFUNCTION("""COMPUTED_VALUE"""),286.11)</f>
        <v>286.11</v>
      </c>
      <c r="F76" s="2">
        <f>IFERROR(__xludf.DUMMYFUNCTION("""COMPUTED_VALUE"""),2.3244363E7)</f>
        <v>23244363</v>
      </c>
    </row>
    <row r="77">
      <c r="A77" s="3">
        <f>IFERROR(__xludf.DUMMYFUNCTION("""COMPUTED_VALUE"""),45037.66666666667)</f>
        <v>45037.66667</v>
      </c>
      <c r="B77" s="2">
        <f>IFERROR(__xludf.DUMMYFUNCTION("""COMPUTED_VALUE"""),285.01)</f>
        <v>285.01</v>
      </c>
      <c r="C77" s="2">
        <f>IFERROR(__xludf.DUMMYFUNCTION("""COMPUTED_VALUE"""),286.27)</f>
        <v>286.27</v>
      </c>
      <c r="D77" s="2">
        <f>IFERROR(__xludf.DUMMYFUNCTION("""COMPUTED_VALUE"""),283.06)</f>
        <v>283.06</v>
      </c>
      <c r="E77" s="2">
        <f>IFERROR(__xludf.DUMMYFUNCTION("""COMPUTED_VALUE"""),285.76)</f>
        <v>285.76</v>
      </c>
      <c r="F77" s="2">
        <f>IFERROR(__xludf.DUMMYFUNCTION("""COMPUTED_VALUE"""),2.1676387E7)</f>
        <v>21676387</v>
      </c>
    </row>
    <row r="78">
      <c r="A78" s="3">
        <f>IFERROR(__xludf.DUMMYFUNCTION("""COMPUTED_VALUE"""),45040.66666666667)</f>
        <v>45040.66667</v>
      </c>
      <c r="B78" s="2">
        <f>IFERROR(__xludf.DUMMYFUNCTION("""COMPUTED_VALUE"""),282.09)</f>
        <v>282.09</v>
      </c>
      <c r="C78" s="2">
        <f>IFERROR(__xludf.DUMMYFUNCTION("""COMPUTED_VALUE"""),284.95)</f>
        <v>284.95</v>
      </c>
      <c r="D78" s="2">
        <f>IFERROR(__xludf.DUMMYFUNCTION("""COMPUTED_VALUE"""),278.72)</f>
        <v>278.72</v>
      </c>
      <c r="E78" s="2">
        <f>IFERROR(__xludf.DUMMYFUNCTION("""COMPUTED_VALUE"""),281.77)</f>
        <v>281.77</v>
      </c>
      <c r="F78" s="2">
        <f>IFERROR(__xludf.DUMMYFUNCTION("""COMPUTED_VALUE"""),2.6611014E7)</f>
        <v>26611014</v>
      </c>
    </row>
    <row r="79">
      <c r="A79" s="3">
        <f>IFERROR(__xludf.DUMMYFUNCTION("""COMPUTED_VALUE"""),45041.66666666667)</f>
        <v>45041.66667</v>
      </c>
      <c r="B79" s="2">
        <f>IFERROR(__xludf.DUMMYFUNCTION("""COMPUTED_VALUE"""),279.51)</f>
        <v>279.51</v>
      </c>
      <c r="C79" s="2">
        <f>IFERROR(__xludf.DUMMYFUNCTION("""COMPUTED_VALUE"""),281.6)</f>
        <v>281.6</v>
      </c>
      <c r="D79" s="2">
        <f>IFERROR(__xludf.DUMMYFUNCTION("""COMPUTED_VALUE"""),275.37)</f>
        <v>275.37</v>
      </c>
      <c r="E79" s="2">
        <f>IFERROR(__xludf.DUMMYFUNCTION("""COMPUTED_VALUE"""),275.42)</f>
        <v>275.42</v>
      </c>
      <c r="F79" s="2">
        <f>IFERROR(__xludf.DUMMYFUNCTION("""COMPUTED_VALUE"""),4.5772236E7)</f>
        <v>45772236</v>
      </c>
    </row>
    <row r="80">
      <c r="A80" s="3">
        <f>IFERROR(__xludf.DUMMYFUNCTION("""COMPUTED_VALUE"""),45042.66666666667)</f>
        <v>45042.66667</v>
      </c>
      <c r="B80" s="2">
        <f>IFERROR(__xludf.DUMMYFUNCTION("""COMPUTED_VALUE"""),296.7)</f>
        <v>296.7</v>
      </c>
      <c r="C80" s="2">
        <f>IFERROR(__xludf.DUMMYFUNCTION("""COMPUTED_VALUE"""),299.57)</f>
        <v>299.57</v>
      </c>
      <c r="D80" s="2">
        <f>IFERROR(__xludf.DUMMYFUNCTION("""COMPUTED_VALUE"""),292.73)</f>
        <v>292.73</v>
      </c>
      <c r="E80" s="2">
        <f>IFERROR(__xludf.DUMMYFUNCTION("""COMPUTED_VALUE"""),295.37)</f>
        <v>295.37</v>
      </c>
      <c r="F80" s="2">
        <f>IFERROR(__xludf.DUMMYFUNCTION("""COMPUTED_VALUE"""),6.4599182E7)</f>
        <v>64599182</v>
      </c>
    </row>
    <row r="81">
      <c r="A81" s="3">
        <f>IFERROR(__xludf.DUMMYFUNCTION("""COMPUTED_VALUE"""),45043.66666666667)</f>
        <v>45043.66667</v>
      </c>
      <c r="B81" s="2">
        <f>IFERROR(__xludf.DUMMYFUNCTION("""COMPUTED_VALUE"""),295.97)</f>
        <v>295.97</v>
      </c>
      <c r="C81" s="2">
        <f>IFERROR(__xludf.DUMMYFUNCTION("""COMPUTED_VALUE"""),305.2)</f>
        <v>305.2</v>
      </c>
      <c r="D81" s="2">
        <f>IFERROR(__xludf.DUMMYFUNCTION("""COMPUTED_VALUE"""),295.25)</f>
        <v>295.25</v>
      </c>
      <c r="E81" s="2">
        <f>IFERROR(__xludf.DUMMYFUNCTION("""COMPUTED_VALUE"""),304.83)</f>
        <v>304.83</v>
      </c>
      <c r="F81" s="2">
        <f>IFERROR(__xludf.DUMMYFUNCTION("""COMPUTED_VALUE"""),4.6462638E7)</f>
        <v>46462638</v>
      </c>
    </row>
    <row r="82">
      <c r="A82" s="3">
        <f>IFERROR(__xludf.DUMMYFUNCTION("""COMPUTED_VALUE"""),45044.66666666667)</f>
        <v>45044.66667</v>
      </c>
      <c r="B82" s="2">
        <f>IFERROR(__xludf.DUMMYFUNCTION("""COMPUTED_VALUE"""),304.01)</f>
        <v>304.01</v>
      </c>
      <c r="C82" s="2">
        <f>IFERROR(__xludf.DUMMYFUNCTION("""COMPUTED_VALUE"""),308.93)</f>
        <v>308.93</v>
      </c>
      <c r="D82" s="2">
        <f>IFERROR(__xludf.DUMMYFUNCTION("""COMPUTED_VALUE"""),303.31)</f>
        <v>303.31</v>
      </c>
      <c r="E82" s="2">
        <f>IFERROR(__xludf.DUMMYFUNCTION("""COMPUTED_VALUE"""),307.26)</f>
        <v>307.26</v>
      </c>
      <c r="F82" s="2">
        <f>IFERROR(__xludf.DUMMYFUNCTION("""COMPUTED_VALUE"""),3.6469613E7)</f>
        <v>36469613</v>
      </c>
    </row>
    <row r="83">
      <c r="A83" s="3">
        <f>IFERROR(__xludf.DUMMYFUNCTION("""COMPUTED_VALUE"""),45047.66666666667)</f>
        <v>45047.66667</v>
      </c>
      <c r="B83" s="2">
        <f>IFERROR(__xludf.DUMMYFUNCTION("""COMPUTED_VALUE"""),306.97)</f>
        <v>306.97</v>
      </c>
      <c r="C83" s="2">
        <f>IFERROR(__xludf.DUMMYFUNCTION("""COMPUTED_VALUE"""),308.6)</f>
        <v>308.6</v>
      </c>
      <c r="D83" s="2">
        <f>IFERROR(__xludf.DUMMYFUNCTION("""COMPUTED_VALUE"""),305.15)</f>
        <v>305.15</v>
      </c>
      <c r="E83" s="2">
        <f>IFERROR(__xludf.DUMMYFUNCTION("""COMPUTED_VALUE"""),305.56)</f>
        <v>305.56</v>
      </c>
      <c r="F83" s="2">
        <f>IFERROR(__xludf.DUMMYFUNCTION("""COMPUTED_VALUE"""),2.1294115E7)</f>
        <v>21294115</v>
      </c>
    </row>
    <row r="84">
      <c r="A84" s="3">
        <f>IFERROR(__xludf.DUMMYFUNCTION("""COMPUTED_VALUE"""),45048.66666666667)</f>
        <v>45048.66667</v>
      </c>
      <c r="B84" s="2">
        <f>IFERROR(__xludf.DUMMYFUNCTION("""COMPUTED_VALUE"""),307.76)</f>
        <v>307.76</v>
      </c>
      <c r="C84" s="2">
        <f>IFERROR(__xludf.DUMMYFUNCTION("""COMPUTED_VALUE"""),309.18)</f>
        <v>309.18</v>
      </c>
      <c r="D84" s="2">
        <f>IFERROR(__xludf.DUMMYFUNCTION("""COMPUTED_VALUE"""),303.91)</f>
        <v>303.91</v>
      </c>
      <c r="E84" s="2">
        <f>IFERROR(__xludf.DUMMYFUNCTION("""COMPUTED_VALUE"""),305.41)</f>
        <v>305.41</v>
      </c>
      <c r="F84" s="2">
        <f>IFERROR(__xludf.DUMMYFUNCTION("""COMPUTED_VALUE"""),2.6404431E7)</f>
        <v>26404431</v>
      </c>
    </row>
    <row r="85">
      <c r="A85" s="3">
        <f>IFERROR(__xludf.DUMMYFUNCTION("""COMPUTED_VALUE"""),45049.66666666667)</f>
        <v>45049.66667</v>
      </c>
      <c r="B85" s="2">
        <f>IFERROR(__xludf.DUMMYFUNCTION("""COMPUTED_VALUE"""),306.62)</f>
        <v>306.62</v>
      </c>
      <c r="C85" s="2">
        <f>IFERROR(__xludf.DUMMYFUNCTION("""COMPUTED_VALUE"""),308.61)</f>
        <v>308.61</v>
      </c>
      <c r="D85" s="2">
        <f>IFERROR(__xludf.DUMMYFUNCTION("""COMPUTED_VALUE"""),304.09)</f>
        <v>304.09</v>
      </c>
      <c r="E85" s="2">
        <f>IFERROR(__xludf.DUMMYFUNCTION("""COMPUTED_VALUE"""),304.4)</f>
        <v>304.4</v>
      </c>
      <c r="F85" s="2">
        <f>IFERROR(__xludf.DUMMYFUNCTION("""COMPUTED_VALUE"""),2.2360754E7)</f>
        <v>22360754</v>
      </c>
    </row>
    <row r="86">
      <c r="A86" s="3">
        <f>IFERROR(__xludf.DUMMYFUNCTION("""COMPUTED_VALUE"""),45050.66666666667)</f>
        <v>45050.66667</v>
      </c>
      <c r="B86" s="2">
        <f>IFERROR(__xludf.DUMMYFUNCTION("""COMPUTED_VALUE"""),306.24)</f>
        <v>306.24</v>
      </c>
      <c r="C86" s="2">
        <f>IFERROR(__xludf.DUMMYFUNCTION("""COMPUTED_VALUE"""),307.76)</f>
        <v>307.76</v>
      </c>
      <c r="D86" s="2">
        <f>IFERROR(__xludf.DUMMYFUNCTION("""COMPUTED_VALUE"""),303.4)</f>
        <v>303.4</v>
      </c>
      <c r="E86" s="2">
        <f>IFERROR(__xludf.DUMMYFUNCTION("""COMPUTED_VALUE"""),305.41)</f>
        <v>305.41</v>
      </c>
      <c r="F86" s="2">
        <f>IFERROR(__xludf.DUMMYFUNCTION("""COMPUTED_VALUE"""),2.2519907E7)</f>
        <v>22519907</v>
      </c>
    </row>
    <row r="87">
      <c r="A87" s="3">
        <f>IFERROR(__xludf.DUMMYFUNCTION("""COMPUTED_VALUE"""),45051.66666666667)</f>
        <v>45051.66667</v>
      </c>
      <c r="B87" s="2">
        <f>IFERROR(__xludf.DUMMYFUNCTION("""COMPUTED_VALUE"""),305.72)</f>
        <v>305.72</v>
      </c>
      <c r="C87" s="2">
        <f>IFERROR(__xludf.DUMMYFUNCTION("""COMPUTED_VALUE"""),311.97)</f>
        <v>311.97</v>
      </c>
      <c r="D87" s="2">
        <f>IFERROR(__xludf.DUMMYFUNCTION("""COMPUTED_VALUE"""),304.27)</f>
        <v>304.27</v>
      </c>
      <c r="E87" s="2">
        <f>IFERROR(__xludf.DUMMYFUNCTION("""COMPUTED_VALUE"""),310.65)</f>
        <v>310.65</v>
      </c>
      <c r="F87" s="2">
        <f>IFERROR(__xludf.DUMMYFUNCTION("""COMPUTED_VALUE"""),2.8197052E7)</f>
        <v>28197052</v>
      </c>
    </row>
    <row r="88">
      <c r="A88" s="3">
        <f>IFERROR(__xludf.DUMMYFUNCTION("""COMPUTED_VALUE"""),45054.66666666667)</f>
        <v>45054.66667</v>
      </c>
      <c r="B88" s="2">
        <f>IFERROR(__xludf.DUMMYFUNCTION("""COMPUTED_VALUE"""),310.13)</f>
        <v>310.13</v>
      </c>
      <c r="C88" s="2">
        <f>IFERROR(__xludf.DUMMYFUNCTION("""COMPUTED_VALUE"""),310.2)</f>
        <v>310.2</v>
      </c>
      <c r="D88" s="2">
        <f>IFERROR(__xludf.DUMMYFUNCTION("""COMPUTED_VALUE"""),306.09)</f>
        <v>306.09</v>
      </c>
      <c r="E88" s="2">
        <f>IFERROR(__xludf.DUMMYFUNCTION("""COMPUTED_VALUE"""),308.65)</f>
        <v>308.65</v>
      </c>
      <c r="F88" s="2">
        <f>IFERROR(__xludf.DUMMYFUNCTION("""COMPUTED_VALUE"""),2.1318613E7)</f>
        <v>21318613</v>
      </c>
    </row>
    <row r="89">
      <c r="A89" s="3">
        <f>IFERROR(__xludf.DUMMYFUNCTION("""COMPUTED_VALUE"""),45055.66666666667)</f>
        <v>45055.66667</v>
      </c>
      <c r="B89" s="2">
        <f>IFERROR(__xludf.DUMMYFUNCTION("""COMPUTED_VALUE"""),308.0)</f>
        <v>308</v>
      </c>
      <c r="C89" s="2">
        <f>IFERROR(__xludf.DUMMYFUNCTION("""COMPUTED_VALUE"""),310.04)</f>
        <v>310.04</v>
      </c>
      <c r="D89" s="2">
        <f>IFERROR(__xludf.DUMMYFUNCTION("""COMPUTED_VALUE"""),306.31)</f>
        <v>306.31</v>
      </c>
      <c r="E89" s="2">
        <f>IFERROR(__xludf.DUMMYFUNCTION("""COMPUTED_VALUE"""),307.0)</f>
        <v>307</v>
      </c>
      <c r="F89" s="2">
        <f>IFERROR(__xludf.DUMMYFUNCTION("""COMPUTED_VALUE"""),2.1340829E7)</f>
        <v>21340829</v>
      </c>
    </row>
    <row r="90">
      <c r="A90" s="3">
        <f>IFERROR(__xludf.DUMMYFUNCTION("""COMPUTED_VALUE"""),45056.66666666667)</f>
        <v>45056.66667</v>
      </c>
      <c r="B90" s="2">
        <f>IFERROR(__xludf.DUMMYFUNCTION("""COMPUTED_VALUE"""),308.62)</f>
        <v>308.62</v>
      </c>
      <c r="C90" s="2">
        <f>IFERROR(__xludf.DUMMYFUNCTION("""COMPUTED_VALUE"""),313.0)</f>
        <v>313</v>
      </c>
      <c r="D90" s="2">
        <f>IFERROR(__xludf.DUMMYFUNCTION("""COMPUTED_VALUE"""),307.67)</f>
        <v>307.67</v>
      </c>
      <c r="E90" s="2">
        <f>IFERROR(__xludf.DUMMYFUNCTION("""COMPUTED_VALUE"""),312.31)</f>
        <v>312.31</v>
      </c>
      <c r="F90" s="2">
        <f>IFERROR(__xludf.DUMMYFUNCTION("""COMPUTED_VALUE"""),3.0078044E7)</f>
        <v>30078044</v>
      </c>
    </row>
    <row r="91">
      <c r="A91" s="3">
        <f>IFERROR(__xludf.DUMMYFUNCTION("""COMPUTED_VALUE"""),45057.66666666667)</f>
        <v>45057.66667</v>
      </c>
      <c r="B91" s="2">
        <f>IFERROR(__xludf.DUMMYFUNCTION("""COMPUTED_VALUE"""),310.1)</f>
        <v>310.1</v>
      </c>
      <c r="C91" s="2">
        <f>IFERROR(__xludf.DUMMYFUNCTION("""COMPUTED_VALUE"""),311.12)</f>
        <v>311.12</v>
      </c>
      <c r="D91" s="2">
        <f>IFERROR(__xludf.DUMMYFUNCTION("""COMPUTED_VALUE"""),306.26)</f>
        <v>306.26</v>
      </c>
      <c r="E91" s="2">
        <f>IFERROR(__xludf.DUMMYFUNCTION("""COMPUTED_VALUE"""),310.11)</f>
        <v>310.11</v>
      </c>
      <c r="F91" s="2">
        <f>IFERROR(__xludf.DUMMYFUNCTION("""COMPUTED_VALUE"""),3.1680179E7)</f>
        <v>31680179</v>
      </c>
    </row>
    <row r="92">
      <c r="A92" s="3">
        <f>IFERROR(__xludf.DUMMYFUNCTION("""COMPUTED_VALUE"""),45058.66666666667)</f>
        <v>45058.66667</v>
      </c>
      <c r="B92" s="2">
        <f>IFERROR(__xludf.DUMMYFUNCTION("""COMPUTED_VALUE"""),310.55)</f>
        <v>310.55</v>
      </c>
      <c r="C92" s="2">
        <f>IFERROR(__xludf.DUMMYFUNCTION("""COMPUTED_VALUE"""),310.65)</f>
        <v>310.65</v>
      </c>
      <c r="D92" s="2">
        <f>IFERROR(__xludf.DUMMYFUNCTION("""COMPUTED_VALUE"""),306.6)</f>
        <v>306.6</v>
      </c>
      <c r="E92" s="2">
        <f>IFERROR(__xludf.DUMMYFUNCTION("""COMPUTED_VALUE"""),308.97)</f>
        <v>308.97</v>
      </c>
      <c r="F92" s="2">
        <f>IFERROR(__xludf.DUMMYFUNCTION("""COMPUTED_VALUE"""),1.9774696E7)</f>
        <v>19774696</v>
      </c>
    </row>
    <row r="93">
      <c r="A93" s="3">
        <f>IFERROR(__xludf.DUMMYFUNCTION("""COMPUTED_VALUE"""),45061.66666666667)</f>
        <v>45061.66667</v>
      </c>
      <c r="B93" s="2">
        <f>IFERROR(__xludf.DUMMYFUNCTION("""COMPUTED_VALUE"""),309.1)</f>
        <v>309.1</v>
      </c>
      <c r="C93" s="2">
        <f>IFERROR(__xludf.DUMMYFUNCTION("""COMPUTED_VALUE"""),309.9)</f>
        <v>309.9</v>
      </c>
      <c r="D93" s="2">
        <f>IFERROR(__xludf.DUMMYFUNCTION("""COMPUTED_VALUE"""),307.59)</f>
        <v>307.59</v>
      </c>
      <c r="E93" s="2">
        <f>IFERROR(__xludf.DUMMYFUNCTION("""COMPUTED_VALUE"""),309.46)</f>
        <v>309.46</v>
      </c>
      <c r="F93" s="2">
        <f>IFERROR(__xludf.DUMMYFUNCTION("""COMPUTED_VALUE"""),1.6336547E7)</f>
        <v>16336547</v>
      </c>
    </row>
    <row r="94">
      <c r="A94" s="3">
        <f>IFERROR(__xludf.DUMMYFUNCTION("""COMPUTED_VALUE"""),45062.66666666667)</f>
        <v>45062.66667</v>
      </c>
      <c r="B94" s="2">
        <f>IFERROR(__xludf.DUMMYFUNCTION("""COMPUTED_VALUE"""),309.83)</f>
        <v>309.83</v>
      </c>
      <c r="C94" s="2">
        <f>IFERROR(__xludf.DUMMYFUNCTION("""COMPUTED_VALUE"""),313.71)</f>
        <v>313.71</v>
      </c>
      <c r="D94" s="2">
        <f>IFERROR(__xludf.DUMMYFUNCTION("""COMPUTED_VALUE"""),309.83)</f>
        <v>309.83</v>
      </c>
      <c r="E94" s="2">
        <f>IFERROR(__xludf.DUMMYFUNCTION("""COMPUTED_VALUE"""),311.74)</f>
        <v>311.74</v>
      </c>
      <c r="F94" s="2">
        <f>IFERROR(__xludf.DUMMYFUNCTION("""COMPUTED_VALUE"""),2.6730347E7)</f>
        <v>26730347</v>
      </c>
    </row>
    <row r="95">
      <c r="A95" s="3">
        <f>IFERROR(__xludf.DUMMYFUNCTION("""COMPUTED_VALUE"""),45063.66666666667)</f>
        <v>45063.66667</v>
      </c>
      <c r="B95" s="2">
        <f>IFERROR(__xludf.DUMMYFUNCTION("""COMPUTED_VALUE"""),312.29)</f>
        <v>312.29</v>
      </c>
      <c r="C95" s="2">
        <f>IFERROR(__xludf.DUMMYFUNCTION("""COMPUTED_VALUE"""),314.43)</f>
        <v>314.43</v>
      </c>
      <c r="D95" s="2">
        <f>IFERROR(__xludf.DUMMYFUNCTION("""COMPUTED_VALUE"""),310.74)</f>
        <v>310.74</v>
      </c>
      <c r="E95" s="2">
        <f>IFERROR(__xludf.DUMMYFUNCTION("""COMPUTED_VALUE"""),314.0)</f>
        <v>314</v>
      </c>
      <c r="F95" s="2">
        <f>IFERROR(__xludf.DUMMYFUNCTION("""COMPUTED_VALUE"""),2.4315012E7)</f>
        <v>24315012</v>
      </c>
    </row>
    <row r="96">
      <c r="A96" s="3">
        <f>IFERROR(__xludf.DUMMYFUNCTION("""COMPUTED_VALUE"""),45064.66666666667)</f>
        <v>45064.66667</v>
      </c>
      <c r="B96" s="2">
        <f>IFERROR(__xludf.DUMMYFUNCTION("""COMPUTED_VALUE"""),314.53)</f>
        <v>314.53</v>
      </c>
      <c r="C96" s="2">
        <f>IFERROR(__xludf.DUMMYFUNCTION("""COMPUTED_VALUE"""),319.04)</f>
        <v>319.04</v>
      </c>
      <c r="D96" s="2">
        <f>IFERROR(__xludf.DUMMYFUNCTION("""COMPUTED_VALUE"""),313.72)</f>
        <v>313.72</v>
      </c>
      <c r="E96" s="2">
        <f>IFERROR(__xludf.DUMMYFUNCTION("""COMPUTED_VALUE"""),318.52)</f>
        <v>318.52</v>
      </c>
      <c r="F96" s="2">
        <f>IFERROR(__xludf.DUMMYFUNCTION("""COMPUTED_VALUE"""),2.7275991E7)</f>
        <v>27275991</v>
      </c>
    </row>
    <row r="97">
      <c r="A97" s="3">
        <f>IFERROR(__xludf.DUMMYFUNCTION("""COMPUTED_VALUE"""),45065.66666666667)</f>
        <v>45065.66667</v>
      </c>
      <c r="B97" s="2">
        <f>IFERROR(__xludf.DUMMYFUNCTION("""COMPUTED_VALUE"""),316.74)</f>
        <v>316.74</v>
      </c>
      <c r="C97" s="2">
        <f>IFERROR(__xludf.DUMMYFUNCTION("""COMPUTED_VALUE"""),318.75)</f>
        <v>318.75</v>
      </c>
      <c r="D97" s="2">
        <f>IFERROR(__xludf.DUMMYFUNCTION("""COMPUTED_VALUE"""),316.37)</f>
        <v>316.37</v>
      </c>
      <c r="E97" s="2">
        <f>IFERROR(__xludf.DUMMYFUNCTION("""COMPUTED_VALUE"""),318.34)</f>
        <v>318.34</v>
      </c>
      <c r="F97" s="2">
        <f>IFERROR(__xludf.DUMMYFUNCTION("""COMPUTED_VALUE"""),2.7546701E7)</f>
        <v>27546701</v>
      </c>
    </row>
    <row r="98">
      <c r="A98" s="3">
        <f>IFERROR(__xludf.DUMMYFUNCTION("""COMPUTED_VALUE"""),45068.66666666667)</f>
        <v>45068.66667</v>
      </c>
      <c r="B98" s="2">
        <f>IFERROR(__xludf.DUMMYFUNCTION("""COMPUTED_VALUE"""),318.6)</f>
        <v>318.6</v>
      </c>
      <c r="C98" s="2">
        <f>IFERROR(__xludf.DUMMYFUNCTION("""COMPUTED_VALUE"""),322.59)</f>
        <v>322.59</v>
      </c>
      <c r="D98" s="2">
        <f>IFERROR(__xludf.DUMMYFUNCTION("""COMPUTED_VALUE"""),318.01)</f>
        <v>318.01</v>
      </c>
      <c r="E98" s="2">
        <f>IFERROR(__xludf.DUMMYFUNCTION("""COMPUTED_VALUE"""),321.18)</f>
        <v>321.18</v>
      </c>
      <c r="F98" s="2">
        <f>IFERROR(__xludf.DUMMYFUNCTION("""COMPUTED_VALUE"""),2.4115664E7)</f>
        <v>24115664</v>
      </c>
    </row>
    <row r="99">
      <c r="A99" s="3">
        <f>IFERROR(__xludf.DUMMYFUNCTION("""COMPUTED_VALUE"""),45069.66666666667)</f>
        <v>45069.66667</v>
      </c>
      <c r="B99" s="2">
        <f>IFERROR(__xludf.DUMMYFUNCTION("""COMPUTED_VALUE"""),320.03)</f>
        <v>320.03</v>
      </c>
      <c r="C99" s="2">
        <f>IFERROR(__xludf.DUMMYFUNCTION("""COMPUTED_VALUE"""),322.72)</f>
        <v>322.72</v>
      </c>
      <c r="D99" s="2">
        <f>IFERROR(__xludf.DUMMYFUNCTION("""COMPUTED_VALUE"""),315.25)</f>
        <v>315.25</v>
      </c>
      <c r="E99" s="2">
        <f>IFERROR(__xludf.DUMMYFUNCTION("""COMPUTED_VALUE"""),315.26)</f>
        <v>315.26</v>
      </c>
      <c r="F99" s="2">
        <f>IFERROR(__xludf.DUMMYFUNCTION("""COMPUTED_VALUE"""),3.0797173E7)</f>
        <v>30797173</v>
      </c>
    </row>
    <row r="100">
      <c r="A100" s="3">
        <f>IFERROR(__xludf.DUMMYFUNCTION("""COMPUTED_VALUE"""),45070.66666666667)</f>
        <v>45070.66667</v>
      </c>
      <c r="B100" s="2">
        <f>IFERROR(__xludf.DUMMYFUNCTION("""COMPUTED_VALUE"""),314.73)</f>
        <v>314.73</v>
      </c>
      <c r="C100" s="2">
        <f>IFERROR(__xludf.DUMMYFUNCTION("""COMPUTED_VALUE"""),316.5)</f>
        <v>316.5</v>
      </c>
      <c r="D100" s="2">
        <f>IFERROR(__xludf.DUMMYFUNCTION("""COMPUTED_VALUE"""),312.61)</f>
        <v>312.61</v>
      </c>
      <c r="E100" s="2">
        <f>IFERROR(__xludf.DUMMYFUNCTION("""COMPUTED_VALUE"""),313.85)</f>
        <v>313.85</v>
      </c>
      <c r="F100" s="2">
        <f>IFERROR(__xludf.DUMMYFUNCTION("""COMPUTED_VALUE"""),2.3384887E7)</f>
        <v>23384887</v>
      </c>
    </row>
    <row r="101">
      <c r="A101" s="3">
        <f>IFERROR(__xludf.DUMMYFUNCTION("""COMPUTED_VALUE"""),45071.66666666667)</f>
        <v>45071.66667</v>
      </c>
      <c r="B101" s="2">
        <f>IFERROR(__xludf.DUMMYFUNCTION("""COMPUTED_VALUE"""),323.24)</f>
        <v>323.24</v>
      </c>
      <c r="C101" s="2">
        <f>IFERROR(__xludf.DUMMYFUNCTION("""COMPUTED_VALUE"""),326.9)</f>
        <v>326.9</v>
      </c>
      <c r="D101" s="2">
        <f>IFERROR(__xludf.DUMMYFUNCTION("""COMPUTED_VALUE"""),320.0)</f>
        <v>320</v>
      </c>
      <c r="E101" s="2">
        <f>IFERROR(__xludf.DUMMYFUNCTION("""COMPUTED_VALUE"""),325.92)</f>
        <v>325.92</v>
      </c>
      <c r="F101" s="2">
        <f>IFERROR(__xludf.DUMMYFUNCTION("""COMPUTED_VALUE"""),4.3301743E7)</f>
        <v>43301743</v>
      </c>
    </row>
    <row r="102">
      <c r="A102" s="3">
        <f>IFERROR(__xludf.DUMMYFUNCTION("""COMPUTED_VALUE"""),45072.66666666667)</f>
        <v>45072.66667</v>
      </c>
      <c r="B102" s="2">
        <f>IFERROR(__xludf.DUMMYFUNCTION("""COMPUTED_VALUE"""),324.02)</f>
        <v>324.02</v>
      </c>
      <c r="C102" s="2">
        <f>IFERROR(__xludf.DUMMYFUNCTION("""COMPUTED_VALUE"""),333.4)</f>
        <v>333.4</v>
      </c>
      <c r="D102" s="2">
        <f>IFERROR(__xludf.DUMMYFUNCTION("""COMPUTED_VALUE"""),323.88)</f>
        <v>323.88</v>
      </c>
      <c r="E102" s="2">
        <f>IFERROR(__xludf.DUMMYFUNCTION("""COMPUTED_VALUE"""),332.89)</f>
        <v>332.89</v>
      </c>
      <c r="F102" s="2">
        <f>IFERROR(__xludf.DUMMYFUNCTION("""COMPUTED_VALUE"""),3.6630633E7)</f>
        <v>36630633</v>
      </c>
    </row>
    <row r="103">
      <c r="A103" s="3">
        <f>IFERROR(__xludf.DUMMYFUNCTION("""COMPUTED_VALUE"""),45076.66666666667)</f>
        <v>45076.66667</v>
      </c>
      <c r="B103" s="2">
        <f>IFERROR(__xludf.DUMMYFUNCTION("""COMPUTED_VALUE"""),335.23)</f>
        <v>335.23</v>
      </c>
      <c r="C103" s="2">
        <f>IFERROR(__xludf.DUMMYFUNCTION("""COMPUTED_VALUE"""),335.74)</f>
        <v>335.74</v>
      </c>
      <c r="D103" s="2">
        <f>IFERROR(__xludf.DUMMYFUNCTION("""COMPUTED_VALUE"""),330.52)</f>
        <v>330.52</v>
      </c>
      <c r="E103" s="2">
        <f>IFERROR(__xludf.DUMMYFUNCTION("""COMPUTED_VALUE"""),331.21)</f>
        <v>331.21</v>
      </c>
      <c r="F103" s="2">
        <f>IFERROR(__xludf.DUMMYFUNCTION("""COMPUTED_VALUE"""),2.950307E7)</f>
        <v>29503070</v>
      </c>
    </row>
    <row r="104">
      <c r="A104" s="3">
        <f>IFERROR(__xludf.DUMMYFUNCTION("""COMPUTED_VALUE"""),45077.66666666667)</f>
        <v>45077.66667</v>
      </c>
      <c r="B104" s="2">
        <f>IFERROR(__xludf.DUMMYFUNCTION("""COMPUTED_VALUE"""),332.29)</f>
        <v>332.29</v>
      </c>
      <c r="C104" s="2">
        <f>IFERROR(__xludf.DUMMYFUNCTION("""COMPUTED_VALUE"""),335.94)</f>
        <v>335.94</v>
      </c>
      <c r="D104" s="2">
        <f>IFERROR(__xludf.DUMMYFUNCTION("""COMPUTED_VALUE"""),327.33)</f>
        <v>327.33</v>
      </c>
      <c r="E104" s="2">
        <f>IFERROR(__xludf.DUMMYFUNCTION("""COMPUTED_VALUE"""),328.39)</f>
        <v>328.39</v>
      </c>
      <c r="F104" s="2">
        <f>IFERROR(__xludf.DUMMYFUNCTION("""COMPUTED_VALUE"""),4.5950553E7)</f>
        <v>45950553</v>
      </c>
    </row>
    <row r="105">
      <c r="A105" s="3">
        <f>IFERROR(__xludf.DUMMYFUNCTION("""COMPUTED_VALUE"""),45078.66666666667)</f>
        <v>45078.66667</v>
      </c>
      <c r="B105" s="2">
        <f>IFERROR(__xludf.DUMMYFUNCTION("""COMPUTED_VALUE"""),325.93)</f>
        <v>325.93</v>
      </c>
      <c r="C105" s="2">
        <f>IFERROR(__xludf.DUMMYFUNCTION("""COMPUTED_VALUE"""),333.53)</f>
        <v>333.53</v>
      </c>
      <c r="D105" s="2">
        <f>IFERROR(__xludf.DUMMYFUNCTION("""COMPUTED_VALUE"""),324.72)</f>
        <v>324.72</v>
      </c>
      <c r="E105" s="2">
        <f>IFERROR(__xludf.DUMMYFUNCTION("""COMPUTED_VALUE"""),332.58)</f>
        <v>332.58</v>
      </c>
      <c r="F105" s="2">
        <f>IFERROR(__xludf.DUMMYFUNCTION("""COMPUTED_VALUE"""),2.6773851E7)</f>
        <v>26773851</v>
      </c>
    </row>
    <row r="106">
      <c r="A106" s="3">
        <f>IFERROR(__xludf.DUMMYFUNCTION("""COMPUTED_VALUE"""),45079.66666666667)</f>
        <v>45079.66667</v>
      </c>
      <c r="B106" s="2">
        <f>IFERROR(__xludf.DUMMYFUNCTION("""COMPUTED_VALUE"""),334.25)</f>
        <v>334.25</v>
      </c>
      <c r="C106" s="2">
        <f>IFERROR(__xludf.DUMMYFUNCTION("""COMPUTED_VALUE"""),337.5)</f>
        <v>337.5</v>
      </c>
      <c r="D106" s="2">
        <f>IFERROR(__xludf.DUMMYFUNCTION("""COMPUTED_VALUE"""),332.55)</f>
        <v>332.55</v>
      </c>
      <c r="E106" s="2">
        <f>IFERROR(__xludf.DUMMYFUNCTION("""COMPUTED_VALUE"""),335.4)</f>
        <v>335.4</v>
      </c>
      <c r="F106" s="2">
        <f>IFERROR(__xludf.DUMMYFUNCTION("""COMPUTED_VALUE"""),2.5873769E7)</f>
        <v>25873769</v>
      </c>
    </row>
    <row r="107">
      <c r="A107" s="3">
        <f>IFERROR(__xludf.DUMMYFUNCTION("""COMPUTED_VALUE"""),45082.66666666667)</f>
        <v>45082.66667</v>
      </c>
      <c r="B107" s="2">
        <f>IFERROR(__xludf.DUMMYFUNCTION("""COMPUTED_VALUE"""),335.22)</f>
        <v>335.22</v>
      </c>
      <c r="C107" s="2">
        <f>IFERROR(__xludf.DUMMYFUNCTION("""COMPUTED_VALUE"""),338.56)</f>
        <v>338.56</v>
      </c>
      <c r="D107" s="2">
        <f>IFERROR(__xludf.DUMMYFUNCTION("""COMPUTED_VALUE"""),334.66)</f>
        <v>334.66</v>
      </c>
      <c r="E107" s="2">
        <f>IFERROR(__xludf.DUMMYFUNCTION("""COMPUTED_VALUE"""),335.94)</f>
        <v>335.94</v>
      </c>
      <c r="F107" s="2">
        <f>IFERROR(__xludf.DUMMYFUNCTION("""COMPUTED_VALUE"""),2.1307053E7)</f>
        <v>21307053</v>
      </c>
    </row>
    <row r="108">
      <c r="A108" s="3">
        <f>IFERROR(__xludf.DUMMYFUNCTION("""COMPUTED_VALUE"""),45083.66666666667)</f>
        <v>45083.66667</v>
      </c>
      <c r="B108" s="2">
        <f>IFERROR(__xludf.DUMMYFUNCTION("""COMPUTED_VALUE"""),335.33)</f>
        <v>335.33</v>
      </c>
      <c r="C108" s="2">
        <f>IFERROR(__xludf.DUMMYFUNCTION("""COMPUTED_VALUE"""),335.37)</f>
        <v>335.37</v>
      </c>
      <c r="D108" s="2">
        <f>IFERROR(__xludf.DUMMYFUNCTION("""COMPUTED_VALUE"""),332.17)</f>
        <v>332.17</v>
      </c>
      <c r="E108" s="2">
        <f>IFERROR(__xludf.DUMMYFUNCTION("""COMPUTED_VALUE"""),333.68)</f>
        <v>333.68</v>
      </c>
      <c r="F108" s="2">
        <f>IFERROR(__xludf.DUMMYFUNCTION("""COMPUTED_VALUE"""),2.0396223E7)</f>
        <v>20396223</v>
      </c>
    </row>
    <row r="109">
      <c r="A109" s="3">
        <f>IFERROR(__xludf.DUMMYFUNCTION("""COMPUTED_VALUE"""),45084.66666666667)</f>
        <v>45084.66667</v>
      </c>
      <c r="B109" s="2">
        <f>IFERROR(__xludf.DUMMYFUNCTION("""COMPUTED_VALUE"""),331.65)</f>
        <v>331.65</v>
      </c>
      <c r="C109" s="2">
        <f>IFERROR(__xludf.DUMMYFUNCTION("""COMPUTED_VALUE"""),334.49)</f>
        <v>334.49</v>
      </c>
      <c r="D109" s="2">
        <f>IFERROR(__xludf.DUMMYFUNCTION("""COMPUTED_VALUE"""),322.5)</f>
        <v>322.5</v>
      </c>
      <c r="E109" s="2">
        <f>IFERROR(__xludf.DUMMYFUNCTION("""COMPUTED_VALUE"""),323.38)</f>
        <v>323.38</v>
      </c>
      <c r="F109" s="2">
        <f>IFERROR(__xludf.DUMMYFUNCTION("""COMPUTED_VALUE"""),4.0717129E7)</f>
        <v>40717129</v>
      </c>
    </row>
    <row r="110">
      <c r="A110" s="3">
        <f>IFERROR(__xludf.DUMMYFUNCTION("""COMPUTED_VALUE"""),45085.66666666667)</f>
        <v>45085.66667</v>
      </c>
      <c r="B110" s="2">
        <f>IFERROR(__xludf.DUMMYFUNCTION("""COMPUTED_VALUE"""),323.94)</f>
        <v>323.94</v>
      </c>
      <c r="C110" s="2">
        <f>IFERROR(__xludf.DUMMYFUNCTION("""COMPUTED_VALUE"""),326.64)</f>
        <v>326.64</v>
      </c>
      <c r="D110" s="2">
        <f>IFERROR(__xludf.DUMMYFUNCTION("""COMPUTED_VALUE"""),323.35)</f>
        <v>323.35</v>
      </c>
      <c r="E110" s="2">
        <f>IFERROR(__xludf.DUMMYFUNCTION("""COMPUTED_VALUE"""),325.26)</f>
        <v>325.26</v>
      </c>
      <c r="F110" s="2">
        <f>IFERROR(__xludf.DUMMYFUNCTION("""COMPUTED_VALUE"""),2.3277708E7)</f>
        <v>23277708</v>
      </c>
    </row>
    <row r="111">
      <c r="A111" s="3">
        <f>IFERROR(__xludf.DUMMYFUNCTION("""COMPUTED_VALUE"""),45086.66666666667)</f>
        <v>45086.66667</v>
      </c>
      <c r="B111" s="2">
        <f>IFERROR(__xludf.DUMMYFUNCTION("""COMPUTED_VALUE"""),324.99)</f>
        <v>324.99</v>
      </c>
      <c r="C111" s="2">
        <f>IFERROR(__xludf.DUMMYFUNCTION("""COMPUTED_VALUE"""),329.99)</f>
        <v>329.99</v>
      </c>
      <c r="D111" s="2">
        <f>IFERROR(__xludf.DUMMYFUNCTION("""COMPUTED_VALUE"""),324.41)</f>
        <v>324.41</v>
      </c>
      <c r="E111" s="2">
        <f>IFERROR(__xludf.DUMMYFUNCTION("""COMPUTED_VALUE"""),326.79)</f>
        <v>326.79</v>
      </c>
      <c r="F111" s="2">
        <f>IFERROR(__xludf.DUMMYFUNCTION("""COMPUTED_VALUE"""),2.252895E7)</f>
        <v>22528950</v>
      </c>
    </row>
    <row r="112">
      <c r="A112" s="3">
        <f>IFERROR(__xludf.DUMMYFUNCTION("""COMPUTED_VALUE"""),45089.66666666667)</f>
        <v>45089.66667</v>
      </c>
      <c r="B112" s="2">
        <f>IFERROR(__xludf.DUMMYFUNCTION("""COMPUTED_VALUE"""),328.58)</f>
        <v>328.58</v>
      </c>
      <c r="C112" s="2">
        <f>IFERROR(__xludf.DUMMYFUNCTION("""COMPUTED_VALUE"""),332.1)</f>
        <v>332.1</v>
      </c>
      <c r="D112" s="2">
        <f>IFERROR(__xludf.DUMMYFUNCTION("""COMPUTED_VALUE"""),325.16)</f>
        <v>325.16</v>
      </c>
      <c r="E112" s="2">
        <f>IFERROR(__xludf.DUMMYFUNCTION("""COMPUTED_VALUE"""),331.85)</f>
        <v>331.85</v>
      </c>
      <c r="F112" s="2">
        <f>IFERROR(__xludf.DUMMYFUNCTION("""COMPUTED_VALUE"""),2.4306753E7)</f>
        <v>24306753</v>
      </c>
    </row>
    <row r="113">
      <c r="A113" s="3">
        <f>IFERROR(__xludf.DUMMYFUNCTION("""COMPUTED_VALUE"""),45090.66666666667)</f>
        <v>45090.66667</v>
      </c>
      <c r="B113" s="2">
        <f>IFERROR(__xludf.DUMMYFUNCTION("""COMPUTED_VALUE"""),334.47)</f>
        <v>334.47</v>
      </c>
      <c r="C113" s="2">
        <f>IFERROR(__xludf.DUMMYFUNCTION("""COMPUTED_VALUE"""),336.98)</f>
        <v>336.98</v>
      </c>
      <c r="D113" s="2">
        <f>IFERROR(__xludf.DUMMYFUNCTION("""COMPUTED_VALUE"""),330.39)</f>
        <v>330.39</v>
      </c>
      <c r="E113" s="2">
        <f>IFERROR(__xludf.DUMMYFUNCTION("""COMPUTED_VALUE"""),334.29)</f>
        <v>334.29</v>
      </c>
      <c r="F113" s="2">
        <f>IFERROR(__xludf.DUMMYFUNCTION("""COMPUTED_VALUE"""),2.2951279E7)</f>
        <v>22951279</v>
      </c>
    </row>
    <row r="114">
      <c r="A114" s="3">
        <f>IFERROR(__xludf.DUMMYFUNCTION("""COMPUTED_VALUE"""),45091.66666666667)</f>
        <v>45091.66667</v>
      </c>
      <c r="B114" s="2">
        <f>IFERROR(__xludf.DUMMYFUNCTION("""COMPUTED_VALUE"""),334.34)</f>
        <v>334.34</v>
      </c>
      <c r="C114" s="2">
        <f>IFERROR(__xludf.DUMMYFUNCTION("""COMPUTED_VALUE"""),339.04)</f>
        <v>339.04</v>
      </c>
      <c r="D114" s="2">
        <f>IFERROR(__xludf.DUMMYFUNCTION("""COMPUTED_VALUE"""),332.81)</f>
        <v>332.81</v>
      </c>
      <c r="E114" s="2">
        <f>IFERROR(__xludf.DUMMYFUNCTION("""COMPUTED_VALUE"""),337.34)</f>
        <v>337.34</v>
      </c>
      <c r="F114" s="2">
        <f>IFERROR(__xludf.DUMMYFUNCTION("""COMPUTED_VALUE"""),2.6003791E7)</f>
        <v>26003791</v>
      </c>
    </row>
    <row r="115">
      <c r="A115" s="3">
        <f>IFERROR(__xludf.DUMMYFUNCTION("""COMPUTED_VALUE"""),45092.66666666667)</f>
        <v>45092.66667</v>
      </c>
      <c r="B115" s="2">
        <f>IFERROR(__xludf.DUMMYFUNCTION("""COMPUTED_VALUE"""),337.48)</f>
        <v>337.48</v>
      </c>
      <c r="C115" s="2">
        <f>IFERROR(__xludf.DUMMYFUNCTION("""COMPUTED_VALUE"""),349.84)</f>
        <v>349.84</v>
      </c>
      <c r="D115" s="2">
        <f>IFERROR(__xludf.DUMMYFUNCTION("""COMPUTED_VALUE"""),337.2)</f>
        <v>337.2</v>
      </c>
      <c r="E115" s="2">
        <f>IFERROR(__xludf.DUMMYFUNCTION("""COMPUTED_VALUE"""),348.1)</f>
        <v>348.1</v>
      </c>
      <c r="F115" s="2">
        <f>IFERROR(__xludf.DUMMYFUNCTION("""COMPUTED_VALUE"""),3.8899075E7)</f>
        <v>38899075</v>
      </c>
    </row>
    <row r="116">
      <c r="A116" s="3">
        <f>IFERROR(__xludf.DUMMYFUNCTION("""COMPUTED_VALUE"""),45093.66666666667)</f>
        <v>45093.66667</v>
      </c>
      <c r="B116" s="2">
        <f>IFERROR(__xludf.DUMMYFUNCTION("""COMPUTED_VALUE"""),351.32)</f>
        <v>351.32</v>
      </c>
      <c r="C116" s="2">
        <f>IFERROR(__xludf.DUMMYFUNCTION("""COMPUTED_VALUE"""),351.47)</f>
        <v>351.47</v>
      </c>
      <c r="D116" s="2">
        <f>IFERROR(__xludf.DUMMYFUNCTION("""COMPUTED_VALUE"""),341.95)</f>
        <v>341.95</v>
      </c>
      <c r="E116" s="2">
        <f>IFERROR(__xludf.DUMMYFUNCTION("""COMPUTED_VALUE"""),342.33)</f>
        <v>342.33</v>
      </c>
      <c r="F116" s="2">
        <f>IFERROR(__xludf.DUMMYFUNCTION("""COMPUTED_VALUE"""),4.6551985E7)</f>
        <v>46551985</v>
      </c>
    </row>
    <row r="117">
      <c r="A117" s="3">
        <f>IFERROR(__xludf.DUMMYFUNCTION("""COMPUTED_VALUE"""),45097.66666666667)</f>
        <v>45097.66667</v>
      </c>
      <c r="B117" s="2">
        <f>IFERROR(__xludf.DUMMYFUNCTION("""COMPUTED_VALUE"""),339.31)</f>
        <v>339.31</v>
      </c>
      <c r="C117" s="2">
        <f>IFERROR(__xludf.DUMMYFUNCTION("""COMPUTED_VALUE"""),342.08)</f>
        <v>342.08</v>
      </c>
      <c r="D117" s="2">
        <f>IFERROR(__xludf.DUMMYFUNCTION("""COMPUTED_VALUE"""),335.86)</f>
        <v>335.86</v>
      </c>
      <c r="E117" s="2">
        <f>IFERROR(__xludf.DUMMYFUNCTION("""COMPUTED_VALUE"""),338.05)</f>
        <v>338.05</v>
      </c>
      <c r="F117" s="2">
        <f>IFERROR(__xludf.DUMMYFUNCTION("""COMPUTED_VALUE"""),2.6375407E7)</f>
        <v>26375407</v>
      </c>
    </row>
    <row r="118">
      <c r="A118" s="3">
        <f>IFERROR(__xludf.DUMMYFUNCTION("""COMPUTED_VALUE"""),45098.66666666667)</f>
        <v>45098.66667</v>
      </c>
      <c r="B118" s="2">
        <f>IFERROR(__xludf.DUMMYFUNCTION("""COMPUTED_VALUE"""),336.37)</f>
        <v>336.37</v>
      </c>
      <c r="C118" s="2">
        <f>IFERROR(__xludf.DUMMYFUNCTION("""COMPUTED_VALUE"""),337.73)</f>
        <v>337.73</v>
      </c>
      <c r="D118" s="2">
        <f>IFERROR(__xludf.DUMMYFUNCTION("""COMPUTED_VALUE"""),332.07)</f>
        <v>332.07</v>
      </c>
      <c r="E118" s="2">
        <f>IFERROR(__xludf.DUMMYFUNCTION("""COMPUTED_VALUE"""),333.56)</f>
        <v>333.56</v>
      </c>
      <c r="F118" s="2">
        <f>IFERROR(__xludf.DUMMYFUNCTION("""COMPUTED_VALUE"""),2.5117799E7)</f>
        <v>25117799</v>
      </c>
    </row>
    <row r="119">
      <c r="A119" s="3">
        <f>IFERROR(__xludf.DUMMYFUNCTION("""COMPUTED_VALUE"""),45099.66666666667)</f>
        <v>45099.66667</v>
      </c>
      <c r="B119" s="2">
        <f>IFERROR(__xludf.DUMMYFUNCTION("""COMPUTED_VALUE"""),334.12)</f>
        <v>334.12</v>
      </c>
      <c r="C119" s="2">
        <f>IFERROR(__xludf.DUMMYFUNCTION("""COMPUTED_VALUE"""),340.12)</f>
        <v>340.12</v>
      </c>
      <c r="D119" s="2">
        <f>IFERROR(__xludf.DUMMYFUNCTION("""COMPUTED_VALUE"""),333.34)</f>
        <v>333.34</v>
      </c>
      <c r="E119" s="2">
        <f>IFERROR(__xludf.DUMMYFUNCTION("""COMPUTED_VALUE"""),339.71)</f>
        <v>339.71</v>
      </c>
      <c r="F119" s="2">
        <f>IFERROR(__xludf.DUMMYFUNCTION("""COMPUTED_VALUE"""),2.3556764E7)</f>
        <v>23556764</v>
      </c>
    </row>
    <row r="120">
      <c r="A120" s="3">
        <f>IFERROR(__xludf.DUMMYFUNCTION("""COMPUTED_VALUE"""),45100.66666666667)</f>
        <v>45100.66667</v>
      </c>
      <c r="B120" s="2">
        <f>IFERROR(__xludf.DUMMYFUNCTION("""COMPUTED_VALUE"""),334.36)</f>
        <v>334.36</v>
      </c>
      <c r="C120" s="2">
        <f>IFERROR(__xludf.DUMMYFUNCTION("""COMPUTED_VALUE"""),337.96)</f>
        <v>337.96</v>
      </c>
      <c r="D120" s="2">
        <f>IFERROR(__xludf.DUMMYFUNCTION("""COMPUTED_VALUE"""),333.45)</f>
        <v>333.45</v>
      </c>
      <c r="E120" s="2">
        <f>IFERROR(__xludf.DUMMYFUNCTION("""COMPUTED_VALUE"""),335.02)</f>
        <v>335.02</v>
      </c>
      <c r="F120" s="2">
        <f>IFERROR(__xludf.DUMMYFUNCTION("""COMPUTED_VALUE"""),2.3146901E7)</f>
        <v>23146901</v>
      </c>
    </row>
    <row r="121">
      <c r="A121" s="3">
        <f>IFERROR(__xludf.DUMMYFUNCTION("""COMPUTED_VALUE"""),45103.66666666667)</f>
        <v>45103.66667</v>
      </c>
      <c r="B121" s="2">
        <f>IFERROR(__xludf.DUMMYFUNCTION("""COMPUTED_VALUE"""),333.72)</f>
        <v>333.72</v>
      </c>
      <c r="C121" s="2">
        <f>IFERROR(__xludf.DUMMYFUNCTION("""COMPUTED_VALUE"""),336.11)</f>
        <v>336.11</v>
      </c>
      <c r="D121" s="2">
        <f>IFERROR(__xludf.DUMMYFUNCTION("""COMPUTED_VALUE"""),328.49)</f>
        <v>328.49</v>
      </c>
      <c r="E121" s="2">
        <f>IFERROR(__xludf.DUMMYFUNCTION("""COMPUTED_VALUE"""),328.6)</f>
        <v>328.6</v>
      </c>
      <c r="F121" s="2">
        <f>IFERROR(__xludf.DUMMYFUNCTION("""COMPUTED_VALUE"""),2.1520582E7)</f>
        <v>21520582</v>
      </c>
    </row>
    <row r="122">
      <c r="A122" s="3">
        <f>IFERROR(__xludf.DUMMYFUNCTION("""COMPUTED_VALUE"""),45104.66666666667)</f>
        <v>45104.66667</v>
      </c>
      <c r="B122" s="2">
        <f>IFERROR(__xludf.DUMMYFUNCTION("""COMPUTED_VALUE"""),331.86)</f>
        <v>331.86</v>
      </c>
      <c r="C122" s="2">
        <f>IFERROR(__xludf.DUMMYFUNCTION("""COMPUTED_VALUE"""),336.15)</f>
        <v>336.15</v>
      </c>
      <c r="D122" s="2">
        <f>IFERROR(__xludf.DUMMYFUNCTION("""COMPUTED_VALUE"""),329.3)</f>
        <v>329.3</v>
      </c>
      <c r="E122" s="2">
        <f>IFERROR(__xludf.DUMMYFUNCTION("""COMPUTED_VALUE"""),334.57)</f>
        <v>334.57</v>
      </c>
      <c r="F122" s="2">
        <f>IFERROR(__xludf.DUMMYFUNCTION("""COMPUTED_VALUE"""),2.435411E7)</f>
        <v>24354110</v>
      </c>
    </row>
    <row r="123">
      <c r="A123" s="3">
        <f>IFERROR(__xludf.DUMMYFUNCTION("""COMPUTED_VALUE"""),45105.66666666667)</f>
        <v>45105.66667</v>
      </c>
      <c r="B123" s="2">
        <f>IFERROR(__xludf.DUMMYFUNCTION("""COMPUTED_VALUE"""),334.66)</f>
        <v>334.66</v>
      </c>
      <c r="C123" s="2">
        <f>IFERROR(__xludf.DUMMYFUNCTION("""COMPUTED_VALUE"""),337.98)</f>
        <v>337.98</v>
      </c>
      <c r="D123" s="2">
        <f>IFERROR(__xludf.DUMMYFUNCTION("""COMPUTED_VALUE"""),333.81)</f>
        <v>333.81</v>
      </c>
      <c r="E123" s="2">
        <f>IFERROR(__xludf.DUMMYFUNCTION("""COMPUTED_VALUE"""),335.85)</f>
        <v>335.85</v>
      </c>
      <c r="F123" s="2">
        <f>IFERROR(__xludf.DUMMYFUNCTION("""COMPUTED_VALUE"""),2.0259523E7)</f>
        <v>20259523</v>
      </c>
    </row>
    <row r="124">
      <c r="A124" s="3">
        <f>IFERROR(__xludf.DUMMYFUNCTION("""COMPUTED_VALUE"""),45106.66666666667)</f>
        <v>45106.66667</v>
      </c>
      <c r="B124" s="2">
        <f>IFERROR(__xludf.DUMMYFUNCTION("""COMPUTED_VALUE"""),334.71)</f>
        <v>334.71</v>
      </c>
      <c r="C124" s="2">
        <f>IFERROR(__xludf.DUMMYFUNCTION("""COMPUTED_VALUE"""),336.11)</f>
        <v>336.11</v>
      </c>
      <c r="D124" s="2">
        <f>IFERROR(__xludf.DUMMYFUNCTION("""COMPUTED_VALUE"""),332.62)</f>
        <v>332.62</v>
      </c>
      <c r="E124" s="2">
        <f>IFERROR(__xludf.DUMMYFUNCTION("""COMPUTED_VALUE"""),335.05)</f>
        <v>335.05</v>
      </c>
      <c r="F124" s="2">
        <f>IFERROR(__xludf.DUMMYFUNCTION("""COMPUTED_VALUE"""),1.6997042E7)</f>
        <v>16997042</v>
      </c>
    </row>
    <row r="125">
      <c r="A125" s="3">
        <f>IFERROR(__xludf.DUMMYFUNCTION("""COMPUTED_VALUE"""),45107.66666666667)</f>
        <v>45107.66667</v>
      </c>
      <c r="B125" s="2">
        <f>IFERROR(__xludf.DUMMYFUNCTION("""COMPUTED_VALUE"""),337.75)</f>
        <v>337.75</v>
      </c>
      <c r="C125" s="2">
        <f>IFERROR(__xludf.DUMMYFUNCTION("""COMPUTED_VALUE"""),342.73)</f>
        <v>342.73</v>
      </c>
      <c r="D125" s="2">
        <f>IFERROR(__xludf.DUMMYFUNCTION("""COMPUTED_VALUE"""),337.2)</f>
        <v>337.2</v>
      </c>
      <c r="E125" s="2">
        <f>IFERROR(__xludf.DUMMYFUNCTION("""COMPUTED_VALUE"""),340.54)</f>
        <v>340.54</v>
      </c>
      <c r="F125" s="2">
        <f>IFERROR(__xludf.DUMMYFUNCTION("""COMPUTED_VALUE"""),2.6832756E7)</f>
        <v>26832756</v>
      </c>
    </row>
    <row r="126">
      <c r="A126" s="3">
        <f>IFERROR(__xludf.DUMMYFUNCTION("""COMPUTED_VALUE"""),45110.54513888889)</f>
        <v>45110.54514</v>
      </c>
      <c r="B126" s="2">
        <f>IFERROR(__xludf.DUMMYFUNCTION("""COMPUTED_VALUE"""),339.19)</f>
        <v>339.19</v>
      </c>
      <c r="C126" s="2">
        <f>IFERROR(__xludf.DUMMYFUNCTION("""COMPUTED_VALUE"""),340.9)</f>
        <v>340.9</v>
      </c>
      <c r="D126" s="2">
        <f>IFERROR(__xludf.DUMMYFUNCTION("""COMPUTED_VALUE"""),336.57)</f>
        <v>336.57</v>
      </c>
      <c r="E126" s="2">
        <f>IFERROR(__xludf.DUMMYFUNCTION("""COMPUTED_VALUE"""),337.99)</f>
        <v>337.99</v>
      </c>
      <c r="F126" s="2">
        <f>IFERROR(__xludf.DUMMYFUNCTION("""COMPUTED_VALUE"""),1.2508692E7)</f>
        <v>12508692</v>
      </c>
    </row>
    <row r="127">
      <c r="A127" s="3">
        <f>IFERROR(__xludf.DUMMYFUNCTION("""COMPUTED_VALUE"""),45112.66666666667)</f>
        <v>45112.66667</v>
      </c>
      <c r="B127" s="2">
        <f>IFERROR(__xludf.DUMMYFUNCTION("""COMPUTED_VALUE"""),335.09)</f>
        <v>335.09</v>
      </c>
      <c r="C127" s="2">
        <f>IFERROR(__xludf.DUMMYFUNCTION("""COMPUTED_VALUE"""),341.65)</f>
        <v>341.65</v>
      </c>
      <c r="D127" s="2">
        <f>IFERROR(__xludf.DUMMYFUNCTION("""COMPUTED_VALUE"""),334.73)</f>
        <v>334.73</v>
      </c>
      <c r="E127" s="2">
        <f>IFERROR(__xludf.DUMMYFUNCTION("""COMPUTED_VALUE"""),338.15)</f>
        <v>338.15</v>
      </c>
      <c r="F127" s="2">
        <f>IFERROR(__xludf.DUMMYFUNCTION("""COMPUTED_VALUE"""),1.8172378E7)</f>
        <v>18172378</v>
      </c>
    </row>
    <row r="128">
      <c r="A128" s="3">
        <f>IFERROR(__xludf.DUMMYFUNCTION("""COMPUTED_VALUE"""),45113.66666666667)</f>
        <v>45113.66667</v>
      </c>
      <c r="B128" s="2">
        <f>IFERROR(__xludf.DUMMYFUNCTION("""COMPUTED_VALUE"""),337.3)</f>
        <v>337.3</v>
      </c>
      <c r="C128" s="2">
        <f>IFERROR(__xludf.DUMMYFUNCTION("""COMPUTED_VALUE"""),342.99)</f>
        <v>342.99</v>
      </c>
      <c r="D128" s="2">
        <f>IFERROR(__xludf.DUMMYFUNCTION("""COMPUTED_VALUE"""),335.5)</f>
        <v>335.5</v>
      </c>
      <c r="E128" s="2">
        <f>IFERROR(__xludf.DUMMYFUNCTION("""COMPUTED_VALUE"""),341.27)</f>
        <v>341.27</v>
      </c>
      <c r="F128" s="2">
        <f>IFERROR(__xludf.DUMMYFUNCTION("""COMPUTED_VALUE"""),2.8195534E7)</f>
        <v>28195534</v>
      </c>
    </row>
    <row r="129">
      <c r="A129" s="3">
        <f>IFERROR(__xludf.DUMMYFUNCTION("""COMPUTED_VALUE"""),45114.66666666667)</f>
        <v>45114.66667</v>
      </c>
      <c r="B129" s="2">
        <f>IFERROR(__xludf.DUMMYFUNCTION("""COMPUTED_VALUE"""),339.32)</f>
        <v>339.32</v>
      </c>
      <c r="C129" s="2">
        <f>IFERROR(__xludf.DUMMYFUNCTION("""COMPUTED_VALUE"""),341.79)</f>
        <v>341.79</v>
      </c>
      <c r="D129" s="2">
        <f>IFERROR(__xludf.DUMMYFUNCTION("""COMPUTED_VALUE"""),337.0)</f>
        <v>337</v>
      </c>
      <c r="E129" s="2">
        <f>IFERROR(__xludf.DUMMYFUNCTION("""COMPUTED_VALUE"""),337.22)</f>
        <v>337.22</v>
      </c>
      <c r="F129" s="2">
        <f>IFERROR(__xludf.DUMMYFUNCTION("""COMPUTED_VALUE"""),2.1214824E7)</f>
        <v>21214824</v>
      </c>
    </row>
    <row r="130">
      <c r="A130" s="3">
        <f>IFERROR(__xludf.DUMMYFUNCTION("""COMPUTED_VALUE"""),45117.66666666667)</f>
        <v>45117.66667</v>
      </c>
      <c r="B130" s="2">
        <f>IFERROR(__xludf.DUMMYFUNCTION("""COMPUTED_VALUE"""),334.6)</f>
        <v>334.6</v>
      </c>
      <c r="C130" s="2">
        <f>IFERROR(__xludf.DUMMYFUNCTION("""COMPUTED_VALUE"""),335.23)</f>
        <v>335.23</v>
      </c>
      <c r="D130" s="2">
        <f>IFERROR(__xludf.DUMMYFUNCTION("""COMPUTED_VALUE"""),327.59)</f>
        <v>327.59</v>
      </c>
      <c r="E130" s="2">
        <f>IFERROR(__xludf.DUMMYFUNCTION("""COMPUTED_VALUE"""),331.83)</f>
        <v>331.83</v>
      </c>
      <c r="F130" s="2">
        <f>IFERROR(__xludf.DUMMYFUNCTION("""COMPUTED_VALUE"""),3.2791449E7)</f>
        <v>32791449</v>
      </c>
    </row>
    <row r="131">
      <c r="A131" s="3">
        <f>IFERROR(__xludf.DUMMYFUNCTION("""COMPUTED_VALUE"""),45118.66666666667)</f>
        <v>45118.66667</v>
      </c>
      <c r="B131" s="2">
        <f>IFERROR(__xludf.DUMMYFUNCTION("""COMPUTED_VALUE"""),331.06)</f>
        <v>331.06</v>
      </c>
      <c r="C131" s="2">
        <f>IFERROR(__xludf.DUMMYFUNCTION("""COMPUTED_VALUE"""),332.86)</f>
        <v>332.86</v>
      </c>
      <c r="D131" s="2">
        <f>IFERROR(__xludf.DUMMYFUNCTION("""COMPUTED_VALUE"""),327.0)</f>
        <v>327</v>
      </c>
      <c r="E131" s="2">
        <f>IFERROR(__xludf.DUMMYFUNCTION("""COMPUTED_VALUE"""),332.47)</f>
        <v>332.47</v>
      </c>
      <c r="F131" s="2">
        <f>IFERROR(__xludf.DUMMYFUNCTION("""COMPUTED_VALUE"""),2.6698218E7)</f>
        <v>26698218</v>
      </c>
    </row>
    <row r="132">
      <c r="A132" s="3">
        <f>IFERROR(__xludf.DUMMYFUNCTION("""COMPUTED_VALUE"""),45119.66666666667)</f>
        <v>45119.66667</v>
      </c>
      <c r="B132" s="2">
        <f>IFERROR(__xludf.DUMMYFUNCTION("""COMPUTED_VALUE"""),336.6)</f>
        <v>336.6</v>
      </c>
      <c r="C132" s="2">
        <f>IFERROR(__xludf.DUMMYFUNCTION("""COMPUTED_VALUE"""),341.65)</f>
        <v>341.65</v>
      </c>
      <c r="D132" s="2">
        <f>IFERROR(__xludf.DUMMYFUNCTION("""COMPUTED_VALUE"""),335.67)</f>
        <v>335.67</v>
      </c>
      <c r="E132" s="2">
        <f>IFERROR(__xludf.DUMMYFUNCTION("""COMPUTED_VALUE"""),337.2)</f>
        <v>337.2</v>
      </c>
      <c r="F132" s="2">
        <f>IFERROR(__xludf.DUMMYFUNCTION("""COMPUTED_VALUE"""),2.9995262E7)</f>
        <v>29995262</v>
      </c>
    </row>
    <row r="133">
      <c r="A133" s="3">
        <f>IFERROR(__xludf.DUMMYFUNCTION("""COMPUTED_VALUE"""),45120.66666666667)</f>
        <v>45120.66667</v>
      </c>
      <c r="B133" s="2">
        <f>IFERROR(__xludf.DUMMYFUNCTION("""COMPUTED_VALUE"""),339.56)</f>
        <v>339.56</v>
      </c>
      <c r="C133" s="2">
        <f>IFERROR(__xludf.DUMMYFUNCTION("""COMPUTED_VALUE"""),343.74)</f>
        <v>343.74</v>
      </c>
      <c r="D133" s="2">
        <f>IFERROR(__xludf.DUMMYFUNCTION("""COMPUTED_VALUE"""),339.02)</f>
        <v>339.02</v>
      </c>
      <c r="E133" s="2">
        <f>IFERROR(__xludf.DUMMYFUNCTION("""COMPUTED_VALUE"""),342.66)</f>
        <v>342.66</v>
      </c>
      <c r="F133" s="2">
        <f>IFERROR(__xludf.DUMMYFUNCTION("""COMPUTED_VALUE"""),2.0567159E7)</f>
        <v>20567159</v>
      </c>
    </row>
    <row r="134">
      <c r="A134" s="3">
        <f>IFERROR(__xludf.DUMMYFUNCTION("""COMPUTED_VALUE"""),45121.66666666667)</f>
        <v>45121.66667</v>
      </c>
      <c r="B134" s="2">
        <f>IFERROR(__xludf.DUMMYFUNCTION("""COMPUTED_VALUE"""),347.59)</f>
        <v>347.59</v>
      </c>
      <c r="C134" s="2">
        <f>IFERROR(__xludf.DUMMYFUNCTION("""COMPUTED_VALUE"""),351.43)</f>
        <v>351.43</v>
      </c>
      <c r="D134" s="2">
        <f>IFERROR(__xludf.DUMMYFUNCTION("""COMPUTED_VALUE"""),344.31)</f>
        <v>344.31</v>
      </c>
      <c r="E134" s="2">
        <f>IFERROR(__xludf.DUMMYFUNCTION("""COMPUTED_VALUE"""),345.24)</f>
        <v>345.24</v>
      </c>
      <c r="F134" s="2">
        <f>IFERROR(__xludf.DUMMYFUNCTION("""COMPUTED_VALUE"""),2.8352729E7)</f>
        <v>28352729</v>
      </c>
    </row>
    <row r="135">
      <c r="A135" s="3">
        <f>IFERROR(__xludf.DUMMYFUNCTION("""COMPUTED_VALUE"""),45124.66666666667)</f>
        <v>45124.66667</v>
      </c>
      <c r="B135" s="2">
        <f>IFERROR(__xludf.DUMMYFUNCTION("""COMPUTED_VALUE"""),345.68)</f>
        <v>345.68</v>
      </c>
      <c r="C135" s="2">
        <f>IFERROR(__xludf.DUMMYFUNCTION("""COMPUTED_VALUE"""),346.99)</f>
        <v>346.99</v>
      </c>
      <c r="D135" s="2">
        <f>IFERROR(__xludf.DUMMYFUNCTION("""COMPUTED_VALUE"""),342.2)</f>
        <v>342.2</v>
      </c>
      <c r="E135" s="2">
        <f>IFERROR(__xludf.DUMMYFUNCTION("""COMPUTED_VALUE"""),345.73)</f>
        <v>345.73</v>
      </c>
      <c r="F135" s="2">
        <f>IFERROR(__xludf.DUMMYFUNCTION("""COMPUTED_VALUE"""),2.0363927E7)</f>
        <v>20363927</v>
      </c>
    </row>
    <row r="136">
      <c r="A136" s="3">
        <f>IFERROR(__xludf.DUMMYFUNCTION("""COMPUTED_VALUE"""),45125.66666666667)</f>
        <v>45125.66667</v>
      </c>
      <c r="B136" s="2">
        <f>IFERROR(__xludf.DUMMYFUNCTION("""COMPUTED_VALUE"""),345.83)</f>
        <v>345.83</v>
      </c>
      <c r="C136" s="2">
        <f>IFERROR(__xludf.DUMMYFUNCTION("""COMPUTED_VALUE"""),366.78)</f>
        <v>366.78</v>
      </c>
      <c r="D136" s="2">
        <f>IFERROR(__xludf.DUMMYFUNCTION("""COMPUTED_VALUE"""),342.17)</f>
        <v>342.17</v>
      </c>
      <c r="E136" s="2">
        <f>IFERROR(__xludf.DUMMYFUNCTION("""COMPUTED_VALUE"""),359.49)</f>
        <v>359.49</v>
      </c>
      <c r="F136" s="2">
        <f>IFERROR(__xludf.DUMMYFUNCTION("""COMPUTED_VALUE"""),6.4872705E7)</f>
        <v>64872705</v>
      </c>
    </row>
    <row r="137">
      <c r="A137" s="3">
        <f>IFERROR(__xludf.DUMMYFUNCTION("""COMPUTED_VALUE"""),45126.66666666667)</f>
        <v>45126.66667</v>
      </c>
      <c r="B137" s="2">
        <f>IFERROR(__xludf.DUMMYFUNCTION("""COMPUTED_VALUE"""),361.75)</f>
        <v>361.75</v>
      </c>
      <c r="C137" s="2">
        <f>IFERROR(__xludf.DUMMYFUNCTION("""COMPUTED_VALUE"""),362.46)</f>
        <v>362.46</v>
      </c>
      <c r="D137" s="2">
        <f>IFERROR(__xludf.DUMMYFUNCTION("""COMPUTED_VALUE"""),352.44)</f>
        <v>352.44</v>
      </c>
      <c r="E137" s="2">
        <f>IFERROR(__xludf.DUMMYFUNCTION("""COMPUTED_VALUE"""),355.08)</f>
        <v>355.08</v>
      </c>
      <c r="F137" s="2">
        <f>IFERROR(__xludf.DUMMYFUNCTION("""COMPUTED_VALUE"""),3.9732901E7)</f>
        <v>39732901</v>
      </c>
    </row>
    <row r="138">
      <c r="A138" s="3">
        <f>IFERROR(__xludf.DUMMYFUNCTION("""COMPUTED_VALUE"""),45127.66666666667)</f>
        <v>45127.66667</v>
      </c>
      <c r="B138" s="2">
        <f>IFERROR(__xludf.DUMMYFUNCTION("""COMPUTED_VALUE"""),353.57)</f>
        <v>353.57</v>
      </c>
      <c r="C138" s="2">
        <f>IFERROR(__xludf.DUMMYFUNCTION("""COMPUTED_VALUE"""),357.97)</f>
        <v>357.97</v>
      </c>
      <c r="D138" s="2">
        <f>IFERROR(__xludf.DUMMYFUNCTION("""COMPUTED_VALUE"""),345.37)</f>
        <v>345.37</v>
      </c>
      <c r="E138" s="2">
        <f>IFERROR(__xludf.DUMMYFUNCTION("""COMPUTED_VALUE"""),346.87)</f>
        <v>346.87</v>
      </c>
      <c r="F138" s="2">
        <f>IFERROR(__xludf.DUMMYFUNCTION("""COMPUTED_VALUE"""),3.3778395E7)</f>
        <v>33778395</v>
      </c>
    </row>
    <row r="139">
      <c r="A139" s="3">
        <f>IFERROR(__xludf.DUMMYFUNCTION("""COMPUTED_VALUE"""),45128.66666666667)</f>
        <v>45128.66667</v>
      </c>
      <c r="B139" s="2">
        <f>IFERROR(__xludf.DUMMYFUNCTION("""COMPUTED_VALUE"""),349.15)</f>
        <v>349.15</v>
      </c>
      <c r="C139" s="2">
        <f>IFERROR(__xludf.DUMMYFUNCTION("""COMPUTED_VALUE"""),350.3)</f>
        <v>350.3</v>
      </c>
      <c r="D139" s="2">
        <f>IFERROR(__xludf.DUMMYFUNCTION("""COMPUTED_VALUE"""),339.83)</f>
        <v>339.83</v>
      </c>
      <c r="E139" s="2">
        <f>IFERROR(__xludf.DUMMYFUNCTION("""COMPUTED_VALUE"""),343.77)</f>
        <v>343.77</v>
      </c>
      <c r="F139" s="2">
        <f>IFERROR(__xludf.DUMMYFUNCTION("""COMPUTED_VALUE"""),6.9405382E7)</f>
        <v>69405382</v>
      </c>
    </row>
    <row r="140">
      <c r="A140" s="3">
        <f>IFERROR(__xludf.DUMMYFUNCTION("""COMPUTED_VALUE"""),45131.66666666667)</f>
        <v>45131.66667</v>
      </c>
      <c r="B140" s="2">
        <f>IFERROR(__xludf.DUMMYFUNCTION("""COMPUTED_VALUE"""),345.85)</f>
        <v>345.85</v>
      </c>
      <c r="C140" s="2">
        <f>IFERROR(__xludf.DUMMYFUNCTION("""COMPUTED_VALUE"""),346.92)</f>
        <v>346.92</v>
      </c>
      <c r="D140" s="2">
        <f>IFERROR(__xludf.DUMMYFUNCTION("""COMPUTED_VALUE"""),342.31)</f>
        <v>342.31</v>
      </c>
      <c r="E140" s="2">
        <f>IFERROR(__xludf.DUMMYFUNCTION("""COMPUTED_VALUE"""),345.11)</f>
        <v>345.11</v>
      </c>
      <c r="F140" s="2">
        <f>IFERROR(__xludf.DUMMYFUNCTION("""COMPUTED_VALUE"""),2.6719207E7)</f>
        <v>26719207</v>
      </c>
    </row>
    <row r="141">
      <c r="A141" s="3">
        <f>IFERROR(__xludf.DUMMYFUNCTION("""COMPUTED_VALUE"""),45132.66666666667)</f>
        <v>45132.66667</v>
      </c>
      <c r="B141" s="2">
        <f>IFERROR(__xludf.DUMMYFUNCTION("""COMPUTED_VALUE"""),347.11)</f>
        <v>347.11</v>
      </c>
      <c r="C141" s="2">
        <f>IFERROR(__xludf.DUMMYFUNCTION("""COMPUTED_VALUE"""),351.89)</f>
        <v>351.89</v>
      </c>
      <c r="D141" s="2">
        <f>IFERROR(__xludf.DUMMYFUNCTION("""COMPUTED_VALUE"""),345.07)</f>
        <v>345.07</v>
      </c>
      <c r="E141" s="2">
        <f>IFERROR(__xludf.DUMMYFUNCTION("""COMPUTED_VALUE"""),350.98)</f>
        <v>350.98</v>
      </c>
      <c r="F141" s="2">
        <f>IFERROR(__xludf.DUMMYFUNCTION("""COMPUTED_VALUE"""),4.1637739E7)</f>
        <v>41637739</v>
      </c>
    </row>
    <row r="142">
      <c r="A142" s="3">
        <f>IFERROR(__xludf.DUMMYFUNCTION("""COMPUTED_VALUE"""),45133.66666666667)</f>
        <v>45133.66667</v>
      </c>
      <c r="B142" s="2">
        <f>IFERROR(__xludf.DUMMYFUNCTION("""COMPUTED_VALUE"""),341.44)</f>
        <v>341.44</v>
      </c>
      <c r="C142" s="2">
        <f>IFERROR(__xludf.DUMMYFUNCTION("""COMPUTED_VALUE"""),344.67)</f>
        <v>344.67</v>
      </c>
      <c r="D142" s="2">
        <f>IFERROR(__xludf.DUMMYFUNCTION("""COMPUTED_VALUE"""),333.11)</f>
        <v>333.11</v>
      </c>
      <c r="E142" s="2">
        <f>IFERROR(__xludf.DUMMYFUNCTION("""COMPUTED_VALUE"""),337.77)</f>
        <v>337.77</v>
      </c>
      <c r="F142" s="2">
        <f>IFERROR(__xludf.DUMMYFUNCTION("""COMPUTED_VALUE"""),5.8383702E7)</f>
        <v>58383702</v>
      </c>
    </row>
    <row r="143">
      <c r="A143" s="3">
        <f>IFERROR(__xludf.DUMMYFUNCTION("""COMPUTED_VALUE"""),45134.66666666667)</f>
        <v>45134.66667</v>
      </c>
      <c r="B143" s="2">
        <f>IFERROR(__xludf.DUMMYFUNCTION("""COMPUTED_VALUE"""),340.48)</f>
        <v>340.48</v>
      </c>
      <c r="C143" s="2">
        <f>IFERROR(__xludf.DUMMYFUNCTION("""COMPUTED_VALUE"""),341.33)</f>
        <v>341.33</v>
      </c>
      <c r="D143" s="2">
        <f>IFERROR(__xludf.DUMMYFUNCTION("""COMPUTED_VALUE"""),329.05)</f>
        <v>329.05</v>
      </c>
      <c r="E143" s="2">
        <f>IFERROR(__xludf.DUMMYFUNCTION("""COMPUTED_VALUE"""),330.72)</f>
        <v>330.72</v>
      </c>
      <c r="F143" s="2">
        <f>IFERROR(__xludf.DUMMYFUNCTION("""COMPUTED_VALUE"""),3.9635262E7)</f>
        <v>39635262</v>
      </c>
    </row>
    <row r="144">
      <c r="A144" s="3">
        <f>IFERROR(__xludf.DUMMYFUNCTION("""COMPUTED_VALUE"""),45135.66666666667)</f>
        <v>45135.66667</v>
      </c>
      <c r="B144" s="2">
        <f>IFERROR(__xludf.DUMMYFUNCTION("""COMPUTED_VALUE"""),333.67)</f>
        <v>333.67</v>
      </c>
      <c r="C144" s="2">
        <f>IFERROR(__xludf.DUMMYFUNCTION("""COMPUTED_VALUE"""),340.01)</f>
        <v>340.01</v>
      </c>
      <c r="D144" s="2">
        <f>IFERROR(__xludf.DUMMYFUNCTION("""COMPUTED_VALUE"""),333.17)</f>
        <v>333.17</v>
      </c>
      <c r="E144" s="2">
        <f>IFERROR(__xludf.DUMMYFUNCTION("""COMPUTED_VALUE"""),338.37)</f>
        <v>338.37</v>
      </c>
      <c r="F144" s="2">
        <f>IFERROR(__xludf.DUMMYFUNCTION("""COMPUTED_VALUE"""),2.8484868E7)</f>
        <v>28484868</v>
      </c>
    </row>
    <row r="145">
      <c r="A145" s="3">
        <f>IFERROR(__xludf.DUMMYFUNCTION("""COMPUTED_VALUE"""),45138.66666666667)</f>
        <v>45138.66667</v>
      </c>
      <c r="B145" s="2">
        <f>IFERROR(__xludf.DUMMYFUNCTION("""COMPUTED_VALUE"""),336.92)</f>
        <v>336.92</v>
      </c>
      <c r="C145" s="2">
        <f>IFERROR(__xludf.DUMMYFUNCTION("""COMPUTED_VALUE"""),337.7)</f>
        <v>337.7</v>
      </c>
      <c r="D145" s="2">
        <f>IFERROR(__xludf.DUMMYFUNCTION("""COMPUTED_VALUE"""),333.36)</f>
        <v>333.36</v>
      </c>
      <c r="E145" s="2">
        <f>IFERROR(__xludf.DUMMYFUNCTION("""COMPUTED_VALUE"""),335.92)</f>
        <v>335.92</v>
      </c>
      <c r="F145" s="2">
        <f>IFERROR(__xludf.DUMMYFUNCTION("""COMPUTED_VALUE"""),2.5446022E7)</f>
        <v>25446022</v>
      </c>
    </row>
    <row r="146">
      <c r="A146" s="3">
        <f>IFERROR(__xludf.DUMMYFUNCTION("""COMPUTED_VALUE"""),45139.66666666667)</f>
        <v>45139.66667</v>
      </c>
      <c r="B146" s="2">
        <f>IFERROR(__xludf.DUMMYFUNCTION("""COMPUTED_VALUE"""),335.19)</f>
        <v>335.19</v>
      </c>
      <c r="C146" s="2">
        <f>IFERROR(__xludf.DUMMYFUNCTION("""COMPUTED_VALUE"""),338.54)</f>
        <v>338.54</v>
      </c>
      <c r="D146" s="2">
        <f>IFERROR(__xludf.DUMMYFUNCTION("""COMPUTED_VALUE"""),333.7)</f>
        <v>333.7</v>
      </c>
      <c r="E146" s="2">
        <f>IFERROR(__xludf.DUMMYFUNCTION("""COMPUTED_VALUE"""),336.34)</f>
        <v>336.34</v>
      </c>
      <c r="F146" s="2">
        <f>IFERROR(__xludf.DUMMYFUNCTION("""COMPUTED_VALUE"""),1.8381253E7)</f>
        <v>18381253</v>
      </c>
    </row>
    <row r="147">
      <c r="A147" s="3">
        <f>IFERROR(__xludf.DUMMYFUNCTION("""COMPUTED_VALUE"""),45140.66666666667)</f>
        <v>45140.66667</v>
      </c>
      <c r="B147" s="2">
        <f>IFERROR(__xludf.DUMMYFUNCTION("""COMPUTED_VALUE"""),333.63)</f>
        <v>333.63</v>
      </c>
      <c r="C147" s="2">
        <f>IFERROR(__xludf.DUMMYFUNCTION("""COMPUTED_VALUE"""),333.63)</f>
        <v>333.63</v>
      </c>
      <c r="D147" s="2">
        <f>IFERROR(__xludf.DUMMYFUNCTION("""COMPUTED_VALUE"""),326.36)</f>
        <v>326.36</v>
      </c>
      <c r="E147" s="2">
        <f>IFERROR(__xludf.DUMMYFUNCTION("""COMPUTED_VALUE"""),327.5)</f>
        <v>327.5</v>
      </c>
      <c r="F147" s="2">
        <f>IFERROR(__xludf.DUMMYFUNCTION("""COMPUTED_VALUE"""),2.7761257E7)</f>
        <v>27761257</v>
      </c>
    </row>
    <row r="148">
      <c r="A148" s="3">
        <f>IFERROR(__xludf.DUMMYFUNCTION("""COMPUTED_VALUE"""),45141.66666666667)</f>
        <v>45141.66667</v>
      </c>
      <c r="B148" s="2">
        <f>IFERROR(__xludf.DUMMYFUNCTION("""COMPUTED_VALUE"""),326.0)</f>
        <v>326</v>
      </c>
      <c r="C148" s="2">
        <f>IFERROR(__xludf.DUMMYFUNCTION("""COMPUTED_VALUE"""),329.88)</f>
        <v>329.88</v>
      </c>
      <c r="D148" s="2">
        <f>IFERROR(__xludf.DUMMYFUNCTION("""COMPUTED_VALUE"""),325.95)</f>
        <v>325.95</v>
      </c>
      <c r="E148" s="2">
        <f>IFERROR(__xludf.DUMMYFUNCTION("""COMPUTED_VALUE"""),326.66)</f>
        <v>326.66</v>
      </c>
      <c r="F148" s="2">
        <f>IFERROR(__xludf.DUMMYFUNCTION("""COMPUTED_VALUE"""),1.8360352E7)</f>
        <v>18360352</v>
      </c>
    </row>
    <row r="149">
      <c r="A149" s="3">
        <f>IFERROR(__xludf.DUMMYFUNCTION("""COMPUTED_VALUE"""),45142.66666666667)</f>
        <v>45142.66667</v>
      </c>
      <c r="B149" s="2">
        <f>IFERROR(__xludf.DUMMYFUNCTION("""COMPUTED_VALUE"""),331.88)</f>
        <v>331.88</v>
      </c>
      <c r="C149" s="2">
        <f>IFERROR(__xludf.DUMMYFUNCTION("""COMPUTED_VALUE"""),335.14)</f>
        <v>335.14</v>
      </c>
      <c r="D149" s="2">
        <f>IFERROR(__xludf.DUMMYFUNCTION("""COMPUTED_VALUE"""),327.24)</f>
        <v>327.24</v>
      </c>
      <c r="E149" s="2">
        <f>IFERROR(__xludf.DUMMYFUNCTION("""COMPUTED_VALUE"""),327.78)</f>
        <v>327.78</v>
      </c>
      <c r="F149" s="2">
        <f>IFERROR(__xludf.DUMMYFUNCTION("""COMPUTED_VALUE"""),2.3741484E7)</f>
        <v>23741484</v>
      </c>
    </row>
    <row r="150">
      <c r="A150" s="3">
        <f>IFERROR(__xludf.DUMMYFUNCTION("""COMPUTED_VALUE"""),45145.66666666667)</f>
        <v>45145.66667</v>
      </c>
      <c r="B150" s="2">
        <f>IFERROR(__xludf.DUMMYFUNCTION("""COMPUTED_VALUE"""),328.37)</f>
        <v>328.37</v>
      </c>
      <c r="C150" s="2">
        <f>IFERROR(__xludf.DUMMYFUNCTION("""COMPUTED_VALUE"""),331.11)</f>
        <v>331.11</v>
      </c>
      <c r="D150" s="2">
        <f>IFERROR(__xludf.DUMMYFUNCTION("""COMPUTED_VALUE"""),327.52)</f>
        <v>327.52</v>
      </c>
      <c r="E150" s="2">
        <f>IFERROR(__xludf.DUMMYFUNCTION("""COMPUTED_VALUE"""),330.11)</f>
        <v>330.11</v>
      </c>
      <c r="F150" s="2">
        <f>IFERROR(__xludf.DUMMYFUNCTION("""COMPUTED_VALUE"""),1.7741526E7)</f>
        <v>17741526</v>
      </c>
    </row>
    <row r="151">
      <c r="A151" s="3">
        <f>IFERROR(__xludf.DUMMYFUNCTION("""COMPUTED_VALUE"""),45146.66666666667)</f>
        <v>45146.66667</v>
      </c>
      <c r="B151" s="2">
        <f>IFERROR(__xludf.DUMMYFUNCTION("""COMPUTED_VALUE"""),326.96)</f>
        <v>326.96</v>
      </c>
      <c r="C151" s="2">
        <f>IFERROR(__xludf.DUMMYFUNCTION("""COMPUTED_VALUE"""),328.75)</f>
        <v>328.75</v>
      </c>
      <c r="D151" s="2">
        <f>IFERROR(__xludf.DUMMYFUNCTION("""COMPUTED_VALUE"""),323.0)</f>
        <v>323</v>
      </c>
      <c r="E151" s="2">
        <f>IFERROR(__xludf.DUMMYFUNCTION("""COMPUTED_VALUE"""),326.05)</f>
        <v>326.05</v>
      </c>
      <c r="F151" s="2">
        <f>IFERROR(__xludf.DUMMYFUNCTION("""COMPUTED_VALUE"""),2.2327574E7)</f>
        <v>22327574</v>
      </c>
    </row>
    <row r="152">
      <c r="A152" s="3">
        <f>IFERROR(__xludf.DUMMYFUNCTION("""COMPUTED_VALUE"""),45147.66666666667)</f>
        <v>45147.66667</v>
      </c>
      <c r="B152" s="2">
        <f>IFERROR(__xludf.DUMMYFUNCTION("""COMPUTED_VALUE"""),326.47)</f>
        <v>326.47</v>
      </c>
      <c r="C152" s="2">
        <f>IFERROR(__xludf.DUMMYFUNCTION("""COMPUTED_VALUE"""),327.11)</f>
        <v>327.11</v>
      </c>
      <c r="D152" s="2">
        <f>IFERROR(__xludf.DUMMYFUNCTION("""COMPUTED_VALUE"""),321.05)</f>
        <v>321.05</v>
      </c>
      <c r="E152" s="2">
        <f>IFERROR(__xludf.DUMMYFUNCTION("""COMPUTED_VALUE"""),322.23)</f>
        <v>322.23</v>
      </c>
      <c r="F152" s="2">
        <f>IFERROR(__xludf.DUMMYFUNCTION("""COMPUTED_VALUE"""),2.2373268E7)</f>
        <v>22373268</v>
      </c>
    </row>
    <row r="153">
      <c r="A153" s="3">
        <f>IFERROR(__xludf.DUMMYFUNCTION("""COMPUTED_VALUE"""),45148.66666666667)</f>
        <v>45148.66667</v>
      </c>
      <c r="B153" s="2">
        <f>IFERROR(__xludf.DUMMYFUNCTION("""COMPUTED_VALUE"""),326.02)</f>
        <v>326.02</v>
      </c>
      <c r="C153" s="2">
        <f>IFERROR(__xludf.DUMMYFUNCTION("""COMPUTED_VALUE"""),328.26)</f>
        <v>328.26</v>
      </c>
      <c r="D153" s="2">
        <f>IFERROR(__xludf.DUMMYFUNCTION("""COMPUTED_VALUE"""),321.18)</f>
        <v>321.18</v>
      </c>
      <c r="E153" s="2">
        <f>IFERROR(__xludf.DUMMYFUNCTION("""COMPUTED_VALUE"""),322.93)</f>
        <v>322.93</v>
      </c>
      <c r="F153" s="2">
        <f>IFERROR(__xludf.DUMMYFUNCTION("""COMPUTED_VALUE"""),2.0113725E7)</f>
        <v>20113725</v>
      </c>
    </row>
    <row r="154">
      <c r="A154" s="3">
        <f>IFERROR(__xludf.DUMMYFUNCTION("""COMPUTED_VALUE"""),45149.66666666667)</f>
        <v>45149.66667</v>
      </c>
      <c r="B154" s="2">
        <f>IFERROR(__xludf.DUMMYFUNCTION("""COMPUTED_VALUE"""),320.26)</f>
        <v>320.26</v>
      </c>
      <c r="C154" s="2">
        <f>IFERROR(__xludf.DUMMYFUNCTION("""COMPUTED_VALUE"""),322.41)</f>
        <v>322.41</v>
      </c>
      <c r="D154" s="2">
        <f>IFERROR(__xludf.DUMMYFUNCTION("""COMPUTED_VALUE"""),319.21)</f>
        <v>319.21</v>
      </c>
      <c r="E154" s="2">
        <f>IFERROR(__xludf.DUMMYFUNCTION("""COMPUTED_VALUE"""),321.01)</f>
        <v>321.01</v>
      </c>
      <c r="F154" s="2">
        <f>IFERROR(__xludf.DUMMYFUNCTION("""COMPUTED_VALUE"""),2.4355491E7)</f>
        <v>24355491</v>
      </c>
    </row>
    <row r="155">
      <c r="A155" s="3">
        <f>IFERROR(__xludf.DUMMYFUNCTION("""COMPUTED_VALUE"""),45152.66666666667)</f>
        <v>45152.66667</v>
      </c>
      <c r="B155" s="2">
        <f>IFERROR(__xludf.DUMMYFUNCTION("""COMPUTED_VALUE"""),321.39)</f>
        <v>321.39</v>
      </c>
      <c r="C155" s="2">
        <f>IFERROR(__xludf.DUMMYFUNCTION("""COMPUTED_VALUE"""),324.06)</f>
        <v>324.06</v>
      </c>
      <c r="D155" s="2">
        <f>IFERROR(__xludf.DUMMYFUNCTION("""COMPUTED_VALUE"""),320.08)</f>
        <v>320.08</v>
      </c>
      <c r="E155" s="2">
        <f>IFERROR(__xludf.DUMMYFUNCTION("""COMPUTED_VALUE"""),324.04)</f>
        <v>324.04</v>
      </c>
      <c r="F155" s="2">
        <f>IFERROR(__xludf.DUMMYFUNCTION("""COMPUTED_VALUE"""),1.8836139E7)</f>
        <v>18836139</v>
      </c>
    </row>
    <row r="156">
      <c r="A156" s="3">
        <f>IFERROR(__xludf.DUMMYFUNCTION("""COMPUTED_VALUE"""),45153.66666666667)</f>
        <v>45153.66667</v>
      </c>
      <c r="B156" s="2">
        <f>IFERROR(__xludf.DUMMYFUNCTION("""COMPUTED_VALUE"""),323.0)</f>
        <v>323</v>
      </c>
      <c r="C156" s="2">
        <f>IFERROR(__xludf.DUMMYFUNCTION("""COMPUTED_VALUE"""),325.09)</f>
        <v>325.09</v>
      </c>
      <c r="D156" s="2">
        <f>IFERROR(__xludf.DUMMYFUNCTION("""COMPUTED_VALUE"""),320.9)</f>
        <v>320.9</v>
      </c>
      <c r="E156" s="2">
        <f>IFERROR(__xludf.DUMMYFUNCTION("""COMPUTED_VALUE"""),321.86)</f>
        <v>321.86</v>
      </c>
      <c r="F156" s="2">
        <f>IFERROR(__xludf.DUMMYFUNCTION("""COMPUTED_VALUE"""),1.6966285E7)</f>
        <v>16966285</v>
      </c>
    </row>
    <row r="157">
      <c r="A157" s="3">
        <f>IFERROR(__xludf.DUMMYFUNCTION("""COMPUTED_VALUE"""),45154.66666666667)</f>
        <v>45154.66667</v>
      </c>
      <c r="B157" s="2">
        <f>IFERROR(__xludf.DUMMYFUNCTION("""COMPUTED_VALUE"""),320.8)</f>
        <v>320.8</v>
      </c>
      <c r="C157" s="2">
        <f>IFERROR(__xludf.DUMMYFUNCTION("""COMPUTED_VALUE"""),324.42)</f>
        <v>324.42</v>
      </c>
      <c r="D157" s="2">
        <f>IFERROR(__xludf.DUMMYFUNCTION("""COMPUTED_VALUE"""),319.8)</f>
        <v>319.8</v>
      </c>
      <c r="E157" s="2">
        <f>IFERROR(__xludf.DUMMYFUNCTION("""COMPUTED_VALUE"""),320.4)</f>
        <v>320.4</v>
      </c>
      <c r="F157" s="2">
        <f>IFERROR(__xludf.DUMMYFUNCTION("""COMPUTED_VALUE"""),2.0698864E7)</f>
        <v>20698864</v>
      </c>
    </row>
    <row r="158">
      <c r="A158" s="3">
        <f>IFERROR(__xludf.DUMMYFUNCTION("""COMPUTED_VALUE"""),45155.66666666667)</f>
        <v>45155.66667</v>
      </c>
      <c r="B158" s="2">
        <f>IFERROR(__xludf.DUMMYFUNCTION("""COMPUTED_VALUE"""),320.54)</f>
        <v>320.54</v>
      </c>
      <c r="C158" s="2">
        <f>IFERROR(__xludf.DUMMYFUNCTION("""COMPUTED_VALUE"""),321.87)</f>
        <v>321.87</v>
      </c>
      <c r="D158" s="2">
        <f>IFERROR(__xludf.DUMMYFUNCTION("""COMPUTED_VALUE"""),316.21)</f>
        <v>316.21</v>
      </c>
      <c r="E158" s="2">
        <f>IFERROR(__xludf.DUMMYFUNCTION("""COMPUTED_VALUE"""),316.88)</f>
        <v>316.88</v>
      </c>
      <c r="F158" s="2">
        <f>IFERROR(__xludf.DUMMYFUNCTION("""COMPUTED_VALUE"""),2.1257161E7)</f>
        <v>21257161</v>
      </c>
    </row>
    <row r="159">
      <c r="A159" s="3">
        <f>IFERROR(__xludf.DUMMYFUNCTION("""COMPUTED_VALUE"""),45156.66666666667)</f>
        <v>45156.66667</v>
      </c>
      <c r="B159" s="2">
        <f>IFERROR(__xludf.DUMMYFUNCTION("""COMPUTED_VALUE"""),314.49)</f>
        <v>314.49</v>
      </c>
      <c r="C159" s="2">
        <f>IFERROR(__xludf.DUMMYFUNCTION("""COMPUTED_VALUE"""),318.38)</f>
        <v>318.38</v>
      </c>
      <c r="D159" s="2">
        <f>IFERROR(__xludf.DUMMYFUNCTION("""COMPUTED_VALUE"""),311.55)</f>
        <v>311.55</v>
      </c>
      <c r="E159" s="2">
        <f>IFERROR(__xludf.DUMMYFUNCTION("""COMPUTED_VALUE"""),316.48)</f>
        <v>316.48</v>
      </c>
      <c r="F159" s="2">
        <f>IFERROR(__xludf.DUMMYFUNCTION("""COMPUTED_VALUE"""),2.4755012E7)</f>
        <v>24755012</v>
      </c>
    </row>
    <row r="160">
      <c r="A160" s="3">
        <f>IFERROR(__xludf.DUMMYFUNCTION("""COMPUTED_VALUE"""),45159.66666666667)</f>
        <v>45159.66667</v>
      </c>
      <c r="B160" s="2">
        <f>IFERROR(__xludf.DUMMYFUNCTION("""COMPUTED_VALUE"""),317.93)</f>
        <v>317.93</v>
      </c>
      <c r="C160" s="2">
        <f>IFERROR(__xludf.DUMMYFUNCTION("""COMPUTED_VALUE"""),322.77)</f>
        <v>322.77</v>
      </c>
      <c r="D160" s="2">
        <f>IFERROR(__xludf.DUMMYFUNCTION("""COMPUTED_VALUE"""),317.04)</f>
        <v>317.04</v>
      </c>
      <c r="E160" s="2">
        <f>IFERROR(__xludf.DUMMYFUNCTION("""COMPUTED_VALUE"""),321.88)</f>
        <v>321.88</v>
      </c>
      <c r="F160" s="2">
        <f>IFERROR(__xludf.DUMMYFUNCTION("""COMPUTED_VALUE"""),2.4039956E7)</f>
        <v>24039956</v>
      </c>
    </row>
    <row r="161">
      <c r="A161" s="3">
        <f>IFERROR(__xludf.DUMMYFUNCTION("""COMPUTED_VALUE"""),45160.66666666667)</f>
        <v>45160.66667</v>
      </c>
      <c r="B161" s="2">
        <f>IFERROR(__xludf.DUMMYFUNCTION("""COMPUTED_VALUE"""),325.5)</f>
        <v>325.5</v>
      </c>
      <c r="C161" s="2">
        <f>IFERROR(__xludf.DUMMYFUNCTION("""COMPUTED_VALUE"""),326.08)</f>
        <v>326.08</v>
      </c>
      <c r="D161" s="2">
        <f>IFERROR(__xludf.DUMMYFUNCTION("""COMPUTED_VALUE"""),321.46)</f>
        <v>321.46</v>
      </c>
      <c r="E161" s="2">
        <f>IFERROR(__xludf.DUMMYFUNCTION("""COMPUTED_VALUE"""),322.46)</f>
        <v>322.46</v>
      </c>
      <c r="F161" s="2">
        <f>IFERROR(__xludf.DUMMYFUNCTION("""COMPUTED_VALUE"""),1.6102024E7)</f>
        <v>16102024</v>
      </c>
    </row>
    <row r="162">
      <c r="A162" s="3">
        <f>IFERROR(__xludf.DUMMYFUNCTION("""COMPUTED_VALUE"""),45161.66666666667)</f>
        <v>45161.66667</v>
      </c>
      <c r="B162" s="2">
        <f>IFERROR(__xludf.DUMMYFUNCTION("""COMPUTED_VALUE"""),323.82)</f>
        <v>323.82</v>
      </c>
      <c r="C162" s="2">
        <f>IFERROR(__xludf.DUMMYFUNCTION("""COMPUTED_VALUE"""),329.2)</f>
        <v>329.2</v>
      </c>
      <c r="D162" s="2">
        <f>IFERROR(__xludf.DUMMYFUNCTION("""COMPUTED_VALUE"""),323.46)</f>
        <v>323.46</v>
      </c>
      <c r="E162" s="2">
        <f>IFERROR(__xludf.DUMMYFUNCTION("""COMPUTED_VALUE"""),327.0)</f>
        <v>327</v>
      </c>
      <c r="F162" s="2">
        <f>IFERROR(__xludf.DUMMYFUNCTION("""COMPUTED_VALUE"""),2.1166382E7)</f>
        <v>21166382</v>
      </c>
    </row>
    <row r="163">
      <c r="A163" s="3">
        <f>IFERROR(__xludf.DUMMYFUNCTION("""COMPUTED_VALUE"""),45162.66666666667)</f>
        <v>45162.66667</v>
      </c>
      <c r="B163" s="2">
        <f>IFERROR(__xludf.DUMMYFUNCTION("""COMPUTED_VALUE"""),332.85)</f>
        <v>332.85</v>
      </c>
      <c r="C163" s="2">
        <f>IFERROR(__xludf.DUMMYFUNCTION("""COMPUTED_VALUE"""),332.98)</f>
        <v>332.98</v>
      </c>
      <c r="D163" s="2">
        <f>IFERROR(__xludf.DUMMYFUNCTION("""COMPUTED_VALUE"""),319.96)</f>
        <v>319.96</v>
      </c>
      <c r="E163" s="2">
        <f>IFERROR(__xludf.DUMMYFUNCTION("""COMPUTED_VALUE"""),319.97)</f>
        <v>319.97</v>
      </c>
      <c r="F163" s="2">
        <f>IFERROR(__xludf.DUMMYFUNCTION("""COMPUTED_VALUE"""),2.3281434E7)</f>
        <v>23281434</v>
      </c>
    </row>
    <row r="164">
      <c r="A164" s="3">
        <f>IFERROR(__xludf.DUMMYFUNCTION("""COMPUTED_VALUE"""),45163.66666666667)</f>
        <v>45163.66667</v>
      </c>
      <c r="B164" s="2">
        <f>IFERROR(__xludf.DUMMYFUNCTION("""COMPUTED_VALUE"""),321.47)</f>
        <v>321.47</v>
      </c>
      <c r="C164" s="2">
        <f>IFERROR(__xludf.DUMMYFUNCTION("""COMPUTED_VALUE"""),325.36)</f>
        <v>325.36</v>
      </c>
      <c r="D164" s="2">
        <f>IFERROR(__xludf.DUMMYFUNCTION("""COMPUTED_VALUE"""),318.8)</f>
        <v>318.8</v>
      </c>
      <c r="E164" s="2">
        <f>IFERROR(__xludf.DUMMYFUNCTION("""COMPUTED_VALUE"""),322.98)</f>
        <v>322.98</v>
      </c>
      <c r="F164" s="2">
        <f>IFERROR(__xludf.DUMMYFUNCTION("""COMPUTED_VALUE"""),2.1684104E7)</f>
        <v>21684104</v>
      </c>
    </row>
    <row r="165">
      <c r="A165" s="3">
        <f>IFERROR(__xludf.DUMMYFUNCTION("""COMPUTED_VALUE"""),45166.66666666667)</f>
        <v>45166.66667</v>
      </c>
      <c r="B165" s="2">
        <f>IFERROR(__xludf.DUMMYFUNCTION("""COMPUTED_VALUE"""),325.66)</f>
        <v>325.66</v>
      </c>
      <c r="C165" s="2">
        <f>IFERROR(__xludf.DUMMYFUNCTION("""COMPUTED_VALUE"""),326.15)</f>
        <v>326.15</v>
      </c>
      <c r="D165" s="2">
        <f>IFERROR(__xludf.DUMMYFUNCTION("""COMPUTED_VALUE"""),321.72)</f>
        <v>321.72</v>
      </c>
      <c r="E165" s="2">
        <f>IFERROR(__xludf.DUMMYFUNCTION("""COMPUTED_VALUE"""),323.7)</f>
        <v>323.7</v>
      </c>
      <c r="F165" s="2">
        <f>IFERROR(__xludf.DUMMYFUNCTION("""COMPUTED_VALUE"""),1.4808482E7)</f>
        <v>14808482</v>
      </c>
    </row>
    <row r="166">
      <c r="A166" s="3">
        <f>IFERROR(__xludf.DUMMYFUNCTION("""COMPUTED_VALUE"""),45167.66666666667)</f>
        <v>45167.66667</v>
      </c>
      <c r="B166" s="2">
        <f>IFERROR(__xludf.DUMMYFUNCTION("""COMPUTED_VALUE"""),321.88)</f>
        <v>321.88</v>
      </c>
      <c r="C166" s="2">
        <f>IFERROR(__xludf.DUMMYFUNCTION("""COMPUTED_VALUE"""),328.98)</f>
        <v>328.98</v>
      </c>
      <c r="D166" s="2">
        <f>IFERROR(__xludf.DUMMYFUNCTION("""COMPUTED_VALUE"""),321.88)</f>
        <v>321.88</v>
      </c>
      <c r="E166" s="2">
        <f>IFERROR(__xludf.DUMMYFUNCTION("""COMPUTED_VALUE"""),328.41)</f>
        <v>328.41</v>
      </c>
      <c r="F166" s="2">
        <f>IFERROR(__xludf.DUMMYFUNCTION("""COMPUTED_VALUE"""),1.928459E7)</f>
        <v>19284590</v>
      </c>
    </row>
    <row r="167">
      <c r="A167" s="3">
        <f>IFERROR(__xludf.DUMMYFUNCTION("""COMPUTED_VALUE"""),45168.66666666667)</f>
        <v>45168.66667</v>
      </c>
      <c r="B167" s="2">
        <f>IFERROR(__xludf.DUMMYFUNCTION("""COMPUTED_VALUE"""),328.67)</f>
        <v>328.67</v>
      </c>
      <c r="C167" s="2">
        <f>IFERROR(__xludf.DUMMYFUNCTION("""COMPUTED_VALUE"""),329.81)</f>
        <v>329.81</v>
      </c>
      <c r="D167" s="2">
        <f>IFERROR(__xludf.DUMMYFUNCTION("""COMPUTED_VALUE"""),326.45)</f>
        <v>326.45</v>
      </c>
      <c r="E167" s="2">
        <f>IFERROR(__xludf.DUMMYFUNCTION("""COMPUTED_VALUE"""),328.79)</f>
        <v>328.79</v>
      </c>
      <c r="F167" s="2">
        <f>IFERROR(__xludf.DUMMYFUNCTION("""COMPUTED_VALUE"""),1.522211E7)</f>
        <v>15222110</v>
      </c>
    </row>
    <row r="168">
      <c r="A168" s="3">
        <f>IFERROR(__xludf.DUMMYFUNCTION("""COMPUTED_VALUE"""),45169.66666666667)</f>
        <v>45169.66667</v>
      </c>
      <c r="B168" s="2">
        <f>IFERROR(__xludf.DUMMYFUNCTION("""COMPUTED_VALUE"""),329.2)</f>
        <v>329.2</v>
      </c>
      <c r="C168" s="2">
        <f>IFERROR(__xludf.DUMMYFUNCTION("""COMPUTED_VALUE"""),330.91)</f>
        <v>330.91</v>
      </c>
      <c r="D168" s="2">
        <f>IFERROR(__xludf.DUMMYFUNCTION("""COMPUTED_VALUE"""),326.78)</f>
        <v>326.78</v>
      </c>
      <c r="E168" s="2">
        <f>IFERROR(__xludf.DUMMYFUNCTION("""COMPUTED_VALUE"""),327.76)</f>
        <v>327.76</v>
      </c>
      <c r="F168" s="2">
        <f>IFERROR(__xludf.DUMMYFUNCTION("""COMPUTED_VALUE"""),2.6410954E7)</f>
        <v>26410954</v>
      </c>
    </row>
    <row r="169">
      <c r="A169" s="3">
        <f>IFERROR(__xludf.DUMMYFUNCTION("""COMPUTED_VALUE"""),45170.66666666667)</f>
        <v>45170.66667</v>
      </c>
      <c r="B169" s="2">
        <f>IFERROR(__xludf.DUMMYFUNCTION("""COMPUTED_VALUE"""),331.31)</f>
        <v>331.31</v>
      </c>
      <c r="C169" s="2">
        <f>IFERROR(__xludf.DUMMYFUNCTION("""COMPUTED_VALUE"""),331.99)</f>
        <v>331.99</v>
      </c>
      <c r="D169" s="2">
        <f>IFERROR(__xludf.DUMMYFUNCTION("""COMPUTED_VALUE"""),326.78)</f>
        <v>326.78</v>
      </c>
      <c r="E169" s="2">
        <f>IFERROR(__xludf.DUMMYFUNCTION("""COMPUTED_VALUE"""),328.66)</f>
        <v>328.66</v>
      </c>
      <c r="F169" s="2">
        <f>IFERROR(__xludf.DUMMYFUNCTION("""COMPUTED_VALUE"""),1.4942024E7)</f>
        <v>14942024</v>
      </c>
    </row>
    <row r="170">
      <c r="A170" s="3">
        <f>IFERROR(__xludf.DUMMYFUNCTION("""COMPUTED_VALUE"""),45174.66666666667)</f>
        <v>45174.66667</v>
      </c>
      <c r="B170" s="2">
        <f>IFERROR(__xludf.DUMMYFUNCTION("""COMPUTED_VALUE"""),329.0)</f>
        <v>329</v>
      </c>
      <c r="C170" s="2">
        <f>IFERROR(__xludf.DUMMYFUNCTION("""COMPUTED_VALUE"""),334.85)</f>
        <v>334.85</v>
      </c>
      <c r="D170" s="2">
        <f>IFERROR(__xludf.DUMMYFUNCTION("""COMPUTED_VALUE"""),328.66)</f>
        <v>328.66</v>
      </c>
      <c r="E170" s="2">
        <f>IFERROR(__xludf.DUMMYFUNCTION("""COMPUTED_VALUE"""),333.55)</f>
        <v>333.55</v>
      </c>
      <c r="F170" s="2">
        <f>IFERROR(__xludf.DUMMYFUNCTION("""COMPUTED_VALUE"""),1.8553859E7)</f>
        <v>18553859</v>
      </c>
    </row>
    <row r="171">
      <c r="A171" s="3">
        <f>IFERROR(__xludf.DUMMYFUNCTION("""COMPUTED_VALUE"""),45175.66666666667)</f>
        <v>45175.66667</v>
      </c>
      <c r="B171" s="2">
        <f>IFERROR(__xludf.DUMMYFUNCTION("""COMPUTED_VALUE"""),333.38)</f>
        <v>333.38</v>
      </c>
      <c r="C171" s="2">
        <f>IFERROR(__xludf.DUMMYFUNCTION("""COMPUTED_VALUE"""),334.46)</f>
        <v>334.46</v>
      </c>
      <c r="D171" s="2">
        <f>IFERROR(__xludf.DUMMYFUNCTION("""COMPUTED_VALUE"""),330.18)</f>
        <v>330.18</v>
      </c>
      <c r="E171" s="2">
        <f>IFERROR(__xludf.DUMMYFUNCTION("""COMPUTED_VALUE"""),332.88)</f>
        <v>332.88</v>
      </c>
      <c r="F171" s="2">
        <f>IFERROR(__xludf.DUMMYFUNCTION("""COMPUTED_VALUE"""),1.7535773E7)</f>
        <v>17535773</v>
      </c>
    </row>
    <row r="172">
      <c r="A172" s="3">
        <f>IFERROR(__xludf.DUMMYFUNCTION("""COMPUTED_VALUE"""),45176.66666666667)</f>
        <v>45176.66667</v>
      </c>
      <c r="B172" s="2">
        <f>IFERROR(__xludf.DUMMYFUNCTION("""COMPUTED_VALUE"""),331.29)</f>
        <v>331.29</v>
      </c>
      <c r="C172" s="2">
        <f>IFERROR(__xludf.DUMMYFUNCTION("""COMPUTED_VALUE"""),333.08)</f>
        <v>333.08</v>
      </c>
      <c r="D172" s="2">
        <f>IFERROR(__xludf.DUMMYFUNCTION("""COMPUTED_VALUE"""),329.03)</f>
        <v>329.03</v>
      </c>
      <c r="E172" s="2">
        <f>IFERROR(__xludf.DUMMYFUNCTION("""COMPUTED_VALUE"""),329.91)</f>
        <v>329.91</v>
      </c>
      <c r="F172" s="2">
        <f>IFERROR(__xludf.DUMMYFUNCTION("""COMPUTED_VALUE"""),1.8380995E7)</f>
        <v>18380995</v>
      </c>
    </row>
    <row r="173">
      <c r="A173" s="3">
        <f>IFERROR(__xludf.DUMMYFUNCTION("""COMPUTED_VALUE"""),45177.66666666667)</f>
        <v>45177.66667</v>
      </c>
      <c r="B173" s="2">
        <f>IFERROR(__xludf.DUMMYFUNCTION("""COMPUTED_VALUE"""),330.09)</f>
        <v>330.09</v>
      </c>
      <c r="C173" s="2">
        <f>IFERROR(__xludf.DUMMYFUNCTION("""COMPUTED_VALUE"""),336.16)</f>
        <v>336.16</v>
      </c>
      <c r="D173" s="2">
        <f>IFERROR(__xludf.DUMMYFUNCTION("""COMPUTED_VALUE"""),329.46)</f>
        <v>329.46</v>
      </c>
      <c r="E173" s="2">
        <f>IFERROR(__xludf.DUMMYFUNCTION("""COMPUTED_VALUE"""),334.27)</f>
        <v>334.27</v>
      </c>
      <c r="F173" s="2">
        <f>IFERROR(__xludf.DUMMYFUNCTION("""COMPUTED_VALUE"""),1.9548165E7)</f>
        <v>19548165</v>
      </c>
    </row>
    <row r="174">
      <c r="A174" s="3">
        <f>IFERROR(__xludf.DUMMYFUNCTION("""COMPUTED_VALUE"""),45180.66666666667)</f>
        <v>45180.66667</v>
      </c>
      <c r="B174" s="2">
        <f>IFERROR(__xludf.DUMMYFUNCTION("""COMPUTED_VALUE"""),337.24)</f>
        <v>337.24</v>
      </c>
      <c r="C174" s="2">
        <f>IFERROR(__xludf.DUMMYFUNCTION("""COMPUTED_VALUE"""),338.42)</f>
        <v>338.42</v>
      </c>
      <c r="D174" s="2">
        <f>IFERROR(__xludf.DUMMYFUNCTION("""COMPUTED_VALUE"""),335.43)</f>
        <v>335.43</v>
      </c>
      <c r="E174" s="2">
        <f>IFERROR(__xludf.DUMMYFUNCTION("""COMPUTED_VALUE"""),337.94)</f>
        <v>337.94</v>
      </c>
      <c r="F174" s="2">
        <f>IFERROR(__xludf.DUMMYFUNCTION("""COMPUTED_VALUE"""),1.6583324E7)</f>
        <v>16583324</v>
      </c>
    </row>
    <row r="175">
      <c r="A175" s="3">
        <f>IFERROR(__xludf.DUMMYFUNCTION("""COMPUTED_VALUE"""),45181.66666666667)</f>
        <v>45181.66667</v>
      </c>
      <c r="B175" s="2">
        <f>IFERROR(__xludf.DUMMYFUNCTION("""COMPUTED_VALUE"""),335.82)</f>
        <v>335.82</v>
      </c>
      <c r="C175" s="2">
        <f>IFERROR(__xludf.DUMMYFUNCTION("""COMPUTED_VALUE"""),336.79)</f>
        <v>336.79</v>
      </c>
      <c r="D175" s="2">
        <f>IFERROR(__xludf.DUMMYFUNCTION("""COMPUTED_VALUE"""),331.48)</f>
        <v>331.48</v>
      </c>
      <c r="E175" s="2">
        <f>IFERROR(__xludf.DUMMYFUNCTION("""COMPUTED_VALUE"""),331.77)</f>
        <v>331.77</v>
      </c>
      <c r="F175" s="2">
        <f>IFERROR(__xludf.DUMMYFUNCTION("""COMPUTED_VALUE"""),1.7565482E7)</f>
        <v>17565482</v>
      </c>
    </row>
    <row r="176">
      <c r="A176" s="3">
        <f>IFERROR(__xludf.DUMMYFUNCTION("""COMPUTED_VALUE"""),45182.66666666667)</f>
        <v>45182.66667</v>
      </c>
      <c r="B176" s="2">
        <f>IFERROR(__xludf.DUMMYFUNCTION("""COMPUTED_VALUE"""),331.31)</f>
        <v>331.31</v>
      </c>
      <c r="C176" s="2">
        <f>IFERROR(__xludf.DUMMYFUNCTION("""COMPUTED_VALUE"""),336.85)</f>
        <v>336.85</v>
      </c>
      <c r="D176" s="2">
        <f>IFERROR(__xludf.DUMMYFUNCTION("""COMPUTED_VALUE"""),331.17)</f>
        <v>331.17</v>
      </c>
      <c r="E176" s="2">
        <f>IFERROR(__xludf.DUMMYFUNCTION("""COMPUTED_VALUE"""),336.06)</f>
        <v>336.06</v>
      </c>
      <c r="F176" s="2">
        <f>IFERROR(__xludf.DUMMYFUNCTION("""COMPUTED_VALUE"""),1.6544412E7)</f>
        <v>16544412</v>
      </c>
    </row>
    <row r="177">
      <c r="A177" s="3">
        <f>IFERROR(__xludf.DUMMYFUNCTION("""COMPUTED_VALUE"""),45183.66666666667)</f>
        <v>45183.66667</v>
      </c>
      <c r="B177" s="2">
        <f>IFERROR(__xludf.DUMMYFUNCTION("""COMPUTED_VALUE"""),339.15)</f>
        <v>339.15</v>
      </c>
      <c r="C177" s="2">
        <f>IFERROR(__xludf.DUMMYFUNCTION("""COMPUTED_VALUE"""),340.86)</f>
        <v>340.86</v>
      </c>
      <c r="D177" s="2">
        <f>IFERROR(__xludf.DUMMYFUNCTION("""COMPUTED_VALUE"""),336.57)</f>
        <v>336.57</v>
      </c>
      <c r="E177" s="2">
        <f>IFERROR(__xludf.DUMMYFUNCTION("""COMPUTED_VALUE"""),338.7)</f>
        <v>338.7</v>
      </c>
      <c r="F177" s="2">
        <f>IFERROR(__xludf.DUMMYFUNCTION("""COMPUTED_VALUE"""),2.0267048E7)</f>
        <v>20267048</v>
      </c>
    </row>
    <row r="178">
      <c r="A178" s="3">
        <f>IFERROR(__xludf.DUMMYFUNCTION("""COMPUTED_VALUE"""),45184.66666666667)</f>
        <v>45184.66667</v>
      </c>
      <c r="B178" s="2">
        <f>IFERROR(__xludf.DUMMYFUNCTION("""COMPUTED_VALUE"""),336.92)</f>
        <v>336.92</v>
      </c>
      <c r="C178" s="2">
        <f>IFERROR(__xludf.DUMMYFUNCTION("""COMPUTED_VALUE"""),337.4)</f>
        <v>337.4</v>
      </c>
      <c r="D178" s="2">
        <f>IFERROR(__xludf.DUMMYFUNCTION("""COMPUTED_VALUE"""),329.65)</f>
        <v>329.65</v>
      </c>
      <c r="E178" s="2">
        <f>IFERROR(__xludf.DUMMYFUNCTION("""COMPUTED_VALUE"""),330.22)</f>
        <v>330.22</v>
      </c>
      <c r="F178" s="2">
        <f>IFERROR(__xludf.DUMMYFUNCTION("""COMPUTED_VALUE"""),3.7679792E7)</f>
        <v>37679792</v>
      </c>
    </row>
    <row r="179">
      <c r="A179" s="3">
        <f>IFERROR(__xludf.DUMMYFUNCTION("""COMPUTED_VALUE"""),45187.66666666667)</f>
        <v>45187.66667</v>
      </c>
      <c r="B179" s="2">
        <f>IFERROR(__xludf.DUMMYFUNCTION("""COMPUTED_VALUE"""),327.8)</f>
        <v>327.8</v>
      </c>
      <c r="C179" s="2">
        <f>IFERROR(__xludf.DUMMYFUNCTION("""COMPUTED_VALUE"""),330.4)</f>
        <v>330.4</v>
      </c>
      <c r="D179" s="2">
        <f>IFERROR(__xludf.DUMMYFUNCTION("""COMPUTED_VALUE"""),326.36)</f>
        <v>326.36</v>
      </c>
      <c r="E179" s="2">
        <f>IFERROR(__xludf.DUMMYFUNCTION("""COMPUTED_VALUE"""),329.06)</f>
        <v>329.06</v>
      </c>
      <c r="F179" s="2">
        <f>IFERROR(__xludf.DUMMYFUNCTION("""COMPUTED_VALUE"""),1.6834208E7)</f>
        <v>16834208</v>
      </c>
    </row>
    <row r="180">
      <c r="A180" s="3">
        <f>IFERROR(__xludf.DUMMYFUNCTION("""COMPUTED_VALUE"""),45188.66666666667)</f>
        <v>45188.66667</v>
      </c>
      <c r="B180" s="2">
        <f>IFERROR(__xludf.DUMMYFUNCTION("""COMPUTED_VALUE"""),326.17)</f>
        <v>326.17</v>
      </c>
      <c r="C180" s="2">
        <f>IFERROR(__xludf.DUMMYFUNCTION("""COMPUTED_VALUE"""),329.39)</f>
        <v>329.39</v>
      </c>
      <c r="D180" s="2">
        <f>IFERROR(__xludf.DUMMYFUNCTION("""COMPUTED_VALUE"""),324.51)</f>
        <v>324.51</v>
      </c>
      <c r="E180" s="2">
        <f>IFERROR(__xludf.DUMMYFUNCTION("""COMPUTED_VALUE"""),328.65)</f>
        <v>328.65</v>
      </c>
      <c r="F180" s="2">
        <f>IFERROR(__xludf.DUMMYFUNCTION("""COMPUTED_VALUE"""),1.6514487E7)</f>
        <v>16514487</v>
      </c>
    </row>
    <row r="181">
      <c r="A181" s="3">
        <f>IFERROR(__xludf.DUMMYFUNCTION("""COMPUTED_VALUE"""),45189.66666666667)</f>
        <v>45189.66667</v>
      </c>
      <c r="B181" s="2">
        <f>IFERROR(__xludf.DUMMYFUNCTION("""COMPUTED_VALUE"""),329.51)</f>
        <v>329.51</v>
      </c>
      <c r="C181" s="2">
        <f>IFERROR(__xludf.DUMMYFUNCTION("""COMPUTED_VALUE"""),329.59)</f>
        <v>329.59</v>
      </c>
      <c r="D181" s="2">
        <f>IFERROR(__xludf.DUMMYFUNCTION("""COMPUTED_VALUE"""),320.51)</f>
        <v>320.51</v>
      </c>
      <c r="E181" s="2">
        <f>IFERROR(__xludf.DUMMYFUNCTION("""COMPUTED_VALUE"""),320.77)</f>
        <v>320.77</v>
      </c>
      <c r="F181" s="2">
        <f>IFERROR(__xludf.DUMMYFUNCTION("""COMPUTED_VALUE"""),2.1436525E7)</f>
        <v>21436525</v>
      </c>
    </row>
    <row r="182">
      <c r="A182" s="3">
        <f>IFERROR(__xludf.DUMMYFUNCTION("""COMPUTED_VALUE"""),45190.66666666667)</f>
        <v>45190.66667</v>
      </c>
      <c r="B182" s="2">
        <f>IFERROR(__xludf.DUMMYFUNCTION("""COMPUTED_VALUE"""),319.26)</f>
        <v>319.26</v>
      </c>
      <c r="C182" s="2">
        <f>IFERROR(__xludf.DUMMYFUNCTION("""COMPUTED_VALUE"""),325.35)</f>
        <v>325.35</v>
      </c>
      <c r="D182" s="2">
        <f>IFERROR(__xludf.DUMMYFUNCTION("""COMPUTED_VALUE"""),315.0)</f>
        <v>315</v>
      </c>
      <c r="E182" s="2">
        <f>IFERROR(__xludf.DUMMYFUNCTION("""COMPUTED_VALUE"""),319.53)</f>
        <v>319.53</v>
      </c>
      <c r="F182" s="2">
        <f>IFERROR(__xludf.DUMMYFUNCTION("""COMPUTED_VALUE"""),3.5560362E7)</f>
        <v>35560362</v>
      </c>
    </row>
    <row r="183">
      <c r="A183" s="3">
        <f>IFERROR(__xludf.DUMMYFUNCTION("""COMPUTED_VALUE"""),45191.66666666667)</f>
        <v>45191.66667</v>
      </c>
      <c r="B183" s="2">
        <f>IFERROR(__xludf.DUMMYFUNCTION("""COMPUTED_VALUE"""),321.32)</f>
        <v>321.32</v>
      </c>
      <c r="C183" s="2">
        <f>IFERROR(__xludf.DUMMYFUNCTION("""COMPUTED_VALUE"""),321.45)</f>
        <v>321.45</v>
      </c>
      <c r="D183" s="2">
        <f>IFERROR(__xludf.DUMMYFUNCTION("""COMPUTED_VALUE"""),316.15)</f>
        <v>316.15</v>
      </c>
      <c r="E183" s="2">
        <f>IFERROR(__xludf.DUMMYFUNCTION("""COMPUTED_VALUE"""),317.01)</f>
        <v>317.01</v>
      </c>
      <c r="F183" s="2">
        <f>IFERROR(__xludf.DUMMYFUNCTION("""COMPUTED_VALUE"""),2.1447887E7)</f>
        <v>21447887</v>
      </c>
    </row>
    <row r="184">
      <c r="A184" s="3">
        <f>IFERROR(__xludf.DUMMYFUNCTION("""COMPUTED_VALUE"""),45194.66666666667)</f>
        <v>45194.66667</v>
      </c>
      <c r="B184" s="2">
        <f>IFERROR(__xludf.DUMMYFUNCTION("""COMPUTED_VALUE"""),316.59)</f>
        <v>316.59</v>
      </c>
      <c r="C184" s="2">
        <f>IFERROR(__xludf.DUMMYFUNCTION("""COMPUTED_VALUE"""),317.67)</f>
        <v>317.67</v>
      </c>
      <c r="D184" s="2">
        <f>IFERROR(__xludf.DUMMYFUNCTION("""COMPUTED_VALUE"""),315.0)</f>
        <v>315</v>
      </c>
      <c r="E184" s="2">
        <f>IFERROR(__xludf.DUMMYFUNCTION("""COMPUTED_VALUE"""),317.54)</f>
        <v>317.54</v>
      </c>
      <c r="F184" s="2">
        <f>IFERROR(__xludf.DUMMYFUNCTION("""COMPUTED_VALUE"""),1.7835964E7)</f>
        <v>17835964</v>
      </c>
    </row>
    <row r="185">
      <c r="A185" s="3">
        <f>IFERROR(__xludf.DUMMYFUNCTION("""COMPUTED_VALUE"""),45195.66666666667)</f>
        <v>45195.66667</v>
      </c>
      <c r="B185" s="2">
        <f>IFERROR(__xludf.DUMMYFUNCTION("""COMPUTED_VALUE"""),315.13)</f>
        <v>315.13</v>
      </c>
      <c r="C185" s="2">
        <f>IFERROR(__xludf.DUMMYFUNCTION("""COMPUTED_VALUE"""),315.88)</f>
        <v>315.88</v>
      </c>
      <c r="D185" s="2">
        <f>IFERROR(__xludf.DUMMYFUNCTION("""COMPUTED_VALUE"""),310.02)</f>
        <v>310.02</v>
      </c>
      <c r="E185" s="2">
        <f>IFERROR(__xludf.DUMMYFUNCTION("""COMPUTED_VALUE"""),312.14)</f>
        <v>312.14</v>
      </c>
      <c r="F185" s="2">
        <f>IFERROR(__xludf.DUMMYFUNCTION("""COMPUTED_VALUE"""),2.6297573E7)</f>
        <v>26297573</v>
      </c>
    </row>
    <row r="186">
      <c r="A186" s="3">
        <f>IFERROR(__xludf.DUMMYFUNCTION("""COMPUTED_VALUE"""),45196.66666666667)</f>
        <v>45196.66667</v>
      </c>
      <c r="B186" s="2">
        <f>IFERROR(__xludf.DUMMYFUNCTION("""COMPUTED_VALUE"""),312.3)</f>
        <v>312.3</v>
      </c>
      <c r="C186" s="2">
        <f>IFERROR(__xludf.DUMMYFUNCTION("""COMPUTED_VALUE"""),314.3)</f>
        <v>314.3</v>
      </c>
      <c r="D186" s="2">
        <f>IFERROR(__xludf.DUMMYFUNCTION("""COMPUTED_VALUE"""),309.69)</f>
        <v>309.69</v>
      </c>
      <c r="E186" s="2">
        <f>IFERROR(__xludf.DUMMYFUNCTION("""COMPUTED_VALUE"""),312.79)</f>
        <v>312.79</v>
      </c>
      <c r="F186" s="2">
        <f>IFERROR(__xludf.DUMMYFUNCTION("""COMPUTED_VALUE"""),1.9410082E7)</f>
        <v>19410082</v>
      </c>
    </row>
    <row r="187">
      <c r="A187" s="3">
        <f>IFERROR(__xludf.DUMMYFUNCTION("""COMPUTED_VALUE"""),45197.66666666667)</f>
        <v>45197.66667</v>
      </c>
      <c r="B187" s="2">
        <f>IFERROR(__xludf.DUMMYFUNCTION("""COMPUTED_VALUE"""),310.99)</f>
        <v>310.99</v>
      </c>
      <c r="C187" s="2">
        <f>IFERROR(__xludf.DUMMYFUNCTION("""COMPUTED_VALUE"""),315.48)</f>
        <v>315.48</v>
      </c>
      <c r="D187" s="2">
        <f>IFERROR(__xludf.DUMMYFUNCTION("""COMPUTED_VALUE"""),309.45)</f>
        <v>309.45</v>
      </c>
      <c r="E187" s="2">
        <f>IFERROR(__xludf.DUMMYFUNCTION("""COMPUTED_VALUE"""),313.64)</f>
        <v>313.64</v>
      </c>
      <c r="F187" s="2">
        <f>IFERROR(__xludf.DUMMYFUNCTION("""COMPUTED_VALUE"""),1.9683564E7)</f>
        <v>19683564</v>
      </c>
    </row>
    <row r="188">
      <c r="A188" s="3">
        <f>IFERROR(__xludf.DUMMYFUNCTION("""COMPUTED_VALUE"""),45198.66666666667)</f>
        <v>45198.66667</v>
      </c>
      <c r="B188" s="2">
        <f>IFERROR(__xludf.DUMMYFUNCTION("""COMPUTED_VALUE"""),317.75)</f>
        <v>317.75</v>
      </c>
      <c r="C188" s="2">
        <f>IFERROR(__xludf.DUMMYFUNCTION("""COMPUTED_VALUE"""),319.47)</f>
        <v>319.47</v>
      </c>
      <c r="D188" s="2">
        <f>IFERROR(__xludf.DUMMYFUNCTION("""COMPUTED_VALUE"""),314.98)</f>
        <v>314.98</v>
      </c>
      <c r="E188" s="2">
        <f>IFERROR(__xludf.DUMMYFUNCTION("""COMPUTED_VALUE"""),315.75)</f>
        <v>315.75</v>
      </c>
      <c r="F188" s="2">
        <f>IFERROR(__xludf.DUMMYFUNCTION("""COMPUTED_VALUE"""),2.4147298E7)</f>
        <v>24147298</v>
      </c>
    </row>
    <row r="189">
      <c r="A189" s="3">
        <f>IFERROR(__xludf.DUMMYFUNCTION("""COMPUTED_VALUE"""),45201.66666666667)</f>
        <v>45201.66667</v>
      </c>
      <c r="B189" s="2">
        <f>IFERROR(__xludf.DUMMYFUNCTION("""COMPUTED_VALUE"""),316.28)</f>
        <v>316.28</v>
      </c>
      <c r="C189" s="2">
        <f>IFERROR(__xludf.DUMMYFUNCTION("""COMPUTED_VALUE"""),321.89)</f>
        <v>321.89</v>
      </c>
      <c r="D189" s="2">
        <f>IFERROR(__xludf.DUMMYFUNCTION("""COMPUTED_VALUE"""),315.18)</f>
        <v>315.18</v>
      </c>
      <c r="E189" s="2">
        <f>IFERROR(__xludf.DUMMYFUNCTION("""COMPUTED_VALUE"""),321.8)</f>
        <v>321.8</v>
      </c>
      <c r="F189" s="2">
        <f>IFERROR(__xludf.DUMMYFUNCTION("""COMPUTED_VALUE"""),2.0570006E7)</f>
        <v>20570006</v>
      </c>
    </row>
    <row r="190">
      <c r="A190" s="3">
        <f>IFERROR(__xludf.DUMMYFUNCTION("""COMPUTED_VALUE"""),45202.66666666667)</f>
        <v>45202.66667</v>
      </c>
      <c r="B190" s="2">
        <f>IFERROR(__xludf.DUMMYFUNCTION("""COMPUTED_VALUE"""),320.83)</f>
        <v>320.83</v>
      </c>
      <c r="C190" s="2">
        <f>IFERROR(__xludf.DUMMYFUNCTION("""COMPUTED_VALUE"""),321.39)</f>
        <v>321.39</v>
      </c>
      <c r="D190" s="2">
        <f>IFERROR(__xludf.DUMMYFUNCTION("""COMPUTED_VALUE"""),311.21)</f>
        <v>311.21</v>
      </c>
      <c r="E190" s="2">
        <f>IFERROR(__xludf.DUMMYFUNCTION("""COMPUTED_VALUE"""),313.39)</f>
        <v>313.39</v>
      </c>
      <c r="F190" s="2">
        <f>IFERROR(__xludf.DUMMYFUNCTION("""COMPUTED_VALUE"""),2.1033492E7)</f>
        <v>21033492</v>
      </c>
    </row>
    <row r="191">
      <c r="A191" s="3">
        <f>IFERROR(__xludf.DUMMYFUNCTION("""COMPUTED_VALUE"""),45203.66666666667)</f>
        <v>45203.66667</v>
      </c>
      <c r="B191" s="2">
        <f>IFERROR(__xludf.DUMMYFUNCTION("""COMPUTED_VALUE"""),314.03)</f>
        <v>314.03</v>
      </c>
      <c r="C191" s="2">
        <f>IFERROR(__xludf.DUMMYFUNCTION("""COMPUTED_VALUE"""),320.04)</f>
        <v>320.04</v>
      </c>
      <c r="D191" s="2">
        <f>IFERROR(__xludf.DUMMYFUNCTION("""COMPUTED_VALUE"""),314.0)</f>
        <v>314</v>
      </c>
      <c r="E191" s="2">
        <f>IFERROR(__xludf.DUMMYFUNCTION("""COMPUTED_VALUE"""),318.96)</f>
        <v>318.96</v>
      </c>
      <c r="F191" s="2">
        <f>IFERROR(__xludf.DUMMYFUNCTION("""COMPUTED_VALUE"""),2.0720144E7)</f>
        <v>20720144</v>
      </c>
    </row>
    <row r="192">
      <c r="A192" s="3">
        <f>IFERROR(__xludf.DUMMYFUNCTION("""COMPUTED_VALUE"""),45204.66666666667)</f>
        <v>45204.66667</v>
      </c>
      <c r="B192" s="2">
        <f>IFERROR(__xludf.DUMMYFUNCTION("""COMPUTED_VALUE"""),319.09)</f>
        <v>319.09</v>
      </c>
      <c r="C192" s="2">
        <f>IFERROR(__xludf.DUMMYFUNCTION("""COMPUTED_VALUE"""),319.98)</f>
        <v>319.98</v>
      </c>
      <c r="D192" s="2">
        <f>IFERROR(__xludf.DUMMYFUNCTION("""COMPUTED_VALUE"""),314.9)</f>
        <v>314.9</v>
      </c>
      <c r="E192" s="2">
        <f>IFERROR(__xludf.DUMMYFUNCTION("""COMPUTED_VALUE"""),319.36)</f>
        <v>319.36</v>
      </c>
      <c r="F192" s="2">
        <f>IFERROR(__xludf.DUMMYFUNCTION("""COMPUTED_VALUE"""),1.6965629E7)</f>
        <v>16965629</v>
      </c>
    </row>
    <row r="193">
      <c r="A193" s="3">
        <f>IFERROR(__xludf.DUMMYFUNCTION("""COMPUTED_VALUE"""),45205.66666666667)</f>
        <v>45205.66667</v>
      </c>
      <c r="B193" s="2">
        <f>IFERROR(__xludf.DUMMYFUNCTION("""COMPUTED_VALUE"""),316.55)</f>
        <v>316.55</v>
      </c>
      <c r="C193" s="2">
        <f>IFERROR(__xludf.DUMMYFUNCTION("""COMPUTED_VALUE"""),329.19)</f>
        <v>329.19</v>
      </c>
      <c r="D193" s="2">
        <f>IFERROR(__xludf.DUMMYFUNCTION("""COMPUTED_VALUE"""),316.3)</f>
        <v>316.3</v>
      </c>
      <c r="E193" s="2">
        <f>IFERROR(__xludf.DUMMYFUNCTION("""COMPUTED_VALUE"""),327.26)</f>
        <v>327.26</v>
      </c>
      <c r="F193" s="2">
        <f>IFERROR(__xludf.DUMMYFUNCTION("""COMPUTED_VALUE"""),2.567363E7)</f>
        <v>25673630</v>
      </c>
    </row>
    <row r="194">
      <c r="A194" s="3">
        <f>IFERROR(__xludf.DUMMYFUNCTION("""COMPUTED_VALUE"""),45208.66666666667)</f>
        <v>45208.66667</v>
      </c>
      <c r="B194" s="2">
        <f>IFERROR(__xludf.DUMMYFUNCTION("""COMPUTED_VALUE"""),324.75)</f>
        <v>324.75</v>
      </c>
      <c r="C194" s="2">
        <f>IFERROR(__xludf.DUMMYFUNCTION("""COMPUTED_VALUE"""),330.3)</f>
        <v>330.3</v>
      </c>
      <c r="D194" s="2">
        <f>IFERROR(__xludf.DUMMYFUNCTION("""COMPUTED_VALUE"""),323.18)</f>
        <v>323.18</v>
      </c>
      <c r="E194" s="2">
        <f>IFERROR(__xludf.DUMMYFUNCTION("""COMPUTED_VALUE"""),329.82)</f>
        <v>329.82</v>
      </c>
      <c r="F194" s="2">
        <f>IFERROR(__xludf.DUMMYFUNCTION("""COMPUTED_VALUE"""),1.989118E7)</f>
        <v>19891180</v>
      </c>
    </row>
    <row r="195">
      <c r="A195" s="3">
        <f>IFERROR(__xludf.DUMMYFUNCTION("""COMPUTED_VALUE"""),45209.66666666667)</f>
        <v>45209.66667</v>
      </c>
      <c r="B195" s="2">
        <f>IFERROR(__xludf.DUMMYFUNCTION("""COMPUTED_VALUE"""),330.96)</f>
        <v>330.96</v>
      </c>
      <c r="C195" s="2">
        <f>IFERROR(__xludf.DUMMYFUNCTION("""COMPUTED_VALUE"""),331.1)</f>
        <v>331.1</v>
      </c>
      <c r="D195" s="2">
        <f>IFERROR(__xludf.DUMMYFUNCTION("""COMPUTED_VALUE"""),327.67)</f>
        <v>327.67</v>
      </c>
      <c r="E195" s="2">
        <f>IFERROR(__xludf.DUMMYFUNCTION("""COMPUTED_VALUE"""),328.39)</f>
        <v>328.39</v>
      </c>
      <c r="F195" s="2">
        <f>IFERROR(__xludf.DUMMYFUNCTION("""COMPUTED_VALUE"""),2.0557094E7)</f>
        <v>20557094</v>
      </c>
    </row>
    <row r="196">
      <c r="A196" s="3">
        <f>IFERROR(__xludf.DUMMYFUNCTION("""COMPUTED_VALUE"""),45210.66666666667)</f>
        <v>45210.66667</v>
      </c>
      <c r="B196" s="2">
        <f>IFERROR(__xludf.DUMMYFUNCTION("""COMPUTED_VALUE"""),331.21)</f>
        <v>331.21</v>
      </c>
      <c r="C196" s="2">
        <f>IFERROR(__xludf.DUMMYFUNCTION("""COMPUTED_VALUE"""),332.82)</f>
        <v>332.82</v>
      </c>
      <c r="D196" s="2">
        <f>IFERROR(__xludf.DUMMYFUNCTION("""COMPUTED_VALUE"""),329.14)</f>
        <v>329.14</v>
      </c>
      <c r="E196" s="2">
        <f>IFERROR(__xludf.DUMMYFUNCTION("""COMPUTED_VALUE"""),332.42)</f>
        <v>332.42</v>
      </c>
      <c r="F196" s="2">
        <f>IFERROR(__xludf.DUMMYFUNCTION("""COMPUTED_VALUE"""),2.0063246E7)</f>
        <v>20063246</v>
      </c>
    </row>
    <row r="197">
      <c r="A197" s="3">
        <f>IFERROR(__xludf.DUMMYFUNCTION("""COMPUTED_VALUE"""),45211.66666666667)</f>
        <v>45211.66667</v>
      </c>
      <c r="B197" s="2">
        <f>IFERROR(__xludf.DUMMYFUNCTION("""COMPUTED_VALUE"""),330.57)</f>
        <v>330.57</v>
      </c>
      <c r="C197" s="2">
        <f>IFERROR(__xludf.DUMMYFUNCTION("""COMPUTED_VALUE"""),333.63)</f>
        <v>333.63</v>
      </c>
      <c r="D197" s="2">
        <f>IFERROR(__xludf.DUMMYFUNCTION("""COMPUTED_VALUE"""),328.72)</f>
        <v>328.72</v>
      </c>
      <c r="E197" s="2">
        <f>IFERROR(__xludf.DUMMYFUNCTION("""COMPUTED_VALUE"""),331.16)</f>
        <v>331.16</v>
      </c>
      <c r="F197" s="2">
        <f>IFERROR(__xludf.DUMMYFUNCTION("""COMPUTED_VALUE"""),1.9313098E7)</f>
        <v>19313098</v>
      </c>
    </row>
    <row r="198">
      <c r="A198" s="3">
        <f>IFERROR(__xludf.DUMMYFUNCTION("""COMPUTED_VALUE"""),45212.66666666667)</f>
        <v>45212.66667</v>
      </c>
      <c r="B198" s="2">
        <f>IFERROR(__xludf.DUMMYFUNCTION("""COMPUTED_VALUE"""),332.38)</f>
        <v>332.38</v>
      </c>
      <c r="C198" s="2">
        <f>IFERROR(__xludf.DUMMYFUNCTION("""COMPUTED_VALUE"""),333.83)</f>
        <v>333.83</v>
      </c>
      <c r="D198" s="2">
        <f>IFERROR(__xludf.DUMMYFUNCTION("""COMPUTED_VALUE"""),326.36)</f>
        <v>326.36</v>
      </c>
      <c r="E198" s="2">
        <f>IFERROR(__xludf.DUMMYFUNCTION("""COMPUTED_VALUE"""),327.73)</f>
        <v>327.73</v>
      </c>
      <c r="F198" s="2">
        <f>IFERROR(__xludf.DUMMYFUNCTION("""COMPUTED_VALUE"""),2.1085695E7)</f>
        <v>21085695</v>
      </c>
    </row>
    <row r="199">
      <c r="A199" s="3">
        <f>IFERROR(__xludf.DUMMYFUNCTION("""COMPUTED_VALUE"""),45215.66666666667)</f>
        <v>45215.66667</v>
      </c>
      <c r="B199" s="2">
        <f>IFERROR(__xludf.DUMMYFUNCTION("""COMPUTED_VALUE"""),331.05)</f>
        <v>331.05</v>
      </c>
      <c r="C199" s="2">
        <f>IFERROR(__xludf.DUMMYFUNCTION("""COMPUTED_VALUE"""),336.14)</f>
        <v>336.14</v>
      </c>
      <c r="D199" s="2">
        <f>IFERROR(__xludf.DUMMYFUNCTION("""COMPUTED_VALUE"""),330.6)</f>
        <v>330.6</v>
      </c>
      <c r="E199" s="2">
        <f>IFERROR(__xludf.DUMMYFUNCTION("""COMPUTED_VALUE"""),332.64)</f>
        <v>332.64</v>
      </c>
      <c r="F199" s="2">
        <f>IFERROR(__xludf.DUMMYFUNCTION("""COMPUTED_VALUE"""),2.2158048E7)</f>
        <v>22158048</v>
      </c>
    </row>
    <row r="200">
      <c r="A200" s="3">
        <f>IFERROR(__xludf.DUMMYFUNCTION("""COMPUTED_VALUE"""),45216.66666666667)</f>
        <v>45216.66667</v>
      </c>
      <c r="B200" s="2">
        <f>IFERROR(__xludf.DUMMYFUNCTION("""COMPUTED_VALUE"""),329.59)</f>
        <v>329.59</v>
      </c>
      <c r="C200" s="2">
        <f>IFERROR(__xludf.DUMMYFUNCTION("""COMPUTED_VALUE"""),333.46)</f>
        <v>333.46</v>
      </c>
      <c r="D200" s="2">
        <f>IFERROR(__xludf.DUMMYFUNCTION("""COMPUTED_VALUE"""),327.41)</f>
        <v>327.41</v>
      </c>
      <c r="E200" s="2">
        <f>IFERROR(__xludf.DUMMYFUNCTION("""COMPUTED_VALUE"""),332.06)</f>
        <v>332.06</v>
      </c>
      <c r="F200" s="2">
        <f>IFERROR(__xludf.DUMMYFUNCTION("""COMPUTED_VALUE"""),1.8338523E7)</f>
        <v>18338523</v>
      </c>
    </row>
    <row r="201">
      <c r="A201" s="3">
        <f>IFERROR(__xludf.DUMMYFUNCTION("""COMPUTED_VALUE"""),45217.66666666667)</f>
        <v>45217.66667</v>
      </c>
      <c r="B201" s="2">
        <f>IFERROR(__xludf.DUMMYFUNCTION("""COMPUTED_VALUE"""),332.49)</f>
        <v>332.49</v>
      </c>
      <c r="C201" s="2">
        <f>IFERROR(__xludf.DUMMYFUNCTION("""COMPUTED_VALUE"""),335.59)</f>
        <v>335.59</v>
      </c>
      <c r="D201" s="2">
        <f>IFERROR(__xludf.DUMMYFUNCTION("""COMPUTED_VALUE"""),328.3)</f>
        <v>328.3</v>
      </c>
      <c r="E201" s="2">
        <f>IFERROR(__xludf.DUMMYFUNCTION("""COMPUTED_VALUE"""),330.11)</f>
        <v>330.11</v>
      </c>
      <c r="F201" s="2">
        <f>IFERROR(__xludf.DUMMYFUNCTION("""COMPUTED_VALUE"""),2.3153602E7)</f>
        <v>23153602</v>
      </c>
    </row>
    <row r="202">
      <c r="A202" s="3">
        <f>IFERROR(__xludf.DUMMYFUNCTION("""COMPUTED_VALUE"""),45218.66666666667)</f>
        <v>45218.66667</v>
      </c>
      <c r="B202" s="2">
        <f>IFERROR(__xludf.DUMMYFUNCTION("""COMPUTED_VALUE"""),332.15)</f>
        <v>332.15</v>
      </c>
      <c r="C202" s="2">
        <f>IFERROR(__xludf.DUMMYFUNCTION("""COMPUTED_VALUE"""),336.88)</f>
        <v>336.88</v>
      </c>
      <c r="D202" s="2">
        <f>IFERROR(__xludf.DUMMYFUNCTION("""COMPUTED_VALUE"""),330.91)</f>
        <v>330.91</v>
      </c>
      <c r="E202" s="2">
        <f>IFERROR(__xludf.DUMMYFUNCTION("""COMPUTED_VALUE"""),331.32)</f>
        <v>331.32</v>
      </c>
      <c r="F202" s="2">
        <f>IFERROR(__xludf.DUMMYFUNCTION("""COMPUTED_VALUE"""),2.5052071E7)</f>
        <v>25052071</v>
      </c>
    </row>
    <row r="203">
      <c r="A203" s="3">
        <f>IFERROR(__xludf.DUMMYFUNCTION("""COMPUTED_VALUE"""),45219.66666666667)</f>
        <v>45219.66667</v>
      </c>
      <c r="B203" s="2">
        <f>IFERROR(__xludf.DUMMYFUNCTION("""COMPUTED_VALUE"""),331.72)</f>
        <v>331.72</v>
      </c>
      <c r="C203" s="2">
        <f>IFERROR(__xludf.DUMMYFUNCTION("""COMPUTED_VALUE"""),331.92)</f>
        <v>331.92</v>
      </c>
      <c r="D203" s="2">
        <f>IFERROR(__xludf.DUMMYFUNCTION("""COMPUTED_VALUE"""),325.45)</f>
        <v>325.45</v>
      </c>
      <c r="E203" s="2">
        <f>IFERROR(__xludf.DUMMYFUNCTION("""COMPUTED_VALUE"""),326.67)</f>
        <v>326.67</v>
      </c>
      <c r="F203" s="2">
        <f>IFERROR(__xludf.DUMMYFUNCTION("""COMPUTED_VALUE"""),2.5027715E7)</f>
        <v>25027715</v>
      </c>
    </row>
    <row r="204">
      <c r="A204" s="3">
        <f>IFERROR(__xludf.DUMMYFUNCTION("""COMPUTED_VALUE"""),45222.66666666667)</f>
        <v>45222.66667</v>
      </c>
      <c r="B204" s="2">
        <f>IFERROR(__xludf.DUMMYFUNCTION("""COMPUTED_VALUE"""),325.47)</f>
        <v>325.47</v>
      </c>
      <c r="C204" s="2">
        <f>IFERROR(__xludf.DUMMYFUNCTION("""COMPUTED_VALUE"""),332.73)</f>
        <v>332.73</v>
      </c>
      <c r="D204" s="2">
        <f>IFERROR(__xludf.DUMMYFUNCTION("""COMPUTED_VALUE"""),324.39)</f>
        <v>324.39</v>
      </c>
      <c r="E204" s="2">
        <f>IFERROR(__xludf.DUMMYFUNCTION("""COMPUTED_VALUE"""),329.32)</f>
        <v>329.32</v>
      </c>
      <c r="F204" s="2">
        <f>IFERROR(__xludf.DUMMYFUNCTION("""COMPUTED_VALUE"""),2.4374748E7)</f>
        <v>24374748</v>
      </c>
    </row>
    <row r="205">
      <c r="A205" s="3">
        <f>IFERROR(__xludf.DUMMYFUNCTION("""COMPUTED_VALUE"""),45223.66666666667)</f>
        <v>45223.66667</v>
      </c>
      <c r="B205" s="2">
        <f>IFERROR(__xludf.DUMMYFUNCTION("""COMPUTED_VALUE"""),331.3)</f>
        <v>331.3</v>
      </c>
      <c r="C205" s="2">
        <f>IFERROR(__xludf.DUMMYFUNCTION("""COMPUTED_VALUE"""),331.84)</f>
        <v>331.84</v>
      </c>
      <c r="D205" s="2">
        <f>IFERROR(__xludf.DUMMYFUNCTION("""COMPUTED_VALUE"""),327.6)</f>
        <v>327.6</v>
      </c>
      <c r="E205" s="2">
        <f>IFERROR(__xludf.DUMMYFUNCTION("""COMPUTED_VALUE"""),330.53)</f>
        <v>330.53</v>
      </c>
      <c r="F205" s="2">
        <f>IFERROR(__xludf.DUMMYFUNCTION("""COMPUTED_VALUE"""),3.1153571E7)</f>
        <v>31153571</v>
      </c>
    </row>
    <row r="206">
      <c r="A206" s="3">
        <f>IFERROR(__xludf.DUMMYFUNCTION("""COMPUTED_VALUE"""),45224.66666666667)</f>
        <v>45224.66667</v>
      </c>
      <c r="B206" s="2">
        <f>IFERROR(__xludf.DUMMYFUNCTION("""COMPUTED_VALUE"""),345.02)</f>
        <v>345.02</v>
      </c>
      <c r="C206" s="2">
        <f>IFERROR(__xludf.DUMMYFUNCTION("""COMPUTED_VALUE"""),346.2)</f>
        <v>346.2</v>
      </c>
      <c r="D206" s="2">
        <f>IFERROR(__xludf.DUMMYFUNCTION("""COMPUTED_VALUE"""),337.62)</f>
        <v>337.62</v>
      </c>
      <c r="E206" s="2">
        <f>IFERROR(__xludf.DUMMYFUNCTION("""COMPUTED_VALUE"""),340.67)</f>
        <v>340.67</v>
      </c>
      <c r="F206" s="2">
        <f>IFERROR(__xludf.DUMMYFUNCTION("""COMPUTED_VALUE"""),5.5053828E7)</f>
        <v>55053828</v>
      </c>
    </row>
    <row r="207">
      <c r="A207" s="3">
        <f>IFERROR(__xludf.DUMMYFUNCTION("""COMPUTED_VALUE"""),45225.66666666667)</f>
        <v>45225.66667</v>
      </c>
      <c r="B207" s="2">
        <f>IFERROR(__xludf.DUMMYFUNCTION("""COMPUTED_VALUE"""),340.54)</f>
        <v>340.54</v>
      </c>
      <c r="C207" s="2">
        <f>IFERROR(__xludf.DUMMYFUNCTION("""COMPUTED_VALUE"""),341.63)</f>
        <v>341.63</v>
      </c>
      <c r="D207" s="2">
        <f>IFERROR(__xludf.DUMMYFUNCTION("""COMPUTED_VALUE"""),326.94)</f>
        <v>326.94</v>
      </c>
      <c r="E207" s="2">
        <f>IFERROR(__xludf.DUMMYFUNCTION("""COMPUTED_VALUE"""),327.89)</f>
        <v>327.89</v>
      </c>
      <c r="F207" s="2">
        <f>IFERROR(__xludf.DUMMYFUNCTION("""COMPUTED_VALUE"""),3.7828543E7)</f>
        <v>37828543</v>
      </c>
    </row>
    <row r="208">
      <c r="A208" s="3">
        <f>IFERROR(__xludf.DUMMYFUNCTION("""COMPUTED_VALUE"""),45226.66666666667)</f>
        <v>45226.66667</v>
      </c>
      <c r="B208" s="2">
        <f>IFERROR(__xludf.DUMMYFUNCTION("""COMPUTED_VALUE"""),330.43)</f>
        <v>330.43</v>
      </c>
      <c r="C208" s="2">
        <f>IFERROR(__xludf.DUMMYFUNCTION("""COMPUTED_VALUE"""),336.72)</f>
        <v>336.72</v>
      </c>
      <c r="D208" s="2">
        <f>IFERROR(__xludf.DUMMYFUNCTION("""COMPUTED_VALUE"""),328.4)</f>
        <v>328.4</v>
      </c>
      <c r="E208" s="2">
        <f>IFERROR(__xludf.DUMMYFUNCTION("""COMPUTED_VALUE"""),329.81)</f>
        <v>329.81</v>
      </c>
      <c r="F208" s="2">
        <f>IFERROR(__xludf.DUMMYFUNCTION("""COMPUTED_VALUE"""),2.9856522E7)</f>
        <v>29856522</v>
      </c>
    </row>
    <row r="209">
      <c r="A209" s="3">
        <f>IFERROR(__xludf.DUMMYFUNCTION("""COMPUTED_VALUE"""),45229.66666666667)</f>
        <v>45229.66667</v>
      </c>
      <c r="B209" s="2">
        <f>IFERROR(__xludf.DUMMYFUNCTION("""COMPUTED_VALUE"""),333.41)</f>
        <v>333.41</v>
      </c>
      <c r="C209" s="2">
        <f>IFERROR(__xludf.DUMMYFUNCTION("""COMPUTED_VALUE"""),339.45)</f>
        <v>339.45</v>
      </c>
      <c r="D209" s="2">
        <f>IFERROR(__xludf.DUMMYFUNCTION("""COMPUTED_VALUE"""),331.83)</f>
        <v>331.83</v>
      </c>
      <c r="E209" s="2">
        <f>IFERROR(__xludf.DUMMYFUNCTION("""COMPUTED_VALUE"""),337.31)</f>
        <v>337.31</v>
      </c>
      <c r="F209" s="2">
        <f>IFERROR(__xludf.DUMMYFUNCTION("""COMPUTED_VALUE"""),2.2828082E7)</f>
        <v>22828082</v>
      </c>
    </row>
    <row r="210">
      <c r="A210" s="3">
        <f>IFERROR(__xludf.DUMMYFUNCTION("""COMPUTED_VALUE"""),45230.66666666667)</f>
        <v>45230.66667</v>
      </c>
      <c r="B210" s="2">
        <f>IFERROR(__xludf.DUMMYFUNCTION("""COMPUTED_VALUE"""),338.85)</f>
        <v>338.85</v>
      </c>
      <c r="C210" s="2">
        <f>IFERROR(__xludf.DUMMYFUNCTION("""COMPUTED_VALUE"""),339.0)</f>
        <v>339</v>
      </c>
      <c r="D210" s="2">
        <f>IFERROR(__xludf.DUMMYFUNCTION("""COMPUTED_VALUE"""),334.69)</f>
        <v>334.69</v>
      </c>
      <c r="E210" s="2">
        <f>IFERROR(__xludf.DUMMYFUNCTION("""COMPUTED_VALUE"""),338.11)</f>
        <v>338.11</v>
      </c>
      <c r="F210" s="2">
        <f>IFERROR(__xludf.DUMMYFUNCTION("""COMPUTED_VALUE"""),2.0265282E7)</f>
        <v>20265282</v>
      </c>
    </row>
    <row r="211">
      <c r="A211" s="3">
        <f>IFERROR(__xludf.DUMMYFUNCTION("""COMPUTED_VALUE"""),45231.66666666667)</f>
        <v>45231.66667</v>
      </c>
      <c r="B211" s="2">
        <f>IFERROR(__xludf.DUMMYFUNCTION("""COMPUTED_VALUE"""),339.79)</f>
        <v>339.79</v>
      </c>
      <c r="C211" s="2">
        <f>IFERROR(__xludf.DUMMYFUNCTION("""COMPUTED_VALUE"""),347.42)</f>
        <v>347.42</v>
      </c>
      <c r="D211" s="2">
        <f>IFERROR(__xludf.DUMMYFUNCTION("""COMPUTED_VALUE"""),339.65)</f>
        <v>339.65</v>
      </c>
      <c r="E211" s="2">
        <f>IFERROR(__xludf.DUMMYFUNCTION("""COMPUTED_VALUE"""),346.07)</f>
        <v>346.07</v>
      </c>
      <c r="F211" s="2">
        <f>IFERROR(__xludf.DUMMYFUNCTION("""COMPUTED_VALUE"""),2.8158819E7)</f>
        <v>28158819</v>
      </c>
    </row>
    <row r="212">
      <c r="A212" s="3">
        <f>IFERROR(__xludf.DUMMYFUNCTION("""COMPUTED_VALUE"""),45232.66666666667)</f>
        <v>45232.66667</v>
      </c>
      <c r="B212" s="2">
        <f>IFERROR(__xludf.DUMMYFUNCTION("""COMPUTED_VALUE"""),347.24)</f>
        <v>347.24</v>
      </c>
      <c r="C212" s="2">
        <f>IFERROR(__xludf.DUMMYFUNCTION("""COMPUTED_VALUE"""),348.83)</f>
        <v>348.83</v>
      </c>
      <c r="D212" s="2">
        <f>IFERROR(__xludf.DUMMYFUNCTION("""COMPUTED_VALUE"""),344.77)</f>
        <v>344.77</v>
      </c>
      <c r="E212" s="2">
        <f>IFERROR(__xludf.DUMMYFUNCTION("""COMPUTED_VALUE"""),348.32)</f>
        <v>348.32</v>
      </c>
      <c r="F212" s="2">
        <f>IFERROR(__xludf.DUMMYFUNCTION("""COMPUTED_VALUE"""),2.4348072E7)</f>
        <v>24348072</v>
      </c>
    </row>
    <row r="213">
      <c r="A213" s="3">
        <f>IFERROR(__xludf.DUMMYFUNCTION("""COMPUTED_VALUE"""),45233.66666666667)</f>
        <v>45233.66667</v>
      </c>
      <c r="B213" s="2">
        <f>IFERROR(__xludf.DUMMYFUNCTION("""COMPUTED_VALUE"""),349.63)</f>
        <v>349.63</v>
      </c>
      <c r="C213" s="2">
        <f>IFERROR(__xludf.DUMMYFUNCTION("""COMPUTED_VALUE"""),354.39)</f>
        <v>354.39</v>
      </c>
      <c r="D213" s="2">
        <f>IFERROR(__xludf.DUMMYFUNCTION("""COMPUTED_VALUE"""),347.33)</f>
        <v>347.33</v>
      </c>
      <c r="E213" s="2">
        <f>IFERROR(__xludf.DUMMYFUNCTION("""COMPUTED_VALUE"""),352.8)</f>
        <v>352.8</v>
      </c>
      <c r="F213" s="2">
        <f>IFERROR(__xludf.DUMMYFUNCTION("""COMPUTED_VALUE"""),2.3637673E7)</f>
        <v>23637673</v>
      </c>
    </row>
    <row r="214">
      <c r="A214" s="3">
        <f>IFERROR(__xludf.DUMMYFUNCTION("""COMPUTED_VALUE"""),45236.66666666667)</f>
        <v>45236.66667</v>
      </c>
      <c r="B214" s="2">
        <f>IFERROR(__xludf.DUMMYFUNCTION("""COMPUTED_VALUE"""),353.45)</f>
        <v>353.45</v>
      </c>
      <c r="C214" s="2">
        <f>IFERROR(__xludf.DUMMYFUNCTION("""COMPUTED_VALUE"""),357.54)</f>
        <v>357.54</v>
      </c>
      <c r="D214" s="2">
        <f>IFERROR(__xludf.DUMMYFUNCTION("""COMPUTED_VALUE"""),353.35)</f>
        <v>353.35</v>
      </c>
      <c r="E214" s="2">
        <f>IFERROR(__xludf.DUMMYFUNCTION("""COMPUTED_VALUE"""),356.53)</f>
        <v>356.53</v>
      </c>
      <c r="F214" s="2">
        <f>IFERROR(__xludf.DUMMYFUNCTION("""COMPUTED_VALUE"""),2.3828301E7)</f>
        <v>23828301</v>
      </c>
    </row>
    <row r="215">
      <c r="A215" s="3">
        <f>IFERROR(__xludf.DUMMYFUNCTION("""COMPUTED_VALUE"""),45237.66666666667)</f>
        <v>45237.66667</v>
      </c>
      <c r="B215" s="2">
        <f>IFERROR(__xludf.DUMMYFUNCTION("""COMPUTED_VALUE"""),359.4)</f>
        <v>359.4</v>
      </c>
      <c r="C215" s="2">
        <f>IFERROR(__xludf.DUMMYFUNCTION("""COMPUTED_VALUE"""),362.46)</f>
        <v>362.46</v>
      </c>
      <c r="D215" s="2">
        <f>IFERROR(__xludf.DUMMYFUNCTION("""COMPUTED_VALUE"""),357.63)</f>
        <v>357.63</v>
      </c>
      <c r="E215" s="2">
        <f>IFERROR(__xludf.DUMMYFUNCTION("""COMPUTED_VALUE"""),360.53)</f>
        <v>360.53</v>
      </c>
      <c r="F215" s="2">
        <f>IFERROR(__xludf.DUMMYFUNCTION("""COMPUTED_VALUE"""),2.5833931E7)</f>
        <v>25833931</v>
      </c>
    </row>
    <row r="216">
      <c r="A216" s="3">
        <f>IFERROR(__xludf.DUMMYFUNCTION("""COMPUTED_VALUE"""),45238.66666666667)</f>
        <v>45238.66667</v>
      </c>
      <c r="B216" s="2">
        <f>IFERROR(__xludf.DUMMYFUNCTION("""COMPUTED_VALUE"""),361.68)</f>
        <v>361.68</v>
      </c>
      <c r="C216" s="2">
        <f>IFERROR(__xludf.DUMMYFUNCTION("""COMPUTED_VALUE"""),363.87)</f>
        <v>363.87</v>
      </c>
      <c r="D216" s="2">
        <f>IFERROR(__xludf.DUMMYFUNCTION("""COMPUTED_VALUE"""),360.55)</f>
        <v>360.55</v>
      </c>
      <c r="E216" s="2">
        <f>IFERROR(__xludf.DUMMYFUNCTION("""COMPUTED_VALUE"""),363.2)</f>
        <v>363.2</v>
      </c>
      <c r="F216" s="2">
        <f>IFERROR(__xludf.DUMMYFUNCTION("""COMPUTED_VALUE"""),2.6767828E7)</f>
        <v>26767828</v>
      </c>
    </row>
    <row r="217">
      <c r="A217" s="3">
        <f>IFERROR(__xludf.DUMMYFUNCTION("""COMPUTED_VALUE"""),45239.66666666667)</f>
        <v>45239.66667</v>
      </c>
      <c r="B217" s="2">
        <f>IFERROR(__xludf.DUMMYFUNCTION("""COMPUTED_VALUE"""),362.3)</f>
        <v>362.3</v>
      </c>
      <c r="C217" s="2">
        <f>IFERROR(__xludf.DUMMYFUNCTION("""COMPUTED_VALUE"""),364.79)</f>
        <v>364.79</v>
      </c>
      <c r="D217" s="2">
        <f>IFERROR(__xludf.DUMMYFUNCTION("""COMPUTED_VALUE"""),360.36)</f>
        <v>360.36</v>
      </c>
      <c r="E217" s="2">
        <f>IFERROR(__xludf.DUMMYFUNCTION("""COMPUTED_VALUE"""),360.69)</f>
        <v>360.69</v>
      </c>
      <c r="F217" s="2">
        <f>IFERROR(__xludf.DUMMYFUNCTION("""COMPUTED_VALUE"""),2.4847331E7)</f>
        <v>24847331</v>
      </c>
    </row>
    <row r="218">
      <c r="A218" s="3">
        <f>IFERROR(__xludf.DUMMYFUNCTION("""COMPUTED_VALUE"""),45240.66666666667)</f>
        <v>45240.66667</v>
      </c>
      <c r="B218" s="2">
        <f>IFERROR(__xludf.DUMMYFUNCTION("""COMPUTED_VALUE"""),361.49)</f>
        <v>361.49</v>
      </c>
      <c r="C218" s="2">
        <f>IFERROR(__xludf.DUMMYFUNCTION("""COMPUTED_VALUE"""),370.1)</f>
        <v>370.1</v>
      </c>
      <c r="D218" s="2">
        <f>IFERROR(__xludf.DUMMYFUNCTION("""COMPUTED_VALUE"""),361.07)</f>
        <v>361.07</v>
      </c>
      <c r="E218" s="2">
        <f>IFERROR(__xludf.DUMMYFUNCTION("""COMPUTED_VALUE"""),369.67)</f>
        <v>369.67</v>
      </c>
      <c r="F218" s="2">
        <f>IFERROR(__xludf.DUMMYFUNCTION("""COMPUTED_VALUE"""),2.8065164E7)</f>
        <v>28065164</v>
      </c>
    </row>
    <row r="219">
      <c r="A219" s="3">
        <f>IFERROR(__xludf.DUMMYFUNCTION("""COMPUTED_VALUE"""),45243.66666666667)</f>
        <v>45243.66667</v>
      </c>
      <c r="B219" s="2">
        <f>IFERROR(__xludf.DUMMYFUNCTION("""COMPUTED_VALUE"""),368.22)</f>
        <v>368.22</v>
      </c>
      <c r="C219" s="2">
        <f>IFERROR(__xludf.DUMMYFUNCTION("""COMPUTED_VALUE"""),368.47)</f>
        <v>368.47</v>
      </c>
      <c r="D219" s="2">
        <f>IFERROR(__xludf.DUMMYFUNCTION("""COMPUTED_VALUE"""),365.9)</f>
        <v>365.9</v>
      </c>
      <c r="E219" s="2">
        <f>IFERROR(__xludf.DUMMYFUNCTION("""COMPUTED_VALUE"""),366.68)</f>
        <v>366.68</v>
      </c>
      <c r="F219" s="2">
        <f>IFERROR(__xludf.DUMMYFUNCTION("""COMPUTED_VALUE"""),1.9986506E7)</f>
        <v>19986506</v>
      </c>
    </row>
    <row r="220">
      <c r="A220" s="3">
        <f>IFERROR(__xludf.DUMMYFUNCTION("""COMPUTED_VALUE"""),45244.66666666667)</f>
        <v>45244.66667</v>
      </c>
      <c r="B220" s="2">
        <f>IFERROR(__xludf.DUMMYFUNCTION("""COMPUTED_VALUE"""),371.01)</f>
        <v>371.01</v>
      </c>
      <c r="C220" s="2">
        <f>IFERROR(__xludf.DUMMYFUNCTION("""COMPUTED_VALUE"""),371.95)</f>
        <v>371.95</v>
      </c>
      <c r="D220" s="2">
        <f>IFERROR(__xludf.DUMMYFUNCTION("""COMPUTED_VALUE"""),367.35)</f>
        <v>367.35</v>
      </c>
      <c r="E220" s="2">
        <f>IFERROR(__xludf.DUMMYFUNCTION("""COMPUTED_VALUE"""),370.27)</f>
        <v>370.27</v>
      </c>
      <c r="F220" s="2">
        <f>IFERROR(__xludf.DUMMYFUNCTION("""COMPUTED_VALUE"""),2.7683862E7)</f>
        <v>27683862</v>
      </c>
    </row>
    <row r="221">
      <c r="A221" s="3">
        <f>IFERROR(__xludf.DUMMYFUNCTION("""COMPUTED_VALUE"""),45245.66666666667)</f>
        <v>45245.66667</v>
      </c>
      <c r="B221" s="2">
        <f>IFERROR(__xludf.DUMMYFUNCTION("""COMPUTED_VALUE"""),371.28)</f>
        <v>371.28</v>
      </c>
      <c r="C221" s="2">
        <f>IFERROR(__xludf.DUMMYFUNCTION("""COMPUTED_VALUE"""),373.13)</f>
        <v>373.13</v>
      </c>
      <c r="D221" s="2">
        <f>IFERROR(__xludf.DUMMYFUNCTION("""COMPUTED_VALUE"""),367.11)</f>
        <v>367.11</v>
      </c>
      <c r="E221" s="2">
        <f>IFERROR(__xludf.DUMMYFUNCTION("""COMPUTED_VALUE"""),369.67)</f>
        <v>369.67</v>
      </c>
      <c r="F221" s="2">
        <f>IFERROR(__xludf.DUMMYFUNCTION("""COMPUTED_VALUE"""),2.6860095E7)</f>
        <v>26860095</v>
      </c>
    </row>
    <row r="222">
      <c r="A222" s="3">
        <f>IFERROR(__xludf.DUMMYFUNCTION("""COMPUTED_VALUE"""),45246.66666666667)</f>
        <v>45246.66667</v>
      </c>
      <c r="B222" s="2">
        <f>IFERROR(__xludf.DUMMYFUNCTION("""COMPUTED_VALUE"""),370.96)</f>
        <v>370.96</v>
      </c>
      <c r="C222" s="2">
        <f>IFERROR(__xludf.DUMMYFUNCTION("""COMPUTED_VALUE"""),376.35)</f>
        <v>376.35</v>
      </c>
      <c r="D222" s="2">
        <f>IFERROR(__xludf.DUMMYFUNCTION("""COMPUTED_VALUE"""),370.18)</f>
        <v>370.18</v>
      </c>
      <c r="E222" s="2">
        <f>IFERROR(__xludf.DUMMYFUNCTION("""COMPUTED_VALUE"""),376.17)</f>
        <v>376.17</v>
      </c>
      <c r="F222" s="2">
        <f>IFERROR(__xludf.DUMMYFUNCTION("""COMPUTED_VALUE"""),2.7182315E7)</f>
        <v>27182315</v>
      </c>
    </row>
    <row r="223">
      <c r="A223" s="3">
        <f>IFERROR(__xludf.DUMMYFUNCTION("""COMPUTED_VALUE"""),45247.66666666667)</f>
        <v>45247.66667</v>
      </c>
      <c r="B223" s="2">
        <f>IFERROR(__xludf.DUMMYFUNCTION("""COMPUTED_VALUE"""),373.61)</f>
        <v>373.61</v>
      </c>
      <c r="C223" s="2">
        <f>IFERROR(__xludf.DUMMYFUNCTION("""COMPUTED_VALUE"""),374.37)</f>
        <v>374.37</v>
      </c>
      <c r="D223" s="2">
        <f>IFERROR(__xludf.DUMMYFUNCTION("""COMPUTED_VALUE"""),367.0)</f>
        <v>367</v>
      </c>
      <c r="E223" s="2">
        <f>IFERROR(__xludf.DUMMYFUNCTION("""COMPUTED_VALUE"""),369.85)</f>
        <v>369.85</v>
      </c>
      <c r="F223" s="2">
        <f>IFERROR(__xludf.DUMMYFUNCTION("""COMPUTED_VALUE"""),4.0325371E7)</f>
        <v>40325371</v>
      </c>
    </row>
    <row r="224">
      <c r="A224" s="3">
        <f>IFERROR(__xludf.DUMMYFUNCTION("""COMPUTED_VALUE"""),45250.66666666667)</f>
        <v>45250.66667</v>
      </c>
      <c r="B224" s="2">
        <f>IFERROR(__xludf.DUMMYFUNCTION("""COMPUTED_VALUE"""),371.22)</f>
        <v>371.22</v>
      </c>
      <c r="C224" s="2">
        <f>IFERROR(__xludf.DUMMYFUNCTION("""COMPUTED_VALUE"""),378.87)</f>
        <v>378.87</v>
      </c>
      <c r="D224" s="2">
        <f>IFERROR(__xludf.DUMMYFUNCTION("""COMPUTED_VALUE"""),371.0)</f>
        <v>371</v>
      </c>
      <c r="E224" s="2">
        <f>IFERROR(__xludf.DUMMYFUNCTION("""COMPUTED_VALUE"""),377.44)</f>
        <v>377.44</v>
      </c>
      <c r="F224" s="2">
        <f>IFERROR(__xludf.DUMMYFUNCTION("""COMPUTED_VALUE"""),5.2528964E7)</f>
        <v>52528964</v>
      </c>
    </row>
    <row r="225">
      <c r="A225" s="3">
        <f>IFERROR(__xludf.DUMMYFUNCTION("""COMPUTED_VALUE"""),45251.66666666667)</f>
        <v>45251.66667</v>
      </c>
      <c r="B225" s="2">
        <f>IFERROR(__xludf.DUMMYFUNCTION("""COMPUTED_VALUE"""),375.67)</f>
        <v>375.67</v>
      </c>
      <c r="C225" s="2">
        <f>IFERROR(__xludf.DUMMYFUNCTION("""COMPUTED_VALUE"""),376.22)</f>
        <v>376.22</v>
      </c>
      <c r="D225" s="2">
        <f>IFERROR(__xludf.DUMMYFUNCTION("""COMPUTED_VALUE"""),371.12)</f>
        <v>371.12</v>
      </c>
      <c r="E225" s="2">
        <f>IFERROR(__xludf.DUMMYFUNCTION("""COMPUTED_VALUE"""),373.07)</f>
        <v>373.07</v>
      </c>
      <c r="F225" s="2">
        <f>IFERROR(__xludf.DUMMYFUNCTION("""COMPUTED_VALUE"""),2.8423145E7)</f>
        <v>28423145</v>
      </c>
    </row>
    <row r="226">
      <c r="A226" s="3">
        <f>IFERROR(__xludf.DUMMYFUNCTION("""COMPUTED_VALUE"""),45252.66666666667)</f>
        <v>45252.66667</v>
      </c>
      <c r="B226" s="2">
        <f>IFERROR(__xludf.DUMMYFUNCTION("""COMPUTED_VALUE"""),378.0)</f>
        <v>378</v>
      </c>
      <c r="C226" s="2">
        <f>IFERROR(__xludf.DUMMYFUNCTION("""COMPUTED_VALUE"""),379.79)</f>
        <v>379.79</v>
      </c>
      <c r="D226" s="2">
        <f>IFERROR(__xludf.DUMMYFUNCTION("""COMPUTED_VALUE"""),374.97)</f>
        <v>374.97</v>
      </c>
      <c r="E226" s="2">
        <f>IFERROR(__xludf.DUMMYFUNCTION("""COMPUTED_VALUE"""),377.85)</f>
        <v>377.85</v>
      </c>
      <c r="F226" s="2">
        <f>IFERROR(__xludf.DUMMYFUNCTION("""COMPUTED_VALUE"""),2.3361184E7)</f>
        <v>23361184</v>
      </c>
    </row>
    <row r="227">
      <c r="A227" s="3">
        <f>IFERROR(__xludf.DUMMYFUNCTION("""COMPUTED_VALUE"""),45254.54513888889)</f>
        <v>45254.54514</v>
      </c>
      <c r="B227" s="2">
        <f>IFERROR(__xludf.DUMMYFUNCTION("""COMPUTED_VALUE"""),377.33)</f>
        <v>377.33</v>
      </c>
      <c r="C227" s="2">
        <f>IFERROR(__xludf.DUMMYFUNCTION("""COMPUTED_VALUE"""),377.97)</f>
        <v>377.97</v>
      </c>
      <c r="D227" s="2">
        <f>IFERROR(__xludf.DUMMYFUNCTION("""COMPUTED_VALUE"""),375.14)</f>
        <v>375.14</v>
      </c>
      <c r="E227" s="2">
        <f>IFERROR(__xludf.DUMMYFUNCTION("""COMPUTED_VALUE"""),377.43)</f>
        <v>377.43</v>
      </c>
      <c r="F227" s="2">
        <f>IFERROR(__xludf.DUMMYFUNCTION("""COMPUTED_VALUE"""),1.0176649E7)</f>
        <v>10176649</v>
      </c>
    </row>
    <row r="228">
      <c r="A228" s="3">
        <f>IFERROR(__xludf.DUMMYFUNCTION("""COMPUTED_VALUE"""),45257.66666666667)</f>
        <v>45257.66667</v>
      </c>
      <c r="B228" s="2">
        <f>IFERROR(__xludf.DUMMYFUNCTION("""COMPUTED_VALUE"""),376.78)</f>
        <v>376.78</v>
      </c>
      <c r="C228" s="2">
        <f>IFERROR(__xludf.DUMMYFUNCTION("""COMPUTED_VALUE"""),380.64)</f>
        <v>380.64</v>
      </c>
      <c r="D228" s="2">
        <f>IFERROR(__xludf.DUMMYFUNCTION("""COMPUTED_VALUE"""),376.2)</f>
        <v>376.2</v>
      </c>
      <c r="E228" s="2">
        <f>IFERROR(__xludf.DUMMYFUNCTION("""COMPUTED_VALUE"""),378.61)</f>
        <v>378.61</v>
      </c>
      <c r="F228" s="2">
        <f>IFERROR(__xludf.DUMMYFUNCTION("""COMPUTED_VALUE"""),2.2179228E7)</f>
        <v>22179228</v>
      </c>
    </row>
    <row r="229">
      <c r="A229" s="3">
        <f>IFERROR(__xludf.DUMMYFUNCTION("""COMPUTED_VALUE"""),45258.66666666667)</f>
        <v>45258.66667</v>
      </c>
      <c r="B229" s="2">
        <f>IFERROR(__xludf.DUMMYFUNCTION("""COMPUTED_VALUE"""),378.35)</f>
        <v>378.35</v>
      </c>
      <c r="C229" s="2">
        <f>IFERROR(__xludf.DUMMYFUNCTION("""COMPUTED_VALUE"""),383.0)</f>
        <v>383</v>
      </c>
      <c r="D229" s="2">
        <f>IFERROR(__xludf.DUMMYFUNCTION("""COMPUTED_VALUE"""),378.16)</f>
        <v>378.16</v>
      </c>
      <c r="E229" s="2">
        <f>IFERROR(__xludf.DUMMYFUNCTION("""COMPUTED_VALUE"""),382.7)</f>
        <v>382.7</v>
      </c>
      <c r="F229" s="2">
        <f>IFERROR(__xludf.DUMMYFUNCTION("""COMPUTED_VALUE"""),2.0453112E7)</f>
        <v>20453112</v>
      </c>
    </row>
    <row r="230">
      <c r="A230" s="3">
        <f>IFERROR(__xludf.DUMMYFUNCTION("""COMPUTED_VALUE"""),45259.66666666667)</f>
        <v>45259.66667</v>
      </c>
      <c r="B230" s="2">
        <f>IFERROR(__xludf.DUMMYFUNCTION("""COMPUTED_VALUE"""),383.76)</f>
        <v>383.76</v>
      </c>
      <c r="C230" s="2">
        <f>IFERROR(__xludf.DUMMYFUNCTION("""COMPUTED_VALUE"""),384.3)</f>
        <v>384.3</v>
      </c>
      <c r="D230" s="2">
        <f>IFERROR(__xludf.DUMMYFUNCTION("""COMPUTED_VALUE"""),377.44)</f>
        <v>377.44</v>
      </c>
      <c r="E230" s="2">
        <f>IFERROR(__xludf.DUMMYFUNCTION("""COMPUTED_VALUE"""),378.85)</f>
        <v>378.85</v>
      </c>
      <c r="F230" s="2">
        <f>IFERROR(__xludf.DUMMYFUNCTION("""COMPUTED_VALUE"""),2.8963399E7)</f>
        <v>28963399</v>
      </c>
    </row>
    <row r="231">
      <c r="A231" s="3">
        <f>IFERROR(__xludf.DUMMYFUNCTION("""COMPUTED_VALUE"""),45260.66666666667)</f>
        <v>45260.66667</v>
      </c>
      <c r="B231" s="2">
        <f>IFERROR(__xludf.DUMMYFUNCTION("""COMPUTED_VALUE"""),378.49)</f>
        <v>378.49</v>
      </c>
      <c r="C231" s="2">
        <f>IFERROR(__xludf.DUMMYFUNCTION("""COMPUTED_VALUE"""),380.09)</f>
        <v>380.09</v>
      </c>
      <c r="D231" s="2">
        <f>IFERROR(__xludf.DUMMYFUNCTION("""COMPUTED_VALUE"""),375.47)</f>
        <v>375.47</v>
      </c>
      <c r="E231" s="2">
        <f>IFERROR(__xludf.DUMMYFUNCTION("""COMPUTED_VALUE"""),378.91)</f>
        <v>378.91</v>
      </c>
      <c r="F231" s="2">
        <f>IFERROR(__xludf.DUMMYFUNCTION("""COMPUTED_VALUE"""),3.0554415E7)</f>
        <v>30554415</v>
      </c>
    </row>
    <row r="232">
      <c r="A232" s="3">
        <f>IFERROR(__xludf.DUMMYFUNCTION("""COMPUTED_VALUE"""),45261.66666666667)</f>
        <v>45261.66667</v>
      </c>
      <c r="B232" s="2">
        <f>IFERROR(__xludf.DUMMYFUNCTION("""COMPUTED_VALUE"""),376.76)</f>
        <v>376.76</v>
      </c>
      <c r="C232" s="2">
        <f>IFERROR(__xludf.DUMMYFUNCTION("""COMPUTED_VALUE"""),378.16)</f>
        <v>378.16</v>
      </c>
      <c r="D232" s="2">
        <f>IFERROR(__xludf.DUMMYFUNCTION("""COMPUTED_VALUE"""),371.31)</f>
        <v>371.31</v>
      </c>
      <c r="E232" s="2">
        <f>IFERROR(__xludf.DUMMYFUNCTION("""COMPUTED_VALUE"""),374.51)</f>
        <v>374.51</v>
      </c>
      <c r="F232" s="2">
        <f>IFERROR(__xludf.DUMMYFUNCTION("""COMPUTED_VALUE"""),3.3040472E7)</f>
        <v>33040472</v>
      </c>
    </row>
    <row r="233">
      <c r="A233" s="3">
        <f>IFERROR(__xludf.DUMMYFUNCTION("""COMPUTED_VALUE"""),45264.66666666667)</f>
        <v>45264.66667</v>
      </c>
      <c r="B233" s="2">
        <f>IFERROR(__xludf.DUMMYFUNCTION("""COMPUTED_VALUE"""),369.1)</f>
        <v>369.1</v>
      </c>
      <c r="C233" s="2">
        <f>IFERROR(__xludf.DUMMYFUNCTION("""COMPUTED_VALUE"""),369.52)</f>
        <v>369.52</v>
      </c>
      <c r="D233" s="2">
        <f>IFERROR(__xludf.DUMMYFUNCTION("""COMPUTED_VALUE"""),362.9)</f>
        <v>362.9</v>
      </c>
      <c r="E233" s="2">
        <f>IFERROR(__xludf.DUMMYFUNCTION("""COMPUTED_VALUE"""),369.14)</f>
        <v>369.14</v>
      </c>
      <c r="F233" s="2">
        <f>IFERROR(__xludf.DUMMYFUNCTION("""COMPUTED_VALUE"""),3.2063305E7)</f>
        <v>32063305</v>
      </c>
    </row>
    <row r="234">
      <c r="A234" s="3">
        <f>IFERROR(__xludf.DUMMYFUNCTION("""COMPUTED_VALUE"""),45265.66666666667)</f>
        <v>45265.66667</v>
      </c>
      <c r="B234" s="2">
        <f>IFERROR(__xludf.DUMMYFUNCTION("""COMPUTED_VALUE"""),366.45)</f>
        <v>366.45</v>
      </c>
      <c r="C234" s="2">
        <f>IFERROR(__xludf.DUMMYFUNCTION("""COMPUTED_VALUE"""),373.08)</f>
        <v>373.08</v>
      </c>
      <c r="D234" s="2">
        <f>IFERROR(__xludf.DUMMYFUNCTION("""COMPUTED_VALUE"""),365.62)</f>
        <v>365.62</v>
      </c>
      <c r="E234" s="2">
        <f>IFERROR(__xludf.DUMMYFUNCTION("""COMPUTED_VALUE"""),372.52)</f>
        <v>372.52</v>
      </c>
      <c r="F234" s="2">
        <f>IFERROR(__xludf.DUMMYFUNCTION("""COMPUTED_VALUE"""),2.3065035E7)</f>
        <v>23065035</v>
      </c>
    </row>
    <row r="235">
      <c r="A235" s="3">
        <f>IFERROR(__xludf.DUMMYFUNCTION("""COMPUTED_VALUE"""),45266.66666666667)</f>
        <v>45266.66667</v>
      </c>
      <c r="B235" s="2">
        <f>IFERROR(__xludf.DUMMYFUNCTION("""COMPUTED_VALUE"""),373.54)</f>
        <v>373.54</v>
      </c>
      <c r="C235" s="2">
        <f>IFERROR(__xludf.DUMMYFUNCTION("""COMPUTED_VALUE"""),374.18)</f>
        <v>374.18</v>
      </c>
      <c r="D235" s="2">
        <f>IFERROR(__xludf.DUMMYFUNCTION("""COMPUTED_VALUE"""),368.03)</f>
        <v>368.03</v>
      </c>
      <c r="E235" s="2">
        <f>IFERROR(__xludf.DUMMYFUNCTION("""COMPUTED_VALUE"""),368.8)</f>
        <v>368.8</v>
      </c>
      <c r="F235" s="2">
        <f>IFERROR(__xludf.DUMMYFUNCTION("""COMPUTED_VALUE"""),2.1182072E7)</f>
        <v>21182072</v>
      </c>
    </row>
    <row r="236">
      <c r="A236" s="3">
        <f>IFERROR(__xludf.DUMMYFUNCTION("""COMPUTED_VALUE"""),45267.66666666667)</f>
        <v>45267.66667</v>
      </c>
      <c r="B236" s="2">
        <f>IFERROR(__xludf.DUMMYFUNCTION("""COMPUTED_VALUE"""),368.23)</f>
        <v>368.23</v>
      </c>
      <c r="C236" s="2">
        <f>IFERROR(__xludf.DUMMYFUNCTION("""COMPUTED_VALUE"""),371.45)</f>
        <v>371.45</v>
      </c>
      <c r="D236" s="2">
        <f>IFERROR(__xludf.DUMMYFUNCTION("""COMPUTED_VALUE"""),366.32)</f>
        <v>366.32</v>
      </c>
      <c r="E236" s="2">
        <f>IFERROR(__xludf.DUMMYFUNCTION("""COMPUTED_VALUE"""),370.95)</f>
        <v>370.95</v>
      </c>
      <c r="F236" s="2">
        <f>IFERROR(__xludf.DUMMYFUNCTION("""COMPUTED_VALUE"""),2.3118864E7)</f>
        <v>23118864</v>
      </c>
    </row>
    <row r="237">
      <c r="A237" s="3">
        <f>IFERROR(__xludf.DUMMYFUNCTION("""COMPUTED_VALUE"""),45268.66666666667)</f>
        <v>45268.66667</v>
      </c>
      <c r="B237" s="2">
        <f>IFERROR(__xludf.DUMMYFUNCTION("""COMPUTED_VALUE"""),369.2)</f>
        <v>369.2</v>
      </c>
      <c r="C237" s="2">
        <f>IFERROR(__xludf.DUMMYFUNCTION("""COMPUTED_VALUE"""),374.46)</f>
        <v>374.46</v>
      </c>
      <c r="D237" s="2">
        <f>IFERROR(__xludf.DUMMYFUNCTION("""COMPUTED_VALUE"""),368.23)</f>
        <v>368.23</v>
      </c>
      <c r="E237" s="2">
        <f>IFERROR(__xludf.DUMMYFUNCTION("""COMPUTED_VALUE"""),374.23)</f>
        <v>374.23</v>
      </c>
      <c r="F237" s="2">
        <f>IFERROR(__xludf.DUMMYFUNCTION("""COMPUTED_VALUE"""),2.0154366E7)</f>
        <v>20154366</v>
      </c>
    </row>
    <row r="238">
      <c r="A238" s="3">
        <f>IFERROR(__xludf.DUMMYFUNCTION("""COMPUTED_VALUE"""),45271.66666666667)</f>
        <v>45271.66667</v>
      </c>
      <c r="B238" s="2">
        <f>IFERROR(__xludf.DUMMYFUNCTION("""COMPUTED_VALUE"""),368.48)</f>
        <v>368.48</v>
      </c>
      <c r="C238" s="2">
        <f>IFERROR(__xludf.DUMMYFUNCTION("""COMPUTED_VALUE"""),371.6)</f>
        <v>371.6</v>
      </c>
      <c r="D238" s="2">
        <f>IFERROR(__xludf.DUMMYFUNCTION("""COMPUTED_VALUE"""),366.1)</f>
        <v>366.1</v>
      </c>
      <c r="E238" s="2">
        <f>IFERROR(__xludf.DUMMYFUNCTION("""COMPUTED_VALUE"""),371.3)</f>
        <v>371.3</v>
      </c>
      <c r="F238" s="2">
        <f>IFERROR(__xludf.DUMMYFUNCTION("""COMPUTED_VALUE"""),2.7708757E7)</f>
        <v>27708757</v>
      </c>
    </row>
    <row r="239">
      <c r="A239" s="3">
        <f>IFERROR(__xludf.DUMMYFUNCTION("""COMPUTED_VALUE"""),45272.66666666667)</f>
        <v>45272.66667</v>
      </c>
      <c r="B239" s="2">
        <f>IFERROR(__xludf.DUMMYFUNCTION("""COMPUTED_VALUE"""),370.85)</f>
        <v>370.85</v>
      </c>
      <c r="C239" s="2">
        <f>IFERROR(__xludf.DUMMYFUNCTION("""COMPUTED_VALUE"""),374.42)</f>
        <v>374.42</v>
      </c>
      <c r="D239" s="2">
        <f>IFERROR(__xludf.DUMMYFUNCTION("""COMPUTED_VALUE"""),370.46)</f>
        <v>370.46</v>
      </c>
      <c r="E239" s="2">
        <f>IFERROR(__xludf.DUMMYFUNCTION("""COMPUTED_VALUE"""),374.38)</f>
        <v>374.38</v>
      </c>
      <c r="F239" s="2">
        <f>IFERROR(__xludf.DUMMYFUNCTION("""COMPUTED_VALUE"""),2.4838253E7)</f>
        <v>24838253</v>
      </c>
    </row>
    <row r="240">
      <c r="A240" s="3">
        <f>IFERROR(__xludf.DUMMYFUNCTION("""COMPUTED_VALUE"""),45273.66666666667)</f>
        <v>45273.66667</v>
      </c>
      <c r="B240" s="2">
        <f>IFERROR(__xludf.DUMMYFUNCTION("""COMPUTED_VALUE"""),376.02)</f>
        <v>376.02</v>
      </c>
      <c r="C240" s="2">
        <f>IFERROR(__xludf.DUMMYFUNCTION("""COMPUTED_VALUE"""),377.64)</f>
        <v>377.64</v>
      </c>
      <c r="D240" s="2">
        <f>IFERROR(__xludf.DUMMYFUNCTION("""COMPUTED_VALUE"""),370.77)</f>
        <v>370.77</v>
      </c>
      <c r="E240" s="2">
        <f>IFERROR(__xludf.DUMMYFUNCTION("""COMPUTED_VALUE"""),374.37)</f>
        <v>374.37</v>
      </c>
      <c r="F240" s="2">
        <f>IFERROR(__xludf.DUMMYFUNCTION("""COMPUTED_VALUE"""),3.0955531E7)</f>
        <v>30955531</v>
      </c>
    </row>
    <row r="241">
      <c r="A241" s="3">
        <f>IFERROR(__xludf.DUMMYFUNCTION("""COMPUTED_VALUE"""),45274.66666666667)</f>
        <v>45274.66667</v>
      </c>
      <c r="B241" s="2">
        <f>IFERROR(__xludf.DUMMYFUNCTION("""COMPUTED_VALUE"""),373.31)</f>
        <v>373.31</v>
      </c>
      <c r="C241" s="2">
        <f>IFERROR(__xludf.DUMMYFUNCTION("""COMPUTED_VALUE"""),373.76)</f>
        <v>373.76</v>
      </c>
      <c r="D241" s="2">
        <f>IFERROR(__xludf.DUMMYFUNCTION("""COMPUTED_VALUE"""),364.13)</f>
        <v>364.13</v>
      </c>
      <c r="E241" s="2">
        <f>IFERROR(__xludf.DUMMYFUNCTION("""COMPUTED_VALUE"""),365.93)</f>
        <v>365.93</v>
      </c>
      <c r="F241" s="2">
        <f>IFERROR(__xludf.DUMMYFUNCTION("""COMPUTED_VALUE"""),4.3277461E7)</f>
        <v>43277461</v>
      </c>
    </row>
    <row r="242">
      <c r="A242" s="3">
        <f>IFERROR(__xludf.DUMMYFUNCTION("""COMPUTED_VALUE"""),45275.66666666667)</f>
        <v>45275.66667</v>
      </c>
      <c r="B242" s="2">
        <f>IFERROR(__xludf.DUMMYFUNCTION("""COMPUTED_VALUE"""),366.85)</f>
        <v>366.85</v>
      </c>
      <c r="C242" s="2">
        <f>IFERROR(__xludf.DUMMYFUNCTION("""COMPUTED_VALUE"""),372.4)</f>
        <v>372.4</v>
      </c>
      <c r="D242" s="2">
        <f>IFERROR(__xludf.DUMMYFUNCTION("""COMPUTED_VALUE"""),366.28)</f>
        <v>366.28</v>
      </c>
      <c r="E242" s="2">
        <f>IFERROR(__xludf.DUMMYFUNCTION("""COMPUTED_VALUE"""),370.73)</f>
        <v>370.73</v>
      </c>
      <c r="F242" s="2">
        <f>IFERROR(__xludf.DUMMYFUNCTION("""COMPUTED_VALUE"""),7.8502324E7)</f>
        <v>78502324</v>
      </c>
    </row>
    <row r="243">
      <c r="A243" s="3">
        <f>IFERROR(__xludf.DUMMYFUNCTION("""COMPUTED_VALUE"""),45278.66666666667)</f>
        <v>45278.66667</v>
      </c>
      <c r="B243" s="2">
        <f>IFERROR(__xludf.DUMMYFUNCTION("""COMPUTED_VALUE"""),369.45)</f>
        <v>369.45</v>
      </c>
      <c r="C243" s="2">
        <f>IFERROR(__xludf.DUMMYFUNCTION("""COMPUTED_VALUE"""),373.0)</f>
        <v>373</v>
      </c>
      <c r="D243" s="2">
        <f>IFERROR(__xludf.DUMMYFUNCTION("""COMPUTED_VALUE"""),368.68)</f>
        <v>368.68</v>
      </c>
      <c r="E243" s="2">
        <f>IFERROR(__xludf.DUMMYFUNCTION("""COMPUTED_VALUE"""),372.65)</f>
        <v>372.65</v>
      </c>
      <c r="F243" s="2">
        <f>IFERROR(__xludf.DUMMYFUNCTION("""COMPUTED_VALUE"""),2.1802878E7)</f>
        <v>21802878</v>
      </c>
    </row>
    <row r="244">
      <c r="A244" s="3">
        <f>IFERROR(__xludf.DUMMYFUNCTION("""COMPUTED_VALUE"""),45279.66666666667)</f>
        <v>45279.66667</v>
      </c>
      <c r="B244" s="2">
        <f>IFERROR(__xludf.DUMMYFUNCTION("""COMPUTED_VALUE"""),371.49)</f>
        <v>371.49</v>
      </c>
      <c r="C244" s="2">
        <f>IFERROR(__xludf.DUMMYFUNCTION("""COMPUTED_VALUE"""),373.26)</f>
        <v>373.26</v>
      </c>
      <c r="D244" s="2">
        <f>IFERROR(__xludf.DUMMYFUNCTION("""COMPUTED_VALUE"""),369.84)</f>
        <v>369.84</v>
      </c>
      <c r="E244" s="2">
        <f>IFERROR(__xludf.DUMMYFUNCTION("""COMPUTED_VALUE"""),373.26)</f>
        <v>373.26</v>
      </c>
      <c r="F244" s="2">
        <f>IFERROR(__xludf.DUMMYFUNCTION("""COMPUTED_VALUE"""),2.0603658E7)</f>
        <v>20603658</v>
      </c>
    </row>
    <row r="245">
      <c r="A245" s="3">
        <f>IFERROR(__xludf.DUMMYFUNCTION("""COMPUTED_VALUE"""),45280.66666666667)</f>
        <v>45280.66667</v>
      </c>
      <c r="B245" s="2">
        <f>IFERROR(__xludf.DUMMYFUNCTION("""COMPUTED_VALUE"""),375.0)</f>
        <v>375</v>
      </c>
      <c r="C245" s="2">
        <f>IFERROR(__xludf.DUMMYFUNCTION("""COMPUTED_VALUE"""),376.03)</f>
        <v>376.03</v>
      </c>
      <c r="D245" s="2">
        <f>IFERROR(__xludf.DUMMYFUNCTION("""COMPUTED_VALUE"""),370.53)</f>
        <v>370.53</v>
      </c>
      <c r="E245" s="2">
        <f>IFERROR(__xludf.DUMMYFUNCTION("""COMPUTED_VALUE"""),370.62)</f>
        <v>370.62</v>
      </c>
      <c r="F245" s="2">
        <f>IFERROR(__xludf.DUMMYFUNCTION("""COMPUTED_VALUE"""),2.631665E7)</f>
        <v>26316650</v>
      </c>
    </row>
    <row r="246">
      <c r="A246" s="3">
        <f>IFERROR(__xludf.DUMMYFUNCTION("""COMPUTED_VALUE"""),45281.66666666667)</f>
        <v>45281.66667</v>
      </c>
      <c r="B246" s="2">
        <f>IFERROR(__xludf.DUMMYFUNCTION("""COMPUTED_VALUE"""),372.56)</f>
        <v>372.56</v>
      </c>
      <c r="C246" s="2">
        <f>IFERROR(__xludf.DUMMYFUNCTION("""COMPUTED_VALUE"""),374.41)</f>
        <v>374.41</v>
      </c>
      <c r="D246" s="2">
        <f>IFERROR(__xludf.DUMMYFUNCTION("""COMPUTED_VALUE"""),370.04)</f>
        <v>370.04</v>
      </c>
      <c r="E246" s="2">
        <f>IFERROR(__xludf.DUMMYFUNCTION("""COMPUTED_VALUE"""),373.54)</f>
        <v>373.54</v>
      </c>
      <c r="F246" s="2">
        <f>IFERROR(__xludf.DUMMYFUNCTION("""COMPUTED_VALUE"""),1.7708006E7)</f>
        <v>17708006</v>
      </c>
    </row>
    <row r="247">
      <c r="A247" s="3">
        <f>IFERROR(__xludf.DUMMYFUNCTION("""COMPUTED_VALUE"""),45282.66666666667)</f>
        <v>45282.66667</v>
      </c>
      <c r="B247" s="2">
        <f>IFERROR(__xludf.DUMMYFUNCTION("""COMPUTED_VALUE"""),373.68)</f>
        <v>373.68</v>
      </c>
      <c r="C247" s="2">
        <f>IFERROR(__xludf.DUMMYFUNCTION("""COMPUTED_VALUE"""),375.18)</f>
        <v>375.18</v>
      </c>
      <c r="D247" s="2">
        <f>IFERROR(__xludf.DUMMYFUNCTION("""COMPUTED_VALUE"""),372.71)</f>
        <v>372.71</v>
      </c>
      <c r="E247" s="2">
        <f>IFERROR(__xludf.DUMMYFUNCTION("""COMPUTED_VALUE"""),374.58)</f>
        <v>374.58</v>
      </c>
      <c r="F247" s="2">
        <f>IFERROR(__xludf.DUMMYFUNCTION("""COMPUTED_VALUE"""),1.7107484E7)</f>
        <v>17107484</v>
      </c>
    </row>
    <row r="248">
      <c r="A248" s="3">
        <f>IFERROR(__xludf.DUMMYFUNCTION("""COMPUTED_VALUE"""),45286.66666666667)</f>
        <v>45286.66667</v>
      </c>
      <c r="B248" s="2">
        <f>IFERROR(__xludf.DUMMYFUNCTION("""COMPUTED_VALUE"""),375.0)</f>
        <v>375</v>
      </c>
      <c r="C248" s="2">
        <f>IFERROR(__xludf.DUMMYFUNCTION("""COMPUTED_VALUE"""),376.94)</f>
        <v>376.94</v>
      </c>
      <c r="D248" s="2">
        <f>IFERROR(__xludf.DUMMYFUNCTION("""COMPUTED_VALUE"""),373.5)</f>
        <v>373.5</v>
      </c>
      <c r="E248" s="2">
        <f>IFERROR(__xludf.DUMMYFUNCTION("""COMPUTED_VALUE"""),374.66)</f>
        <v>374.66</v>
      </c>
      <c r="F248" s="2">
        <f>IFERROR(__xludf.DUMMYFUNCTION("""COMPUTED_VALUE"""),1.267305E7)</f>
        <v>12673050</v>
      </c>
    </row>
    <row r="249">
      <c r="A249" s="3">
        <f>IFERROR(__xludf.DUMMYFUNCTION("""COMPUTED_VALUE"""),45287.66666666667)</f>
        <v>45287.66667</v>
      </c>
      <c r="B249" s="2">
        <f>IFERROR(__xludf.DUMMYFUNCTION("""COMPUTED_VALUE"""),373.69)</f>
        <v>373.69</v>
      </c>
      <c r="C249" s="2">
        <f>IFERROR(__xludf.DUMMYFUNCTION("""COMPUTED_VALUE"""),375.06)</f>
        <v>375.06</v>
      </c>
      <c r="D249" s="2">
        <f>IFERROR(__xludf.DUMMYFUNCTION("""COMPUTED_VALUE"""),372.81)</f>
        <v>372.81</v>
      </c>
      <c r="E249" s="2">
        <f>IFERROR(__xludf.DUMMYFUNCTION("""COMPUTED_VALUE"""),374.07)</f>
        <v>374.07</v>
      </c>
      <c r="F249" s="2">
        <f>IFERROR(__xludf.DUMMYFUNCTION("""COMPUTED_VALUE"""),1.4905412E7)</f>
        <v>14905412</v>
      </c>
    </row>
    <row r="250">
      <c r="A250" s="3">
        <f>IFERROR(__xludf.DUMMYFUNCTION("""COMPUTED_VALUE"""),45288.66666666667)</f>
        <v>45288.66667</v>
      </c>
      <c r="B250" s="2">
        <f>IFERROR(__xludf.DUMMYFUNCTION("""COMPUTED_VALUE"""),375.37)</f>
        <v>375.37</v>
      </c>
      <c r="C250" s="2">
        <f>IFERROR(__xludf.DUMMYFUNCTION("""COMPUTED_VALUE"""),376.46)</f>
        <v>376.46</v>
      </c>
      <c r="D250" s="2">
        <f>IFERROR(__xludf.DUMMYFUNCTION("""COMPUTED_VALUE"""),374.16)</f>
        <v>374.16</v>
      </c>
      <c r="E250" s="2">
        <f>IFERROR(__xludf.DUMMYFUNCTION("""COMPUTED_VALUE"""),375.28)</f>
        <v>375.28</v>
      </c>
      <c r="F250" s="2">
        <f>IFERROR(__xludf.DUMMYFUNCTION("""COMPUTED_VALUE"""),1.4327013E7)</f>
        <v>14327013</v>
      </c>
    </row>
    <row r="251">
      <c r="A251" s="3">
        <f>IFERROR(__xludf.DUMMYFUNCTION("""COMPUTED_VALUE"""),45289.66666666667)</f>
        <v>45289.66667</v>
      </c>
      <c r="B251" s="2">
        <f>IFERROR(__xludf.DUMMYFUNCTION("""COMPUTED_VALUE"""),376.0)</f>
        <v>376</v>
      </c>
      <c r="C251" s="2">
        <f>IFERROR(__xludf.DUMMYFUNCTION("""COMPUTED_VALUE"""),377.16)</f>
        <v>377.16</v>
      </c>
      <c r="D251" s="2">
        <f>IFERROR(__xludf.DUMMYFUNCTION("""COMPUTED_VALUE"""),373.48)</f>
        <v>373.48</v>
      </c>
      <c r="E251" s="2">
        <f>IFERROR(__xludf.DUMMYFUNCTION("""COMPUTED_VALUE"""),376.04)</f>
        <v>376.04</v>
      </c>
      <c r="F251" s="2">
        <f>IFERROR(__xludf.DUMMYFUNCTION("""COMPUTED_VALUE"""),1.8730838E7)</f>
        <v>18730838</v>
      </c>
    </row>
    <row r="252">
      <c r="A252" s="3">
        <f>IFERROR(__xludf.DUMMYFUNCTION("""COMPUTED_VALUE"""),45293.66666666667)</f>
        <v>45293.66667</v>
      </c>
      <c r="B252" s="2">
        <f>IFERROR(__xludf.DUMMYFUNCTION("""COMPUTED_VALUE"""),373.86)</f>
        <v>373.86</v>
      </c>
      <c r="C252" s="2">
        <f>IFERROR(__xludf.DUMMYFUNCTION("""COMPUTED_VALUE"""),375.9)</f>
        <v>375.9</v>
      </c>
      <c r="D252" s="2">
        <f>IFERROR(__xludf.DUMMYFUNCTION("""COMPUTED_VALUE"""),366.77)</f>
        <v>366.77</v>
      </c>
      <c r="E252" s="2">
        <f>IFERROR(__xludf.DUMMYFUNCTION("""COMPUTED_VALUE"""),370.87)</f>
        <v>370.87</v>
      </c>
      <c r="F252" s="2">
        <f>IFERROR(__xludf.DUMMYFUNCTION("""COMPUTED_VALUE"""),2.5258633E7)</f>
        <v>25258633</v>
      </c>
    </row>
    <row r="253">
      <c r="A253" s="3">
        <f>IFERROR(__xludf.DUMMYFUNCTION("""COMPUTED_VALUE"""),45294.66666666667)</f>
        <v>45294.66667</v>
      </c>
      <c r="B253" s="2">
        <f>IFERROR(__xludf.DUMMYFUNCTION("""COMPUTED_VALUE"""),369.01)</f>
        <v>369.01</v>
      </c>
      <c r="C253" s="2">
        <f>IFERROR(__xludf.DUMMYFUNCTION("""COMPUTED_VALUE"""),373.26)</f>
        <v>373.26</v>
      </c>
      <c r="D253" s="2">
        <f>IFERROR(__xludf.DUMMYFUNCTION("""COMPUTED_VALUE"""),368.51)</f>
        <v>368.51</v>
      </c>
      <c r="E253" s="2">
        <f>IFERROR(__xludf.DUMMYFUNCTION("""COMPUTED_VALUE"""),370.6)</f>
        <v>370.6</v>
      </c>
      <c r="F253" s="2">
        <f>IFERROR(__xludf.DUMMYFUNCTION("""COMPUTED_VALUE"""),2.3083465E7)</f>
        <v>23083465</v>
      </c>
    </row>
    <row r="254">
      <c r="A254" s="3">
        <f>IFERROR(__xludf.DUMMYFUNCTION("""COMPUTED_VALUE"""),45295.66666666667)</f>
        <v>45295.66667</v>
      </c>
      <c r="B254" s="2">
        <f>IFERROR(__xludf.DUMMYFUNCTION("""COMPUTED_VALUE"""),370.67)</f>
        <v>370.67</v>
      </c>
      <c r="C254" s="2">
        <f>IFERROR(__xludf.DUMMYFUNCTION("""COMPUTED_VALUE"""),373.1)</f>
        <v>373.1</v>
      </c>
      <c r="D254" s="2">
        <f>IFERROR(__xludf.DUMMYFUNCTION("""COMPUTED_VALUE"""),367.17)</f>
        <v>367.17</v>
      </c>
      <c r="E254" s="2">
        <f>IFERROR(__xludf.DUMMYFUNCTION("""COMPUTED_VALUE"""),367.94)</f>
        <v>367.94</v>
      </c>
      <c r="F254" s="2">
        <f>IFERROR(__xludf.DUMMYFUNCTION("""COMPUTED_VALUE"""),2.0901502E7)</f>
        <v>20901502</v>
      </c>
    </row>
    <row r="255">
      <c r="A255" s="3">
        <f>IFERROR(__xludf.DUMMYFUNCTION("""COMPUTED_VALUE"""),45296.66666666667)</f>
        <v>45296.66667</v>
      </c>
      <c r="B255" s="2">
        <f>IFERROR(__xludf.DUMMYFUNCTION("""COMPUTED_VALUE"""),368.97)</f>
        <v>368.97</v>
      </c>
      <c r="C255" s="2">
        <f>IFERROR(__xludf.DUMMYFUNCTION("""COMPUTED_VALUE"""),372.06)</f>
        <v>372.06</v>
      </c>
      <c r="D255" s="2">
        <f>IFERROR(__xludf.DUMMYFUNCTION("""COMPUTED_VALUE"""),366.5)</f>
        <v>366.5</v>
      </c>
      <c r="E255" s="2">
        <f>IFERROR(__xludf.DUMMYFUNCTION("""COMPUTED_VALUE"""),367.75)</f>
        <v>367.75</v>
      </c>
      <c r="F255" s="2">
        <f>IFERROR(__xludf.DUMMYFUNCTION("""COMPUTED_VALUE"""),2.1004575E7)</f>
        <v>21004575</v>
      </c>
    </row>
    <row r="256">
      <c r="A256" s="3">
        <f>IFERROR(__xludf.DUMMYFUNCTION("""COMPUTED_VALUE"""),45299.66666666667)</f>
        <v>45299.66667</v>
      </c>
      <c r="B256" s="2">
        <f>IFERROR(__xludf.DUMMYFUNCTION("""COMPUTED_VALUE"""),369.3)</f>
        <v>369.3</v>
      </c>
      <c r="C256" s="2">
        <f>IFERROR(__xludf.DUMMYFUNCTION("""COMPUTED_VALUE"""),375.2)</f>
        <v>375.2</v>
      </c>
      <c r="D256" s="2">
        <f>IFERROR(__xludf.DUMMYFUNCTION("""COMPUTED_VALUE"""),369.01)</f>
        <v>369.01</v>
      </c>
      <c r="E256" s="2">
        <f>IFERROR(__xludf.DUMMYFUNCTION("""COMPUTED_VALUE"""),374.69)</f>
        <v>374.69</v>
      </c>
      <c r="F256" s="2">
        <f>IFERROR(__xludf.DUMMYFUNCTION("""COMPUTED_VALUE"""),2.3133967E7)</f>
        <v>23133967</v>
      </c>
    </row>
    <row r="257">
      <c r="A257" s="3">
        <f>IFERROR(__xludf.DUMMYFUNCTION("""COMPUTED_VALUE"""),45300.66666666667)</f>
        <v>45300.66667</v>
      </c>
      <c r="B257" s="2">
        <f>IFERROR(__xludf.DUMMYFUNCTION("""COMPUTED_VALUE"""),372.01)</f>
        <v>372.01</v>
      </c>
      <c r="C257" s="2">
        <f>IFERROR(__xludf.DUMMYFUNCTION("""COMPUTED_VALUE"""),375.99)</f>
        <v>375.99</v>
      </c>
      <c r="D257" s="2">
        <f>IFERROR(__xludf.DUMMYFUNCTION("""COMPUTED_VALUE"""),371.19)</f>
        <v>371.19</v>
      </c>
      <c r="E257" s="2">
        <f>IFERROR(__xludf.DUMMYFUNCTION("""COMPUTED_VALUE"""),375.79)</f>
        <v>375.79</v>
      </c>
      <c r="F257" s="2">
        <f>IFERROR(__xludf.DUMMYFUNCTION("""COMPUTED_VALUE"""),2.0829953E7)</f>
        <v>20829953</v>
      </c>
    </row>
    <row r="258">
      <c r="A258" s="3">
        <f>IFERROR(__xludf.DUMMYFUNCTION("""COMPUTED_VALUE"""),45301.66666666667)</f>
        <v>45301.66667</v>
      </c>
      <c r="B258" s="2">
        <f>IFERROR(__xludf.DUMMYFUNCTION("""COMPUTED_VALUE"""),376.37)</f>
        <v>376.37</v>
      </c>
      <c r="C258" s="2">
        <f>IFERROR(__xludf.DUMMYFUNCTION("""COMPUTED_VALUE"""),384.17)</f>
        <v>384.17</v>
      </c>
      <c r="D258" s="2">
        <f>IFERROR(__xludf.DUMMYFUNCTION("""COMPUTED_VALUE"""),376.32)</f>
        <v>376.32</v>
      </c>
      <c r="E258" s="2">
        <f>IFERROR(__xludf.DUMMYFUNCTION("""COMPUTED_VALUE"""),382.77)</f>
        <v>382.77</v>
      </c>
      <c r="F258" s="2">
        <f>IFERROR(__xludf.DUMMYFUNCTION("""COMPUTED_VALUE"""),2.5514245E7)</f>
        <v>25514245</v>
      </c>
    </row>
    <row r="259">
      <c r="A259" s="3">
        <f>IFERROR(__xludf.DUMMYFUNCTION("""COMPUTED_VALUE"""),45302.66666666667)</f>
        <v>45302.66667</v>
      </c>
      <c r="B259" s="2">
        <f>IFERROR(__xludf.DUMMYFUNCTION("""COMPUTED_VALUE"""),386.0)</f>
        <v>386</v>
      </c>
      <c r="C259" s="2">
        <f>IFERROR(__xludf.DUMMYFUNCTION("""COMPUTED_VALUE"""),390.68)</f>
        <v>390.68</v>
      </c>
      <c r="D259" s="2">
        <f>IFERROR(__xludf.DUMMYFUNCTION("""COMPUTED_VALUE"""),380.38)</f>
        <v>380.38</v>
      </c>
      <c r="E259" s="2">
        <f>IFERROR(__xludf.DUMMYFUNCTION("""COMPUTED_VALUE"""),384.63)</f>
        <v>384.63</v>
      </c>
      <c r="F259" s="2">
        <f>IFERROR(__xludf.DUMMYFUNCTION("""COMPUTED_VALUE"""),2.7850846E7)</f>
        <v>27850846</v>
      </c>
    </row>
    <row r="260">
      <c r="A260" s="3">
        <f>IFERROR(__xludf.DUMMYFUNCTION("""COMPUTED_VALUE"""),45303.66666666667)</f>
        <v>45303.66667</v>
      </c>
      <c r="B260" s="2">
        <f>IFERROR(__xludf.DUMMYFUNCTION("""COMPUTED_VALUE"""),385.49)</f>
        <v>385.49</v>
      </c>
      <c r="C260" s="2">
        <f>IFERROR(__xludf.DUMMYFUNCTION("""COMPUTED_VALUE"""),388.68)</f>
        <v>388.68</v>
      </c>
      <c r="D260" s="2">
        <f>IFERROR(__xludf.DUMMYFUNCTION("""COMPUTED_VALUE"""),384.65)</f>
        <v>384.65</v>
      </c>
      <c r="E260" s="2">
        <f>IFERROR(__xludf.DUMMYFUNCTION("""COMPUTED_VALUE"""),388.47)</f>
        <v>388.47</v>
      </c>
      <c r="F260" s="2">
        <f>IFERROR(__xludf.DUMMYFUNCTION("""COMPUTED_VALUE"""),2.1661153E7)</f>
        <v>21661153</v>
      </c>
    </row>
    <row r="261">
      <c r="A261" s="3">
        <f>IFERROR(__xludf.DUMMYFUNCTION("""COMPUTED_VALUE"""),45307.66666666667)</f>
        <v>45307.66667</v>
      </c>
      <c r="B261" s="2">
        <f>IFERROR(__xludf.DUMMYFUNCTION("""COMPUTED_VALUE"""),393.66)</f>
        <v>393.66</v>
      </c>
      <c r="C261" s="2">
        <f>IFERROR(__xludf.DUMMYFUNCTION("""COMPUTED_VALUE"""),394.03)</f>
        <v>394.03</v>
      </c>
      <c r="D261" s="2">
        <f>IFERROR(__xludf.DUMMYFUNCTION("""COMPUTED_VALUE"""),387.62)</f>
        <v>387.62</v>
      </c>
      <c r="E261" s="2">
        <f>IFERROR(__xludf.DUMMYFUNCTION("""COMPUTED_VALUE"""),390.27)</f>
        <v>390.27</v>
      </c>
      <c r="F261" s="2">
        <f>IFERROR(__xludf.DUMMYFUNCTION("""COMPUTED_VALUE"""),2.7202268E7)</f>
        <v>27202268</v>
      </c>
    </row>
    <row r="262">
      <c r="A262" s="3">
        <f>IFERROR(__xludf.DUMMYFUNCTION("""COMPUTED_VALUE"""),45308.66666666667)</f>
        <v>45308.66667</v>
      </c>
      <c r="B262" s="2">
        <f>IFERROR(__xludf.DUMMYFUNCTION("""COMPUTED_VALUE"""),387.98)</f>
        <v>387.98</v>
      </c>
      <c r="C262" s="2">
        <f>IFERROR(__xludf.DUMMYFUNCTION("""COMPUTED_VALUE"""),390.11)</f>
        <v>390.11</v>
      </c>
      <c r="D262" s="2">
        <f>IFERROR(__xludf.DUMMYFUNCTION("""COMPUTED_VALUE"""),384.81)</f>
        <v>384.81</v>
      </c>
      <c r="E262" s="2">
        <f>IFERROR(__xludf.DUMMYFUNCTION("""COMPUTED_VALUE"""),389.47)</f>
        <v>389.47</v>
      </c>
      <c r="F262" s="2">
        <f>IFERROR(__xludf.DUMMYFUNCTION("""COMPUTED_VALUE"""),2.2234108E7)</f>
        <v>22234108</v>
      </c>
    </row>
    <row r="263">
      <c r="A263" s="3">
        <f>IFERROR(__xludf.DUMMYFUNCTION("""COMPUTED_VALUE"""),45309.66666666667)</f>
        <v>45309.66667</v>
      </c>
      <c r="B263" s="2">
        <f>IFERROR(__xludf.DUMMYFUNCTION("""COMPUTED_VALUE"""),391.72)</f>
        <v>391.72</v>
      </c>
      <c r="C263" s="2">
        <f>IFERROR(__xludf.DUMMYFUNCTION("""COMPUTED_VALUE"""),393.99)</f>
        <v>393.99</v>
      </c>
      <c r="D263" s="2">
        <f>IFERROR(__xludf.DUMMYFUNCTION("""COMPUTED_VALUE"""),390.12)</f>
        <v>390.12</v>
      </c>
      <c r="E263" s="2">
        <f>IFERROR(__xludf.DUMMYFUNCTION("""COMPUTED_VALUE"""),393.87)</f>
        <v>393.87</v>
      </c>
      <c r="F263" s="2">
        <f>IFERROR(__xludf.DUMMYFUNCTION("""COMPUTED_VALUE"""),2.3392068E7)</f>
        <v>23392068</v>
      </c>
    </row>
    <row r="264">
      <c r="A264" s="3">
        <f>IFERROR(__xludf.DUMMYFUNCTION("""COMPUTED_VALUE"""),45310.66666666667)</f>
        <v>45310.66667</v>
      </c>
      <c r="B264" s="2">
        <f>IFERROR(__xludf.DUMMYFUNCTION("""COMPUTED_VALUE"""),395.76)</f>
        <v>395.76</v>
      </c>
      <c r="C264" s="2">
        <f>IFERROR(__xludf.DUMMYFUNCTION("""COMPUTED_VALUE"""),398.67)</f>
        <v>398.67</v>
      </c>
      <c r="D264" s="2">
        <f>IFERROR(__xludf.DUMMYFUNCTION("""COMPUTED_VALUE"""),393.5)</f>
        <v>393.5</v>
      </c>
      <c r="E264" s="2">
        <f>IFERROR(__xludf.DUMMYFUNCTION("""COMPUTED_VALUE"""),398.67)</f>
        <v>398.67</v>
      </c>
      <c r="F264" s="2">
        <f>IFERROR(__xludf.DUMMYFUNCTION("""COMPUTED_VALUE"""),2.9331136E7)</f>
        <v>29331136</v>
      </c>
    </row>
    <row r="265">
      <c r="A265" s="3">
        <f>IFERROR(__xludf.DUMMYFUNCTION("""COMPUTED_VALUE"""),45313.66666666667)</f>
        <v>45313.66667</v>
      </c>
      <c r="B265" s="2">
        <f>IFERROR(__xludf.DUMMYFUNCTION("""COMPUTED_VALUE"""),400.02)</f>
        <v>400.02</v>
      </c>
      <c r="C265" s="2">
        <f>IFERROR(__xludf.DUMMYFUNCTION("""COMPUTED_VALUE"""),400.62)</f>
        <v>400.62</v>
      </c>
      <c r="D265" s="2">
        <f>IFERROR(__xludf.DUMMYFUNCTION("""COMPUTED_VALUE"""),393.59)</f>
        <v>393.59</v>
      </c>
      <c r="E265" s="2">
        <f>IFERROR(__xludf.DUMMYFUNCTION("""COMPUTED_VALUE"""),396.51)</f>
        <v>396.51</v>
      </c>
      <c r="F265" s="2">
        <f>IFERROR(__xludf.DUMMYFUNCTION("""COMPUTED_VALUE"""),2.7016902E7)</f>
        <v>27016902</v>
      </c>
    </row>
    <row r="266">
      <c r="A266" s="3">
        <f>IFERROR(__xludf.DUMMYFUNCTION("""COMPUTED_VALUE"""),45314.66666666667)</f>
        <v>45314.66667</v>
      </c>
      <c r="B266" s="2">
        <f>IFERROR(__xludf.DUMMYFUNCTION("""COMPUTED_VALUE"""),395.75)</f>
        <v>395.75</v>
      </c>
      <c r="C266" s="2">
        <f>IFERROR(__xludf.DUMMYFUNCTION("""COMPUTED_VALUE"""),399.38)</f>
        <v>399.38</v>
      </c>
      <c r="D266" s="2">
        <f>IFERROR(__xludf.DUMMYFUNCTION("""COMPUTED_VALUE"""),393.93)</f>
        <v>393.93</v>
      </c>
      <c r="E266" s="2">
        <f>IFERROR(__xludf.DUMMYFUNCTION("""COMPUTED_VALUE"""),398.9)</f>
        <v>398.9</v>
      </c>
      <c r="F266" s="2">
        <f>IFERROR(__xludf.DUMMYFUNCTION("""COMPUTED_VALUE"""),2.0525882E7)</f>
        <v>20525882</v>
      </c>
    </row>
    <row r="267">
      <c r="A267" s="3">
        <f>IFERROR(__xludf.DUMMYFUNCTION("""COMPUTED_VALUE"""),45315.66666666667)</f>
        <v>45315.66667</v>
      </c>
      <c r="B267" s="2">
        <f>IFERROR(__xludf.DUMMYFUNCTION("""COMPUTED_VALUE"""),401.54)</f>
        <v>401.54</v>
      </c>
      <c r="C267" s="2">
        <f>IFERROR(__xludf.DUMMYFUNCTION("""COMPUTED_VALUE"""),405.63)</f>
        <v>405.63</v>
      </c>
      <c r="D267" s="2">
        <f>IFERROR(__xludf.DUMMYFUNCTION("""COMPUTED_VALUE"""),400.45)</f>
        <v>400.45</v>
      </c>
      <c r="E267" s="2">
        <f>IFERROR(__xludf.DUMMYFUNCTION("""COMPUTED_VALUE"""),402.56)</f>
        <v>402.56</v>
      </c>
      <c r="F267" s="2">
        <f>IFERROR(__xludf.DUMMYFUNCTION("""COMPUTED_VALUE"""),2.4866953E7)</f>
        <v>24866953</v>
      </c>
    </row>
    <row r="268">
      <c r="A268" s="3">
        <f>IFERROR(__xludf.DUMMYFUNCTION("""COMPUTED_VALUE"""),45316.66666666667)</f>
        <v>45316.66667</v>
      </c>
      <c r="B268" s="2">
        <f>IFERROR(__xludf.DUMMYFUNCTION("""COMPUTED_VALUE"""),404.32)</f>
        <v>404.32</v>
      </c>
      <c r="C268" s="2">
        <f>IFERROR(__xludf.DUMMYFUNCTION("""COMPUTED_VALUE"""),407.01)</f>
        <v>407.01</v>
      </c>
      <c r="D268" s="2">
        <f>IFERROR(__xludf.DUMMYFUNCTION("""COMPUTED_VALUE"""),402.53)</f>
        <v>402.53</v>
      </c>
      <c r="E268" s="2">
        <f>IFERROR(__xludf.DUMMYFUNCTION("""COMPUTED_VALUE"""),404.87)</f>
        <v>404.87</v>
      </c>
      <c r="F268" s="2">
        <f>IFERROR(__xludf.DUMMYFUNCTION("""COMPUTED_VALUE"""),2.1021155E7)</f>
        <v>21021155</v>
      </c>
    </row>
    <row r="269">
      <c r="A269" s="3">
        <f>IFERROR(__xludf.DUMMYFUNCTION("""COMPUTED_VALUE"""),45317.66666666667)</f>
        <v>45317.66667</v>
      </c>
      <c r="B269" s="2">
        <f>IFERROR(__xludf.DUMMYFUNCTION("""COMPUTED_VALUE"""),404.37)</f>
        <v>404.37</v>
      </c>
      <c r="C269" s="2">
        <f>IFERROR(__xludf.DUMMYFUNCTION("""COMPUTED_VALUE"""),406.17)</f>
        <v>406.17</v>
      </c>
      <c r="D269" s="2">
        <f>IFERROR(__xludf.DUMMYFUNCTION("""COMPUTED_VALUE"""),402.43)</f>
        <v>402.43</v>
      </c>
      <c r="E269" s="2">
        <f>IFERROR(__xludf.DUMMYFUNCTION("""COMPUTED_VALUE"""),403.93)</f>
        <v>403.93</v>
      </c>
      <c r="F269" s="2">
        <f>IFERROR(__xludf.DUMMYFUNCTION("""COMPUTED_VALUE"""),1.7803271E7)</f>
        <v>17803271</v>
      </c>
    </row>
    <row r="270">
      <c r="A270" s="3">
        <f>IFERROR(__xludf.DUMMYFUNCTION("""COMPUTED_VALUE"""),45320.66666666667)</f>
        <v>45320.66667</v>
      </c>
      <c r="B270" s="2">
        <f>IFERROR(__xludf.DUMMYFUNCTION("""COMPUTED_VALUE"""),406.06)</f>
        <v>406.06</v>
      </c>
      <c r="C270" s="2">
        <f>IFERROR(__xludf.DUMMYFUNCTION("""COMPUTED_VALUE"""),409.98)</f>
        <v>409.98</v>
      </c>
      <c r="D270" s="2">
        <f>IFERROR(__xludf.DUMMYFUNCTION("""COMPUTED_VALUE"""),404.33)</f>
        <v>404.33</v>
      </c>
      <c r="E270" s="2">
        <f>IFERROR(__xludf.DUMMYFUNCTION("""COMPUTED_VALUE"""),409.72)</f>
        <v>409.72</v>
      </c>
      <c r="F270" s="2">
        <f>IFERROR(__xludf.DUMMYFUNCTION("""COMPUTED_VALUE"""),2.4510236E7)</f>
        <v>24510236</v>
      </c>
    </row>
    <row r="271">
      <c r="A271" s="3">
        <f>IFERROR(__xludf.DUMMYFUNCTION("""COMPUTED_VALUE"""),45321.66666666667)</f>
        <v>45321.66667</v>
      </c>
      <c r="B271" s="2">
        <f>IFERROR(__xludf.DUMMYFUNCTION("""COMPUTED_VALUE"""),412.26)</f>
        <v>412.26</v>
      </c>
      <c r="C271" s="2">
        <f>IFERROR(__xludf.DUMMYFUNCTION("""COMPUTED_VALUE"""),413.05)</f>
        <v>413.05</v>
      </c>
      <c r="D271" s="2">
        <f>IFERROR(__xludf.DUMMYFUNCTION("""COMPUTED_VALUE"""),406.45)</f>
        <v>406.45</v>
      </c>
      <c r="E271" s="2">
        <f>IFERROR(__xludf.DUMMYFUNCTION("""COMPUTED_VALUE"""),408.59)</f>
        <v>408.59</v>
      </c>
      <c r="F271" s="2">
        <f>IFERROR(__xludf.DUMMYFUNCTION("""COMPUTED_VALUE"""),3.347761E7)</f>
        <v>33477610</v>
      </c>
    </row>
    <row r="272">
      <c r="A272" s="3">
        <f>IFERROR(__xludf.DUMMYFUNCTION("""COMPUTED_VALUE"""),45322.66666666667)</f>
        <v>45322.66667</v>
      </c>
      <c r="B272" s="2">
        <f>IFERROR(__xludf.DUMMYFUNCTION("""COMPUTED_VALUE"""),406.96)</f>
        <v>406.96</v>
      </c>
      <c r="C272" s="2">
        <f>IFERROR(__xludf.DUMMYFUNCTION("""COMPUTED_VALUE"""),415.32)</f>
        <v>415.32</v>
      </c>
      <c r="D272" s="2">
        <f>IFERROR(__xludf.DUMMYFUNCTION("""COMPUTED_VALUE"""),397.21)</f>
        <v>397.21</v>
      </c>
      <c r="E272" s="2">
        <f>IFERROR(__xludf.DUMMYFUNCTION("""COMPUTED_VALUE"""),397.58)</f>
        <v>397.58</v>
      </c>
      <c r="F272" s="2">
        <f>IFERROR(__xludf.DUMMYFUNCTION("""COMPUTED_VALUE"""),4.7871097E7)</f>
        <v>47871097</v>
      </c>
    </row>
    <row r="273">
      <c r="A273" s="3">
        <f>IFERROR(__xludf.DUMMYFUNCTION("""COMPUTED_VALUE"""),45323.66666666667)</f>
        <v>45323.66667</v>
      </c>
      <c r="B273" s="2">
        <f>IFERROR(__xludf.DUMMYFUNCTION("""COMPUTED_VALUE"""),401.83)</f>
        <v>401.83</v>
      </c>
      <c r="C273" s="2">
        <f>IFERROR(__xludf.DUMMYFUNCTION("""COMPUTED_VALUE"""),408.0)</f>
        <v>408</v>
      </c>
      <c r="D273" s="2">
        <f>IFERROR(__xludf.DUMMYFUNCTION("""COMPUTED_VALUE"""),401.8)</f>
        <v>401.8</v>
      </c>
      <c r="E273" s="2">
        <f>IFERROR(__xludf.DUMMYFUNCTION("""COMPUTED_VALUE"""),403.78)</f>
        <v>403.78</v>
      </c>
      <c r="F273" s="2">
        <f>IFERROR(__xludf.DUMMYFUNCTION("""COMPUTED_VALUE"""),3.0657726E7)</f>
        <v>30657726</v>
      </c>
    </row>
    <row r="274">
      <c r="A274" s="3">
        <f>IFERROR(__xludf.DUMMYFUNCTION("""COMPUTED_VALUE"""),45324.66666666667)</f>
        <v>45324.66667</v>
      </c>
      <c r="B274" s="2">
        <f>IFERROR(__xludf.DUMMYFUNCTION("""COMPUTED_VALUE"""),403.81)</f>
        <v>403.81</v>
      </c>
      <c r="C274" s="2">
        <f>IFERROR(__xludf.DUMMYFUNCTION("""COMPUTED_VALUE"""),412.65)</f>
        <v>412.65</v>
      </c>
      <c r="D274" s="2">
        <f>IFERROR(__xludf.DUMMYFUNCTION("""COMPUTED_VALUE"""),403.56)</f>
        <v>403.56</v>
      </c>
      <c r="E274" s="2">
        <f>IFERROR(__xludf.DUMMYFUNCTION("""COMPUTED_VALUE"""),411.22)</f>
        <v>411.22</v>
      </c>
      <c r="F274" s="2">
        <f>IFERROR(__xludf.DUMMYFUNCTION("""COMPUTED_VALUE"""),2.825667E7)</f>
        <v>28256670</v>
      </c>
    </row>
    <row r="275">
      <c r="A275" s="3">
        <f>IFERROR(__xludf.DUMMYFUNCTION("""COMPUTED_VALUE"""),45327.66666666667)</f>
        <v>45327.66667</v>
      </c>
      <c r="B275" s="2">
        <f>IFERROR(__xludf.DUMMYFUNCTION("""COMPUTED_VALUE"""),409.9)</f>
        <v>409.9</v>
      </c>
      <c r="C275" s="2">
        <f>IFERROR(__xludf.DUMMYFUNCTION("""COMPUTED_VALUE"""),411.16)</f>
        <v>411.16</v>
      </c>
      <c r="D275" s="2">
        <f>IFERROR(__xludf.DUMMYFUNCTION("""COMPUTED_VALUE"""),403.99)</f>
        <v>403.99</v>
      </c>
      <c r="E275" s="2">
        <f>IFERROR(__xludf.DUMMYFUNCTION("""COMPUTED_VALUE"""),405.65)</f>
        <v>405.65</v>
      </c>
      <c r="F275" s="2">
        <f>IFERROR(__xludf.DUMMYFUNCTION("""COMPUTED_VALUE"""),2.5352286E7)</f>
        <v>25352286</v>
      </c>
    </row>
    <row r="276">
      <c r="A276" s="3">
        <f>IFERROR(__xludf.DUMMYFUNCTION("""COMPUTED_VALUE"""),45328.66666666667)</f>
        <v>45328.66667</v>
      </c>
      <c r="B276" s="2">
        <f>IFERROR(__xludf.DUMMYFUNCTION("""COMPUTED_VALUE"""),405.88)</f>
        <v>405.88</v>
      </c>
      <c r="C276" s="2">
        <f>IFERROR(__xludf.DUMMYFUNCTION("""COMPUTED_VALUE"""),407.97)</f>
        <v>407.97</v>
      </c>
      <c r="D276" s="2">
        <f>IFERROR(__xludf.DUMMYFUNCTION("""COMPUTED_VALUE"""),402.91)</f>
        <v>402.91</v>
      </c>
      <c r="E276" s="2">
        <f>IFERROR(__xludf.DUMMYFUNCTION("""COMPUTED_VALUE"""),405.49)</f>
        <v>405.49</v>
      </c>
      <c r="F276" s="2">
        <f>IFERROR(__xludf.DUMMYFUNCTION("""COMPUTED_VALUE"""),1.8382624E7)</f>
        <v>18382624</v>
      </c>
    </row>
    <row r="277">
      <c r="A277" s="3">
        <f>IFERROR(__xludf.DUMMYFUNCTION("""COMPUTED_VALUE"""),45329.66666666667)</f>
        <v>45329.66667</v>
      </c>
      <c r="B277" s="2">
        <f>IFERROR(__xludf.DUMMYFUNCTION("""COMPUTED_VALUE"""),407.44)</f>
        <v>407.44</v>
      </c>
      <c r="C277" s="2">
        <f>IFERROR(__xludf.DUMMYFUNCTION("""COMPUTED_VALUE"""),414.3)</f>
        <v>414.3</v>
      </c>
      <c r="D277" s="2">
        <f>IFERROR(__xludf.DUMMYFUNCTION("""COMPUTED_VALUE"""),407.4)</f>
        <v>407.4</v>
      </c>
      <c r="E277" s="2">
        <f>IFERROR(__xludf.DUMMYFUNCTION("""COMPUTED_VALUE"""),414.05)</f>
        <v>414.05</v>
      </c>
      <c r="F277" s="2">
        <f>IFERROR(__xludf.DUMMYFUNCTION("""COMPUTED_VALUE"""),2.2340526E7)</f>
        <v>22340526</v>
      </c>
    </row>
    <row r="278">
      <c r="A278" s="3">
        <f>IFERROR(__xludf.DUMMYFUNCTION("""COMPUTED_VALUE"""),45330.66666666667)</f>
        <v>45330.66667</v>
      </c>
      <c r="B278" s="2">
        <f>IFERROR(__xludf.DUMMYFUNCTION("""COMPUTED_VALUE"""),414.05)</f>
        <v>414.05</v>
      </c>
      <c r="C278" s="2">
        <f>IFERROR(__xludf.DUMMYFUNCTION("""COMPUTED_VALUE"""),415.56)</f>
        <v>415.56</v>
      </c>
      <c r="D278" s="2">
        <f>IFERROR(__xludf.DUMMYFUNCTION("""COMPUTED_VALUE"""),412.53)</f>
        <v>412.53</v>
      </c>
      <c r="E278" s="2">
        <f>IFERROR(__xludf.DUMMYFUNCTION("""COMPUTED_VALUE"""),414.11)</f>
        <v>414.11</v>
      </c>
      <c r="F278" s="2">
        <f>IFERROR(__xludf.DUMMYFUNCTION("""COMPUTED_VALUE"""),2.1225257E7)</f>
        <v>21225257</v>
      </c>
    </row>
    <row r="279">
      <c r="A279" s="3">
        <f>IFERROR(__xludf.DUMMYFUNCTION("""COMPUTED_VALUE"""),45331.66666666667)</f>
        <v>45331.66667</v>
      </c>
      <c r="B279" s="2">
        <f>IFERROR(__xludf.DUMMYFUNCTION("""COMPUTED_VALUE"""),415.25)</f>
        <v>415.25</v>
      </c>
      <c r="C279" s="2">
        <f>IFERROR(__xludf.DUMMYFUNCTION("""COMPUTED_VALUE"""),420.82)</f>
        <v>420.82</v>
      </c>
      <c r="D279" s="2">
        <f>IFERROR(__xludf.DUMMYFUNCTION("""COMPUTED_VALUE"""),415.09)</f>
        <v>415.09</v>
      </c>
      <c r="E279" s="2">
        <f>IFERROR(__xludf.DUMMYFUNCTION("""COMPUTED_VALUE"""),420.55)</f>
        <v>420.55</v>
      </c>
      <c r="F279" s="2">
        <f>IFERROR(__xludf.DUMMYFUNCTION("""COMPUTED_VALUE"""),2.2032844E7)</f>
        <v>22032844</v>
      </c>
    </row>
    <row r="280">
      <c r="A280" s="3">
        <f>IFERROR(__xludf.DUMMYFUNCTION("""COMPUTED_VALUE"""),45334.66666666667)</f>
        <v>45334.66667</v>
      </c>
      <c r="B280" s="2">
        <f>IFERROR(__xludf.DUMMYFUNCTION("""COMPUTED_VALUE"""),420.56)</f>
        <v>420.56</v>
      </c>
      <c r="C280" s="2">
        <f>IFERROR(__xludf.DUMMYFUNCTION("""COMPUTED_VALUE"""),420.74)</f>
        <v>420.74</v>
      </c>
      <c r="D280" s="2">
        <f>IFERROR(__xludf.DUMMYFUNCTION("""COMPUTED_VALUE"""),414.75)</f>
        <v>414.75</v>
      </c>
      <c r="E280" s="2">
        <f>IFERROR(__xludf.DUMMYFUNCTION("""COMPUTED_VALUE"""),415.26)</f>
        <v>415.26</v>
      </c>
      <c r="F280" s="2">
        <f>IFERROR(__xludf.DUMMYFUNCTION("""COMPUTED_VALUE"""),2.1202921E7)</f>
        <v>21202921</v>
      </c>
    </row>
    <row r="281">
      <c r="A281" s="3">
        <f>IFERROR(__xludf.DUMMYFUNCTION("""COMPUTED_VALUE"""),45335.66666666667)</f>
        <v>45335.66667</v>
      </c>
      <c r="B281" s="2">
        <f>IFERROR(__xludf.DUMMYFUNCTION("""COMPUTED_VALUE"""),404.94)</f>
        <v>404.94</v>
      </c>
      <c r="C281" s="2">
        <f>IFERROR(__xludf.DUMMYFUNCTION("""COMPUTED_VALUE"""),410.07)</f>
        <v>410.07</v>
      </c>
      <c r="D281" s="2">
        <f>IFERROR(__xludf.DUMMYFUNCTION("""COMPUTED_VALUE"""),403.39)</f>
        <v>403.39</v>
      </c>
      <c r="E281" s="2">
        <f>IFERROR(__xludf.DUMMYFUNCTION("""COMPUTED_VALUE"""),406.32)</f>
        <v>406.32</v>
      </c>
      <c r="F281" s="2">
        <f>IFERROR(__xludf.DUMMYFUNCTION("""COMPUTED_VALUE"""),2.7824936E7)</f>
        <v>27824936</v>
      </c>
    </row>
    <row r="282">
      <c r="A282" s="3">
        <f>IFERROR(__xludf.DUMMYFUNCTION("""COMPUTED_VALUE"""),45336.66666666667)</f>
        <v>45336.66667</v>
      </c>
      <c r="B282" s="2">
        <f>IFERROR(__xludf.DUMMYFUNCTION("""COMPUTED_VALUE"""),408.07)</f>
        <v>408.07</v>
      </c>
      <c r="C282" s="2">
        <f>IFERROR(__xludf.DUMMYFUNCTION("""COMPUTED_VALUE"""),409.84)</f>
        <v>409.84</v>
      </c>
      <c r="D282" s="2">
        <f>IFERROR(__xludf.DUMMYFUNCTION("""COMPUTED_VALUE"""),404.57)</f>
        <v>404.57</v>
      </c>
      <c r="E282" s="2">
        <f>IFERROR(__xludf.DUMMYFUNCTION("""COMPUTED_VALUE"""),409.49)</f>
        <v>409.49</v>
      </c>
      <c r="F282" s="2">
        <f>IFERROR(__xludf.DUMMYFUNCTION("""COMPUTED_VALUE"""),2.040119E7)</f>
        <v>20401190</v>
      </c>
    </row>
    <row r="283">
      <c r="A283" s="3">
        <f>IFERROR(__xludf.DUMMYFUNCTION("""COMPUTED_VALUE"""),45337.66666666667)</f>
        <v>45337.66667</v>
      </c>
      <c r="B283" s="2">
        <f>IFERROR(__xludf.DUMMYFUNCTION("""COMPUTED_VALUE"""),408.14)</f>
        <v>408.14</v>
      </c>
      <c r="C283" s="2">
        <f>IFERROR(__xludf.DUMMYFUNCTION("""COMPUTED_VALUE"""),409.13)</f>
        <v>409.13</v>
      </c>
      <c r="D283" s="2">
        <f>IFERROR(__xludf.DUMMYFUNCTION("""COMPUTED_VALUE"""),404.29)</f>
        <v>404.29</v>
      </c>
      <c r="E283" s="2">
        <f>IFERROR(__xludf.DUMMYFUNCTION("""COMPUTED_VALUE"""),406.56)</f>
        <v>406.56</v>
      </c>
      <c r="F283" s="2">
        <f>IFERROR(__xludf.DUMMYFUNCTION("""COMPUTED_VALUE"""),2.1825525E7)</f>
        <v>21825525</v>
      </c>
    </row>
    <row r="284">
      <c r="A284" s="3">
        <f>IFERROR(__xludf.DUMMYFUNCTION("""COMPUTED_VALUE"""),45338.66666666667)</f>
        <v>45338.66667</v>
      </c>
      <c r="B284" s="2">
        <f>IFERROR(__xludf.DUMMYFUNCTION("""COMPUTED_VALUE"""),407.96)</f>
        <v>407.96</v>
      </c>
      <c r="C284" s="2">
        <f>IFERROR(__xludf.DUMMYFUNCTION("""COMPUTED_VALUE"""),408.29)</f>
        <v>408.29</v>
      </c>
      <c r="D284" s="2">
        <f>IFERROR(__xludf.DUMMYFUNCTION("""COMPUTED_VALUE"""),403.44)</f>
        <v>403.44</v>
      </c>
      <c r="E284" s="2">
        <f>IFERROR(__xludf.DUMMYFUNCTION("""COMPUTED_VALUE"""),404.06)</f>
        <v>404.06</v>
      </c>
      <c r="F284" s="2">
        <f>IFERROR(__xludf.DUMMYFUNCTION("""COMPUTED_VALUE"""),2.2296495E7)</f>
        <v>22296495</v>
      </c>
    </row>
    <row r="285">
      <c r="A285" s="3">
        <f>IFERROR(__xludf.DUMMYFUNCTION("""COMPUTED_VALUE"""),45342.66666666667)</f>
        <v>45342.66667</v>
      </c>
      <c r="B285" s="2">
        <f>IFERROR(__xludf.DUMMYFUNCTION("""COMPUTED_VALUE"""),403.24)</f>
        <v>403.24</v>
      </c>
      <c r="C285" s="2">
        <f>IFERROR(__xludf.DUMMYFUNCTION("""COMPUTED_VALUE"""),404.49)</f>
        <v>404.49</v>
      </c>
      <c r="D285" s="2">
        <f>IFERROR(__xludf.DUMMYFUNCTION("""COMPUTED_VALUE"""),398.01)</f>
        <v>398.01</v>
      </c>
      <c r="E285" s="2">
        <f>IFERROR(__xludf.DUMMYFUNCTION("""COMPUTED_VALUE"""),402.79)</f>
        <v>402.79</v>
      </c>
      <c r="F285" s="2">
        <f>IFERROR(__xludf.DUMMYFUNCTION("""COMPUTED_VALUE"""),2.4307915E7)</f>
        <v>24307915</v>
      </c>
    </row>
    <row r="286">
      <c r="A286" s="3">
        <f>IFERROR(__xludf.DUMMYFUNCTION("""COMPUTED_VALUE"""),45343.66666666667)</f>
        <v>45343.66667</v>
      </c>
      <c r="B286" s="2">
        <f>IFERROR(__xludf.DUMMYFUNCTION("""COMPUTED_VALUE"""),400.17)</f>
        <v>400.17</v>
      </c>
      <c r="C286" s="2">
        <f>IFERROR(__xludf.DUMMYFUNCTION("""COMPUTED_VALUE"""),402.29)</f>
        <v>402.29</v>
      </c>
      <c r="D286" s="2">
        <f>IFERROR(__xludf.DUMMYFUNCTION("""COMPUTED_VALUE"""),397.22)</f>
        <v>397.22</v>
      </c>
      <c r="E286" s="2">
        <f>IFERROR(__xludf.DUMMYFUNCTION("""COMPUTED_VALUE"""),402.18)</f>
        <v>402.18</v>
      </c>
      <c r="F286" s="2">
        <f>IFERROR(__xludf.DUMMYFUNCTION("""COMPUTED_VALUE"""),1.8631072E7)</f>
        <v>18631072</v>
      </c>
    </row>
    <row r="287">
      <c r="A287" s="3">
        <f>IFERROR(__xludf.DUMMYFUNCTION("""COMPUTED_VALUE"""),45344.66666666667)</f>
        <v>45344.66667</v>
      </c>
      <c r="B287" s="2">
        <f>IFERROR(__xludf.DUMMYFUNCTION("""COMPUTED_VALUE"""),410.19)</f>
        <v>410.19</v>
      </c>
      <c r="C287" s="2">
        <f>IFERROR(__xludf.DUMMYFUNCTION("""COMPUTED_VALUE"""),412.83)</f>
        <v>412.83</v>
      </c>
      <c r="D287" s="2">
        <f>IFERROR(__xludf.DUMMYFUNCTION("""COMPUTED_VALUE"""),408.57)</f>
        <v>408.57</v>
      </c>
      <c r="E287" s="2">
        <f>IFERROR(__xludf.DUMMYFUNCTION("""COMPUTED_VALUE"""),411.65)</f>
        <v>411.65</v>
      </c>
      <c r="F287" s="2">
        <f>IFERROR(__xludf.DUMMYFUNCTION("""COMPUTED_VALUE"""),2.7009869E7)</f>
        <v>27009869</v>
      </c>
    </row>
    <row r="288">
      <c r="A288" s="3">
        <f>IFERROR(__xludf.DUMMYFUNCTION("""COMPUTED_VALUE"""),45345.66666666667)</f>
        <v>45345.66667</v>
      </c>
      <c r="B288" s="2">
        <f>IFERROR(__xludf.DUMMYFUNCTION("""COMPUTED_VALUE"""),415.67)</f>
        <v>415.67</v>
      </c>
      <c r="C288" s="2">
        <f>IFERROR(__xludf.DUMMYFUNCTION("""COMPUTED_VALUE"""),415.86)</f>
        <v>415.86</v>
      </c>
      <c r="D288" s="2">
        <f>IFERROR(__xludf.DUMMYFUNCTION("""COMPUTED_VALUE"""),408.97)</f>
        <v>408.97</v>
      </c>
      <c r="E288" s="2">
        <f>IFERROR(__xludf.DUMMYFUNCTION("""COMPUTED_VALUE"""),410.34)</f>
        <v>410.34</v>
      </c>
      <c r="F288" s="2">
        <f>IFERROR(__xludf.DUMMYFUNCTION("""COMPUTED_VALUE"""),1.6295879E7)</f>
        <v>16295879</v>
      </c>
    </row>
    <row r="289">
      <c r="A289" s="3">
        <f>IFERROR(__xludf.DUMMYFUNCTION("""COMPUTED_VALUE"""),45348.66666666667)</f>
        <v>45348.66667</v>
      </c>
      <c r="B289" s="2">
        <f>IFERROR(__xludf.DUMMYFUNCTION("""COMPUTED_VALUE"""),411.46)</f>
        <v>411.46</v>
      </c>
      <c r="C289" s="2">
        <f>IFERROR(__xludf.DUMMYFUNCTION("""COMPUTED_VALUE"""),412.16)</f>
        <v>412.16</v>
      </c>
      <c r="D289" s="2">
        <f>IFERROR(__xludf.DUMMYFUNCTION("""COMPUTED_VALUE"""),407.36)</f>
        <v>407.36</v>
      </c>
      <c r="E289" s="2">
        <f>IFERROR(__xludf.DUMMYFUNCTION("""COMPUTED_VALUE"""),407.54)</f>
        <v>407.54</v>
      </c>
      <c r="F289" s="2">
        <f>IFERROR(__xludf.DUMMYFUNCTION("""COMPUTED_VALUE"""),1.6193505E7)</f>
        <v>16193505</v>
      </c>
    </row>
    <row r="290">
      <c r="A290" s="3">
        <f>IFERROR(__xludf.DUMMYFUNCTION("""COMPUTED_VALUE"""),45349.66666666667)</f>
        <v>45349.66667</v>
      </c>
      <c r="B290" s="2">
        <f>IFERROR(__xludf.DUMMYFUNCTION("""COMPUTED_VALUE"""),407.99)</f>
        <v>407.99</v>
      </c>
      <c r="C290" s="2">
        <f>IFERROR(__xludf.DUMMYFUNCTION("""COMPUTED_VALUE"""),408.32)</f>
        <v>408.32</v>
      </c>
      <c r="D290" s="2">
        <f>IFERROR(__xludf.DUMMYFUNCTION("""COMPUTED_VALUE"""),403.85)</f>
        <v>403.85</v>
      </c>
      <c r="E290" s="2">
        <f>IFERROR(__xludf.DUMMYFUNCTION("""COMPUTED_VALUE"""),407.48)</f>
        <v>407.48</v>
      </c>
      <c r="F290" s="2">
        <f>IFERROR(__xludf.DUMMYFUNCTION("""COMPUTED_VALUE"""),1.4835827E7)</f>
        <v>14835827</v>
      </c>
    </row>
    <row r="291">
      <c r="A291" s="3">
        <f>IFERROR(__xludf.DUMMYFUNCTION("""COMPUTED_VALUE"""),45350.66666666667)</f>
        <v>45350.66667</v>
      </c>
      <c r="B291" s="2">
        <f>IFERROR(__xludf.DUMMYFUNCTION("""COMPUTED_VALUE"""),408.18)</f>
        <v>408.18</v>
      </c>
      <c r="C291" s="2">
        <f>IFERROR(__xludf.DUMMYFUNCTION("""COMPUTED_VALUE"""),409.3)</f>
        <v>409.3</v>
      </c>
      <c r="D291" s="2">
        <f>IFERROR(__xludf.DUMMYFUNCTION("""COMPUTED_VALUE"""),405.32)</f>
        <v>405.32</v>
      </c>
      <c r="E291" s="2">
        <f>IFERROR(__xludf.DUMMYFUNCTION("""COMPUTED_VALUE"""),407.72)</f>
        <v>407.72</v>
      </c>
      <c r="F291" s="2">
        <f>IFERROR(__xludf.DUMMYFUNCTION("""COMPUTED_VALUE"""),1.3183125E7)</f>
        <v>13183125</v>
      </c>
    </row>
    <row r="292">
      <c r="A292" s="3">
        <f>IFERROR(__xludf.DUMMYFUNCTION("""COMPUTED_VALUE"""),45351.66666666667)</f>
        <v>45351.66667</v>
      </c>
      <c r="B292" s="2">
        <f>IFERROR(__xludf.DUMMYFUNCTION("""COMPUTED_VALUE"""),408.64)</f>
        <v>408.64</v>
      </c>
      <c r="C292" s="2">
        <f>IFERROR(__xludf.DUMMYFUNCTION("""COMPUTED_VALUE"""),414.2)</f>
        <v>414.2</v>
      </c>
      <c r="D292" s="2">
        <f>IFERROR(__xludf.DUMMYFUNCTION("""COMPUTED_VALUE"""),405.92)</f>
        <v>405.92</v>
      </c>
      <c r="E292" s="2">
        <f>IFERROR(__xludf.DUMMYFUNCTION("""COMPUTED_VALUE"""),413.64)</f>
        <v>413.64</v>
      </c>
      <c r="F292" s="2">
        <f>IFERROR(__xludf.DUMMYFUNCTION("""COMPUTED_VALUE"""),3.1947263E7)</f>
        <v>31947263</v>
      </c>
    </row>
    <row r="293">
      <c r="A293" s="3">
        <f>IFERROR(__xludf.DUMMYFUNCTION("""COMPUTED_VALUE"""),45352.66666666667)</f>
        <v>45352.66667</v>
      </c>
      <c r="B293" s="2">
        <f>IFERROR(__xludf.DUMMYFUNCTION("""COMPUTED_VALUE"""),411.27)</f>
        <v>411.27</v>
      </c>
      <c r="C293" s="2">
        <f>IFERROR(__xludf.DUMMYFUNCTION("""COMPUTED_VALUE"""),415.87)</f>
        <v>415.87</v>
      </c>
      <c r="D293" s="2">
        <f>IFERROR(__xludf.DUMMYFUNCTION("""COMPUTED_VALUE"""),410.88)</f>
        <v>410.88</v>
      </c>
      <c r="E293" s="2">
        <f>IFERROR(__xludf.DUMMYFUNCTION("""COMPUTED_VALUE"""),415.5)</f>
        <v>415.5</v>
      </c>
      <c r="F293" s="2">
        <f>IFERROR(__xludf.DUMMYFUNCTION("""COMPUTED_VALUE"""),1.7823445E7)</f>
        <v>17823445</v>
      </c>
    </row>
    <row r="294">
      <c r="A294" s="3">
        <f>IFERROR(__xludf.DUMMYFUNCTION("""COMPUTED_VALUE"""),45355.66666666667)</f>
        <v>45355.66667</v>
      </c>
      <c r="B294" s="2">
        <f>IFERROR(__xludf.DUMMYFUNCTION("""COMPUTED_VALUE"""),413.44)</f>
        <v>413.44</v>
      </c>
      <c r="C294" s="2">
        <f>IFERROR(__xludf.DUMMYFUNCTION("""COMPUTED_VALUE"""),417.35)</f>
        <v>417.35</v>
      </c>
      <c r="D294" s="2">
        <f>IFERROR(__xludf.DUMMYFUNCTION("""COMPUTED_VALUE"""),412.32)</f>
        <v>412.32</v>
      </c>
      <c r="E294" s="2">
        <f>IFERROR(__xludf.DUMMYFUNCTION("""COMPUTED_VALUE"""),414.92)</f>
        <v>414.92</v>
      </c>
      <c r="F294" s="2">
        <f>IFERROR(__xludf.DUMMYFUNCTION("""COMPUTED_VALUE"""),1.7595956E7)</f>
        <v>17595956</v>
      </c>
    </row>
    <row r="295">
      <c r="A295" s="3">
        <f>IFERROR(__xludf.DUMMYFUNCTION("""COMPUTED_VALUE"""),45356.66666666667)</f>
        <v>45356.66667</v>
      </c>
      <c r="B295" s="2">
        <f>IFERROR(__xludf.DUMMYFUNCTION("""COMPUTED_VALUE"""),413.96)</f>
        <v>413.96</v>
      </c>
      <c r="C295" s="2">
        <f>IFERROR(__xludf.DUMMYFUNCTION("""COMPUTED_VALUE"""),414.25)</f>
        <v>414.25</v>
      </c>
      <c r="D295" s="2">
        <f>IFERROR(__xludf.DUMMYFUNCTION("""COMPUTED_VALUE"""),400.64)</f>
        <v>400.64</v>
      </c>
      <c r="E295" s="2">
        <f>IFERROR(__xludf.DUMMYFUNCTION("""COMPUTED_VALUE"""),402.65)</f>
        <v>402.65</v>
      </c>
      <c r="F295" s="2">
        <f>IFERROR(__xludf.DUMMYFUNCTION("""COMPUTED_VALUE"""),2.6919177E7)</f>
        <v>26919177</v>
      </c>
    </row>
    <row r="296">
      <c r="A296" s="3">
        <f>IFERROR(__xludf.DUMMYFUNCTION("""COMPUTED_VALUE"""),45357.66666666667)</f>
        <v>45357.66667</v>
      </c>
      <c r="B296" s="2">
        <f>IFERROR(__xludf.DUMMYFUNCTION("""COMPUTED_VALUE"""),402.97)</f>
        <v>402.97</v>
      </c>
      <c r="C296" s="2">
        <f>IFERROR(__xludf.DUMMYFUNCTION("""COMPUTED_VALUE"""),405.16)</f>
        <v>405.16</v>
      </c>
      <c r="D296" s="2">
        <f>IFERROR(__xludf.DUMMYFUNCTION("""COMPUTED_VALUE"""),398.39)</f>
        <v>398.39</v>
      </c>
      <c r="E296" s="2">
        <f>IFERROR(__xludf.DUMMYFUNCTION("""COMPUTED_VALUE"""),402.09)</f>
        <v>402.09</v>
      </c>
      <c r="F296" s="2">
        <f>IFERROR(__xludf.DUMMYFUNCTION("""COMPUTED_VALUE"""),2.2344149E7)</f>
        <v>22344149</v>
      </c>
    </row>
    <row r="297">
      <c r="A297" s="3">
        <f>IFERROR(__xludf.DUMMYFUNCTION("""COMPUTED_VALUE"""),45358.66666666667)</f>
        <v>45358.66667</v>
      </c>
      <c r="B297" s="2">
        <f>IFERROR(__xludf.DUMMYFUNCTION("""COMPUTED_VALUE"""),406.12)</f>
        <v>406.12</v>
      </c>
      <c r="C297" s="2">
        <f>IFERROR(__xludf.DUMMYFUNCTION("""COMPUTED_VALUE"""),409.78)</f>
        <v>409.78</v>
      </c>
      <c r="D297" s="2">
        <f>IFERROR(__xludf.DUMMYFUNCTION("""COMPUTED_VALUE"""),402.24)</f>
        <v>402.24</v>
      </c>
      <c r="E297" s="2">
        <f>IFERROR(__xludf.DUMMYFUNCTION("""COMPUTED_VALUE"""),409.14)</f>
        <v>409.14</v>
      </c>
      <c r="F297" s="2">
        <f>IFERROR(__xludf.DUMMYFUNCTION("""COMPUTED_VALUE"""),1.8718479E7)</f>
        <v>18718479</v>
      </c>
    </row>
    <row r="298">
      <c r="A298" s="3">
        <f>IFERROR(__xludf.DUMMYFUNCTION("""COMPUTED_VALUE"""),45359.66666666667)</f>
        <v>45359.66667</v>
      </c>
      <c r="B298" s="2">
        <f>IFERROR(__xludf.DUMMYFUNCTION("""COMPUTED_VALUE"""),407.96)</f>
        <v>407.96</v>
      </c>
      <c r="C298" s="2">
        <f>IFERROR(__xludf.DUMMYFUNCTION("""COMPUTED_VALUE"""),410.42)</f>
        <v>410.42</v>
      </c>
      <c r="D298" s="2">
        <f>IFERROR(__xludf.DUMMYFUNCTION("""COMPUTED_VALUE"""),404.33)</f>
        <v>404.33</v>
      </c>
      <c r="E298" s="2">
        <f>IFERROR(__xludf.DUMMYFUNCTION("""COMPUTED_VALUE"""),406.22)</f>
        <v>406.22</v>
      </c>
      <c r="F298" s="2">
        <f>IFERROR(__xludf.DUMMYFUNCTION("""COMPUTED_VALUE"""),1.8002186E7)</f>
        <v>18002186</v>
      </c>
    </row>
    <row r="299">
      <c r="A299" s="3">
        <f>IFERROR(__xludf.DUMMYFUNCTION("""COMPUTED_VALUE"""),45362.66666666667)</f>
        <v>45362.66667</v>
      </c>
      <c r="B299" s="2">
        <f>IFERROR(__xludf.DUMMYFUNCTION("""COMPUTED_VALUE"""),403.76)</f>
        <v>403.76</v>
      </c>
      <c r="C299" s="2">
        <f>IFERROR(__xludf.DUMMYFUNCTION("""COMPUTED_VALUE"""),405.68)</f>
        <v>405.68</v>
      </c>
      <c r="D299" s="2">
        <f>IFERROR(__xludf.DUMMYFUNCTION("""COMPUTED_VALUE"""),401.26)</f>
        <v>401.26</v>
      </c>
      <c r="E299" s="2">
        <f>IFERROR(__xludf.DUMMYFUNCTION("""COMPUTED_VALUE"""),404.52)</f>
        <v>404.52</v>
      </c>
      <c r="F299" s="2">
        <f>IFERROR(__xludf.DUMMYFUNCTION("""COMPUTED_VALUE"""),1.6120752E7)</f>
        <v>16120752</v>
      </c>
    </row>
    <row r="300">
      <c r="A300" s="3">
        <f>IFERROR(__xludf.DUMMYFUNCTION("""COMPUTED_VALUE"""),45363.66666666667)</f>
        <v>45363.66667</v>
      </c>
      <c r="B300" s="2">
        <f>IFERROR(__xludf.DUMMYFUNCTION("""COMPUTED_VALUE"""),407.62)</f>
        <v>407.62</v>
      </c>
      <c r="C300" s="2">
        <f>IFERROR(__xludf.DUMMYFUNCTION("""COMPUTED_VALUE"""),415.57)</f>
        <v>415.57</v>
      </c>
      <c r="D300" s="2">
        <f>IFERROR(__xludf.DUMMYFUNCTION("""COMPUTED_VALUE"""),406.79)</f>
        <v>406.79</v>
      </c>
      <c r="E300" s="2">
        <f>IFERROR(__xludf.DUMMYFUNCTION("""COMPUTED_VALUE"""),415.28)</f>
        <v>415.28</v>
      </c>
      <c r="F300" s="2">
        <f>IFERROR(__xludf.DUMMYFUNCTION("""COMPUTED_VALUE"""),2.2457003E7)</f>
        <v>22457003</v>
      </c>
    </row>
    <row r="301">
      <c r="A301" s="3">
        <f>IFERROR(__xludf.DUMMYFUNCTION("""COMPUTED_VALUE"""),45364.66666666667)</f>
        <v>45364.66667</v>
      </c>
      <c r="B301" s="2">
        <f>IFERROR(__xludf.DUMMYFUNCTION("""COMPUTED_VALUE"""),418.1)</f>
        <v>418.1</v>
      </c>
      <c r="C301" s="2">
        <f>IFERROR(__xludf.DUMMYFUNCTION("""COMPUTED_VALUE"""),418.18)</f>
        <v>418.18</v>
      </c>
      <c r="D301" s="2">
        <f>IFERROR(__xludf.DUMMYFUNCTION("""COMPUTED_VALUE"""),411.45)</f>
        <v>411.45</v>
      </c>
      <c r="E301" s="2">
        <f>IFERROR(__xludf.DUMMYFUNCTION("""COMPUTED_VALUE"""),415.1)</f>
        <v>415.1</v>
      </c>
      <c r="F301" s="2">
        <f>IFERROR(__xludf.DUMMYFUNCTION("""COMPUTED_VALUE"""),1.7115931E7)</f>
        <v>17115931</v>
      </c>
    </row>
    <row r="302">
      <c r="A302" s="3">
        <f>IFERROR(__xludf.DUMMYFUNCTION("""COMPUTED_VALUE"""),45365.66666666667)</f>
        <v>45365.66667</v>
      </c>
      <c r="B302" s="2">
        <f>IFERROR(__xludf.DUMMYFUNCTION("""COMPUTED_VALUE"""),420.24)</f>
        <v>420.24</v>
      </c>
      <c r="C302" s="2">
        <f>IFERROR(__xludf.DUMMYFUNCTION("""COMPUTED_VALUE"""),427.82)</f>
        <v>427.82</v>
      </c>
      <c r="D302" s="2">
        <f>IFERROR(__xludf.DUMMYFUNCTION("""COMPUTED_VALUE"""),417.99)</f>
        <v>417.99</v>
      </c>
      <c r="E302" s="2">
        <f>IFERROR(__xludf.DUMMYFUNCTION("""COMPUTED_VALUE"""),425.22)</f>
        <v>425.22</v>
      </c>
      <c r="F302" s="2">
        <f>IFERROR(__xludf.DUMMYFUNCTION("""COMPUTED_VALUE"""),3.4157299E7)</f>
        <v>34157299</v>
      </c>
    </row>
    <row r="303">
      <c r="A303" s="3">
        <f>IFERROR(__xludf.DUMMYFUNCTION("""COMPUTED_VALUE"""),45366.66666666667)</f>
        <v>45366.66667</v>
      </c>
      <c r="B303" s="2">
        <f>IFERROR(__xludf.DUMMYFUNCTION("""COMPUTED_VALUE"""),419.29)</f>
        <v>419.29</v>
      </c>
      <c r="C303" s="2">
        <f>IFERROR(__xludf.DUMMYFUNCTION("""COMPUTED_VALUE"""),422.6)</f>
        <v>422.6</v>
      </c>
      <c r="D303" s="2">
        <f>IFERROR(__xludf.DUMMYFUNCTION("""COMPUTED_VALUE"""),412.79)</f>
        <v>412.79</v>
      </c>
      <c r="E303" s="2">
        <f>IFERROR(__xludf.DUMMYFUNCTION("""COMPUTED_VALUE"""),416.42)</f>
        <v>416.42</v>
      </c>
      <c r="F303" s="2">
        <f>IFERROR(__xludf.DUMMYFUNCTION("""COMPUTED_VALUE"""),4.5079903E7)</f>
        <v>45079903</v>
      </c>
    </row>
    <row r="304">
      <c r="A304" s="3">
        <f>IFERROR(__xludf.DUMMYFUNCTION("""COMPUTED_VALUE"""),45369.66666666667)</f>
        <v>45369.66667</v>
      </c>
      <c r="B304" s="2">
        <f>IFERROR(__xludf.DUMMYFUNCTION("""COMPUTED_VALUE"""),414.25)</f>
        <v>414.25</v>
      </c>
      <c r="C304" s="2">
        <f>IFERROR(__xludf.DUMMYFUNCTION("""COMPUTED_VALUE"""),420.73)</f>
        <v>420.73</v>
      </c>
      <c r="D304" s="2">
        <f>IFERROR(__xludf.DUMMYFUNCTION("""COMPUTED_VALUE"""),413.78)</f>
        <v>413.78</v>
      </c>
      <c r="E304" s="2">
        <f>IFERROR(__xludf.DUMMYFUNCTION("""COMPUTED_VALUE"""),417.32)</f>
        <v>417.32</v>
      </c>
      <c r="F304" s="2">
        <f>IFERROR(__xludf.DUMMYFUNCTION("""COMPUTED_VALUE"""),2.0105977E7)</f>
        <v>20105977</v>
      </c>
    </row>
    <row r="305">
      <c r="A305" s="3">
        <f>IFERROR(__xludf.DUMMYFUNCTION("""COMPUTED_VALUE"""),45370.66666666667)</f>
        <v>45370.66667</v>
      </c>
      <c r="B305" s="2">
        <f>IFERROR(__xludf.DUMMYFUNCTION("""COMPUTED_VALUE"""),417.83)</f>
        <v>417.83</v>
      </c>
      <c r="C305" s="2">
        <f>IFERROR(__xludf.DUMMYFUNCTION("""COMPUTED_VALUE"""),421.67)</f>
        <v>421.67</v>
      </c>
      <c r="D305" s="2">
        <f>IFERROR(__xludf.DUMMYFUNCTION("""COMPUTED_VALUE"""),415.55)</f>
        <v>415.55</v>
      </c>
      <c r="E305" s="2">
        <f>IFERROR(__xludf.DUMMYFUNCTION("""COMPUTED_VALUE"""),421.41)</f>
        <v>421.41</v>
      </c>
      <c r="F305" s="2">
        <f>IFERROR(__xludf.DUMMYFUNCTION("""COMPUTED_VALUE"""),1.9837915E7)</f>
        <v>19837915</v>
      </c>
    </row>
    <row r="306">
      <c r="A306" s="3">
        <f>IFERROR(__xludf.DUMMYFUNCTION("""COMPUTED_VALUE"""),45371.66666666667)</f>
        <v>45371.66667</v>
      </c>
      <c r="B306" s="2">
        <f>IFERROR(__xludf.DUMMYFUNCTION("""COMPUTED_VALUE"""),422.0)</f>
        <v>422</v>
      </c>
      <c r="C306" s="2">
        <f>IFERROR(__xludf.DUMMYFUNCTION("""COMPUTED_VALUE"""),425.96)</f>
        <v>425.96</v>
      </c>
      <c r="D306" s="2">
        <f>IFERROR(__xludf.DUMMYFUNCTION("""COMPUTED_VALUE"""),420.66)</f>
        <v>420.66</v>
      </c>
      <c r="E306" s="2">
        <f>IFERROR(__xludf.DUMMYFUNCTION("""COMPUTED_VALUE"""),425.23)</f>
        <v>425.23</v>
      </c>
      <c r="F306" s="2">
        <f>IFERROR(__xludf.DUMMYFUNCTION("""COMPUTED_VALUE"""),1.7860085E7)</f>
        <v>17860085</v>
      </c>
    </row>
    <row r="307">
      <c r="A307" s="3">
        <f>IFERROR(__xludf.DUMMYFUNCTION("""COMPUTED_VALUE"""),45372.66666666667)</f>
        <v>45372.66667</v>
      </c>
      <c r="B307" s="2">
        <f>IFERROR(__xludf.DUMMYFUNCTION("""COMPUTED_VALUE"""),429.83)</f>
        <v>429.83</v>
      </c>
      <c r="C307" s="2">
        <f>IFERROR(__xludf.DUMMYFUNCTION("""COMPUTED_VALUE"""),430.82)</f>
        <v>430.82</v>
      </c>
      <c r="D307" s="2">
        <f>IFERROR(__xludf.DUMMYFUNCTION("""COMPUTED_VALUE"""),427.16)</f>
        <v>427.16</v>
      </c>
      <c r="E307" s="2">
        <f>IFERROR(__xludf.DUMMYFUNCTION("""COMPUTED_VALUE"""),429.37)</f>
        <v>429.37</v>
      </c>
      <c r="F307" s="2">
        <f>IFERROR(__xludf.DUMMYFUNCTION("""COMPUTED_VALUE"""),2.1296222E7)</f>
        <v>21296222</v>
      </c>
    </row>
    <row r="308">
      <c r="A308" s="3">
        <f>IFERROR(__xludf.DUMMYFUNCTION("""COMPUTED_VALUE"""),45373.66666666667)</f>
        <v>45373.66667</v>
      </c>
      <c r="B308" s="2">
        <f>IFERROR(__xludf.DUMMYFUNCTION("""COMPUTED_VALUE"""),429.7)</f>
        <v>429.7</v>
      </c>
      <c r="C308" s="2">
        <f>IFERROR(__xludf.DUMMYFUNCTION("""COMPUTED_VALUE"""),429.86)</f>
        <v>429.86</v>
      </c>
      <c r="D308" s="2">
        <f>IFERROR(__xludf.DUMMYFUNCTION("""COMPUTED_VALUE"""),426.07)</f>
        <v>426.07</v>
      </c>
      <c r="E308" s="2">
        <f>IFERROR(__xludf.DUMMYFUNCTION("""COMPUTED_VALUE"""),428.74)</f>
        <v>428.74</v>
      </c>
      <c r="F308" s="2">
        <f>IFERROR(__xludf.DUMMYFUNCTION("""COMPUTED_VALUE"""),1.7648473E7)</f>
        <v>17648473</v>
      </c>
    </row>
    <row r="309">
      <c r="A309" s="3">
        <f>IFERROR(__xludf.DUMMYFUNCTION("""COMPUTED_VALUE"""),45376.66666666667)</f>
        <v>45376.66667</v>
      </c>
      <c r="B309" s="2">
        <f>IFERROR(__xludf.DUMMYFUNCTION("""COMPUTED_VALUE"""),425.24)</f>
        <v>425.24</v>
      </c>
      <c r="C309" s="2">
        <f>IFERROR(__xludf.DUMMYFUNCTION("""COMPUTED_VALUE"""),427.41)</f>
        <v>427.41</v>
      </c>
      <c r="D309" s="2">
        <f>IFERROR(__xludf.DUMMYFUNCTION("""COMPUTED_VALUE"""),421.61)</f>
        <v>421.61</v>
      </c>
      <c r="E309" s="2">
        <f>IFERROR(__xludf.DUMMYFUNCTION("""COMPUTED_VALUE"""),422.86)</f>
        <v>422.86</v>
      </c>
      <c r="F309" s="2">
        <f>IFERROR(__xludf.DUMMYFUNCTION("""COMPUTED_VALUE"""),1.806045E7)</f>
        <v>18060450</v>
      </c>
    </row>
    <row r="310">
      <c r="A310" s="3">
        <f>IFERROR(__xludf.DUMMYFUNCTION("""COMPUTED_VALUE"""),45377.66666666667)</f>
        <v>45377.66667</v>
      </c>
      <c r="B310" s="2">
        <f>IFERROR(__xludf.DUMMYFUNCTION("""COMPUTED_VALUE"""),425.61)</f>
        <v>425.61</v>
      </c>
      <c r="C310" s="2">
        <f>IFERROR(__xludf.DUMMYFUNCTION("""COMPUTED_VALUE"""),425.99)</f>
        <v>425.99</v>
      </c>
      <c r="D310" s="2">
        <f>IFERROR(__xludf.DUMMYFUNCTION("""COMPUTED_VALUE"""),421.35)</f>
        <v>421.35</v>
      </c>
      <c r="E310" s="2">
        <f>IFERROR(__xludf.DUMMYFUNCTION("""COMPUTED_VALUE"""),421.65)</f>
        <v>421.65</v>
      </c>
      <c r="F310" s="2">
        <f>IFERROR(__xludf.DUMMYFUNCTION("""COMPUTED_VALUE"""),1.6725647E7)</f>
        <v>16725647</v>
      </c>
    </row>
    <row r="311">
      <c r="A311" s="3">
        <f>IFERROR(__xludf.DUMMYFUNCTION("""COMPUTED_VALUE"""),45378.66666666667)</f>
        <v>45378.66667</v>
      </c>
      <c r="B311" s="2">
        <f>IFERROR(__xludf.DUMMYFUNCTION("""COMPUTED_VALUE"""),424.44)</f>
        <v>424.44</v>
      </c>
      <c r="C311" s="2">
        <f>IFERROR(__xludf.DUMMYFUNCTION("""COMPUTED_VALUE"""),424.45)</f>
        <v>424.45</v>
      </c>
      <c r="D311" s="2">
        <f>IFERROR(__xludf.DUMMYFUNCTION("""COMPUTED_VALUE"""),419.01)</f>
        <v>419.01</v>
      </c>
      <c r="E311" s="2">
        <f>IFERROR(__xludf.DUMMYFUNCTION("""COMPUTED_VALUE"""),421.43)</f>
        <v>421.43</v>
      </c>
      <c r="F311" s="2">
        <f>IFERROR(__xludf.DUMMYFUNCTION("""COMPUTED_VALUE"""),1.6704978E7)</f>
        <v>16704978</v>
      </c>
    </row>
    <row r="312">
      <c r="A312" s="3">
        <f>IFERROR(__xludf.DUMMYFUNCTION("""COMPUTED_VALUE"""),45379.66666666667)</f>
        <v>45379.66667</v>
      </c>
      <c r="B312" s="2">
        <f>IFERROR(__xludf.DUMMYFUNCTION("""COMPUTED_VALUE"""),420.96)</f>
        <v>420.96</v>
      </c>
      <c r="C312" s="2">
        <f>IFERROR(__xludf.DUMMYFUNCTION("""COMPUTED_VALUE"""),421.87)</f>
        <v>421.87</v>
      </c>
      <c r="D312" s="2">
        <f>IFERROR(__xludf.DUMMYFUNCTION("""COMPUTED_VALUE"""),419.12)</f>
        <v>419.12</v>
      </c>
      <c r="E312" s="2">
        <f>IFERROR(__xludf.DUMMYFUNCTION("""COMPUTED_VALUE"""),420.72)</f>
        <v>420.72</v>
      </c>
      <c r="F312" s="2">
        <f>IFERROR(__xludf.DUMMYFUNCTION("""COMPUTED_VALUE"""),2.1871161E7)</f>
        <v>21871161</v>
      </c>
    </row>
    <row r="313">
      <c r="A313" s="3">
        <f>IFERROR(__xludf.DUMMYFUNCTION("""COMPUTED_VALUE"""),45383.66666666667)</f>
        <v>45383.66667</v>
      </c>
      <c r="B313" s="2">
        <f>IFERROR(__xludf.DUMMYFUNCTION("""COMPUTED_VALUE"""),423.95)</f>
        <v>423.95</v>
      </c>
      <c r="C313" s="2">
        <f>IFERROR(__xludf.DUMMYFUNCTION("""COMPUTED_VALUE"""),427.89)</f>
        <v>427.89</v>
      </c>
      <c r="D313" s="2">
        <f>IFERROR(__xludf.DUMMYFUNCTION("""COMPUTED_VALUE"""),422.22)</f>
        <v>422.22</v>
      </c>
      <c r="E313" s="2">
        <f>IFERROR(__xludf.DUMMYFUNCTION("""COMPUTED_VALUE"""),424.57)</f>
        <v>424.57</v>
      </c>
      <c r="F313" s="2">
        <f>IFERROR(__xludf.DUMMYFUNCTION("""COMPUTED_VALUE"""),1.6315961E7)</f>
        <v>16315961</v>
      </c>
    </row>
    <row r="314">
      <c r="A314" s="3">
        <f>IFERROR(__xludf.DUMMYFUNCTION("""COMPUTED_VALUE"""),45384.66666666667)</f>
        <v>45384.66667</v>
      </c>
      <c r="B314" s="2">
        <f>IFERROR(__xludf.DUMMYFUNCTION("""COMPUTED_VALUE"""),420.11)</f>
        <v>420.11</v>
      </c>
      <c r="C314" s="2">
        <f>IFERROR(__xludf.DUMMYFUNCTION("""COMPUTED_VALUE"""),422.38)</f>
        <v>422.38</v>
      </c>
      <c r="D314" s="2">
        <f>IFERROR(__xludf.DUMMYFUNCTION("""COMPUTED_VALUE"""),417.84)</f>
        <v>417.84</v>
      </c>
      <c r="E314" s="2">
        <f>IFERROR(__xludf.DUMMYFUNCTION("""COMPUTED_VALUE"""),421.44)</f>
        <v>421.44</v>
      </c>
      <c r="F314" s="2">
        <f>IFERROR(__xludf.DUMMYFUNCTION("""COMPUTED_VALUE"""),1.7911992E7)</f>
        <v>17911992</v>
      </c>
    </row>
    <row r="315">
      <c r="A315" s="3">
        <f>IFERROR(__xludf.DUMMYFUNCTION("""COMPUTED_VALUE"""),45385.66666666667)</f>
        <v>45385.66667</v>
      </c>
      <c r="B315" s="2">
        <f>IFERROR(__xludf.DUMMYFUNCTION("""COMPUTED_VALUE"""),419.73)</f>
        <v>419.73</v>
      </c>
      <c r="C315" s="2">
        <f>IFERROR(__xludf.DUMMYFUNCTION("""COMPUTED_VALUE"""),423.26)</f>
        <v>423.26</v>
      </c>
      <c r="D315" s="2">
        <f>IFERROR(__xludf.DUMMYFUNCTION("""COMPUTED_VALUE"""),419.09)</f>
        <v>419.09</v>
      </c>
      <c r="E315" s="2">
        <f>IFERROR(__xludf.DUMMYFUNCTION("""COMPUTED_VALUE"""),420.45)</f>
        <v>420.45</v>
      </c>
      <c r="F315" s="2">
        <f>IFERROR(__xludf.DUMMYFUNCTION("""COMPUTED_VALUE"""),1.6502264E7)</f>
        <v>16502264</v>
      </c>
    </row>
    <row r="316">
      <c r="A316" s="3">
        <f>IFERROR(__xludf.DUMMYFUNCTION("""COMPUTED_VALUE"""),45386.66666666667)</f>
        <v>45386.66667</v>
      </c>
      <c r="B316" s="2">
        <f>IFERROR(__xludf.DUMMYFUNCTION("""COMPUTED_VALUE"""),424.99)</f>
        <v>424.99</v>
      </c>
      <c r="C316" s="2">
        <f>IFERROR(__xludf.DUMMYFUNCTION("""COMPUTED_VALUE"""),428.67)</f>
        <v>428.67</v>
      </c>
      <c r="D316" s="2">
        <f>IFERROR(__xludf.DUMMYFUNCTION("""COMPUTED_VALUE"""),417.57)</f>
        <v>417.57</v>
      </c>
      <c r="E316" s="2">
        <f>IFERROR(__xludf.DUMMYFUNCTION("""COMPUTED_VALUE"""),417.88)</f>
        <v>417.88</v>
      </c>
      <c r="F316" s="2">
        <f>IFERROR(__xludf.DUMMYFUNCTION("""COMPUTED_VALUE"""),1.9370875E7)</f>
        <v>19370875</v>
      </c>
    </row>
    <row r="317">
      <c r="A317" s="3">
        <f>IFERROR(__xludf.DUMMYFUNCTION("""COMPUTED_VALUE"""),45387.66666666667)</f>
        <v>45387.66667</v>
      </c>
      <c r="B317" s="2">
        <f>IFERROR(__xludf.DUMMYFUNCTION("""COMPUTED_VALUE"""),420.01)</f>
        <v>420.01</v>
      </c>
      <c r="C317" s="2">
        <f>IFERROR(__xludf.DUMMYFUNCTION("""COMPUTED_VALUE"""),426.51)</f>
        <v>426.51</v>
      </c>
      <c r="D317" s="2">
        <f>IFERROR(__xludf.DUMMYFUNCTION("""COMPUTED_VALUE"""),418.32)</f>
        <v>418.32</v>
      </c>
      <c r="E317" s="2">
        <f>IFERROR(__xludf.DUMMYFUNCTION("""COMPUTED_VALUE"""),425.52)</f>
        <v>425.52</v>
      </c>
      <c r="F317" s="2">
        <f>IFERROR(__xludf.DUMMYFUNCTION("""COMPUTED_VALUE"""),1.6554761E7)</f>
        <v>16554761</v>
      </c>
    </row>
    <row r="318">
      <c r="A318" s="3">
        <f>IFERROR(__xludf.DUMMYFUNCTION("""COMPUTED_VALUE"""),45390.66666666667)</f>
        <v>45390.66667</v>
      </c>
      <c r="B318" s="2">
        <f>IFERROR(__xludf.DUMMYFUNCTION("""COMPUTED_VALUE"""),425.17)</f>
        <v>425.17</v>
      </c>
      <c r="C318" s="2">
        <f>IFERROR(__xludf.DUMMYFUNCTION("""COMPUTED_VALUE"""),427.28)</f>
        <v>427.28</v>
      </c>
      <c r="D318" s="2">
        <f>IFERROR(__xludf.DUMMYFUNCTION("""COMPUTED_VALUE"""),423.3)</f>
        <v>423.3</v>
      </c>
      <c r="E318" s="2">
        <f>IFERROR(__xludf.DUMMYFUNCTION("""COMPUTED_VALUE"""),424.59)</f>
        <v>424.59</v>
      </c>
      <c r="F318" s="2">
        <f>IFERROR(__xludf.DUMMYFUNCTION("""COMPUTED_VALUE"""),1.4272387E7)</f>
        <v>14272387</v>
      </c>
    </row>
    <row r="319">
      <c r="A319" s="3">
        <f>IFERROR(__xludf.DUMMYFUNCTION("""COMPUTED_VALUE"""),45391.66666666667)</f>
        <v>45391.66667</v>
      </c>
      <c r="B319" s="2">
        <f>IFERROR(__xludf.DUMMYFUNCTION("""COMPUTED_VALUE"""),426.44)</f>
        <v>426.44</v>
      </c>
      <c r="C319" s="2">
        <f>IFERROR(__xludf.DUMMYFUNCTION("""COMPUTED_VALUE"""),427.74)</f>
        <v>427.74</v>
      </c>
      <c r="D319" s="2">
        <f>IFERROR(__xludf.DUMMYFUNCTION("""COMPUTED_VALUE"""),421.62)</f>
        <v>421.62</v>
      </c>
      <c r="E319" s="2">
        <f>IFERROR(__xludf.DUMMYFUNCTION("""COMPUTED_VALUE"""),426.28)</f>
        <v>426.28</v>
      </c>
      <c r="F319" s="2">
        <f>IFERROR(__xludf.DUMMYFUNCTION("""COMPUTED_VALUE"""),1.2512289E7)</f>
        <v>12512289</v>
      </c>
    </row>
    <row r="320">
      <c r="A320" s="3">
        <f>IFERROR(__xludf.DUMMYFUNCTION("""COMPUTED_VALUE"""),45392.66666666667)</f>
        <v>45392.66667</v>
      </c>
      <c r="B320" s="2">
        <f>IFERROR(__xludf.DUMMYFUNCTION("""COMPUTED_VALUE"""),422.19)</f>
        <v>422.19</v>
      </c>
      <c r="C320" s="2">
        <f>IFERROR(__xludf.DUMMYFUNCTION("""COMPUTED_VALUE"""),424.03)</f>
        <v>424.03</v>
      </c>
      <c r="D320" s="2">
        <f>IFERROR(__xludf.DUMMYFUNCTION("""COMPUTED_VALUE"""),419.7)</f>
        <v>419.7</v>
      </c>
      <c r="E320" s="2">
        <f>IFERROR(__xludf.DUMMYFUNCTION("""COMPUTED_VALUE"""),423.26)</f>
        <v>423.26</v>
      </c>
      <c r="F320" s="2">
        <f>IFERROR(__xludf.DUMMYFUNCTION("""COMPUTED_VALUE"""),1.6216581E7)</f>
        <v>16216581</v>
      </c>
    </row>
    <row r="321">
      <c r="A321" s="3">
        <f>IFERROR(__xludf.DUMMYFUNCTION("""COMPUTED_VALUE"""),45393.66666666667)</f>
        <v>45393.66667</v>
      </c>
      <c r="B321" s="2">
        <f>IFERROR(__xludf.DUMMYFUNCTION("""COMPUTED_VALUE"""),425.82)</f>
        <v>425.82</v>
      </c>
      <c r="C321" s="2">
        <f>IFERROR(__xludf.DUMMYFUNCTION("""COMPUTED_VALUE"""),429.37)</f>
        <v>429.37</v>
      </c>
      <c r="D321" s="2">
        <f>IFERROR(__xludf.DUMMYFUNCTION("""COMPUTED_VALUE"""),422.36)</f>
        <v>422.36</v>
      </c>
      <c r="E321" s="2">
        <f>IFERROR(__xludf.DUMMYFUNCTION("""COMPUTED_VALUE"""),427.93)</f>
        <v>427.93</v>
      </c>
      <c r="F321" s="2">
        <f>IFERROR(__xludf.DUMMYFUNCTION("""COMPUTED_VALUE"""),1.7966423E7)</f>
        <v>17966423</v>
      </c>
    </row>
    <row r="322">
      <c r="A322" s="3">
        <f>IFERROR(__xludf.DUMMYFUNCTION("""COMPUTED_VALUE"""),45394.66666666667)</f>
        <v>45394.66667</v>
      </c>
      <c r="B322" s="2">
        <f>IFERROR(__xludf.DUMMYFUNCTION("""COMPUTED_VALUE"""),424.05)</f>
        <v>424.05</v>
      </c>
      <c r="C322" s="2">
        <f>IFERROR(__xludf.DUMMYFUNCTION("""COMPUTED_VALUE"""),425.18)</f>
        <v>425.18</v>
      </c>
      <c r="D322" s="2">
        <f>IFERROR(__xludf.DUMMYFUNCTION("""COMPUTED_VALUE"""),419.77)</f>
        <v>419.77</v>
      </c>
      <c r="E322" s="2">
        <f>IFERROR(__xludf.DUMMYFUNCTION("""COMPUTED_VALUE"""),421.9)</f>
        <v>421.9</v>
      </c>
      <c r="F322" s="2">
        <f>IFERROR(__xludf.DUMMYFUNCTION("""COMPUTED_VALUE"""),1.925375E7)</f>
        <v>19253750</v>
      </c>
    </row>
    <row r="323">
      <c r="A323" s="3">
        <f>IFERROR(__xludf.DUMMYFUNCTION("""COMPUTED_VALUE"""),45397.66666666667)</f>
        <v>45397.66667</v>
      </c>
      <c r="B323" s="2">
        <f>IFERROR(__xludf.DUMMYFUNCTION("""COMPUTED_VALUE"""),426.6)</f>
        <v>426.6</v>
      </c>
      <c r="C323" s="2">
        <f>IFERROR(__xludf.DUMMYFUNCTION("""COMPUTED_VALUE"""),426.82)</f>
        <v>426.82</v>
      </c>
      <c r="D323" s="2">
        <f>IFERROR(__xludf.DUMMYFUNCTION("""COMPUTED_VALUE"""),413.43)</f>
        <v>413.43</v>
      </c>
      <c r="E323" s="2">
        <f>IFERROR(__xludf.DUMMYFUNCTION("""COMPUTED_VALUE"""),413.64)</f>
        <v>413.64</v>
      </c>
      <c r="F323" s="2">
        <f>IFERROR(__xludf.DUMMYFUNCTION("""COMPUTED_VALUE"""),2.0273538E7)</f>
        <v>20273538</v>
      </c>
    </row>
    <row r="324">
      <c r="A324" s="3">
        <f>IFERROR(__xludf.DUMMYFUNCTION("""COMPUTED_VALUE"""),45398.66666666667)</f>
        <v>45398.66667</v>
      </c>
      <c r="B324" s="2">
        <f>IFERROR(__xludf.DUMMYFUNCTION("""COMPUTED_VALUE"""),414.57)</f>
        <v>414.57</v>
      </c>
      <c r="C324" s="2">
        <f>IFERROR(__xludf.DUMMYFUNCTION("""COMPUTED_VALUE"""),418.4)</f>
        <v>418.4</v>
      </c>
      <c r="D324" s="2">
        <f>IFERROR(__xludf.DUMMYFUNCTION("""COMPUTED_VALUE"""),413.73)</f>
        <v>413.73</v>
      </c>
      <c r="E324" s="2">
        <f>IFERROR(__xludf.DUMMYFUNCTION("""COMPUTED_VALUE"""),414.58)</f>
        <v>414.58</v>
      </c>
      <c r="F324" s="2">
        <f>IFERROR(__xludf.DUMMYFUNCTION("""COMPUTED_VALUE"""),1.6765616E7)</f>
        <v>16765616</v>
      </c>
    </row>
    <row r="325">
      <c r="A325" s="3">
        <f>IFERROR(__xludf.DUMMYFUNCTION("""COMPUTED_VALUE"""),45399.66666666667)</f>
        <v>45399.66667</v>
      </c>
      <c r="B325" s="2">
        <f>IFERROR(__xludf.DUMMYFUNCTION("""COMPUTED_VALUE"""),417.25)</f>
        <v>417.25</v>
      </c>
      <c r="C325" s="2">
        <f>IFERROR(__xludf.DUMMYFUNCTION("""COMPUTED_VALUE"""),418.88)</f>
        <v>418.88</v>
      </c>
      <c r="D325" s="2">
        <f>IFERROR(__xludf.DUMMYFUNCTION("""COMPUTED_VALUE"""),410.33)</f>
        <v>410.33</v>
      </c>
      <c r="E325" s="2">
        <f>IFERROR(__xludf.DUMMYFUNCTION("""COMPUTED_VALUE"""),411.84)</f>
        <v>411.84</v>
      </c>
      <c r="F325" s="2">
        <f>IFERROR(__xludf.DUMMYFUNCTION("""COMPUTED_VALUE"""),1.5855485E7)</f>
        <v>15855485</v>
      </c>
    </row>
    <row r="326">
      <c r="A326" s="3">
        <f>IFERROR(__xludf.DUMMYFUNCTION("""COMPUTED_VALUE"""),45400.66666666667)</f>
        <v>45400.66667</v>
      </c>
      <c r="B326" s="2">
        <f>IFERROR(__xludf.DUMMYFUNCTION("""COMPUTED_VALUE"""),410.63)</f>
        <v>410.63</v>
      </c>
      <c r="C326" s="2">
        <f>IFERROR(__xludf.DUMMYFUNCTION("""COMPUTED_VALUE"""),411.89)</f>
        <v>411.89</v>
      </c>
      <c r="D326" s="2">
        <f>IFERROR(__xludf.DUMMYFUNCTION("""COMPUTED_VALUE"""),403.95)</f>
        <v>403.95</v>
      </c>
      <c r="E326" s="2">
        <f>IFERROR(__xludf.DUMMYFUNCTION("""COMPUTED_VALUE"""),404.27)</f>
        <v>404.27</v>
      </c>
      <c r="F326" s="2">
        <f>IFERROR(__xludf.DUMMYFUNCTION("""COMPUTED_VALUE"""),2.1029917E7)</f>
        <v>21029917</v>
      </c>
    </row>
    <row r="327">
      <c r="A327" s="3">
        <f>IFERROR(__xludf.DUMMYFUNCTION("""COMPUTED_VALUE"""),45401.66666666667)</f>
        <v>45401.66667</v>
      </c>
      <c r="B327" s="2">
        <f>IFERROR(__xludf.DUMMYFUNCTION("""COMPUTED_VALUE"""),404.03)</f>
        <v>404.03</v>
      </c>
      <c r="C327" s="2">
        <f>IFERROR(__xludf.DUMMYFUNCTION("""COMPUTED_VALUE"""),405.48)</f>
        <v>405.48</v>
      </c>
      <c r="D327" s="2">
        <f>IFERROR(__xludf.DUMMYFUNCTION("""COMPUTED_VALUE"""),397.77)</f>
        <v>397.77</v>
      </c>
      <c r="E327" s="2">
        <f>IFERROR(__xludf.DUMMYFUNCTION("""COMPUTED_VALUE"""),399.12)</f>
        <v>399.12</v>
      </c>
      <c r="F327" s="2">
        <f>IFERROR(__xludf.DUMMYFUNCTION("""COMPUTED_VALUE"""),3.0565789E7)</f>
        <v>30565789</v>
      </c>
    </row>
    <row r="328">
      <c r="A328" s="3">
        <f>IFERROR(__xludf.DUMMYFUNCTION("""COMPUTED_VALUE"""),45404.66666666667)</f>
        <v>45404.66667</v>
      </c>
      <c r="B328" s="2">
        <f>IFERROR(__xludf.DUMMYFUNCTION("""COMPUTED_VALUE"""),400.08)</f>
        <v>400.08</v>
      </c>
      <c r="C328" s="2">
        <f>IFERROR(__xludf.DUMMYFUNCTION("""COMPUTED_VALUE"""),402.85)</f>
        <v>402.85</v>
      </c>
      <c r="D328" s="2">
        <f>IFERROR(__xludf.DUMMYFUNCTION("""COMPUTED_VALUE"""),395.75)</f>
        <v>395.75</v>
      </c>
      <c r="E328" s="2">
        <f>IFERROR(__xludf.DUMMYFUNCTION("""COMPUTED_VALUE"""),400.96)</f>
        <v>400.96</v>
      </c>
      <c r="F328" s="2">
        <f>IFERROR(__xludf.DUMMYFUNCTION("""COMPUTED_VALUE"""),2.0286875E7)</f>
        <v>20286875</v>
      </c>
    </row>
    <row r="329">
      <c r="A329" s="3">
        <f>IFERROR(__xludf.DUMMYFUNCTION("""COMPUTED_VALUE"""),45405.66666666667)</f>
        <v>45405.66667</v>
      </c>
      <c r="B329" s="2">
        <f>IFERROR(__xludf.DUMMYFUNCTION("""COMPUTED_VALUE"""),404.24)</f>
        <v>404.24</v>
      </c>
      <c r="C329" s="2">
        <f>IFERROR(__xludf.DUMMYFUNCTION("""COMPUTED_VALUE"""),408.2)</f>
        <v>408.2</v>
      </c>
      <c r="D329" s="2">
        <f>IFERROR(__xludf.DUMMYFUNCTION("""COMPUTED_VALUE"""),403.06)</f>
        <v>403.06</v>
      </c>
      <c r="E329" s="2">
        <f>IFERROR(__xludf.DUMMYFUNCTION("""COMPUTED_VALUE"""),407.57)</f>
        <v>407.57</v>
      </c>
      <c r="F329" s="2">
        <f>IFERROR(__xludf.DUMMYFUNCTION("""COMPUTED_VALUE"""),1.5734501E7)</f>
        <v>15734501</v>
      </c>
    </row>
    <row r="330">
      <c r="A330" s="3">
        <f>IFERROR(__xludf.DUMMYFUNCTION("""COMPUTED_VALUE"""),45406.66666666667)</f>
        <v>45406.66667</v>
      </c>
      <c r="B330" s="2">
        <f>IFERROR(__xludf.DUMMYFUNCTION("""COMPUTED_VALUE"""),409.56)</f>
        <v>409.56</v>
      </c>
      <c r="C330" s="2">
        <f>IFERROR(__xludf.DUMMYFUNCTION("""COMPUTED_VALUE"""),412.47)</f>
        <v>412.47</v>
      </c>
      <c r="D330" s="2">
        <f>IFERROR(__xludf.DUMMYFUNCTION("""COMPUTED_VALUE"""),406.78)</f>
        <v>406.78</v>
      </c>
      <c r="E330" s="2">
        <f>IFERROR(__xludf.DUMMYFUNCTION("""COMPUTED_VALUE"""),409.06)</f>
        <v>409.06</v>
      </c>
      <c r="F330" s="2">
        <f>IFERROR(__xludf.DUMMYFUNCTION("""COMPUTED_VALUE"""),1.506533E7)</f>
        <v>15065330</v>
      </c>
    </row>
    <row r="331">
      <c r="A331" s="3">
        <f>IFERROR(__xludf.DUMMYFUNCTION("""COMPUTED_VALUE"""),45407.66666666667)</f>
        <v>45407.66667</v>
      </c>
      <c r="B331" s="2">
        <f>IFERROR(__xludf.DUMMYFUNCTION("""COMPUTED_VALUE"""),394.03)</f>
        <v>394.03</v>
      </c>
      <c r="C331" s="2">
        <f>IFERROR(__xludf.DUMMYFUNCTION("""COMPUTED_VALUE"""),399.89)</f>
        <v>399.89</v>
      </c>
      <c r="D331" s="2">
        <f>IFERROR(__xludf.DUMMYFUNCTION("""COMPUTED_VALUE"""),388.03)</f>
        <v>388.03</v>
      </c>
      <c r="E331" s="2">
        <f>IFERROR(__xludf.DUMMYFUNCTION("""COMPUTED_VALUE"""),399.04)</f>
        <v>399.04</v>
      </c>
      <c r="F331" s="2">
        <f>IFERROR(__xludf.DUMMYFUNCTION("""COMPUTED_VALUE"""),4.058645E7)</f>
        <v>40586450</v>
      </c>
    </row>
    <row r="332">
      <c r="A332" s="3">
        <f>IFERROR(__xludf.DUMMYFUNCTION("""COMPUTED_VALUE"""),45408.66666666667)</f>
        <v>45408.66667</v>
      </c>
      <c r="B332" s="2">
        <f>IFERROR(__xludf.DUMMYFUNCTION("""COMPUTED_VALUE"""),412.17)</f>
        <v>412.17</v>
      </c>
      <c r="C332" s="2">
        <f>IFERROR(__xludf.DUMMYFUNCTION("""COMPUTED_VALUE"""),413.0)</f>
        <v>413</v>
      </c>
      <c r="D332" s="2">
        <f>IFERROR(__xludf.DUMMYFUNCTION("""COMPUTED_VALUE"""),405.76)</f>
        <v>405.76</v>
      </c>
      <c r="E332" s="2">
        <f>IFERROR(__xludf.DUMMYFUNCTION("""COMPUTED_VALUE"""),406.32)</f>
        <v>406.32</v>
      </c>
      <c r="F332" s="2">
        <f>IFERROR(__xludf.DUMMYFUNCTION("""COMPUTED_VALUE"""),2.9694654E7)</f>
        <v>29694654</v>
      </c>
    </row>
    <row r="333">
      <c r="A333" s="3">
        <f>IFERROR(__xludf.DUMMYFUNCTION("""COMPUTED_VALUE"""),45411.66666666667)</f>
        <v>45411.66667</v>
      </c>
      <c r="B333" s="2">
        <f>IFERROR(__xludf.DUMMYFUNCTION("""COMPUTED_VALUE"""),405.25)</f>
        <v>405.25</v>
      </c>
      <c r="C333" s="2">
        <f>IFERROR(__xludf.DUMMYFUNCTION("""COMPUTED_VALUE"""),406.32)</f>
        <v>406.32</v>
      </c>
      <c r="D333" s="2">
        <f>IFERROR(__xludf.DUMMYFUNCTION("""COMPUTED_VALUE"""),399.19)</f>
        <v>399.19</v>
      </c>
      <c r="E333" s="2">
        <f>IFERROR(__xludf.DUMMYFUNCTION("""COMPUTED_VALUE"""),402.25)</f>
        <v>402.25</v>
      </c>
      <c r="F333" s="2">
        <f>IFERROR(__xludf.DUMMYFUNCTION("""COMPUTED_VALUE"""),1.9582091E7)</f>
        <v>19582091</v>
      </c>
    </row>
    <row r="334">
      <c r="A334" s="3">
        <f>IFERROR(__xludf.DUMMYFUNCTION("""COMPUTED_VALUE"""),45412.66666666667)</f>
        <v>45412.66667</v>
      </c>
      <c r="B334" s="2">
        <f>IFERROR(__xludf.DUMMYFUNCTION("""COMPUTED_VALUE"""),401.49)</f>
        <v>401.49</v>
      </c>
      <c r="C334" s="2">
        <f>IFERROR(__xludf.DUMMYFUNCTION("""COMPUTED_VALUE"""),402.16)</f>
        <v>402.16</v>
      </c>
      <c r="D334" s="2">
        <f>IFERROR(__xludf.DUMMYFUNCTION("""COMPUTED_VALUE"""),389.17)</f>
        <v>389.17</v>
      </c>
      <c r="E334" s="2">
        <f>IFERROR(__xludf.DUMMYFUNCTION("""COMPUTED_VALUE"""),389.33)</f>
        <v>389.33</v>
      </c>
      <c r="F334" s="2">
        <f>IFERROR(__xludf.DUMMYFUNCTION("""COMPUTED_VALUE"""),2.8781374E7)</f>
        <v>28781374</v>
      </c>
    </row>
    <row r="335">
      <c r="A335" s="3">
        <f>IFERROR(__xludf.DUMMYFUNCTION("""COMPUTED_VALUE"""),45413.66666666667)</f>
        <v>45413.66667</v>
      </c>
      <c r="B335" s="2">
        <f>IFERROR(__xludf.DUMMYFUNCTION("""COMPUTED_VALUE"""),392.61)</f>
        <v>392.61</v>
      </c>
      <c r="C335" s="2">
        <f>IFERROR(__xludf.DUMMYFUNCTION("""COMPUTED_VALUE"""),401.72)</f>
        <v>401.72</v>
      </c>
      <c r="D335" s="2">
        <f>IFERROR(__xludf.DUMMYFUNCTION("""COMPUTED_VALUE"""),390.31)</f>
        <v>390.31</v>
      </c>
      <c r="E335" s="2">
        <f>IFERROR(__xludf.DUMMYFUNCTION("""COMPUTED_VALUE"""),394.94)</f>
        <v>394.94</v>
      </c>
      <c r="F335" s="2">
        <f>IFERROR(__xludf.DUMMYFUNCTION("""COMPUTED_VALUE"""),2.3562481E7)</f>
        <v>23562481</v>
      </c>
    </row>
    <row r="336">
      <c r="A336" s="3">
        <f>IFERROR(__xludf.DUMMYFUNCTION("""COMPUTED_VALUE"""),45414.66666666667)</f>
        <v>45414.66667</v>
      </c>
      <c r="B336" s="2">
        <f>IFERROR(__xludf.DUMMYFUNCTION("""COMPUTED_VALUE"""),397.66)</f>
        <v>397.66</v>
      </c>
      <c r="C336" s="2">
        <f>IFERROR(__xludf.DUMMYFUNCTION("""COMPUTED_VALUE"""),399.93)</f>
        <v>399.93</v>
      </c>
      <c r="D336" s="2">
        <f>IFERROR(__xludf.DUMMYFUNCTION("""COMPUTED_VALUE"""),394.65)</f>
        <v>394.65</v>
      </c>
      <c r="E336" s="2">
        <f>IFERROR(__xludf.DUMMYFUNCTION("""COMPUTED_VALUE"""),397.84)</f>
        <v>397.84</v>
      </c>
      <c r="F336" s="2">
        <f>IFERROR(__xludf.DUMMYFUNCTION("""COMPUTED_VALUE"""),1.7709364E7)</f>
        <v>17709364</v>
      </c>
    </row>
    <row r="337">
      <c r="A337" s="3">
        <f>IFERROR(__xludf.DUMMYFUNCTION("""COMPUTED_VALUE"""),45415.66666666667)</f>
        <v>45415.66667</v>
      </c>
      <c r="B337" s="2">
        <f>IFERROR(__xludf.DUMMYFUNCTION("""COMPUTED_VALUE"""),402.28)</f>
        <v>402.28</v>
      </c>
      <c r="C337" s="2">
        <f>IFERROR(__xludf.DUMMYFUNCTION("""COMPUTED_VALUE"""),407.15)</f>
        <v>407.15</v>
      </c>
      <c r="D337" s="2">
        <f>IFERROR(__xludf.DUMMYFUNCTION("""COMPUTED_VALUE"""),401.86)</f>
        <v>401.86</v>
      </c>
      <c r="E337" s="2">
        <f>IFERROR(__xludf.DUMMYFUNCTION("""COMPUTED_VALUE"""),406.66)</f>
        <v>406.66</v>
      </c>
      <c r="F337" s="2">
        <f>IFERROR(__xludf.DUMMYFUNCTION("""COMPUTED_VALUE"""),1.7446724E7)</f>
        <v>17446724</v>
      </c>
    </row>
    <row r="338">
      <c r="A338" s="3">
        <f>IFERROR(__xludf.DUMMYFUNCTION("""COMPUTED_VALUE"""),45418.66666666667)</f>
        <v>45418.66667</v>
      </c>
      <c r="B338" s="2">
        <f>IFERROR(__xludf.DUMMYFUNCTION("""COMPUTED_VALUE"""),408.76)</f>
        <v>408.76</v>
      </c>
      <c r="C338" s="2">
        <f>IFERROR(__xludf.DUMMYFUNCTION("""COMPUTED_VALUE"""),413.93)</f>
        <v>413.93</v>
      </c>
      <c r="D338" s="2">
        <f>IFERROR(__xludf.DUMMYFUNCTION("""COMPUTED_VALUE"""),406.37)</f>
        <v>406.37</v>
      </c>
      <c r="E338" s="2">
        <f>IFERROR(__xludf.DUMMYFUNCTION("""COMPUTED_VALUE"""),413.54)</f>
        <v>413.54</v>
      </c>
      <c r="F338" s="2">
        <f>IFERROR(__xludf.DUMMYFUNCTION("""COMPUTED_VALUE"""),1.6996639E7)</f>
        <v>16996639</v>
      </c>
    </row>
    <row r="339">
      <c r="A339" s="3">
        <f>IFERROR(__xludf.DUMMYFUNCTION("""COMPUTED_VALUE"""),45419.66666666667)</f>
        <v>45419.66667</v>
      </c>
      <c r="B339" s="2">
        <f>IFERROR(__xludf.DUMMYFUNCTION("""COMPUTED_VALUE"""),414.66)</f>
        <v>414.66</v>
      </c>
      <c r="C339" s="2">
        <f>IFERROR(__xludf.DUMMYFUNCTION("""COMPUTED_VALUE"""),414.67)</f>
        <v>414.67</v>
      </c>
      <c r="D339" s="2">
        <f>IFERROR(__xludf.DUMMYFUNCTION("""COMPUTED_VALUE"""),409.09)</f>
        <v>409.09</v>
      </c>
      <c r="E339" s="2">
        <f>IFERROR(__xludf.DUMMYFUNCTION("""COMPUTED_VALUE"""),409.34)</f>
        <v>409.34</v>
      </c>
      <c r="F339" s="2">
        <f>IFERROR(__xludf.DUMMYFUNCTION("""COMPUTED_VALUE"""),2.0018228E7)</f>
        <v>20018228</v>
      </c>
    </row>
    <row r="340">
      <c r="A340" s="3">
        <f>IFERROR(__xludf.DUMMYFUNCTION("""COMPUTED_VALUE"""),45420.66666666667)</f>
        <v>45420.66667</v>
      </c>
      <c r="B340" s="2">
        <f>IFERROR(__xludf.DUMMYFUNCTION("""COMPUTED_VALUE"""),408.17)</f>
        <v>408.17</v>
      </c>
      <c r="C340" s="2">
        <f>IFERROR(__xludf.DUMMYFUNCTION("""COMPUTED_VALUE"""),412.23)</f>
        <v>412.23</v>
      </c>
      <c r="D340" s="2">
        <f>IFERROR(__xludf.DUMMYFUNCTION("""COMPUTED_VALUE"""),406.71)</f>
        <v>406.71</v>
      </c>
      <c r="E340" s="2">
        <f>IFERROR(__xludf.DUMMYFUNCTION("""COMPUTED_VALUE"""),410.54)</f>
        <v>410.54</v>
      </c>
      <c r="F340" s="2">
        <f>IFERROR(__xludf.DUMMYFUNCTION("""COMPUTED_VALUE"""),1.1792308E7)</f>
        <v>11792308</v>
      </c>
    </row>
    <row r="341">
      <c r="A341" s="3">
        <f>IFERROR(__xludf.DUMMYFUNCTION("""COMPUTED_VALUE"""),45421.66666666667)</f>
        <v>45421.66667</v>
      </c>
      <c r="B341" s="2">
        <f>IFERROR(__xludf.DUMMYFUNCTION("""COMPUTED_VALUE"""),410.57)</f>
        <v>410.57</v>
      </c>
      <c r="C341" s="2">
        <f>IFERROR(__xludf.DUMMYFUNCTION("""COMPUTED_VALUE"""),412.72)</f>
        <v>412.72</v>
      </c>
      <c r="D341" s="2">
        <f>IFERROR(__xludf.DUMMYFUNCTION("""COMPUTED_VALUE"""),409.1)</f>
        <v>409.1</v>
      </c>
      <c r="E341" s="2">
        <f>IFERROR(__xludf.DUMMYFUNCTION("""COMPUTED_VALUE"""),412.32)</f>
        <v>412.32</v>
      </c>
      <c r="F341" s="2">
        <f>IFERROR(__xludf.DUMMYFUNCTION("""COMPUTED_VALUE"""),1.4689727E7)</f>
        <v>14689727</v>
      </c>
    </row>
    <row r="342">
      <c r="A342" s="3">
        <f>IFERROR(__xludf.DUMMYFUNCTION("""COMPUTED_VALUE"""),45422.66666666667)</f>
        <v>45422.66667</v>
      </c>
      <c r="B342" s="2">
        <f>IFERROR(__xludf.DUMMYFUNCTION("""COMPUTED_VALUE"""),412.94)</f>
        <v>412.94</v>
      </c>
      <c r="C342" s="2">
        <f>IFERROR(__xludf.DUMMYFUNCTION("""COMPUTED_VALUE"""),415.38)</f>
        <v>415.38</v>
      </c>
      <c r="D342" s="2">
        <f>IFERROR(__xludf.DUMMYFUNCTION("""COMPUTED_VALUE"""),411.8)</f>
        <v>411.8</v>
      </c>
      <c r="E342" s="2">
        <f>IFERROR(__xludf.DUMMYFUNCTION("""COMPUTED_VALUE"""),414.74)</f>
        <v>414.74</v>
      </c>
      <c r="F342" s="2">
        <f>IFERROR(__xludf.DUMMYFUNCTION("""COMPUTED_VALUE"""),1.3402281E7)</f>
        <v>13402281</v>
      </c>
    </row>
    <row r="343">
      <c r="A343" s="3">
        <f>IFERROR(__xludf.DUMMYFUNCTION("""COMPUTED_VALUE"""),45425.66666666667)</f>
        <v>45425.66667</v>
      </c>
      <c r="B343" s="2">
        <f>IFERROR(__xludf.DUMMYFUNCTION("""COMPUTED_VALUE"""),418.01)</f>
        <v>418.01</v>
      </c>
      <c r="C343" s="2">
        <f>IFERROR(__xludf.DUMMYFUNCTION("""COMPUTED_VALUE"""),418.35)</f>
        <v>418.35</v>
      </c>
      <c r="D343" s="2">
        <f>IFERROR(__xludf.DUMMYFUNCTION("""COMPUTED_VALUE"""),410.82)</f>
        <v>410.82</v>
      </c>
      <c r="E343" s="2">
        <f>IFERROR(__xludf.DUMMYFUNCTION("""COMPUTED_VALUE"""),413.72)</f>
        <v>413.72</v>
      </c>
      <c r="F343" s="2">
        <f>IFERROR(__xludf.DUMMYFUNCTION("""COMPUTED_VALUE"""),1.5440226E7)</f>
        <v>15440226</v>
      </c>
    </row>
    <row r="344">
      <c r="A344" s="3">
        <f>IFERROR(__xludf.DUMMYFUNCTION("""COMPUTED_VALUE"""),45426.66666666667)</f>
        <v>45426.66667</v>
      </c>
      <c r="B344" s="2">
        <f>IFERROR(__xludf.DUMMYFUNCTION("""COMPUTED_VALUE"""),412.02)</f>
        <v>412.02</v>
      </c>
      <c r="C344" s="2">
        <f>IFERROR(__xludf.DUMMYFUNCTION("""COMPUTED_VALUE"""),417.49)</f>
        <v>417.49</v>
      </c>
      <c r="D344" s="2">
        <f>IFERROR(__xludf.DUMMYFUNCTION("""COMPUTED_VALUE"""),411.55)</f>
        <v>411.55</v>
      </c>
      <c r="E344" s="2">
        <f>IFERROR(__xludf.DUMMYFUNCTION("""COMPUTED_VALUE"""),416.56)</f>
        <v>416.56</v>
      </c>
      <c r="F344" s="2">
        <f>IFERROR(__xludf.DUMMYFUNCTION("""COMPUTED_VALUE"""),1.5109306E7)</f>
        <v>15109306</v>
      </c>
    </row>
    <row r="345">
      <c r="A345" s="3">
        <f>IFERROR(__xludf.DUMMYFUNCTION("""COMPUTED_VALUE"""),45427.66666666667)</f>
        <v>45427.66667</v>
      </c>
      <c r="B345" s="2">
        <f>IFERROR(__xludf.DUMMYFUNCTION("""COMPUTED_VALUE"""),417.9)</f>
        <v>417.9</v>
      </c>
      <c r="C345" s="2">
        <f>IFERROR(__xludf.DUMMYFUNCTION("""COMPUTED_VALUE"""),423.81)</f>
        <v>423.81</v>
      </c>
      <c r="D345" s="2">
        <f>IFERROR(__xludf.DUMMYFUNCTION("""COMPUTED_VALUE"""),417.27)</f>
        <v>417.27</v>
      </c>
      <c r="E345" s="2">
        <f>IFERROR(__xludf.DUMMYFUNCTION("""COMPUTED_VALUE"""),423.08)</f>
        <v>423.08</v>
      </c>
      <c r="F345" s="2">
        <f>IFERROR(__xludf.DUMMYFUNCTION("""COMPUTED_VALUE"""),2.2239533E7)</f>
        <v>22239533</v>
      </c>
    </row>
    <row r="346">
      <c r="A346" s="3">
        <f>IFERROR(__xludf.DUMMYFUNCTION("""COMPUTED_VALUE"""),45428.66666666667)</f>
        <v>45428.66667</v>
      </c>
      <c r="B346" s="2">
        <f>IFERROR(__xludf.DUMMYFUNCTION("""COMPUTED_VALUE"""),421.8)</f>
        <v>421.8</v>
      </c>
      <c r="C346" s="2">
        <f>IFERROR(__xludf.DUMMYFUNCTION("""COMPUTED_VALUE"""),425.42)</f>
        <v>425.42</v>
      </c>
      <c r="D346" s="2">
        <f>IFERROR(__xludf.DUMMYFUNCTION("""COMPUTED_VALUE"""),420.35)</f>
        <v>420.35</v>
      </c>
      <c r="E346" s="2">
        <f>IFERROR(__xludf.DUMMYFUNCTION("""COMPUTED_VALUE"""),420.99)</f>
        <v>420.99</v>
      </c>
      <c r="F346" s="2">
        <f>IFERROR(__xludf.DUMMYFUNCTION("""COMPUTED_VALUE"""),1.753005E7)</f>
        <v>17530050</v>
      </c>
    </row>
    <row r="347">
      <c r="A347" s="3">
        <f>IFERROR(__xludf.DUMMYFUNCTION("""COMPUTED_VALUE"""),45429.66666666667)</f>
        <v>45429.66667</v>
      </c>
      <c r="B347" s="2">
        <f>IFERROR(__xludf.DUMMYFUNCTION("""COMPUTED_VALUE"""),422.54)</f>
        <v>422.54</v>
      </c>
      <c r="C347" s="2">
        <f>IFERROR(__xludf.DUMMYFUNCTION("""COMPUTED_VALUE"""),422.92)</f>
        <v>422.92</v>
      </c>
      <c r="D347" s="2">
        <f>IFERROR(__xludf.DUMMYFUNCTION("""COMPUTED_VALUE"""),418.03)</f>
        <v>418.03</v>
      </c>
      <c r="E347" s="2">
        <f>IFERROR(__xludf.DUMMYFUNCTION("""COMPUTED_VALUE"""),420.21)</f>
        <v>420.21</v>
      </c>
      <c r="F347" s="2">
        <f>IFERROR(__xludf.DUMMYFUNCTION("""COMPUTED_VALUE"""),1.5352239E7)</f>
        <v>15352239</v>
      </c>
    </row>
    <row r="348">
      <c r="A348" s="3">
        <f>IFERROR(__xludf.DUMMYFUNCTION("""COMPUTED_VALUE"""),45432.66666666667)</f>
        <v>45432.66667</v>
      </c>
      <c r="B348" s="2">
        <f>IFERROR(__xludf.DUMMYFUNCTION("""COMPUTED_VALUE"""),420.21)</f>
        <v>420.21</v>
      </c>
      <c r="C348" s="2">
        <f>IFERROR(__xludf.DUMMYFUNCTION("""COMPUTED_VALUE"""),426.77)</f>
        <v>426.77</v>
      </c>
      <c r="D348" s="2">
        <f>IFERROR(__xludf.DUMMYFUNCTION("""COMPUTED_VALUE"""),419.99)</f>
        <v>419.99</v>
      </c>
      <c r="E348" s="2">
        <f>IFERROR(__xludf.DUMMYFUNCTION("""COMPUTED_VALUE"""),425.34)</f>
        <v>425.34</v>
      </c>
      <c r="F348" s="2">
        <f>IFERROR(__xludf.DUMMYFUNCTION("""COMPUTED_VALUE"""),1.6272137E7)</f>
        <v>16272137</v>
      </c>
    </row>
    <row r="349">
      <c r="A349" s="3">
        <f>IFERROR(__xludf.DUMMYFUNCTION("""COMPUTED_VALUE"""),45433.66666666667)</f>
        <v>45433.66667</v>
      </c>
      <c r="B349" s="2">
        <f>IFERROR(__xludf.DUMMYFUNCTION("""COMPUTED_VALUE"""),426.83)</f>
        <v>426.83</v>
      </c>
      <c r="C349" s="2">
        <f>IFERROR(__xludf.DUMMYFUNCTION("""COMPUTED_VALUE"""),432.97)</f>
        <v>432.97</v>
      </c>
      <c r="D349" s="2">
        <f>IFERROR(__xludf.DUMMYFUNCTION("""COMPUTED_VALUE"""),424.85)</f>
        <v>424.85</v>
      </c>
      <c r="E349" s="2">
        <f>IFERROR(__xludf.DUMMYFUNCTION("""COMPUTED_VALUE"""),429.04)</f>
        <v>429.04</v>
      </c>
      <c r="F349" s="2">
        <f>IFERROR(__xludf.DUMMYFUNCTION("""COMPUTED_VALUE"""),2.1453255E7)</f>
        <v>21453255</v>
      </c>
    </row>
    <row r="350">
      <c r="A350" s="3">
        <f>IFERROR(__xludf.DUMMYFUNCTION("""COMPUTED_VALUE"""),45434.66666666667)</f>
        <v>45434.66667</v>
      </c>
      <c r="B350" s="2">
        <f>IFERROR(__xludf.DUMMYFUNCTION("""COMPUTED_VALUE"""),430.09)</f>
        <v>430.09</v>
      </c>
      <c r="C350" s="2">
        <f>IFERROR(__xludf.DUMMYFUNCTION("""COMPUTED_VALUE"""),432.41)</f>
        <v>432.41</v>
      </c>
      <c r="D350" s="2">
        <f>IFERROR(__xludf.DUMMYFUNCTION("""COMPUTED_VALUE"""),427.13)</f>
        <v>427.13</v>
      </c>
      <c r="E350" s="2">
        <f>IFERROR(__xludf.DUMMYFUNCTION("""COMPUTED_VALUE"""),430.52)</f>
        <v>430.52</v>
      </c>
      <c r="F350" s="2">
        <f>IFERROR(__xludf.DUMMYFUNCTION("""COMPUTED_VALUE"""),1.8073698E7)</f>
        <v>18073698</v>
      </c>
    </row>
    <row r="351">
      <c r="A351" s="3">
        <f>IFERROR(__xludf.DUMMYFUNCTION("""COMPUTED_VALUE"""),45435.66666666667)</f>
        <v>45435.66667</v>
      </c>
      <c r="B351" s="2">
        <f>IFERROR(__xludf.DUMMYFUNCTION("""COMPUTED_VALUE"""),432.97)</f>
        <v>432.97</v>
      </c>
      <c r="C351" s="2">
        <f>IFERROR(__xludf.DUMMYFUNCTION("""COMPUTED_VALUE"""),433.6)</f>
        <v>433.6</v>
      </c>
      <c r="D351" s="2">
        <f>IFERROR(__xludf.DUMMYFUNCTION("""COMPUTED_VALUE"""),425.42)</f>
        <v>425.42</v>
      </c>
      <c r="E351" s="2">
        <f>IFERROR(__xludf.DUMMYFUNCTION("""COMPUTED_VALUE"""),427.0)</f>
        <v>427</v>
      </c>
      <c r="F351" s="2">
        <f>IFERROR(__xludf.DUMMYFUNCTION("""COMPUTED_VALUE"""),1.7211689E7)</f>
        <v>17211689</v>
      </c>
    </row>
    <row r="352">
      <c r="A352" s="3">
        <f>IFERROR(__xludf.DUMMYFUNCTION("""COMPUTED_VALUE"""),45436.66666666667)</f>
        <v>45436.66667</v>
      </c>
      <c r="B352" s="2">
        <f>IFERROR(__xludf.DUMMYFUNCTION("""COMPUTED_VALUE"""),427.19)</f>
        <v>427.19</v>
      </c>
      <c r="C352" s="2">
        <f>IFERROR(__xludf.DUMMYFUNCTION("""COMPUTED_VALUE"""),431.06)</f>
        <v>431.06</v>
      </c>
      <c r="D352" s="2">
        <f>IFERROR(__xludf.DUMMYFUNCTION("""COMPUTED_VALUE"""),424.41)</f>
        <v>424.41</v>
      </c>
      <c r="E352" s="2">
        <f>IFERROR(__xludf.DUMMYFUNCTION("""COMPUTED_VALUE"""),430.16)</f>
        <v>430.16</v>
      </c>
      <c r="F352" s="2">
        <f>IFERROR(__xludf.DUMMYFUNCTION("""COMPUTED_VALUE"""),1.1855285E7)</f>
        <v>11855285</v>
      </c>
    </row>
    <row r="353">
      <c r="A353" s="3">
        <f>IFERROR(__xludf.DUMMYFUNCTION("""COMPUTED_VALUE"""),45440.66666666667)</f>
        <v>45440.66667</v>
      </c>
      <c r="B353" s="2">
        <f>IFERROR(__xludf.DUMMYFUNCTION("""COMPUTED_VALUE"""),429.63)</f>
        <v>429.63</v>
      </c>
      <c r="C353" s="2">
        <f>IFERROR(__xludf.DUMMYFUNCTION("""COMPUTED_VALUE"""),430.82)</f>
        <v>430.82</v>
      </c>
      <c r="D353" s="2">
        <f>IFERROR(__xludf.DUMMYFUNCTION("""COMPUTED_VALUE"""),426.6)</f>
        <v>426.6</v>
      </c>
      <c r="E353" s="2">
        <f>IFERROR(__xludf.DUMMYFUNCTION("""COMPUTED_VALUE"""),430.32)</f>
        <v>430.32</v>
      </c>
      <c r="F353" s="2">
        <f>IFERROR(__xludf.DUMMYFUNCTION("""COMPUTED_VALUE"""),1.5718024E7)</f>
        <v>15718024</v>
      </c>
    </row>
    <row r="354">
      <c r="A354" s="3">
        <f>IFERROR(__xludf.DUMMYFUNCTION("""COMPUTED_VALUE"""),45441.66666666667)</f>
        <v>45441.66667</v>
      </c>
      <c r="B354" s="2">
        <f>IFERROR(__xludf.DUMMYFUNCTION("""COMPUTED_VALUE"""),425.69)</f>
        <v>425.69</v>
      </c>
      <c r="C354" s="2">
        <f>IFERROR(__xludf.DUMMYFUNCTION("""COMPUTED_VALUE"""),430.94)</f>
        <v>430.94</v>
      </c>
      <c r="D354" s="2">
        <f>IFERROR(__xludf.DUMMYFUNCTION("""COMPUTED_VALUE"""),425.69)</f>
        <v>425.69</v>
      </c>
      <c r="E354" s="2">
        <f>IFERROR(__xludf.DUMMYFUNCTION("""COMPUTED_VALUE"""),429.17)</f>
        <v>429.17</v>
      </c>
      <c r="F354" s="2">
        <f>IFERROR(__xludf.DUMMYFUNCTION("""COMPUTED_VALUE"""),1.551713E7)</f>
        <v>15517130</v>
      </c>
    </row>
    <row r="355">
      <c r="A355" s="3">
        <f>IFERROR(__xludf.DUMMYFUNCTION("""COMPUTED_VALUE"""),45442.66666666667)</f>
        <v>45442.66667</v>
      </c>
      <c r="B355" s="2">
        <f>IFERROR(__xludf.DUMMYFUNCTION("""COMPUTED_VALUE"""),424.3)</f>
        <v>424.3</v>
      </c>
      <c r="C355" s="2">
        <f>IFERROR(__xludf.DUMMYFUNCTION("""COMPUTED_VALUE"""),424.3)</f>
        <v>424.3</v>
      </c>
      <c r="D355" s="2">
        <f>IFERROR(__xludf.DUMMYFUNCTION("""COMPUTED_VALUE"""),414.24)</f>
        <v>414.24</v>
      </c>
      <c r="E355" s="2">
        <f>IFERROR(__xludf.DUMMYFUNCTION("""COMPUTED_VALUE"""),414.67)</f>
        <v>414.67</v>
      </c>
      <c r="F355" s="2">
        <f>IFERROR(__xludf.DUMMYFUNCTION("""COMPUTED_VALUE"""),2.8424847E7)</f>
        <v>28424847</v>
      </c>
    </row>
    <row r="356">
      <c r="A356" s="3">
        <f>IFERROR(__xludf.DUMMYFUNCTION("""COMPUTED_VALUE"""),45443.66666666667)</f>
        <v>45443.66667</v>
      </c>
      <c r="B356" s="2">
        <f>IFERROR(__xludf.DUMMYFUNCTION("""COMPUTED_VALUE"""),416.75)</f>
        <v>416.75</v>
      </c>
      <c r="C356" s="2">
        <f>IFERROR(__xludf.DUMMYFUNCTION("""COMPUTED_VALUE"""),416.75)</f>
        <v>416.75</v>
      </c>
      <c r="D356" s="2">
        <f>IFERROR(__xludf.DUMMYFUNCTION("""COMPUTED_VALUE"""),404.51)</f>
        <v>404.51</v>
      </c>
      <c r="E356" s="2">
        <f>IFERROR(__xludf.DUMMYFUNCTION("""COMPUTED_VALUE"""),415.13)</f>
        <v>415.13</v>
      </c>
      <c r="F356" s="2">
        <f>IFERROR(__xludf.DUMMYFUNCTION("""COMPUTED_VALUE"""),4.799525E7)</f>
        <v>47995250</v>
      </c>
    </row>
    <row r="357">
      <c r="A357" s="3">
        <f>IFERROR(__xludf.DUMMYFUNCTION("""COMPUTED_VALUE"""),45446.66666666667)</f>
        <v>45446.66667</v>
      </c>
      <c r="B357" s="2">
        <f>IFERROR(__xludf.DUMMYFUNCTION("""COMPUTED_VALUE"""),415.53)</f>
        <v>415.53</v>
      </c>
      <c r="C357" s="2">
        <f>IFERROR(__xludf.DUMMYFUNCTION("""COMPUTED_VALUE"""),416.43)</f>
        <v>416.43</v>
      </c>
      <c r="D357" s="2">
        <f>IFERROR(__xludf.DUMMYFUNCTION("""COMPUTED_VALUE"""),408.92)</f>
        <v>408.92</v>
      </c>
      <c r="E357" s="2">
        <f>IFERROR(__xludf.DUMMYFUNCTION("""COMPUTED_VALUE"""),413.52)</f>
        <v>413.52</v>
      </c>
      <c r="F357" s="2">
        <f>IFERROR(__xludf.DUMMYFUNCTION("""COMPUTED_VALUE"""),1.7484675E7)</f>
        <v>17484675</v>
      </c>
    </row>
    <row r="358">
      <c r="A358" s="3">
        <f>IFERROR(__xludf.DUMMYFUNCTION("""COMPUTED_VALUE"""),45447.66666666667)</f>
        <v>45447.66667</v>
      </c>
      <c r="B358" s="2">
        <f>IFERROR(__xludf.DUMMYFUNCTION("""COMPUTED_VALUE"""),412.43)</f>
        <v>412.43</v>
      </c>
      <c r="C358" s="2">
        <f>IFERROR(__xludf.DUMMYFUNCTION("""COMPUTED_VALUE"""),416.44)</f>
        <v>416.44</v>
      </c>
      <c r="D358" s="2">
        <f>IFERROR(__xludf.DUMMYFUNCTION("""COMPUTED_VALUE"""),409.68)</f>
        <v>409.68</v>
      </c>
      <c r="E358" s="2">
        <f>IFERROR(__xludf.DUMMYFUNCTION("""COMPUTED_VALUE"""),416.07)</f>
        <v>416.07</v>
      </c>
      <c r="F358" s="2">
        <f>IFERROR(__xludf.DUMMYFUNCTION("""COMPUTED_VALUE"""),1.4348917E7)</f>
        <v>14348917</v>
      </c>
    </row>
    <row r="359">
      <c r="A359" s="3">
        <f>IFERROR(__xludf.DUMMYFUNCTION("""COMPUTED_VALUE"""),45448.66666666667)</f>
        <v>45448.66667</v>
      </c>
      <c r="B359" s="2">
        <f>IFERROR(__xludf.DUMMYFUNCTION("""COMPUTED_VALUE"""),417.81)</f>
        <v>417.81</v>
      </c>
      <c r="C359" s="2">
        <f>IFERROR(__xludf.DUMMYFUNCTION("""COMPUTED_VALUE"""),424.08)</f>
        <v>424.08</v>
      </c>
      <c r="D359" s="2">
        <f>IFERROR(__xludf.DUMMYFUNCTION("""COMPUTED_VALUE"""),416.3)</f>
        <v>416.3</v>
      </c>
      <c r="E359" s="2">
        <f>IFERROR(__xludf.DUMMYFUNCTION("""COMPUTED_VALUE"""),424.01)</f>
        <v>424.01</v>
      </c>
      <c r="F359" s="2">
        <f>IFERROR(__xludf.DUMMYFUNCTION("""COMPUTED_VALUE"""),1.6988038E7)</f>
        <v>16988038</v>
      </c>
    </row>
    <row r="360">
      <c r="A360" s="3">
        <f>IFERROR(__xludf.DUMMYFUNCTION("""COMPUTED_VALUE"""),45449.66666666667)</f>
        <v>45449.66667</v>
      </c>
      <c r="B360" s="2">
        <f>IFERROR(__xludf.DUMMYFUNCTION("""COMPUTED_VALUE"""),424.01)</f>
        <v>424.01</v>
      </c>
      <c r="C360" s="2">
        <f>IFERROR(__xludf.DUMMYFUNCTION("""COMPUTED_VALUE"""),425.31)</f>
        <v>425.31</v>
      </c>
      <c r="D360" s="2">
        <f>IFERROR(__xludf.DUMMYFUNCTION("""COMPUTED_VALUE"""),420.58)</f>
        <v>420.58</v>
      </c>
      <c r="E360" s="2">
        <f>IFERROR(__xludf.DUMMYFUNCTION("""COMPUTED_VALUE"""),424.52)</f>
        <v>424.52</v>
      </c>
      <c r="F360" s="2">
        <f>IFERROR(__xludf.DUMMYFUNCTION("""COMPUTED_VALUE"""),1.4861251E7)</f>
        <v>14861251</v>
      </c>
    </row>
    <row r="361">
      <c r="A361" s="3">
        <f>IFERROR(__xludf.DUMMYFUNCTION("""COMPUTED_VALUE"""),45450.66666666667)</f>
        <v>45450.66667</v>
      </c>
      <c r="B361" s="2">
        <f>IFERROR(__xludf.DUMMYFUNCTION("""COMPUTED_VALUE"""),426.2)</f>
        <v>426.2</v>
      </c>
      <c r="C361" s="2">
        <f>IFERROR(__xludf.DUMMYFUNCTION("""COMPUTED_VALUE"""),426.28)</f>
        <v>426.28</v>
      </c>
      <c r="D361" s="2">
        <f>IFERROR(__xludf.DUMMYFUNCTION("""COMPUTED_VALUE"""),423.0)</f>
        <v>423</v>
      </c>
      <c r="E361" s="2">
        <f>IFERROR(__xludf.DUMMYFUNCTION("""COMPUTED_VALUE"""),423.85)</f>
        <v>423.85</v>
      </c>
      <c r="F361" s="2">
        <f>IFERROR(__xludf.DUMMYFUNCTION("""COMPUTED_VALUE"""),1.362165E7)</f>
        <v>13621650</v>
      </c>
    </row>
    <row r="362">
      <c r="A362" s="3">
        <f>IFERROR(__xludf.DUMMYFUNCTION("""COMPUTED_VALUE"""),45453.66666666667)</f>
        <v>45453.66667</v>
      </c>
      <c r="B362" s="2">
        <f>IFERROR(__xludf.DUMMYFUNCTION("""COMPUTED_VALUE"""),424.7)</f>
        <v>424.7</v>
      </c>
      <c r="C362" s="2">
        <f>IFERROR(__xludf.DUMMYFUNCTION("""COMPUTED_VALUE"""),428.08)</f>
        <v>428.08</v>
      </c>
      <c r="D362" s="2">
        <f>IFERROR(__xludf.DUMMYFUNCTION("""COMPUTED_VALUE"""),423.89)</f>
        <v>423.89</v>
      </c>
      <c r="E362" s="2">
        <f>IFERROR(__xludf.DUMMYFUNCTION("""COMPUTED_VALUE"""),427.87)</f>
        <v>427.87</v>
      </c>
      <c r="F362" s="2">
        <f>IFERROR(__xludf.DUMMYFUNCTION("""COMPUTED_VALUE"""),1.4003034E7)</f>
        <v>14003034</v>
      </c>
    </row>
    <row r="363">
      <c r="A363" s="3">
        <f>IFERROR(__xludf.DUMMYFUNCTION("""COMPUTED_VALUE"""),45454.66666666667)</f>
        <v>45454.66667</v>
      </c>
      <c r="B363" s="2">
        <f>IFERROR(__xludf.DUMMYFUNCTION("""COMPUTED_VALUE"""),425.48)</f>
        <v>425.48</v>
      </c>
      <c r="C363" s="2">
        <f>IFERROR(__xludf.DUMMYFUNCTION("""COMPUTED_VALUE"""),432.82)</f>
        <v>432.82</v>
      </c>
      <c r="D363" s="2">
        <f>IFERROR(__xludf.DUMMYFUNCTION("""COMPUTED_VALUE"""),425.25)</f>
        <v>425.25</v>
      </c>
      <c r="E363" s="2">
        <f>IFERROR(__xludf.DUMMYFUNCTION("""COMPUTED_VALUE"""),432.68)</f>
        <v>432.68</v>
      </c>
      <c r="F363" s="2">
        <f>IFERROR(__xludf.DUMMYFUNCTION("""COMPUTED_VALUE"""),1.4551101E7)</f>
        <v>14551101</v>
      </c>
    </row>
  </sheetData>
  <drawing r:id="rId1"/>
</worksheet>
</file>