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evin_59ku82\Documents\vue\umiya\api\data\"/>
    </mc:Choice>
  </mc:AlternateContent>
  <xr:revisionPtr revIDLastSave="0" documentId="13_ncr:1_{C275F854-300D-4C64-9490-A88763A861D3}" xr6:coauthVersionLast="45" xr6:coauthVersionMax="45" xr10:uidLastSave="{00000000-0000-0000-0000-000000000000}"/>
  <bookViews>
    <workbookView xWindow="0" yWindow="150" windowWidth="19200" windowHeight="10050" xr2:uid="{F507D3BA-8EDA-467E-B6EB-CC59230C88EF}"/>
  </bookViews>
  <sheets>
    <sheet name="Sheet1" sheetId="1" r:id="rId1"/>
  </sheets>
  <definedNames>
    <definedName name="_xlnm._FilterDatabase" localSheetId="0" hidden="1">Sheet1!$A$1:$AE$425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P2" i="1"/>
  <c r="K3" i="1"/>
  <c r="K4" i="1"/>
  <c r="P4" i="1"/>
  <c r="K5" i="1"/>
  <c r="P5" i="1"/>
  <c r="K6" i="1"/>
  <c r="P6" i="1"/>
  <c r="K7" i="1"/>
  <c r="P7" i="1"/>
  <c r="K8" i="1"/>
  <c r="P8" i="1"/>
  <c r="K9" i="1"/>
  <c r="P9" i="1"/>
  <c r="K10" i="1"/>
  <c r="P10" i="1"/>
  <c r="K11" i="1"/>
  <c r="P11" i="1"/>
  <c r="K12" i="1"/>
  <c r="K13" i="1"/>
  <c r="P13" i="1"/>
  <c r="K14" i="1"/>
  <c r="K15" i="1"/>
  <c r="K16" i="1"/>
  <c r="P16" i="1"/>
  <c r="K17" i="1"/>
  <c r="P17" i="1"/>
  <c r="K18" i="1"/>
  <c r="P18" i="1"/>
  <c r="K19" i="1"/>
  <c r="K20" i="1"/>
  <c r="K21" i="1"/>
  <c r="P21" i="1"/>
  <c r="K22" i="1"/>
  <c r="P22" i="1"/>
  <c r="K23" i="1"/>
  <c r="P23" i="1"/>
  <c r="K24" i="1"/>
  <c r="K25" i="1"/>
  <c r="P25" i="1"/>
  <c r="K26" i="1"/>
  <c r="K27" i="1"/>
  <c r="P27" i="1"/>
  <c r="K28" i="1"/>
  <c r="P28" i="1"/>
  <c r="K29" i="1"/>
  <c r="P29" i="1"/>
  <c r="K30" i="1"/>
  <c r="P30" i="1"/>
  <c r="K31" i="1"/>
  <c r="P31" i="1"/>
  <c r="K32" i="1"/>
  <c r="P32" i="1"/>
  <c r="K33" i="1"/>
  <c r="P33" i="1"/>
  <c r="K34" i="1"/>
  <c r="P34" i="1"/>
  <c r="K35" i="1"/>
  <c r="P35" i="1"/>
  <c r="K36" i="1"/>
  <c r="P36" i="1"/>
  <c r="K37" i="1"/>
  <c r="P37" i="1"/>
  <c r="K38" i="1"/>
  <c r="K39" i="1"/>
  <c r="P39" i="1"/>
  <c r="K40" i="1"/>
  <c r="P40" i="1"/>
  <c r="K41" i="1"/>
  <c r="P41" i="1"/>
  <c r="K42" i="1"/>
  <c r="P42" i="1"/>
  <c r="K43" i="1"/>
  <c r="K44" i="1"/>
  <c r="P44" i="1"/>
  <c r="K45" i="1"/>
  <c r="P45" i="1"/>
  <c r="K46" i="1"/>
  <c r="P46" i="1"/>
  <c r="K47" i="1"/>
  <c r="P47" i="1"/>
  <c r="K48" i="1"/>
  <c r="P48" i="1"/>
  <c r="K49" i="1"/>
  <c r="P49" i="1"/>
  <c r="K50" i="1"/>
  <c r="P50" i="1"/>
  <c r="K51" i="1"/>
  <c r="P51" i="1"/>
  <c r="K52" i="1"/>
  <c r="P52" i="1"/>
  <c r="K53" i="1"/>
  <c r="P53" i="1"/>
  <c r="K54" i="1"/>
  <c r="P54" i="1"/>
  <c r="K55" i="1"/>
  <c r="P55" i="1"/>
  <c r="K56" i="1"/>
  <c r="P56" i="1"/>
  <c r="K57" i="1"/>
  <c r="P57" i="1"/>
  <c r="K58" i="1"/>
  <c r="P58" i="1"/>
  <c r="K59" i="1"/>
  <c r="P59" i="1"/>
  <c r="K60" i="1"/>
  <c r="P60" i="1"/>
  <c r="K61" i="1"/>
  <c r="K62" i="1"/>
  <c r="K63" i="1"/>
  <c r="K64" i="1"/>
  <c r="K65" i="1"/>
  <c r="P65" i="1"/>
  <c r="K66" i="1"/>
  <c r="P66" i="1"/>
  <c r="K67" i="1"/>
  <c r="P67" i="1"/>
  <c r="K68" i="1"/>
  <c r="K69" i="1"/>
  <c r="P69" i="1"/>
  <c r="K70" i="1"/>
  <c r="P70" i="1"/>
  <c r="K71" i="1"/>
  <c r="P71" i="1"/>
  <c r="K73" i="1"/>
  <c r="K74" i="1"/>
  <c r="K75" i="1"/>
  <c r="P75" i="1"/>
  <c r="K76" i="1"/>
  <c r="P76" i="1"/>
  <c r="K77" i="1"/>
  <c r="P77" i="1"/>
  <c r="K78" i="1"/>
  <c r="P78" i="1"/>
  <c r="K79" i="1"/>
  <c r="K80" i="1"/>
  <c r="P80" i="1"/>
  <c r="K81" i="1"/>
  <c r="P81" i="1"/>
  <c r="K82" i="1"/>
  <c r="P82" i="1"/>
  <c r="K83" i="1"/>
  <c r="P83" i="1"/>
  <c r="K84" i="1"/>
  <c r="P84" i="1"/>
  <c r="K85" i="1"/>
  <c r="P85" i="1"/>
  <c r="K86" i="1"/>
  <c r="K87" i="1"/>
  <c r="P87" i="1"/>
  <c r="K88" i="1"/>
  <c r="P88" i="1"/>
  <c r="K89" i="1"/>
  <c r="P89" i="1"/>
  <c r="K90" i="1"/>
  <c r="P90" i="1"/>
  <c r="K91" i="1"/>
  <c r="K92" i="1"/>
  <c r="K93" i="1"/>
  <c r="K94" i="1"/>
  <c r="P94" i="1"/>
  <c r="K96" i="1"/>
  <c r="K97" i="1"/>
  <c r="K98" i="1"/>
  <c r="P98" i="1"/>
  <c r="K99" i="1"/>
  <c r="P99" i="1"/>
  <c r="K100" i="1"/>
  <c r="P100" i="1"/>
  <c r="K101" i="1"/>
  <c r="P101" i="1"/>
  <c r="K103" i="1"/>
  <c r="P103" i="1"/>
  <c r="K104" i="1"/>
  <c r="P104" i="1"/>
  <c r="K105" i="1"/>
  <c r="P105" i="1"/>
  <c r="K106" i="1"/>
  <c r="P106" i="1"/>
  <c r="K107" i="1"/>
  <c r="P107" i="1"/>
  <c r="K108" i="1"/>
  <c r="P108" i="1"/>
  <c r="K109" i="1"/>
  <c r="P109" i="1"/>
  <c r="P110" i="1"/>
  <c r="K111" i="1"/>
  <c r="P111" i="1"/>
  <c r="K112" i="1"/>
  <c r="P112" i="1"/>
  <c r="K113" i="1"/>
  <c r="P113" i="1"/>
  <c r="K114" i="1"/>
  <c r="K115" i="1"/>
  <c r="P115" i="1"/>
  <c r="K116" i="1"/>
  <c r="K118" i="1"/>
  <c r="P118" i="1"/>
  <c r="K119" i="1"/>
  <c r="K120" i="1"/>
  <c r="K121" i="1"/>
  <c r="K122" i="1"/>
  <c r="P122" i="1"/>
  <c r="K123" i="1"/>
  <c r="P123" i="1"/>
  <c r="K124" i="1"/>
  <c r="P124" i="1"/>
  <c r="K125" i="1"/>
  <c r="K126" i="1"/>
  <c r="P126" i="1"/>
  <c r="K127" i="1"/>
  <c r="P127" i="1"/>
  <c r="K128" i="1"/>
  <c r="P128" i="1"/>
  <c r="K129" i="1"/>
  <c r="P129" i="1"/>
  <c r="K130" i="1"/>
  <c r="K131" i="1"/>
  <c r="K132" i="1"/>
  <c r="P132" i="1"/>
  <c r="K133" i="1"/>
  <c r="P133" i="1"/>
  <c r="K134" i="1"/>
  <c r="P134" i="1"/>
  <c r="K135" i="1"/>
  <c r="K136" i="1"/>
  <c r="P136" i="1"/>
  <c r="K137" i="1"/>
  <c r="P137" i="1"/>
  <c r="K138" i="1"/>
  <c r="K139" i="1"/>
  <c r="P139" i="1"/>
  <c r="K140" i="1"/>
  <c r="P140" i="1"/>
  <c r="K141" i="1"/>
  <c r="K142" i="1"/>
  <c r="P142" i="1"/>
  <c r="K143" i="1"/>
  <c r="P143" i="1"/>
  <c r="K144" i="1"/>
  <c r="P144" i="1"/>
  <c r="K145" i="1"/>
  <c r="P145" i="1"/>
  <c r="K146" i="1"/>
  <c r="P146" i="1"/>
  <c r="K147" i="1"/>
  <c r="P147" i="1"/>
  <c r="K148" i="1"/>
  <c r="P148" i="1"/>
  <c r="K149" i="1"/>
  <c r="K150" i="1"/>
  <c r="P150" i="1"/>
  <c r="K151" i="1"/>
  <c r="P151" i="1"/>
  <c r="K152" i="1"/>
  <c r="P152" i="1"/>
  <c r="K153" i="1"/>
  <c r="P153" i="1"/>
  <c r="K154" i="1"/>
  <c r="P154" i="1"/>
  <c r="K155" i="1"/>
  <c r="P155" i="1"/>
  <c r="K156" i="1"/>
  <c r="P156" i="1"/>
  <c r="K157" i="1"/>
  <c r="P157" i="1"/>
  <c r="K158" i="1"/>
  <c r="P158" i="1"/>
  <c r="K159" i="1"/>
  <c r="P159" i="1"/>
  <c r="K160" i="1"/>
  <c r="P160" i="1"/>
  <c r="K161" i="1"/>
  <c r="P161" i="1"/>
  <c r="K162" i="1"/>
  <c r="P162" i="1"/>
  <c r="K163" i="1"/>
  <c r="P163" i="1"/>
  <c r="K164" i="1"/>
  <c r="P164" i="1"/>
  <c r="K165" i="1"/>
  <c r="P165" i="1"/>
  <c r="K166" i="1"/>
  <c r="K167" i="1"/>
  <c r="K168" i="1"/>
  <c r="P168" i="1"/>
  <c r="K169" i="1"/>
  <c r="P169" i="1"/>
  <c r="K170" i="1"/>
  <c r="P170" i="1"/>
  <c r="K171" i="1"/>
  <c r="P171" i="1"/>
  <c r="K172" i="1"/>
  <c r="P172" i="1"/>
  <c r="K173" i="1"/>
  <c r="P173" i="1"/>
  <c r="K174" i="1"/>
  <c r="K175" i="1"/>
  <c r="P175" i="1"/>
  <c r="K176" i="1"/>
  <c r="P176" i="1"/>
  <c r="K177" i="1"/>
  <c r="P177" i="1"/>
  <c r="K178" i="1"/>
  <c r="P178" i="1"/>
  <c r="K179" i="1"/>
  <c r="K180" i="1"/>
  <c r="P180" i="1"/>
  <c r="K181" i="1"/>
  <c r="P181" i="1"/>
  <c r="K182" i="1"/>
  <c r="P182" i="1"/>
  <c r="K183" i="1"/>
  <c r="P183" i="1"/>
  <c r="K184" i="1"/>
  <c r="K185" i="1"/>
  <c r="P185" i="1"/>
  <c r="K186" i="1"/>
  <c r="P186" i="1"/>
  <c r="K187" i="1"/>
  <c r="P187" i="1"/>
  <c r="K188" i="1"/>
  <c r="P188" i="1"/>
  <c r="K189" i="1"/>
  <c r="P189" i="1"/>
  <c r="K190" i="1"/>
  <c r="P190" i="1"/>
  <c r="K191" i="1"/>
  <c r="P191" i="1"/>
  <c r="K192" i="1"/>
  <c r="K193" i="1"/>
  <c r="P193" i="1"/>
  <c r="P194" i="1"/>
  <c r="K195" i="1"/>
  <c r="K196" i="1"/>
  <c r="P196" i="1"/>
  <c r="K197" i="1"/>
  <c r="K198" i="1"/>
  <c r="P198" i="1"/>
  <c r="K199" i="1"/>
  <c r="P199" i="1"/>
  <c r="K200" i="1"/>
  <c r="P200" i="1"/>
  <c r="K201" i="1"/>
  <c r="P201" i="1"/>
  <c r="K202" i="1"/>
  <c r="P202" i="1"/>
  <c r="K203" i="1"/>
  <c r="K204" i="1"/>
  <c r="P204" i="1"/>
  <c r="K205" i="1"/>
  <c r="P205" i="1"/>
  <c r="K206" i="1"/>
  <c r="K207" i="1"/>
  <c r="P207" i="1"/>
  <c r="K208" i="1"/>
  <c r="P208" i="1"/>
  <c r="K209" i="1"/>
  <c r="P209" i="1"/>
  <c r="K210" i="1"/>
  <c r="P210" i="1"/>
  <c r="K211" i="1"/>
  <c r="K212" i="1"/>
  <c r="P212" i="1"/>
  <c r="K213" i="1"/>
  <c r="P213" i="1"/>
  <c r="K214" i="1"/>
  <c r="P214" i="1"/>
  <c r="K215" i="1"/>
  <c r="P215" i="1"/>
  <c r="K216" i="1"/>
  <c r="K217" i="1"/>
  <c r="P217" i="1"/>
  <c r="K218" i="1"/>
  <c r="P218" i="1"/>
  <c r="K219" i="1"/>
  <c r="P219" i="1"/>
  <c r="K220" i="1"/>
  <c r="P220" i="1"/>
  <c r="K221" i="1"/>
  <c r="K222" i="1"/>
  <c r="K223" i="1"/>
  <c r="P223" i="1"/>
  <c r="K224" i="1"/>
  <c r="K225" i="1"/>
  <c r="K226" i="1"/>
  <c r="P226" i="1"/>
  <c r="K227" i="1"/>
  <c r="P227" i="1"/>
  <c r="K228" i="1"/>
  <c r="P228" i="1"/>
  <c r="K229" i="1"/>
  <c r="P229" i="1"/>
  <c r="K230" i="1"/>
  <c r="P230" i="1"/>
  <c r="K231" i="1"/>
  <c r="P231" i="1"/>
  <c r="K232" i="1"/>
  <c r="P232" i="1"/>
  <c r="K233" i="1"/>
  <c r="P233" i="1"/>
  <c r="K234" i="1"/>
  <c r="P234" i="1"/>
  <c r="K235" i="1"/>
  <c r="K236" i="1"/>
  <c r="P236" i="1"/>
  <c r="K237" i="1"/>
  <c r="P237" i="1"/>
  <c r="K238" i="1"/>
  <c r="K239" i="1"/>
  <c r="K240" i="1"/>
  <c r="P240" i="1"/>
  <c r="K241" i="1"/>
  <c r="P241" i="1"/>
  <c r="K242" i="1"/>
  <c r="P242" i="1"/>
  <c r="K243" i="1"/>
  <c r="K244" i="1"/>
  <c r="P244" i="1"/>
  <c r="K245" i="1"/>
  <c r="P245" i="1"/>
  <c r="K246" i="1"/>
  <c r="P246" i="1"/>
  <c r="K247" i="1"/>
  <c r="P247" i="1"/>
  <c r="K248" i="1"/>
  <c r="P248" i="1"/>
  <c r="K249" i="1"/>
  <c r="P249" i="1"/>
  <c r="K250" i="1"/>
  <c r="K251" i="1"/>
  <c r="P251" i="1"/>
  <c r="K252" i="1"/>
  <c r="P252" i="1"/>
  <c r="K253" i="1"/>
  <c r="K254" i="1"/>
  <c r="P254" i="1"/>
  <c r="K255" i="1"/>
  <c r="K256" i="1"/>
  <c r="K257" i="1"/>
  <c r="K258" i="1"/>
  <c r="P258" i="1"/>
  <c r="K259" i="1"/>
  <c r="K260" i="1"/>
  <c r="P260" i="1"/>
  <c r="K261" i="1"/>
  <c r="P261" i="1"/>
  <c r="K262" i="1"/>
  <c r="P262" i="1"/>
  <c r="K263" i="1"/>
  <c r="P263" i="1"/>
  <c r="K264" i="1"/>
  <c r="K265" i="1"/>
  <c r="K266" i="1"/>
  <c r="P266" i="1"/>
  <c r="K267" i="1"/>
  <c r="P267" i="1"/>
  <c r="K268" i="1"/>
  <c r="P268" i="1"/>
  <c r="K269" i="1"/>
  <c r="P269" i="1"/>
  <c r="K270" i="1"/>
  <c r="P270" i="1"/>
  <c r="K271" i="1"/>
  <c r="P271" i="1"/>
  <c r="K272" i="1"/>
  <c r="P272" i="1"/>
  <c r="K273" i="1"/>
  <c r="P273" i="1"/>
  <c r="K274" i="1"/>
  <c r="P274" i="1"/>
  <c r="K275" i="1"/>
  <c r="K276" i="1"/>
  <c r="P276" i="1"/>
  <c r="K277" i="1"/>
  <c r="P277" i="1"/>
  <c r="K278" i="1"/>
  <c r="P278" i="1"/>
  <c r="K279" i="1"/>
  <c r="P279" i="1"/>
  <c r="K280" i="1"/>
  <c r="P280" i="1"/>
  <c r="K281" i="1"/>
  <c r="P281" i="1"/>
  <c r="K282" i="1"/>
  <c r="P282" i="1"/>
  <c r="K283" i="1"/>
  <c r="P283" i="1"/>
  <c r="K284" i="1"/>
  <c r="K285" i="1"/>
  <c r="P285" i="1"/>
  <c r="K286" i="1"/>
  <c r="P286" i="1"/>
  <c r="K287" i="1"/>
  <c r="P287" i="1"/>
  <c r="K288" i="1"/>
  <c r="K289" i="1"/>
  <c r="P289" i="1"/>
  <c r="K290" i="1"/>
  <c r="K291" i="1"/>
  <c r="P291" i="1"/>
  <c r="K292" i="1"/>
  <c r="P292" i="1"/>
  <c r="K293" i="1"/>
  <c r="P293" i="1"/>
  <c r="K294" i="1"/>
  <c r="P294" i="1"/>
  <c r="K295" i="1"/>
  <c r="P295" i="1"/>
  <c r="K296" i="1"/>
  <c r="K297" i="1"/>
  <c r="P297" i="1"/>
  <c r="K298" i="1"/>
  <c r="P298" i="1"/>
  <c r="K299" i="1"/>
  <c r="K300" i="1"/>
  <c r="P300" i="1"/>
  <c r="K301" i="1"/>
  <c r="K302" i="1"/>
  <c r="K303" i="1"/>
  <c r="P303" i="1"/>
  <c r="K304" i="1"/>
  <c r="K305" i="1"/>
  <c r="P305" i="1"/>
  <c r="K306" i="1"/>
  <c r="P306" i="1"/>
  <c r="K307" i="1"/>
  <c r="P307" i="1"/>
  <c r="K308" i="1"/>
  <c r="P308" i="1"/>
  <c r="K309" i="1"/>
  <c r="P309" i="1"/>
  <c r="K310" i="1"/>
  <c r="P310" i="1"/>
  <c r="K311" i="1"/>
  <c r="P311" i="1"/>
  <c r="K312" i="1"/>
  <c r="P312" i="1"/>
  <c r="K313" i="1"/>
  <c r="P313" i="1"/>
  <c r="K314" i="1"/>
  <c r="P314" i="1"/>
  <c r="K315" i="1"/>
  <c r="P315" i="1"/>
  <c r="K316" i="1"/>
  <c r="P316" i="1"/>
  <c r="K317" i="1"/>
  <c r="P317" i="1"/>
  <c r="K318" i="1"/>
  <c r="P318" i="1"/>
  <c r="K319" i="1"/>
  <c r="P319" i="1"/>
  <c r="K320" i="1"/>
  <c r="K321" i="1"/>
  <c r="P321" i="1"/>
  <c r="K322" i="1"/>
  <c r="P322" i="1"/>
  <c r="K323" i="1"/>
  <c r="K324" i="1"/>
  <c r="P324" i="1"/>
  <c r="K325" i="1"/>
  <c r="P325" i="1"/>
  <c r="K326" i="1"/>
  <c r="P326" i="1"/>
  <c r="K327" i="1"/>
  <c r="P327" i="1"/>
  <c r="K328" i="1"/>
  <c r="P328" i="1"/>
  <c r="K329" i="1"/>
  <c r="P329" i="1"/>
  <c r="K330" i="1"/>
  <c r="P330" i="1"/>
  <c r="K331" i="1"/>
  <c r="P331" i="1"/>
  <c r="K332" i="1"/>
  <c r="P332" i="1"/>
  <c r="K333" i="1"/>
  <c r="P333" i="1"/>
  <c r="K334" i="1"/>
  <c r="P334" i="1"/>
  <c r="K335" i="1"/>
  <c r="P335" i="1"/>
  <c r="K336" i="1"/>
  <c r="P336" i="1"/>
  <c r="K337" i="1"/>
  <c r="P337" i="1"/>
  <c r="K338" i="1"/>
  <c r="P338" i="1"/>
  <c r="K339" i="1"/>
  <c r="K340" i="1"/>
  <c r="P340" i="1"/>
  <c r="K341" i="1"/>
  <c r="P341" i="1"/>
  <c r="K342" i="1"/>
  <c r="P342" i="1"/>
  <c r="K343" i="1"/>
  <c r="P343" i="1"/>
  <c r="K344" i="1"/>
  <c r="P344" i="1"/>
  <c r="K345" i="1"/>
  <c r="P345" i="1"/>
  <c r="K346" i="1"/>
  <c r="P346" i="1"/>
  <c r="K347" i="1"/>
  <c r="P347" i="1"/>
  <c r="K348" i="1"/>
  <c r="P348" i="1"/>
  <c r="K349" i="1"/>
  <c r="P349" i="1"/>
  <c r="K350" i="1"/>
  <c r="P350" i="1"/>
  <c r="K351" i="1"/>
  <c r="P351" i="1"/>
  <c r="K352" i="1"/>
  <c r="P352" i="1"/>
  <c r="K353" i="1"/>
  <c r="K354" i="1"/>
  <c r="P354" i="1"/>
  <c r="K355" i="1"/>
  <c r="P355" i="1"/>
  <c r="K356" i="1"/>
  <c r="K357" i="1"/>
  <c r="P357" i="1"/>
  <c r="K358" i="1"/>
  <c r="P358" i="1"/>
  <c r="K359" i="1"/>
  <c r="P359" i="1"/>
  <c r="K360" i="1"/>
  <c r="P360" i="1"/>
  <c r="K361" i="1"/>
  <c r="P361" i="1"/>
  <c r="K362" i="1"/>
  <c r="P362" i="1"/>
  <c r="K363" i="1"/>
  <c r="P363" i="1"/>
  <c r="K364" i="1"/>
  <c r="P364" i="1"/>
  <c r="K365" i="1"/>
  <c r="P365" i="1"/>
  <c r="K366" i="1"/>
  <c r="K367" i="1"/>
  <c r="P367" i="1"/>
  <c r="K368" i="1"/>
  <c r="P368" i="1"/>
  <c r="K369" i="1"/>
  <c r="P369" i="1"/>
  <c r="K370" i="1"/>
  <c r="P370" i="1"/>
  <c r="K371" i="1"/>
  <c r="P371" i="1"/>
  <c r="K372" i="1"/>
  <c r="P372" i="1"/>
  <c r="K373" i="1"/>
  <c r="P373" i="1"/>
  <c r="K374" i="1"/>
  <c r="P374" i="1"/>
  <c r="K375" i="1"/>
  <c r="K376" i="1"/>
  <c r="P376" i="1"/>
  <c r="K377" i="1"/>
  <c r="P377" i="1"/>
  <c r="K378" i="1"/>
  <c r="K379" i="1"/>
  <c r="K380" i="1"/>
  <c r="K381" i="1"/>
  <c r="K382" i="1"/>
  <c r="P382" i="1"/>
  <c r="K383" i="1"/>
  <c r="K384" i="1"/>
  <c r="P384" i="1"/>
  <c r="K385" i="1"/>
  <c r="K386" i="1"/>
  <c r="K387" i="1"/>
  <c r="K388" i="1"/>
  <c r="P388" i="1"/>
  <c r="K389" i="1"/>
  <c r="P389" i="1"/>
  <c r="K390" i="1"/>
  <c r="K391" i="1"/>
  <c r="P391" i="1"/>
  <c r="K392" i="1"/>
  <c r="P392" i="1"/>
  <c r="K393" i="1"/>
  <c r="K394" i="1"/>
  <c r="P394" i="1"/>
  <c r="K395" i="1"/>
  <c r="P395" i="1"/>
  <c r="K396" i="1"/>
  <c r="K397" i="1"/>
  <c r="K398" i="1"/>
  <c r="K399" i="1"/>
  <c r="P399" i="1"/>
  <c r="K400" i="1"/>
  <c r="P400" i="1"/>
  <c r="K401" i="1"/>
  <c r="P401" i="1"/>
  <c r="K402" i="1"/>
  <c r="P402" i="1"/>
  <c r="K403" i="1"/>
  <c r="K404" i="1"/>
  <c r="K405" i="1"/>
  <c r="K406" i="1"/>
  <c r="P406" i="1"/>
  <c r="K407" i="1"/>
  <c r="P407" i="1"/>
  <c r="K408" i="1"/>
  <c r="P408" i="1"/>
  <c r="K409" i="1"/>
  <c r="P409" i="1"/>
  <c r="K410" i="1"/>
  <c r="P410" i="1"/>
  <c r="K411" i="1"/>
  <c r="K412" i="1"/>
  <c r="K413" i="1"/>
  <c r="P413" i="1"/>
  <c r="K414" i="1"/>
  <c r="P414" i="1"/>
  <c r="K415" i="1"/>
  <c r="P415" i="1"/>
  <c r="K416" i="1"/>
  <c r="P416" i="1"/>
  <c r="K417" i="1"/>
  <c r="K418" i="1"/>
  <c r="P418" i="1"/>
  <c r="K419" i="1"/>
  <c r="P419" i="1"/>
  <c r="K420" i="1"/>
  <c r="P420" i="1"/>
  <c r="K421" i="1"/>
  <c r="P421" i="1"/>
  <c r="K422" i="1"/>
  <c r="P422" i="1"/>
  <c r="K423" i="1"/>
  <c r="K424" i="1"/>
  <c r="P424" i="1"/>
  <c r="K425" i="1"/>
  <c r="P425" i="1"/>
</calcChain>
</file>

<file path=xl/sharedStrings.xml><?xml version="1.0" encoding="utf-8"?>
<sst xmlns="http://schemas.openxmlformats.org/spreadsheetml/2006/main" count="6497" uniqueCount="3368">
  <si>
    <t>Pkid</t>
  </si>
  <si>
    <t>Email</t>
  </si>
  <si>
    <t>Password</t>
  </si>
  <si>
    <t>FirstName</t>
  </si>
  <si>
    <t>LastName</t>
  </si>
  <si>
    <t>isMale</t>
  </si>
  <si>
    <t>dob</t>
  </si>
  <si>
    <t>CountryId</t>
  </si>
  <si>
    <t>StateId</t>
  </si>
  <si>
    <t>CityId</t>
  </si>
  <si>
    <t>Mobile</t>
  </si>
  <si>
    <t>MaritalStatus</t>
  </si>
  <si>
    <t>Height</t>
  </si>
  <si>
    <t>Gotra</t>
  </si>
  <si>
    <t>Description</t>
  </si>
  <si>
    <t>alternateNo</t>
  </si>
  <si>
    <t>FatherName</t>
  </si>
  <si>
    <t>Address</t>
  </si>
  <si>
    <t>PartnerAge</t>
  </si>
  <si>
    <t>PartnerMaritalStatus</t>
  </si>
  <si>
    <t>PartnerHeightFrom</t>
  </si>
  <si>
    <t>PartnerHeightTo</t>
  </si>
  <si>
    <t>UploadedID</t>
  </si>
  <si>
    <t>UploadedAddressProof</t>
  </si>
  <si>
    <t>DateOfJoin</t>
  </si>
  <si>
    <t>IsEmailApproved</t>
  </si>
  <si>
    <t>IsDocumentUploaded</t>
  </si>
  <si>
    <t>IsDocumentApproved</t>
  </si>
  <si>
    <t>FinalApprovalStatus</t>
  </si>
  <si>
    <t>LastLoginDateTime</t>
  </si>
  <si>
    <t>ProfileViewed</t>
  </si>
  <si>
    <t>jklimbani@gmail.com</t>
  </si>
  <si>
    <t>Limban1980i</t>
  </si>
  <si>
    <t>Jignesh</t>
  </si>
  <si>
    <t>Limbani</t>
  </si>
  <si>
    <t>Maharastra</t>
  </si>
  <si>
    <t>Mumbai</t>
  </si>
  <si>
    <t>Divorced</t>
  </si>
  <si>
    <t>Interests: Religious History and Literature.   Hobbies: Anthropology and Analytical thinking.</t>
  </si>
  <si>
    <t>Karamshi</t>
  </si>
  <si>
    <t>6, New Vandana CHS, Agra Road, Kalyan (W)</t>
  </si>
  <si>
    <t>Business</t>
  </si>
  <si>
    <t>NULL</t>
  </si>
  <si>
    <t>25-35</t>
  </si>
  <si>
    <t>Never Married,Divorced,Widowed,Awaiting Divorce,Annulled</t>
  </si>
  <si>
    <t>No</t>
  </si>
  <si>
    <t>image/20141207_06325057.jpg</t>
  </si>
  <si>
    <t>image/20141207_06361623.jpg</t>
  </si>
  <si>
    <t>-Select-</t>
  </si>
  <si>
    <t>snehapatel.jgd@gmail.com</t>
  </si>
  <si>
    <t>bhavin27680</t>
  </si>
  <si>
    <t>Niraj</t>
  </si>
  <si>
    <t>Patel</t>
  </si>
  <si>
    <t>Loves music, family person</t>
  </si>
  <si>
    <t>+91-</t>
  </si>
  <si>
    <t>Laxmikant wadia</t>
  </si>
  <si>
    <t>101 b wing shubharabhm complex plot no 19 sec 20 kharghar navi mumbai</t>
  </si>
  <si>
    <t>22-26</t>
  </si>
  <si>
    <t>Never Married</t>
  </si>
  <si>
    <t>dayanipankaj@gmail.com</t>
  </si>
  <si>
    <t>pankajdayani1</t>
  </si>
  <si>
    <t>Pankaj</t>
  </si>
  <si>
    <t>Dayani</t>
  </si>
  <si>
    <t>Gujrat</t>
  </si>
  <si>
    <t>Ahmedabad</t>
  </si>
  <si>
    <t>hobbies is play cricket</t>
  </si>
  <si>
    <t>Ramnik Bhai</t>
  </si>
  <si>
    <t>Dhavda mota ta:- Nakhatrana dist:- Kutch</t>
  </si>
  <si>
    <t>18-18</t>
  </si>
  <si>
    <t>hareshbhavani_hyd@yahoo.com</t>
  </si>
  <si>
    <t>haresh</t>
  </si>
  <si>
    <t>patel</t>
  </si>
  <si>
    <t>Madhya Pradesh</t>
  </si>
  <si>
    <t>Bhopal</t>
  </si>
  <si>
    <t>I am cool and I loved my famlly..</t>
  </si>
  <si>
    <t>babubhai</t>
  </si>
  <si>
    <t>no</t>
  </si>
  <si>
    <t>25-25</t>
  </si>
  <si>
    <t>image/20170807_04521425.jpg</t>
  </si>
  <si>
    <t>image/20170807_04522449.jpg</t>
  </si>
  <si>
    <t>artipokar88@gmail.com</t>
  </si>
  <si>
    <t>artipokar123</t>
  </si>
  <si>
    <t>Arti</t>
  </si>
  <si>
    <t>Pokar</t>
  </si>
  <si>
    <t>I enjoy listening music and cooking</t>
  </si>
  <si>
    <t>Pravinbhai Pokar</t>
  </si>
  <si>
    <t>303, Paragji-Sundarji Building, near Police chowki, N S Road, Mulund West, Mumbai</t>
  </si>
  <si>
    <t>27-30</t>
  </si>
  <si>
    <t>image/20150102_10300976.jpg</t>
  </si>
  <si>
    <t>image/20150102_10302635.jpg</t>
  </si>
  <si>
    <t>kamlesh1707patel@gmail.com</t>
  </si>
  <si>
    <t>qwerty123</t>
  </si>
  <si>
    <t>kamleshkumar P</t>
  </si>
  <si>
    <t>Gujarat</t>
  </si>
  <si>
    <t>Surat</t>
  </si>
  <si>
    <t>I am a very simple, caring, talented, understanding, trustworthy and  kind hearted human being. I come from an upper middle class family.  The most important thing in my life is religious believes, moral values &amp; respect for elders. I am modern thinker but also believe in good values given by our ancestors.  I love cricket, going on trips with friends, listening to classical music &amp; watching latest movies. I believe in the motto ‘Live and let live’.</t>
  </si>
  <si>
    <t>Praveen Gopal Limbani</t>
  </si>
  <si>
    <t>49, akshar raw house, near BAPS mandir, amroli, Surat</t>
  </si>
  <si>
    <t>18-32</t>
  </si>
  <si>
    <t>Never Married,Divorced,Widowed</t>
  </si>
  <si>
    <t>image/20150209_22033339.jpg</t>
  </si>
  <si>
    <t>image/20150210_20012813.jpg</t>
  </si>
  <si>
    <t>shri.bharatmpatel@gmail.com</t>
  </si>
  <si>
    <t>bharat28121954</t>
  </si>
  <si>
    <t>Trupti</t>
  </si>
  <si>
    <t>Chabhaiya</t>
  </si>
  <si>
    <t>Dhule</t>
  </si>
  <si>
    <t>I am friendly person. I like visiting beautiful places and watching movies.</t>
  </si>
  <si>
    <t>Bharat</t>
  </si>
  <si>
    <t>97, nateshwar society, wakharkar nagar,dhule.</t>
  </si>
  <si>
    <t>image/20150214_19414925.jpg</t>
  </si>
  <si>
    <t>image/20150214_19415786.jpg</t>
  </si>
  <si>
    <t>hiteshpatel255@ymail.com</t>
  </si>
  <si>
    <t>9737765511patel</t>
  </si>
  <si>
    <t>hitesh</t>
  </si>
  <si>
    <t>Barodra</t>
  </si>
  <si>
    <t>Jay jalaram saw mill rajplpla</t>
  </si>
  <si>
    <t>Hindi movie  Hindi song old   New</t>
  </si>
  <si>
    <t>mavji bhai</t>
  </si>
  <si>
    <t>22-22</t>
  </si>
  <si>
    <t>image/20150216_05460601.jpg</t>
  </si>
  <si>
    <t>image/20150216_05462764.jpg</t>
  </si>
  <si>
    <t>vimaldholu27@gmail.com</t>
  </si>
  <si>
    <t xml:space="preserve">vimal </t>
  </si>
  <si>
    <t>dholu</t>
  </si>
  <si>
    <t>Karnataka</t>
  </si>
  <si>
    <t>Bangalore</t>
  </si>
  <si>
    <t>watching movies , sports</t>
  </si>
  <si>
    <t>dhirajlal dholu</t>
  </si>
  <si>
    <t>1-118 , ramani sherry  vithon - 370675 tal- nakhatrana dist- kutch</t>
  </si>
  <si>
    <t>20-24</t>
  </si>
  <si>
    <t>image/20150216_051657334.jpg</t>
  </si>
  <si>
    <t>image/20150216_051657323.jpg</t>
  </si>
  <si>
    <t>mileshpatel13@gmail.com</t>
  </si>
  <si>
    <t>8goforit3</t>
  </si>
  <si>
    <t>milesh</t>
  </si>
  <si>
    <t>Im simple &amp; positive man, music, dancing, acting, hosting, pc work,make new frnds.</t>
  </si>
  <si>
    <t>valjibhai</t>
  </si>
  <si>
    <t>(1) Sherpurakampa, taluka-Dholka, Dist.-Ahmedabad  (2) KKPS ODHAV SAMAJVADI, NEAR JAIN DERASAR, B/H. MORLIDHAR SOC., CHHOTALAL CHAL, ODHAV, AHMEDABAD</t>
  </si>
  <si>
    <t>23-29</t>
  </si>
  <si>
    <t>Never Married,Divorced,Widowed,Awaiting Divorce</t>
  </si>
  <si>
    <t>image/20150216_22332387.jpg</t>
  </si>
  <si>
    <t>image/20150216_22333909.jpg</t>
  </si>
  <si>
    <t>naimesh.uniworldedusoft@gmail.com</t>
  </si>
  <si>
    <t>kalariya123</t>
  </si>
  <si>
    <t>Naimesh</t>
  </si>
  <si>
    <t>Kalariya</t>
  </si>
  <si>
    <t>Learn Technology, Traveling &amp; Reading some books</t>
  </si>
  <si>
    <t>Tulsidas</t>
  </si>
  <si>
    <t>14, Ranjitpura, khadak Navi Vasahat, At-Kharod, Ta-virpur, Diast-Kheda</t>
  </si>
  <si>
    <t>25-27</t>
  </si>
  <si>
    <t>image/20150402_01145716.jpg</t>
  </si>
  <si>
    <t>image/20150402_01152545.jpg</t>
  </si>
  <si>
    <t>Deep7562@gmail.com</t>
  </si>
  <si>
    <t>VIJAY9823</t>
  </si>
  <si>
    <t>Deepak</t>
  </si>
  <si>
    <t>Vaghdiya</t>
  </si>
  <si>
    <t>Malegaon</t>
  </si>
  <si>
    <t>A watch Movies, I like Cricket</t>
  </si>
  <si>
    <t>Shankar bhai</t>
  </si>
  <si>
    <t>Durga Niwas Pophale Nagar Near Jain Patra DepoSoygaon MalegaonTal:-MalegaonDist:- Nashik</t>
  </si>
  <si>
    <t>23-26</t>
  </si>
  <si>
    <t>image/20150401_02531283.jpg</t>
  </si>
  <si>
    <t>image/20150401_02590892.jpg</t>
  </si>
  <si>
    <t>umiyamatrimony@gmail.com</t>
  </si>
  <si>
    <t>abc12345</t>
  </si>
  <si>
    <t>Mahak</t>
  </si>
  <si>
    <t>Indore</t>
  </si>
  <si>
    <t>simple n understanding</t>
  </si>
  <si>
    <t>dana bhai patel</t>
  </si>
  <si>
    <t>surya timber mart245, G.N.T marketDhar RoadIndoreM.P</t>
  </si>
  <si>
    <t>22-25</t>
  </si>
  <si>
    <t>image/20150218_032732864.jpg</t>
  </si>
  <si>
    <t>image/20150218_032732863.jpg</t>
  </si>
  <si>
    <t>pavanindriya@gmail.com</t>
  </si>
  <si>
    <t>pavan2112</t>
  </si>
  <si>
    <t>pavan</t>
  </si>
  <si>
    <t>patidar</t>
  </si>
  <si>
    <t>MHYUH</t>
  </si>
  <si>
    <t>MUHY</t>
  </si>
  <si>
    <t>NO</t>
  </si>
  <si>
    <t>MAHESH</t>
  </si>
  <si>
    <t>12 MUYA</t>
  </si>
  <si>
    <t>image/20150218_215212474.jpg</t>
  </si>
  <si>
    <t>image/20150218_215212473.jpg</t>
  </si>
  <si>
    <t>umeshpatel559@gmail.com</t>
  </si>
  <si>
    <t>umesh559</t>
  </si>
  <si>
    <t>Umesh</t>
  </si>
  <si>
    <t>Raigad</t>
  </si>
  <si>
    <t>Joy full person</t>
  </si>
  <si>
    <t>Keshavlal</t>
  </si>
  <si>
    <t>Gopal wood industries,At/post-bhoste,tal-Shrivardhan Raigad 402110</t>
  </si>
  <si>
    <t>22-29</t>
  </si>
  <si>
    <t>image/20150223_10514381.jpg</t>
  </si>
  <si>
    <t>image/20150223_10562172.jpg</t>
  </si>
  <si>
    <t>kalpesh7up@gmail.com</t>
  </si>
  <si>
    <t>kalpesh9960</t>
  </si>
  <si>
    <t>Hitesh</t>
  </si>
  <si>
    <t>Solapur</t>
  </si>
  <si>
    <t>Electronic Gadget</t>
  </si>
  <si>
    <t>Dayalal</t>
  </si>
  <si>
    <t>Near S Stand, Shree Krishna sawmill, KurduwadiTal- Madha Dist- Solapur. Pin-413208</t>
  </si>
  <si>
    <t>26-36</t>
  </si>
  <si>
    <t>image/20150327_05271396.jpg</t>
  </si>
  <si>
    <t>image/20150306_21171960.jpg</t>
  </si>
  <si>
    <t>piyushrudani13@gmail.com</t>
  </si>
  <si>
    <t>piyushrudani</t>
  </si>
  <si>
    <t>Piyush</t>
  </si>
  <si>
    <t>Rudani</t>
  </si>
  <si>
    <t>Pune</t>
  </si>
  <si>
    <t>I'm a boy with caring and loving nature, peaceful mind, likes to have fun. Cool with nature and likes to make people happy(specially my family members). Respect elders and believes in God.</t>
  </si>
  <si>
    <t>Jayendra Rudani also knwn as Maganbhai</t>
  </si>
  <si>
    <t>sr no.6/1/4, flat no.5, Jalaram niwas, near juna jakat naka, chinchwad, pune-33</t>
  </si>
  <si>
    <t>21-26</t>
  </si>
  <si>
    <t>image/20150604_04412206.jpg</t>
  </si>
  <si>
    <t>image/20150531_10562860.jpg</t>
  </si>
  <si>
    <t>amrut500@gmail.com</t>
  </si>
  <si>
    <t>purvi9323070633</t>
  </si>
  <si>
    <t>Purvi</t>
  </si>
  <si>
    <t>Music, travelling, dancing, cooking</t>
  </si>
  <si>
    <t>Amrut Pokar</t>
  </si>
  <si>
    <t>500, Lily wing, Flower Valley, Khadakpada, Kalyan(W)</t>
  </si>
  <si>
    <t>24-30</t>
  </si>
  <si>
    <t>Never Married, Divorced , Awaiting Divorce, Widowed, Annulled</t>
  </si>
  <si>
    <t>image/20150305_23513934.jpg</t>
  </si>
  <si>
    <t>image/20150305_23531005.jpg</t>
  </si>
  <si>
    <t>sankhalahitesh90@gmail.com</t>
  </si>
  <si>
    <t>hiteshpatel90</t>
  </si>
  <si>
    <t>Sankhala</t>
  </si>
  <si>
    <t>i am a simple peson</t>
  </si>
  <si>
    <t>Dahyalal devji sankhala</t>
  </si>
  <si>
    <t>2129/2131 harsh banglows, dindoli kharvasha main road, dindoli, surat</t>
  </si>
  <si>
    <t>20-20</t>
  </si>
  <si>
    <t>image/20150306_224310414.jpg</t>
  </si>
  <si>
    <t>image/20150306_224310393.jpg</t>
  </si>
  <si>
    <t>mukundbhaipatel6@gmail.com</t>
  </si>
  <si>
    <t>mukundpatel68</t>
  </si>
  <si>
    <t xml:space="preserve">Mayur </t>
  </si>
  <si>
    <t>Nakrani</t>
  </si>
  <si>
    <t>Naroda Amdavad</t>
  </si>
  <si>
    <t>reading, Photography and creation on computer, Travelling..</t>
  </si>
  <si>
    <t>Mukundbhai Nakrani</t>
  </si>
  <si>
    <t>C-4, Sanket flates. NR. Vrujbhumi soc. opp- Emrald banquet. galaxy road. Naroda- Amdavad. 382330</t>
  </si>
  <si>
    <t>21-23</t>
  </si>
  <si>
    <t>image/20151211_01483936.jpg</t>
  </si>
  <si>
    <t>image/20151211_01472813.jpg</t>
  </si>
  <si>
    <t>bhavaniashwin60@gmail.com</t>
  </si>
  <si>
    <t>PATELASHWIN</t>
  </si>
  <si>
    <t>Ashwin</t>
  </si>
  <si>
    <t>Bhavani</t>
  </si>
  <si>
    <t>gujrat</t>
  </si>
  <si>
    <t>borsad</t>
  </si>
  <si>
    <t>I'm simple caring boy</t>
  </si>
  <si>
    <t>Dharamshi bhavani</t>
  </si>
  <si>
    <t>506/GIDC...vasna(borsad)sree sharda industry</t>
  </si>
  <si>
    <t>22-30</t>
  </si>
  <si>
    <t>Never Married,Divorced,Awaiting Divorce</t>
  </si>
  <si>
    <t>image/20150619_07413676.jpg</t>
  </si>
  <si>
    <t>image/20150619_07452498.jpg</t>
  </si>
  <si>
    <t>pcpatel456@gmail.com</t>
  </si>
  <si>
    <t>abcd1234</t>
  </si>
  <si>
    <t>PRAKASH</t>
  </si>
  <si>
    <t>PATEL</t>
  </si>
  <si>
    <t>Kathlal</t>
  </si>
  <si>
    <t>I AM SIMPLE PERSON.I LIKE TO LIVE SIMPLICITY WITH OTHER.I AM NOT A SPORT MAN BUT SOME TIMES I PLAY CRICKET ,VOLLEYBALL ETC.</t>
  </si>
  <si>
    <t>CHANDUBHAI</t>
  </si>
  <si>
    <t>AT-RAMPURALAT,PO-KATHANATA-KATHLAL,DI-KHEDAGUJARAT-387640</t>
  </si>
  <si>
    <t>21-30</t>
  </si>
  <si>
    <t>image/20150317_04365042.jpg</t>
  </si>
  <si>
    <t>image/20150317_04375527.jpg</t>
  </si>
  <si>
    <t>chiragpatel99130@gmail.com</t>
  </si>
  <si>
    <t>chirag</t>
  </si>
  <si>
    <t>chhabhaiya</t>
  </si>
  <si>
    <t>Playing games</t>
  </si>
  <si>
    <t>Pravinbhai</t>
  </si>
  <si>
    <t>B1 Gopi valabha apartment modasa</t>
  </si>
  <si>
    <t>18-25</t>
  </si>
  <si>
    <t>image/20150318_214701494.jpg</t>
  </si>
  <si>
    <t>image/20150318_214701473.jpg</t>
  </si>
  <si>
    <t>Hitesh.c.patel24@gmail.com</t>
  </si>
  <si>
    <t>hiteshmanani5</t>
  </si>
  <si>
    <t>manani</t>
  </si>
  <si>
    <t>Tumkur</t>
  </si>
  <si>
    <t>I like reading, making good friends</t>
  </si>
  <si>
    <t>chhaganlal</t>
  </si>
  <si>
    <t>Bhagyalaxmi trading, n.h. 206 ,  gubbi road, bheemsandra, tumkur</t>
  </si>
  <si>
    <t>22-28</t>
  </si>
  <si>
    <t>ahmedabad</t>
  </si>
  <si>
    <t>image/20150321_01295327.jpg</t>
  </si>
  <si>
    <t>image/20150321_01302963.jpg</t>
  </si>
  <si>
    <t>gunjanpatel513@gmail.com</t>
  </si>
  <si>
    <t>gudchi123</t>
  </si>
  <si>
    <t>Gunjan</t>
  </si>
  <si>
    <t>Hi!!! First of all, Thank you for looking into my profile.. Here I am!!  My name is Gunjan Patel. Friends calls me Guddu as its simple and cool. I Have completed Post Graduate Diploma in Human Resource Management. To say a few more words about me, I am well educated, very well behaved and matured yet fun loving and outgoing person. Additionally, I love travelling, sight seeing, watching movies. I also like listening to the music and Dance as well ( Esp. Garba). To stay fit and healthy I run and walk sometimes and I am very friendly, social, generous. I love and respect my family and friends.   I shall give the same respect and love to the family and friends of the person I am going to marry with. I am looking for an intelligent, smart, and fun loving person who can understand me and my values. A person who loves me, cares for me and my family and in return he will have a surety of the same qualities from me.   Thank you for looking my profile!!!</t>
  </si>
  <si>
    <t>Arjunbhai Patel</t>
  </si>
  <si>
    <t>15 Maharshi Arvind Soc, adajan, surat</t>
  </si>
  <si>
    <t>27-32</t>
  </si>
  <si>
    <t>image/20150412_00294639.jpg</t>
  </si>
  <si>
    <t>vruti_pethani19@yahoo.com</t>
  </si>
  <si>
    <t>chrom121pro..</t>
  </si>
  <si>
    <t>vrutika</t>
  </si>
  <si>
    <t>I am simplistic, open minded, creative and fun loving person. Reading, listening music, dance, travelling with family, creative writing are my hobbies and interest.</t>
  </si>
  <si>
    <t>Narsi Patel</t>
  </si>
  <si>
    <t>1 A-J Scheme No. 71, Near Gumasta Nagar Indore</t>
  </si>
  <si>
    <t>26-28</t>
  </si>
  <si>
    <t>image/20150328_23471816.jpg</t>
  </si>
  <si>
    <t>image/20150328_23474758.jpg</t>
  </si>
  <si>
    <t>harrypatel044@gmail.com</t>
  </si>
  <si>
    <t>hardikpatel44</t>
  </si>
  <si>
    <t>Namrata</t>
  </si>
  <si>
    <t>BHUJ</t>
  </si>
  <si>
    <t>I know what i am and what i am not.</t>
  </si>
  <si>
    <t>Jayantilal</t>
  </si>
  <si>
    <t>Valji Bhai</t>
  </si>
  <si>
    <t>60/B,Jadavji Nagar,College Road</t>
  </si>
  <si>
    <t>image/20150802_00075187.jpg</t>
  </si>
  <si>
    <t>image/20150802_00081412.jpg</t>
  </si>
  <si>
    <t>patelvir17@gmail.com</t>
  </si>
  <si>
    <t>pokarvir1728</t>
  </si>
  <si>
    <t xml:space="preserve">VIRAL </t>
  </si>
  <si>
    <t>I AM QUITE SIMPLE  WITH POSITIVE ATTITUDE  ; MY HOBBIES ARE TO WRITE  SHORT STORIES, LISTEN TO MUSIC ; AND TO  PLAY GAMES</t>
  </si>
  <si>
    <t>late. NARSHI JIVRAJ PATEL</t>
  </si>
  <si>
    <t>371,Kap kaneri , satyanarayan enterprises, beside gore hospital , near kalyan naka , Bhiwandi</t>
  </si>
  <si>
    <t>21-25</t>
  </si>
  <si>
    <t>image/20150330_07295326.jpg</t>
  </si>
  <si>
    <t>image/20150330_07300969.jpg</t>
  </si>
  <si>
    <t>dipesh_rudani@yahoo.co.in</t>
  </si>
  <si>
    <t>ahipr2646g</t>
  </si>
  <si>
    <t>DIPESH</t>
  </si>
  <si>
    <t>RUDANI</t>
  </si>
  <si>
    <t>PARTNERSHIP WITH NARESH PATEL (CA) IN N. P. PATEL &amp; ASSOCIATES.</t>
  </si>
  <si>
    <t>VALJI DANA RUDANI</t>
  </si>
  <si>
    <t>A-703, SHIVAM COMPLEX, OPP. FATIMA SCHOOL, OPP. BHARAT GAS GODOWN, BELAVALI, BADLAPUR WEST - 421 503</t>
  </si>
  <si>
    <t>20-30</t>
  </si>
  <si>
    <t>image/20151130_23565727.jpg</t>
  </si>
  <si>
    <t>image/20151130_23571002.jpg</t>
  </si>
  <si>
    <t>rushi26@gmail.com</t>
  </si>
  <si>
    <t>saibaba26</t>
  </si>
  <si>
    <t xml:space="preserve">Rushi </t>
  </si>
  <si>
    <t>My son is a fun loving, kind hearted, faithful, religious, caring..too hardworking hates unfaithfulness...etc. love Playing Musical Instruments, Surfing Internet, playing cricket, football.</t>
  </si>
  <si>
    <t>Navin Prabhudas Pokar</t>
  </si>
  <si>
    <t>Rustomjee Athena ‘C’ Wing Flat No 1401,  Near Lodha Paradise, Off Nashik Highway,  Majiwada Thane, West-400601</t>
  </si>
  <si>
    <t>image/20150405_09084723.jpg</t>
  </si>
  <si>
    <t>image/20150403_11352933.jpg</t>
  </si>
  <si>
    <t>rahulpatel120587@gmail.com</t>
  </si>
  <si>
    <t>R12051987</t>
  </si>
  <si>
    <t>Rahul</t>
  </si>
  <si>
    <t>i play cricket , i watch movie .....etc</t>
  </si>
  <si>
    <t>Bharat pokar</t>
  </si>
  <si>
    <t>C/22 , Sudama Complex , Rajaji Road , Mhatre Nager , Dombivali (E)</t>
  </si>
  <si>
    <t>21-27</t>
  </si>
  <si>
    <t>image/20150406_06354299.jpg</t>
  </si>
  <si>
    <t>image/20150406_06513580.jpg</t>
  </si>
  <si>
    <t>vaishali.pokar115@gmail.com</t>
  </si>
  <si>
    <t>ditipokar</t>
  </si>
  <si>
    <t>vaishali</t>
  </si>
  <si>
    <t>pokar</t>
  </si>
  <si>
    <t>LIKE TOWATCH MOVIES N EXPLORE PLACES</t>
  </si>
  <si>
    <t>ANIL SHANTILAL POKAR</t>
  </si>
  <si>
    <t>B/2 TRIMURTI BLDG,ELCHIWALA COMPOUND,M.G.ROAD,GHATKOPAR(WEST),MUMBAI-400086</t>
  </si>
  <si>
    <t>29-35</t>
  </si>
  <si>
    <t>image/20150426_22571088.jpg</t>
  </si>
  <si>
    <t>image/20150426_22572341.jpg</t>
  </si>
  <si>
    <t>kishorpatel24679@gmail.com</t>
  </si>
  <si>
    <t>9978245632abcd</t>
  </si>
  <si>
    <t>Kishor</t>
  </si>
  <si>
    <t>I am  Simple and love to spend my life freely.I love watching movies and listen to music a lot.</t>
  </si>
  <si>
    <t>Ravjibhai Gopalbhai Patel</t>
  </si>
  <si>
    <t>C-9 Vrajnandan Banglow Near Aarohi Villa, Front of Ragulila party Plot, S.P. Ring Road</t>
  </si>
  <si>
    <t>27-34</t>
  </si>
  <si>
    <t>Bhuj</t>
  </si>
  <si>
    <t>image/20150409_072104414.jpg</t>
  </si>
  <si>
    <t>image/20150409_072104403.jpg</t>
  </si>
  <si>
    <t>rasiya821@gmail.com</t>
  </si>
  <si>
    <t>rahul82012</t>
  </si>
  <si>
    <t xml:space="preserve">Rahul </t>
  </si>
  <si>
    <t>Michigan</t>
  </si>
  <si>
    <t>Detroit</t>
  </si>
  <si>
    <t>I am an electronics engineer, pursuing my master from USA. I believe in simple living and high thinking.My area of interest is circuit designing and understand the latest technologies. My hobbies is to watch and playing cricket, travelling, spiritual meditation.</t>
  </si>
  <si>
    <t>Natvarlal</t>
  </si>
  <si>
    <t>Railway station,uttarsanda,nadiad,kheda,387370</t>
  </si>
  <si>
    <t>image/20150413_165953974.jpg</t>
  </si>
  <si>
    <t>image/20150413_165953973.jpg</t>
  </si>
  <si>
    <t>naresh.rudani4all@gmail.com</t>
  </si>
  <si>
    <t>sreeram123</t>
  </si>
  <si>
    <t>Naresh</t>
  </si>
  <si>
    <t>I belong to middle class family. The most important thing in my life is religious believes, moral values &amp; respect for elders. I am modern thinker but also believe in good values given by our ancestors.  I have always been an achiever; be it professional life or sports or any other field in my life.  I would describe myself as someone who is honest, caring, intelligent, hardworking, and ambitious. I have a great sense of humour. I am an easy going person &amp; don’t get easily disturbed by down’s in my life. I also love Travelling, sports, Music e.tc;  I think family as the first priority of my life. I think 2 years down the life I should be happily settled, a lovely soulmate with all the blessings of our parents &amp; relatives.</t>
  </si>
  <si>
    <t>Laljibhai</t>
  </si>
  <si>
    <t>GMDC High School Road, Virani (Moti), Tal. Nakhatrana, Dist. Kutch (Bhuj), Gujarat, India</t>
  </si>
  <si>
    <t>NA</t>
  </si>
  <si>
    <t>20-29</t>
  </si>
  <si>
    <t>image/20150421_16344581.jpg</t>
  </si>
  <si>
    <t>image/20150421_16345447.jpg</t>
  </si>
  <si>
    <t>krunalpatel1018@gmail.com</t>
  </si>
  <si>
    <t>erpatel1018</t>
  </si>
  <si>
    <t>Krunal</t>
  </si>
  <si>
    <t>Baroda</t>
  </si>
  <si>
    <t>My hobbies is playing outdoor and in door game &amp; traveling , listen music, watching movie.</t>
  </si>
  <si>
    <t>Kanubhai</t>
  </si>
  <si>
    <t>At- Bhanthala LatPo-BhanthalaTa-BalasinorDist-Mahisagar, Gujrat</t>
  </si>
  <si>
    <t>image/20180403_03181584.jpg</t>
  </si>
  <si>
    <t>image/20180403_03194232.jpg</t>
  </si>
  <si>
    <t>praveenpatel598@gmail.com</t>
  </si>
  <si>
    <t>praveen123</t>
  </si>
  <si>
    <t>Praveen</t>
  </si>
  <si>
    <t>Gandhidham</t>
  </si>
  <si>
    <t>Gardening/Cooking</t>
  </si>
  <si>
    <t>Chhaganbhai Patel</t>
  </si>
  <si>
    <t>DC-5, Plot no-154, Adipur, Ghandhidham</t>
  </si>
  <si>
    <t>24-31</t>
  </si>
  <si>
    <t>Jabalpur</t>
  </si>
  <si>
    <t>image/20150516_175425114.jpg</t>
  </si>
  <si>
    <t>image/20150516_175425103.jpg</t>
  </si>
  <si>
    <t>kantip970@gmail.com</t>
  </si>
  <si>
    <t>kanti123</t>
  </si>
  <si>
    <t>Kanti</t>
  </si>
  <si>
    <t>create new business &amp; satisfied my client</t>
  </si>
  <si>
    <t>Chhagan Bhai Patel</t>
  </si>
  <si>
    <t>R.NO-408, 4 TH FLOOR, PLOT NO-3,SECTOR-1, OSLO CIRCLE, GANDHIDHAM, KUTCHH,370201</t>
  </si>
  <si>
    <t>22-33</t>
  </si>
  <si>
    <t>image/20150520_04305902.jpg</t>
  </si>
  <si>
    <t>image/20150520_04311370.jpg</t>
  </si>
  <si>
    <t>girish.patel02@yahoo.co.in</t>
  </si>
  <si>
    <t>girish123</t>
  </si>
  <si>
    <t>Girish</t>
  </si>
  <si>
    <t>Mavani</t>
  </si>
  <si>
    <t>Bharuch</t>
  </si>
  <si>
    <t>Chess  &amp; Cricket</t>
  </si>
  <si>
    <t>Dahyabhai</t>
  </si>
  <si>
    <t>Narnarayan Society,Bholav,Bharuch.</t>
  </si>
  <si>
    <t>image/20150523_22015364.jpg</t>
  </si>
  <si>
    <t>image/20150523_21595738.jpg</t>
  </si>
  <si>
    <t>pokar_manthan@yahoo.com</t>
  </si>
  <si>
    <t>krisha000000</t>
  </si>
  <si>
    <t>manthan</t>
  </si>
  <si>
    <t>Well educated, Mature Person, peaceful &amp; very good nature / reading and listening to music</t>
  </si>
  <si>
    <t>suresh</t>
  </si>
  <si>
    <t>3, AMRUTBEN CHAWL NO.1,, NEAR CRIME BRANCH,, L B S MARG,, OPP. SWASTIK HARDWARE, GHATKOPAR, MUMBAI SUBURBAN-400086, MUMBAI, MAHARASHTRA</t>
  </si>
  <si>
    <t>20-26</t>
  </si>
  <si>
    <t>image/20150608_10453773.jpg</t>
  </si>
  <si>
    <t>image/20150610_23293368.jpg</t>
  </si>
  <si>
    <t>tarunpatel578@gmail.com</t>
  </si>
  <si>
    <t>tarunpatel1</t>
  </si>
  <si>
    <t>Tarun</t>
  </si>
  <si>
    <t>Chhabhaiya</t>
  </si>
  <si>
    <t>Orissa</t>
  </si>
  <si>
    <t>Sambalpur</t>
  </si>
  <si>
    <t>hello there,i am tarun, my family and i have been residing in Bargarh for 10 years now,my father and i operate our electrical store whilst my elder brother handles our manufacturing section (plastic). i am hardworking, open minded,down to earth. my hobbies include cricket,travelling,surfing over the net,singing, watching movies and the list goes on.kindly feel free to contact me for further info.</t>
  </si>
  <si>
    <t>Shyamjibhai Chhabhaiya</t>
  </si>
  <si>
    <t>Milan Bihar, Batli Chok, Near sai multi specialist hospital. Bargarh</t>
  </si>
  <si>
    <t>image/20150531_052732014.jpg</t>
  </si>
  <si>
    <t>image/20150605_21142259.jpg</t>
  </si>
  <si>
    <t>patel.vipul836@hotmail.com</t>
  </si>
  <si>
    <t>123@vipul</t>
  </si>
  <si>
    <t>Vipul</t>
  </si>
  <si>
    <t>I am Interested Coputer Related Study And outdor Game</t>
  </si>
  <si>
    <t>Jagdishbhai</t>
  </si>
  <si>
    <t>AT-Kharikampa, PO- Napda</t>
  </si>
  <si>
    <t>18-24</t>
  </si>
  <si>
    <t>Himmatnagar</t>
  </si>
  <si>
    <t>image/20150625_014106254.jpg</t>
  </si>
  <si>
    <t>image/20150625_014106253.jpg</t>
  </si>
  <si>
    <t>nitinlimbani.463@gmail.com</t>
  </si>
  <si>
    <t>nl384013</t>
  </si>
  <si>
    <t>Nitin</t>
  </si>
  <si>
    <t>Kolhapur</t>
  </si>
  <si>
    <t>I am a simple boy....</t>
  </si>
  <si>
    <t>Harilal valji limbani</t>
  </si>
  <si>
    <t>Yelane (malkapur) Shahuwadi,  Kolhapur Maharashtra-415101</t>
  </si>
  <si>
    <t>20-25</t>
  </si>
  <si>
    <t>image/20150711_043224614.jpg</t>
  </si>
  <si>
    <t>image/20150711_043224593.jpg</t>
  </si>
  <si>
    <t>hitendrapatel1985@gmail.com</t>
  </si>
  <si>
    <t>Nilam</t>
  </si>
  <si>
    <t>Gandhinagar</t>
  </si>
  <si>
    <t>cooking</t>
  </si>
  <si>
    <t>Vinodbhai</t>
  </si>
  <si>
    <t>5'Omkar Residency.Pethapur (Gandhinagar)</t>
  </si>
  <si>
    <t>Never Married,Annulled</t>
  </si>
  <si>
    <t>image/20150715_23405032.jpg</t>
  </si>
  <si>
    <t>image/20150715_23410485.jpg</t>
  </si>
  <si>
    <t>limbanitodharmesh@gmail.com</t>
  </si>
  <si>
    <t>girish9817</t>
  </si>
  <si>
    <t>Dharmesh</t>
  </si>
  <si>
    <t>Jalgaon</t>
  </si>
  <si>
    <t>I love to work and book reading</t>
  </si>
  <si>
    <t>Dineshbhai patel</t>
  </si>
  <si>
    <t>Aurangabad-Jalgaon Road,  post-golegaon , taluka-sillod,  Aurangabad -431112</t>
  </si>
  <si>
    <t>21-24</t>
  </si>
  <si>
    <t>image/20150716_06215583.jpg</t>
  </si>
  <si>
    <t>image/20150716_06222277.jpg</t>
  </si>
  <si>
    <t>patel_deepak08@yahoo.com</t>
  </si>
  <si>
    <t>9408255068d</t>
  </si>
  <si>
    <t xml:space="preserve">Dipak </t>
  </si>
  <si>
    <t xml:space="preserve">Limbani </t>
  </si>
  <si>
    <t>nadiad</t>
  </si>
  <si>
    <t>Hi i...am Deepak patel I am funloving person with passion for my work .I liveing small family with good family values and back ground . And I am looking for a similar personality And a nice wife. ....... Study &amp; work experiance. ....... I have completed my mba in marketing &amp; finance with dueL specilization and thn 1.5 yr doin a job in banking sector and now i am in my own business . Manufacturing unit of wooden pallets and wooden handicraft . That's it for my introduction if u know more about me plz leav a msg or connect.......</t>
  </si>
  <si>
    <t>Rameshbhai</t>
  </si>
  <si>
    <t>B-16,Parth nagar society, manjipura road, Nadiad.</t>
  </si>
  <si>
    <t>24-28</t>
  </si>
  <si>
    <t>image/20150717_23283818.jpg</t>
  </si>
  <si>
    <t>image/20150717_23284568.jpg</t>
  </si>
  <si>
    <t>yogee_28@yahoo.com</t>
  </si>
  <si>
    <t>chakudikhushi1</t>
  </si>
  <si>
    <t xml:space="preserve">Sunil </t>
  </si>
  <si>
    <t>Gorani</t>
  </si>
  <si>
    <t>Nagpur</t>
  </si>
  <si>
    <t>I like to travel and explore new places,I am passionate for my profession and love spending time to explore it in and out,Spending time with my family and friends is something I enjoy.</t>
  </si>
  <si>
    <t>Mohanbhai</t>
  </si>
  <si>
    <t>56,Krishna villa,opp Kutchi Visa Bhawan ,A.V.G layout,Nagpur</t>
  </si>
  <si>
    <t>25-31</t>
  </si>
  <si>
    <t>image/20150716_05524679.jpg</t>
  </si>
  <si>
    <t>image/20150716_09133369.jpg</t>
  </si>
  <si>
    <t>pareshpatel074@gmail.com</t>
  </si>
  <si>
    <t>paresg111</t>
  </si>
  <si>
    <t>Paresh P Patel</t>
  </si>
  <si>
    <t>DHOLU</t>
  </si>
  <si>
    <t>Bhusawal</t>
  </si>
  <si>
    <t>i am open minded and simple living guy, believe in karma.</t>
  </si>
  <si>
    <t>Purushottam Narayanbhai Dholu</t>
  </si>
  <si>
    <t>Plot no.10, shenphad wadi, near Sarode hospital,Bhusaval</t>
  </si>
  <si>
    <t>image/20150719_23053581.jpg</t>
  </si>
  <si>
    <t>image/20150719_23054753.jpg</t>
  </si>
  <si>
    <t>arcx.interiors@gmail.com</t>
  </si>
  <si>
    <t>Naina</t>
  </si>
  <si>
    <t>I like playing Basketball and Badminton,Gardening , Cooking nature-lover ,travelling,reading books, movies and listening to music.</t>
  </si>
  <si>
    <t>C-101,Pritam Complex,Sudarshan Chowk,near Harhihar Mandir,Bhandara rd,Nagpur</t>
  </si>
  <si>
    <t>29-33</t>
  </si>
  <si>
    <t>image/20150719_021645224.jpg</t>
  </si>
  <si>
    <t>image/20150719_021645203.jpg</t>
  </si>
  <si>
    <t>maltisengani2304@gmail.com</t>
  </si>
  <si>
    <t>chichu2304</t>
  </si>
  <si>
    <t>bharti</t>
  </si>
  <si>
    <t>Sengani</t>
  </si>
  <si>
    <t>Hi i m.bharti patel i was working in.a CA firm.from last four years in mumbai.my.education.was.in.mumbai only now.we r sifted to surat.i m.a simple.living.girl with.a high thinking.n want boy also.same...simlpe n.shober but should b sharp.by mind.n.shoft.by heart.who understand.the some.one s feelings</t>
  </si>
  <si>
    <t>Ladharam.dhanji bhanji sengani</t>
  </si>
  <si>
    <t>vrjbhumi society 107.tower.no 7..near madhavbaag..surat.</t>
  </si>
  <si>
    <t>32-37</t>
  </si>
  <si>
    <t>image/20150721_07235309.jpg</t>
  </si>
  <si>
    <t>image/20150730_01215915.jpg</t>
  </si>
  <si>
    <t>jainish.bhojani21@yahoo.com</t>
  </si>
  <si>
    <t>Jainish</t>
  </si>
  <si>
    <t>Bhojani</t>
  </si>
  <si>
    <t>Hi I am Jainish Bhojani and i comes from near Himatnagar.And i intersted in Army field and my hobby play Wollyball,Music,And And Running</t>
  </si>
  <si>
    <t>Sureshbhai</t>
  </si>
  <si>
    <t>At/Po:Takhatgadh,Ta:Prantij,Dis:Sabarkantha,Gujarat.Pin383210</t>
  </si>
  <si>
    <t>18-22</t>
  </si>
  <si>
    <t>image/20150725_05134919.jpg</t>
  </si>
  <si>
    <t>image/20150725_05135852.jpg</t>
  </si>
  <si>
    <t>ptsankhla@gmail.com</t>
  </si>
  <si>
    <t>paresh9898</t>
  </si>
  <si>
    <t>Paresh</t>
  </si>
  <si>
    <t>Sankhla</t>
  </si>
  <si>
    <t>Morbi</t>
  </si>
  <si>
    <t>painting.singing.playing cricket. i am a simple man.  i have chosen to live a simple life, I do not like any kind of addiction,i do not eat out at all interested, i choose the house is simple and easy meal .</t>
  </si>
  <si>
    <t>TULSIDAS</t>
  </si>
  <si>
    <t>SAHJANAND BHAVAN, VISHVKARMA SOCIETY, RAVAPAR ROAD MORBI</t>
  </si>
  <si>
    <t>26-35</t>
  </si>
  <si>
    <t>image/20150726_08254934.jpg</t>
  </si>
  <si>
    <t>image/20150726_08261328.jpg</t>
  </si>
  <si>
    <t>vickypatel512@gmail.com</t>
  </si>
  <si>
    <t>bhavesh9665928989</t>
  </si>
  <si>
    <t>Bhavesh</t>
  </si>
  <si>
    <t>Iam fun loving and simple boy...</t>
  </si>
  <si>
    <t>Ratansibhai</t>
  </si>
  <si>
    <t>Near nursinh gym, jatra road, wani</t>
  </si>
  <si>
    <t>image/20150803_00552593.jpg</t>
  </si>
  <si>
    <t>image/20150804_03404227.jpg</t>
  </si>
  <si>
    <t>patel.kaushik786@gmail.com</t>
  </si>
  <si>
    <t>9428834877kaushik</t>
  </si>
  <si>
    <t xml:space="preserve">kaushik </t>
  </si>
  <si>
    <t>makani</t>
  </si>
  <si>
    <t>my hobby is to watch movies , playing cricket , read articles etc and much more.</t>
  </si>
  <si>
    <t>Ishwar bhai s/o devram bhai makani</t>
  </si>
  <si>
    <t>kaushik patel gadhda kampa, post:gadhda,ta:modasa,dist:arravalli,gujrat</t>
  </si>
  <si>
    <t>sejal9992@gmail.com</t>
  </si>
  <si>
    <t>Ganga@2108</t>
  </si>
  <si>
    <t>sandeep</t>
  </si>
  <si>
    <t>watching news  and being self-dependent</t>
  </si>
  <si>
    <t>chandulal kanji patel</t>
  </si>
  <si>
    <t>BTM 2nd stage, Bangalore</t>
  </si>
  <si>
    <t>22-27</t>
  </si>
  <si>
    <t>image/20150820_09353944.jpg</t>
  </si>
  <si>
    <t>image/20150820_09360598.jpg</t>
  </si>
  <si>
    <t>vivek285@gmail.com</t>
  </si>
  <si>
    <t>letme285</t>
  </si>
  <si>
    <t>Vivek</t>
  </si>
  <si>
    <t>Music - playing tabla, listening songs Travel</t>
  </si>
  <si>
    <t>Pravinbhai D Patel</t>
  </si>
  <si>
    <t>24 State Bank Of India Officers Society,Narayan Nagar,Paldi,Gujarat 380007</t>
  </si>
  <si>
    <t>21-29</t>
  </si>
  <si>
    <t>image/20150811_093916474.jpg</t>
  </si>
  <si>
    <t>image/20150811_093916433.jpg</t>
  </si>
  <si>
    <t>piyushpokar17@gmail.com</t>
  </si>
  <si>
    <t>pc9879897147</t>
  </si>
  <si>
    <t>piyush</t>
  </si>
  <si>
    <t>reading , tarveling</t>
  </si>
  <si>
    <t>chandubhai</t>
  </si>
  <si>
    <t>shri hari bunglows, hadiyol road , himmatnagar ,gujarat</t>
  </si>
  <si>
    <t>Never Married,Divorced</t>
  </si>
  <si>
    <t>image/20150817_04463082.jpg</t>
  </si>
  <si>
    <t>image/20150817_04140718.jpg</t>
  </si>
  <si>
    <t>shivang.patel503@gmail.com</t>
  </si>
  <si>
    <t>Shivang007</t>
  </si>
  <si>
    <t>shivang</t>
  </si>
  <si>
    <t>well understanding person</t>
  </si>
  <si>
    <t>dineshbhai patel</t>
  </si>
  <si>
    <t>3,shyamnagar society malpru road,modasa</t>
  </si>
  <si>
    <t>19-22</t>
  </si>
  <si>
    <t>image/20150902_12202361.gif</t>
  </si>
  <si>
    <t>image/20150902_12210083.gif</t>
  </si>
  <si>
    <t>jadavanirajesh@gmail.com</t>
  </si>
  <si>
    <t>RAJESHKUMAR</t>
  </si>
  <si>
    <t>JADAVANI</t>
  </si>
  <si>
    <t>LISTENING OLD SONG</t>
  </si>
  <si>
    <t>JADAVANI MANILAL PREMAJI</t>
  </si>
  <si>
    <t>TO-GHADULIJADAVANI FALIYUTA-LAKHAPATDIST KACHCHH370627</t>
  </si>
  <si>
    <t>21-36</t>
  </si>
  <si>
    <t>image/20150911_090011354.jpg</t>
  </si>
  <si>
    <t>image/20150923_04524051.jpg</t>
  </si>
  <si>
    <t>vikash patel4140@gmail.com</t>
  </si>
  <si>
    <t>vikash</t>
  </si>
  <si>
    <t>tejaspatel2091@gmai.com</t>
  </si>
  <si>
    <t>tejas2091</t>
  </si>
  <si>
    <t>Tejas</t>
  </si>
  <si>
    <t>Rangani</t>
  </si>
  <si>
    <t>Bike Riding, Listening Music, Playing Outdoor Games, etc..</t>
  </si>
  <si>
    <t>Ishwar bhai</t>
  </si>
  <si>
    <t>At. Kheroj kampa, Post.chiboda Ta.Bhiloda Dist. S.K Gujarat.</t>
  </si>
  <si>
    <t>image/20150918_103710424.jpg</t>
  </si>
  <si>
    <t>image/20150918_103710403.jpg</t>
  </si>
  <si>
    <t>patelakash317@gmail.com</t>
  </si>
  <si>
    <t>Jalarambapa04!@</t>
  </si>
  <si>
    <t>Akash</t>
  </si>
  <si>
    <t>Nadiad</t>
  </si>
  <si>
    <t>I</t>
  </si>
  <si>
    <t>Natvarlal Kanjibhai Pokar</t>
  </si>
  <si>
    <t>Uttarsanda</t>
  </si>
  <si>
    <t>20-27</t>
  </si>
  <si>
    <t>image/20160320_21172845.jpg</t>
  </si>
  <si>
    <t>image/20160320_21173720.jpg</t>
  </si>
  <si>
    <t>mikkypatel4396@gmail.com</t>
  </si>
  <si>
    <t>mehul4396</t>
  </si>
  <si>
    <t>MEHUL</t>
  </si>
  <si>
    <t>Born and brought up in joint family. Believe in living life with moral values. Independent, creative, self determined and sporty by nature. Love traveling and exploring new places.</t>
  </si>
  <si>
    <t>VIJAY ARJUNBHAI PATEL</t>
  </si>
  <si>
    <t>Patel Hardware opp. government depo, allapali road, Ballarpur. dist Chandrapur. Maharashtra -442701</t>
  </si>
  <si>
    <t>23-28</t>
  </si>
  <si>
    <t>image/20161218_00541743.jpg</t>
  </si>
  <si>
    <t>image/20161218_00551137.jpg</t>
  </si>
  <si>
    <t>patidarramji@gmail.com</t>
  </si>
  <si>
    <t>karachi1012</t>
  </si>
  <si>
    <t>Chirag</t>
  </si>
  <si>
    <t>Patidar</t>
  </si>
  <si>
    <t>Balaghat</t>
  </si>
  <si>
    <t>I am assisting my father in his trading and share market operations as also property buy/sell which he has started after his retirement. Financially we are sound. Our choice is a simple girl even from poor family and education has no bar. We are only 3 members. My father has retired as Additional Chief Engineer from M.P.State Elecctricity Board (yearly pension 6.40 lakh) and now dealing in property buy/sell and share market investment and I am also involved with his occupation. This way we are earning so much to upkeep well. We all have handsome portfolio containing Land property/Bank deposits/MF/Share stock/Cash/PPF deposits..My 3 elder sisters got married and residing at Ahmedabad(wood Business), Ghatkoper Mumbai(Doctor) and Bangalore(IT proffessional). All of sisters are well settled.</t>
  </si>
  <si>
    <t>Ramji</t>
  </si>
  <si>
    <t>Parivartan, Hanuman Chowk, Balaghat(MP) 481001</t>
  </si>
  <si>
    <t>image/20151016_04300487.jpg</t>
  </si>
  <si>
    <t>image/20151014_01391538.jpg</t>
  </si>
  <si>
    <t>rajesh787patel@gmail.com</t>
  </si>
  <si>
    <t>9408126114r</t>
  </si>
  <si>
    <t>Rajesh</t>
  </si>
  <si>
    <t>Halpani</t>
  </si>
  <si>
    <t>Malpur</t>
  </si>
  <si>
    <t>DANCING .READING. TRAVELING</t>
  </si>
  <si>
    <t>Kantibhai</t>
  </si>
  <si>
    <t>38,shivram park society,    at&amp;po-malpur dist-aravalli</t>
  </si>
  <si>
    <t>image/20151205_23415207.jpg</t>
  </si>
  <si>
    <t>image/20151205_23394180.jpg</t>
  </si>
  <si>
    <t>bigbhavik@gmail.com</t>
  </si>
  <si>
    <t>bhavik1988</t>
  </si>
  <si>
    <t>Bhavik</t>
  </si>
  <si>
    <t>Vasani</t>
  </si>
  <si>
    <t>An over enthusiastic guy with passion of travelling and learning languages . I'm not a great chef but love to do experiments with food, love to cook in free time, just can't live without Movies, Music.   I'm a storyteller, love to read and write stories and poems, always ready to explore new places, long drives and bike rides.</t>
  </si>
  <si>
    <t>Shivdas</t>
  </si>
  <si>
    <t>702,  Building 4I, Phase- II, Mohan Tulsi Vihar, Near Bharat College, Hendrepada, Badlapur west, Badlapur - 421503</t>
  </si>
  <si>
    <t>image/20151101_21492714.jpg</t>
  </si>
  <si>
    <t>image/20151101_21504368.jpg</t>
  </si>
  <si>
    <t xml:space="preserve">amitlimbani121@gmail.com </t>
  </si>
  <si>
    <t xml:space="preserve">Amit </t>
  </si>
  <si>
    <t xml:space="preserve">limbani </t>
  </si>
  <si>
    <t>Enjoy</t>
  </si>
  <si>
    <t>kiranbhai</t>
  </si>
  <si>
    <t>Ambika vijay somill dagala road visnagar</t>
  </si>
  <si>
    <t>image/20151123_05115400.jpg</t>
  </si>
  <si>
    <t>image/20151123_05121061.jpg</t>
  </si>
  <si>
    <t>chintanptl95@gmail.com</t>
  </si>
  <si>
    <t>rashma90</t>
  </si>
  <si>
    <t>chintan</t>
  </si>
  <si>
    <t>traveling &amp; watching movie</t>
  </si>
  <si>
    <t>Vasant Bhai</t>
  </si>
  <si>
    <t>5, Jogeshwari Park Soc, Near Priya Cinema Krishna Nagar</t>
  </si>
  <si>
    <t>23-27</t>
  </si>
  <si>
    <t>image/20160404_02071160.jpg</t>
  </si>
  <si>
    <t>image/20160404_02080562.jpg</t>
  </si>
  <si>
    <t>nitinpatelnitin@yahoo.com</t>
  </si>
  <si>
    <t>chitralekha12345</t>
  </si>
  <si>
    <t>NITIN</t>
  </si>
  <si>
    <t>VALANI</t>
  </si>
  <si>
    <t>Chhattisgarh</t>
  </si>
  <si>
    <t>Raipur</t>
  </si>
  <si>
    <t>I AM OPEN MINDED, WELL EDUCATED &amp; INDEPENDENT PERSON, CURRENTLY LIVING IN CHENNAI. I WORK IN A MNC. I JUST LOVE TO EXPLORE NEW PLACES.  HOBBIES INCLUDE WATCHING MOVIES, TREKKING, TOURS TO HILL STATIONS.</t>
  </si>
  <si>
    <t>JAYANTI BHAI Valani</t>
  </si>
  <si>
    <t>SHREE TRADERS, (Dall Mill ) INDIRA TIMBER MARKET,P O WRS COLONY, BHANPURIRAIPUR</t>
  </si>
  <si>
    <t>image/20151119_10025847.jpg</t>
  </si>
  <si>
    <t>image/20151119_09504411.jpg</t>
  </si>
  <si>
    <t>rimspatel@gmail.com</t>
  </si>
  <si>
    <t>RIMPATEL15</t>
  </si>
  <si>
    <t>RIMPLE</t>
  </si>
  <si>
    <t>DIWANI</t>
  </si>
  <si>
    <t>I am creative and artistic kind of person , good nature , helpful and caring.... i like to read , painting and listing to music....</t>
  </si>
  <si>
    <t>DILIP . DINESH .DIWANI</t>
  </si>
  <si>
    <t>701 neelkanth valley , kolshet road thane west</t>
  </si>
  <si>
    <t>image/20151206_17513469.jpg</t>
  </si>
  <si>
    <t>image/20151206_17514693.jpg</t>
  </si>
  <si>
    <t>tets@test.com</t>
  </si>
  <si>
    <t>test1234</t>
  </si>
  <si>
    <t>first</t>
  </si>
  <si>
    <t>(Special Registration for Girls)</t>
  </si>
  <si>
    <t>state</t>
  </si>
  <si>
    <t>city</t>
  </si>
  <si>
    <t>18-70</t>
  </si>
  <si>
    <t>mitspatidar35@gmail.com</t>
  </si>
  <si>
    <t>palak0956</t>
  </si>
  <si>
    <t>Mitesh</t>
  </si>
  <si>
    <t>Reading Dancing Drawing Drama</t>
  </si>
  <si>
    <t>Dasharathbhai</t>
  </si>
  <si>
    <t>Haribhai</t>
  </si>
  <si>
    <t>51, anant vihar society, sahakari jin road, himatnagar</t>
  </si>
  <si>
    <t>image/20151202_00355406.jpg</t>
  </si>
  <si>
    <t>image/20151201_23553273.jpg</t>
  </si>
  <si>
    <t>urmil.infinity@gmail.com</t>
  </si>
  <si>
    <t>urmil@123</t>
  </si>
  <si>
    <t>Urmil</t>
  </si>
  <si>
    <t>Hello,I have my own Business with name of INFINITY SOLUTION. I am working with many segment under one roof. We are dealing in IT Base Product &amp; Tours n Travels Business. Nature wise I believe in Independent Thought &amp; update my self as per time. There are four Members in my family.Father - Retire Due to physically Disturbance, Mother - Housewife, Sister - Private Tutor with English Medium. My all Family Members are Supportive, Down to Earth, attached with each other and mentally strong. My nature is believe in Today, Enjoy each moment of life in any situation, I never get disappointment or Negative thought in my mind in any situation, I would like to Travel with Friends, Watching Movie, Reading Bio-Graphy of successful Persons. I like Punjabi, South Indian, Chinese, and Gujarati Food. I would like to marry a girl have a quality of confident &amp; clear with her thoughts, independent, loving, caring, and easily mixture with new atmosphere and family members.</t>
  </si>
  <si>
    <t>Naresh Akhaibhai Patel</t>
  </si>
  <si>
    <t>20, Sahajanand Park, Opp Vaibhav Hall, Highway, Isanpur, Ahmedabad- 382443</t>
  </si>
  <si>
    <t>image/20151207_01334817.jpg</t>
  </si>
  <si>
    <t>image/20151207_01335658.jpg</t>
  </si>
  <si>
    <t>vishal1989.rockslife@gmail.com</t>
  </si>
  <si>
    <t>v2191989</t>
  </si>
  <si>
    <t>Vishal</t>
  </si>
  <si>
    <t>I Dont Care About Popularity. I Live in Reality. Based On Originality. Forget Looks. I Respect Personality ...!!</t>
  </si>
  <si>
    <t>Dineshbhai Haribhai Limbani</t>
  </si>
  <si>
    <t>F-16 Patel Nagar Surat Olpad Road Jahangirpura.Surat</t>
  </si>
  <si>
    <t>image/20151207_01412112.jpg</t>
  </si>
  <si>
    <t>image/20151207_01413058.jpg</t>
  </si>
  <si>
    <t>sagarvpatel92@gmail.com</t>
  </si>
  <si>
    <t>SagarPatel12091992</t>
  </si>
  <si>
    <t>Sagar</t>
  </si>
  <si>
    <t>Travel Music</t>
  </si>
  <si>
    <t>Vishrambhai Halpani</t>
  </si>
  <si>
    <t>D/3, 1st Flr, Gaurav Nagar, Chendhare, Alibag-Rewas Road, Alibag, Tal-Alibag, Dist-Raigad</t>
  </si>
  <si>
    <t>image/20171217_10271565.jpg</t>
  </si>
  <si>
    <t>image/20171217_10265419.jpg</t>
  </si>
  <si>
    <t>rahulpatel28@gmail.com</t>
  </si>
  <si>
    <t>plywood</t>
  </si>
  <si>
    <t>RAHUL</t>
  </si>
  <si>
    <t>A</t>
  </si>
  <si>
    <t>HARESH PATEL</t>
  </si>
  <si>
    <t>23-30</t>
  </si>
  <si>
    <t>image/20151212_07164060.jpg</t>
  </si>
  <si>
    <t>image/20151212_07184381.jpg</t>
  </si>
  <si>
    <t>miteshmakani1989@gmail.com</t>
  </si>
  <si>
    <t>Makani</t>
  </si>
  <si>
    <t>MUVI, TRAVEL,</t>
  </si>
  <si>
    <t>HASHMUKH BHAI</t>
  </si>
  <si>
    <t>SREE RAMNAGAR,  PO - TALWANA,  TA - MANDVI,  DIS - KUTCH,  GUJRAT</t>
  </si>
  <si>
    <t>18-28</t>
  </si>
  <si>
    <t>image/20151217_235839304.jpg</t>
  </si>
  <si>
    <t>image/20151217_235839283.jpg</t>
  </si>
  <si>
    <t>gogarijayantibhai@gmail.com</t>
  </si>
  <si>
    <t>akruti64</t>
  </si>
  <si>
    <t>H</t>
  </si>
  <si>
    <t>(Only Limited Details)</t>
  </si>
  <si>
    <t>Jayantibhai</t>
  </si>
  <si>
    <t>Ravajibhai</t>
  </si>
  <si>
    <t>8/A Laxminarayan Society, Radhanpur Road, Mahesana</t>
  </si>
  <si>
    <t>image/20151230_01380447.jpg</t>
  </si>
  <si>
    <t>image/20151230_01381573.jpg</t>
  </si>
  <si>
    <t>mehulpa2@gmail.com</t>
  </si>
  <si>
    <t>mehul9764343620</t>
  </si>
  <si>
    <t>mehul</t>
  </si>
  <si>
    <t>ramjiyani</t>
  </si>
  <si>
    <t>Playing  cricket</t>
  </si>
  <si>
    <t>image/20160318_02053384.jpg</t>
  </si>
  <si>
    <t>image/20160318_02062264.jpg</t>
  </si>
  <si>
    <t>kethanpatel765@gmail.com</t>
  </si>
  <si>
    <t>ket021293</t>
  </si>
  <si>
    <t>ketan</t>
  </si>
  <si>
    <t>bhawani</t>
  </si>
  <si>
    <t>INTRESTED IN SPORTS</t>
  </si>
  <si>
    <t>BABULAL BHAI BHANJI BHAI BHAWANI</t>
  </si>
  <si>
    <t>H NO A 7 KARAMVIR  sunder van society manjipura road nadiad</t>
  </si>
  <si>
    <t>image/20160116_013541174.jpg</t>
  </si>
  <si>
    <t>image/20160116_013541163.jpg</t>
  </si>
  <si>
    <t>Mehulrangani.62086@gmail.com</t>
  </si>
  <si>
    <t>mehul143141</t>
  </si>
  <si>
    <t>Mehul</t>
  </si>
  <si>
    <t>Cricket</t>
  </si>
  <si>
    <t>Jivrajbhai</t>
  </si>
  <si>
    <t>Manjipura  road nadiad opp Navbandhu  park</t>
  </si>
  <si>
    <t>image/20160204_233504204.jpg</t>
  </si>
  <si>
    <t>image/20160204_233504173.jpg</t>
  </si>
  <si>
    <t>shubhpatel50@gmail.com</t>
  </si>
  <si>
    <t>mahbuhsp007</t>
  </si>
  <si>
    <t>Shubham</t>
  </si>
  <si>
    <t>I am an extrovert person with a simple living and high thinking. Hobbies are playing Cricket,Table-Tennis and Listening to music.</t>
  </si>
  <si>
    <t>Jayantilal Patel</t>
  </si>
  <si>
    <t>Satighat Road,Shastri Nagar,Sharda Vijay Saw Mill,Ward No-18,Wani,Dist-Yavatmal,Maharashtra-445304</t>
  </si>
  <si>
    <t>image/20160213_06415791.jpg</t>
  </si>
  <si>
    <t>image/20160213_06423583.jpg</t>
  </si>
  <si>
    <t>bharatpatelpune@gmail.com</t>
  </si>
  <si>
    <t>ps180574</t>
  </si>
  <si>
    <t xml:space="preserve">Bharat </t>
  </si>
  <si>
    <t>This is my son's profile. We are a broad thinking family. We have only one son and two daughter. Both daughter are married. We are not orthodox so expect our daughter as such. My son like to have activity in sport and take social activity. He is interest in politic too. He is more engage with student so have thinking of current generation.</t>
  </si>
  <si>
    <t>Khetalal Patel</t>
  </si>
  <si>
    <t>A/9, jalyavu vihar, Sec-6, PCNTDA, moshi pradhikaran, Pune</t>
  </si>
  <si>
    <t>image/20160220_063806254.jpg</t>
  </si>
  <si>
    <t>image/20160220_063806253.jpg</t>
  </si>
  <si>
    <t>brjshpatel47@gmail.com</t>
  </si>
  <si>
    <t>BKPATEL</t>
  </si>
  <si>
    <t>Nikul</t>
  </si>
  <si>
    <t>Playing cricket</t>
  </si>
  <si>
    <t>Keshavlal Patel</t>
  </si>
  <si>
    <t>Vastral, ahmedabad</t>
  </si>
  <si>
    <t>Patelutsav7@gmail.com</t>
  </si>
  <si>
    <t>utsav786</t>
  </si>
  <si>
    <t>Utsav</t>
  </si>
  <si>
    <t>Thank you for landing in to my profile. I have completed bachelor in computer engineering and currently I am working in IT company as a Manager from last two years now.</t>
  </si>
  <si>
    <t>Chandrakantbhai</t>
  </si>
  <si>
    <t>Naroda</t>
  </si>
  <si>
    <t>image/20161229_20311223.jpg</t>
  </si>
  <si>
    <t>piyushnakrani23@gmail.com</t>
  </si>
  <si>
    <t>piyush@1234</t>
  </si>
  <si>
    <t>PIYUSH</t>
  </si>
  <si>
    <t>NAKRANI</t>
  </si>
  <si>
    <t>I AM SIMPLE LIVING PERSON WITH HIGH MORAL AND BELIEVE IN HARD WORK. I LIKE TO LISTEN MUSIC AND READ HISTORY AND HOLY BOOKS.</t>
  </si>
  <si>
    <t>NAKRANI KANTILAL KHIMJIBHAI</t>
  </si>
  <si>
    <t>30, DHARMANANDAN SOCIETY, KANABHA, AHMEDABAD</t>
  </si>
  <si>
    <t>image/20170411_23330524.jpg</t>
  </si>
  <si>
    <t>image/20170411_23352064.jpg</t>
  </si>
  <si>
    <t>Rnp53113@gmail.com</t>
  </si>
  <si>
    <t>ronak2002</t>
  </si>
  <si>
    <t>Ronak</t>
  </si>
  <si>
    <t>Business, Social activity , sport , travelling, shopping</t>
  </si>
  <si>
    <t>Natavar bhai</t>
  </si>
  <si>
    <t>Tulsibhai</t>
  </si>
  <si>
    <t>Dhanpura kampa, bayad, arvalli, s.k, Gujarat</t>
  </si>
  <si>
    <t>18-23</t>
  </si>
  <si>
    <t>image/20160410_00031121.jpg</t>
  </si>
  <si>
    <t>image/20160410_00072957.jpg</t>
  </si>
  <si>
    <t>Dayanipankaj143@gmail.com</t>
  </si>
  <si>
    <t>pankaj1994</t>
  </si>
  <si>
    <t>Play cricket Read book</t>
  </si>
  <si>
    <t>Ramnikbhai Patel</t>
  </si>
  <si>
    <t>At &amp; Po dhavda mota, near laxminarayan temple, ta- nakhatrana, dist - kutch (bhuj)</t>
  </si>
  <si>
    <t>19-21</t>
  </si>
  <si>
    <t>rudaninirav565@gmail.com</t>
  </si>
  <si>
    <t>nrudani007</t>
  </si>
  <si>
    <t>Nirav</t>
  </si>
  <si>
    <t>Hiiiiiee I am Nirav Rudani 30yrs old my hobies is playing cricket,football listening music watching movies etc</t>
  </si>
  <si>
    <t>Mansukh Haribhai Rudani</t>
  </si>
  <si>
    <t>K Wing 7th floor 701/702 Vardhman Nagar Dr.R.P.Road Opp.Ravi Kiran Hotel,Mulund-West,Mumbai-400080</t>
  </si>
  <si>
    <t>image/20181003_06561252.jpg</t>
  </si>
  <si>
    <t>image/20181003_06553908.jpg</t>
  </si>
  <si>
    <t>joinmemadhu@yahoo.in</t>
  </si>
  <si>
    <t>benmadhu07</t>
  </si>
  <si>
    <t>Dr. Mohini</t>
  </si>
  <si>
    <t>Bhagat(Only Limited Details)</t>
  </si>
  <si>
    <t>Nasik</t>
  </si>
  <si>
    <t>Reading,dancing,music,drawing,social service,swimmimg</t>
  </si>
  <si>
    <t>Arvindkumar</t>
  </si>
  <si>
    <t>D 702, rushiraj harmony, near gangapur police station, gangapur road, nasik, maharashtra</t>
  </si>
  <si>
    <t>devendra.2025@gmail.com</t>
  </si>
  <si>
    <t>devendra244</t>
  </si>
  <si>
    <t>Sangita</t>
  </si>
  <si>
    <t>Dholu</t>
  </si>
  <si>
    <t>At - Demai Ta- Bayad Dist - Aravalli State - Gujarat</t>
  </si>
  <si>
    <t>28-33</t>
  </si>
  <si>
    <t>Bayad</t>
  </si>
  <si>
    <t>image/20160420_20470753.jpg</t>
  </si>
  <si>
    <t>image/20160420_20472428.jpg</t>
  </si>
  <si>
    <t>cabhavika1@gmail.com</t>
  </si>
  <si>
    <t>1991BRPL</t>
  </si>
  <si>
    <t>BHAVIKA</t>
  </si>
  <si>
    <t>Only Limited Details</t>
  </si>
  <si>
    <t>Simple living and simple nature</t>
  </si>
  <si>
    <t>RAMESHBHAI MANJIBHAI LIMBANI</t>
  </si>
  <si>
    <t>PARTNAGAR 1 NADIAD</t>
  </si>
  <si>
    <t>24-27</t>
  </si>
  <si>
    <t>image/20160520_05450230.jpg</t>
  </si>
  <si>
    <t>image/20160520_05464638.jpg</t>
  </si>
  <si>
    <t>nayanidhiren.may9@gmail.com</t>
  </si>
  <si>
    <t>dhiren73103</t>
  </si>
  <si>
    <t>Dhirendra</t>
  </si>
  <si>
    <t>Nayani</t>
  </si>
  <si>
    <t>My hobbies  Playhing cricket</t>
  </si>
  <si>
    <t>Rameshchandra</t>
  </si>
  <si>
    <t>Near-: b.k.vidhayalay Khetani faliyu Kotda.jadodar Pin coad:- 370 605 Nakhtrana  Kutch</t>
  </si>
  <si>
    <t>21-21</t>
  </si>
  <si>
    <t>image/20160422_200418484.jpg</t>
  </si>
  <si>
    <t>image/20160422_200418483.jpg</t>
  </si>
  <si>
    <t>cparasiya@gmail.com</t>
  </si>
  <si>
    <t>chaitali90</t>
  </si>
  <si>
    <t>C</t>
  </si>
  <si>
    <t>Patel(Only Limited Details)</t>
  </si>
  <si>
    <t>Navsari</t>
  </si>
  <si>
    <t>26-26</t>
  </si>
  <si>
    <t xml:space="preserve">mp25121991@gmail.com </t>
  </si>
  <si>
    <t>mehul2512</t>
  </si>
  <si>
    <t>Mithal</t>
  </si>
  <si>
    <t>patel(Only Limited Details)</t>
  </si>
  <si>
    <t>Mysore</t>
  </si>
  <si>
    <t>Devendra limbani</t>
  </si>
  <si>
    <t>Sri vijaylaxmi saw mill Huliyar road Hosdurga - 577527</t>
  </si>
  <si>
    <t>22-23</t>
  </si>
  <si>
    <t>makanijinkal87@gmail.com</t>
  </si>
  <si>
    <t>Jinkal</t>
  </si>
  <si>
    <t>Makani(Only Limited Details)</t>
  </si>
  <si>
    <t>I have interested in all field . frii minded girl.</t>
  </si>
  <si>
    <t xml:space="preserve">Jigar1990 </t>
  </si>
  <si>
    <t>jigar2810</t>
  </si>
  <si>
    <t>Jigar</t>
  </si>
  <si>
    <t>Volibool</t>
  </si>
  <si>
    <t>Ramanbhai</t>
  </si>
  <si>
    <t>At post Aniyor kampa Ta malpur  Dist Arvalli</t>
  </si>
  <si>
    <t>image/20160511_230748144.jpg</t>
  </si>
  <si>
    <t>image/20160511_230748123.jpg</t>
  </si>
  <si>
    <t>vipsun22@gmail.com</t>
  </si>
  <si>
    <t>comfortable123</t>
  </si>
  <si>
    <t>VIPUL</t>
  </si>
  <si>
    <t>PLAYING FOOTBALL LONG TENIS  AND KNOWLEDGE OF COMPUTER</t>
  </si>
  <si>
    <t>HANSRAJBHAI</t>
  </si>
  <si>
    <t>14 JALARAM SOCIETY MEGHRAJ ROAD MODASA</t>
  </si>
  <si>
    <t>25-30</t>
  </si>
  <si>
    <t>image/20160528_04542441.jpg</t>
  </si>
  <si>
    <t>image/20160528_04544416.jpg</t>
  </si>
  <si>
    <t>pmehul77@gmail.com</t>
  </si>
  <si>
    <t>mehul1991</t>
  </si>
  <si>
    <t>RAMANI</t>
  </si>
  <si>
    <t>MY NATURE  IS SO SIM PAL AND MY HOBBIES IS PLAYING CRICKET AND MAKING TOUR PLANS AND ENJOY WITH MY FAMILY AND FRIENDS.</t>
  </si>
  <si>
    <t>SURESH RAMANI</t>
  </si>
  <si>
    <t>PLOT NO 185, AABHA COLONYBHARWADA ROAD, NEAR NAGPURE SCHOOL KALAMNA,NAGPUR, MH 440035</t>
  </si>
  <si>
    <t>image/20160521_232901904.jpg</t>
  </si>
  <si>
    <t>image/20160521_232901893.jpg</t>
  </si>
  <si>
    <t>hiten.patel.isl@gamil.com</t>
  </si>
  <si>
    <t>22346hitman</t>
  </si>
  <si>
    <t>hiten</t>
  </si>
  <si>
    <t>I have done diploma in INDIAN SIGN LANGUAGE . I am very calm,friendly nature, open minded and practical person, My hobbies/interests travelling,movies, video games, health &amp; fitness, cardio workout, cricket, badminton, chess.. THANKS FOR Visiting my profile</t>
  </si>
  <si>
    <t>Devshi bhai patel</t>
  </si>
  <si>
    <t>225 k indore</t>
  </si>
  <si>
    <t>image/20160527_063950594.jpg</t>
  </si>
  <si>
    <t>image/20160527_063950573.jpg</t>
  </si>
  <si>
    <t>patelarpita130995@gmail.com</t>
  </si>
  <si>
    <t>manjula1234</t>
  </si>
  <si>
    <t>vikasbathani9694@gmail.com</t>
  </si>
  <si>
    <t>vikas@9694</t>
  </si>
  <si>
    <t>VIKAS</t>
  </si>
  <si>
    <t>BATHANI</t>
  </si>
  <si>
    <t>IMPROVE MYSELF DAY TO DAY,  ABOUT HOBBIES- READING BOOKS-MAGAZINES, TRAVELLING, BIKE RIDING, CRICKET, SWIMMING &amp; MANY MORE....</t>
  </si>
  <si>
    <t>PARSOTAMBHAI</t>
  </si>
  <si>
    <t>MOTI VIRANI,TA.NAKHATRANA,DIST.KUTCH</t>
  </si>
  <si>
    <t>image/20161203_02430913.jpg</t>
  </si>
  <si>
    <t>image/20161203_02424286.jpg</t>
  </si>
  <si>
    <t>Bharatpatel.bp434@gmail.com</t>
  </si>
  <si>
    <t>bharat7779</t>
  </si>
  <si>
    <t xml:space="preserve">Diwani </t>
  </si>
  <si>
    <t>Goa</t>
  </si>
  <si>
    <t>Margoa</t>
  </si>
  <si>
    <t>Like to make friends  and have a friendly  nature.  Like to play cricket</t>
  </si>
  <si>
    <t>Amratlal  Diwani</t>
  </si>
  <si>
    <t>House no.  88A,zariwado  davorlim ,  Madgao, Goa</t>
  </si>
  <si>
    <t>24-36</t>
  </si>
  <si>
    <t>image/20160605_05363635.jpg</t>
  </si>
  <si>
    <t>image/20160605_05351428.jpg</t>
  </si>
  <si>
    <t>nikhillppatel@gmail.com</t>
  </si>
  <si>
    <t>nano8055</t>
  </si>
  <si>
    <t>Varsha</t>
  </si>
  <si>
    <t>Gorani(Only Limited Details)</t>
  </si>
  <si>
    <t>Shantilal</t>
  </si>
  <si>
    <t>Shankar vijay saw mill, market yard,mohol,solapur 413213  Solapur ( Maharashtra ) India</t>
  </si>
  <si>
    <t>np2604095@gmail.com</t>
  </si>
  <si>
    <t>N8758926240</t>
  </si>
  <si>
    <t>NIKUL</t>
  </si>
  <si>
    <t>BHUPENDRABHAI</t>
  </si>
  <si>
    <t>I JUST LIKE TO MAKE NEW FRIENDS, AND MY HOBBIES IS MY DUTY THAT"S IT  AND SOMETIMES TRAVELING MANY PLACES LIKE TO SPEND MORE TIMES WITH FAMILIES N FRIENDS I LIKE EVERY GAMES</t>
  </si>
  <si>
    <t>SIDDHI VINAYAK RESIDENCY,NEAR SAI CHOWK,NEW NARODA</t>
  </si>
  <si>
    <t>image/20180530_06374540.jpg</t>
  </si>
  <si>
    <t>image/20180530_06381121.jpg</t>
  </si>
  <si>
    <t>np17592@gmail.com</t>
  </si>
  <si>
    <t>Mynameis92</t>
  </si>
  <si>
    <t>Anand</t>
  </si>
  <si>
    <t>My Hobbies are Playing with Musical Instrument (key Board) , Photography, Photo Editing (in Photoshop).</t>
  </si>
  <si>
    <t>Dineshbhai Keshavlal Patel</t>
  </si>
  <si>
    <t>9, Pramukhraj Park, Jitodia Road, Anand. - 388001</t>
  </si>
  <si>
    <t>patelgirishhalpani@gmail.com</t>
  </si>
  <si>
    <t>lovehoney27</t>
  </si>
  <si>
    <t>hi, i am belong to middle class family, we have nuclear family, i love to listing music in my spear time and spend time with my friends. i am looking for person who is support me and stand with me in any situation of life. ya some bed thing happen with my past which i discuss when we decide to meet.</t>
  </si>
  <si>
    <t>Naran patel</t>
  </si>
  <si>
    <t>Laxmi Patel</t>
  </si>
  <si>
    <t>Manik moti complex D-13/14, pune mumbai highway, katraj pune</t>
  </si>
  <si>
    <t>26-29</t>
  </si>
  <si>
    <t>image/20160622_09300684.jpg</t>
  </si>
  <si>
    <t>image/20160622_09311219.jpg</t>
  </si>
  <si>
    <t>dhavalparsia@live.com</t>
  </si>
  <si>
    <t>dhaval87</t>
  </si>
  <si>
    <t>Dhaval</t>
  </si>
  <si>
    <t>I am putting this profile for my son.</t>
  </si>
  <si>
    <t>Rajesh Patel</t>
  </si>
  <si>
    <t>12/1 mohan nagar society Naroda</t>
  </si>
  <si>
    <t>18-29</t>
  </si>
  <si>
    <t>Divorced,Widowed,Awaiting Divorce,Annulled</t>
  </si>
  <si>
    <t>image/20170128_22553970.jpg</t>
  </si>
  <si>
    <t>image/20170128_22555392.jpg</t>
  </si>
  <si>
    <t>Shrutipatel212@Gmail.com</t>
  </si>
  <si>
    <t>shruti30</t>
  </si>
  <si>
    <t>Shruti</t>
  </si>
  <si>
    <t>Oras</t>
  </si>
  <si>
    <t>Interested in working professional, artists, travelling, interact with new people</t>
  </si>
  <si>
    <t>mayur12345331@gmail.com</t>
  </si>
  <si>
    <t>mayur123</t>
  </si>
  <si>
    <t>mayur</t>
  </si>
  <si>
    <t>Andhra Pradesh</t>
  </si>
  <si>
    <t>Hyderabad</t>
  </si>
  <si>
    <t>I like it sing a song n plying cricket</t>
  </si>
  <si>
    <t>Arvind bhai</t>
  </si>
  <si>
    <t>Surya nagar  Chinthal  Hydrabad</t>
  </si>
  <si>
    <t>image/20160701_021914764.jpg</t>
  </si>
  <si>
    <t>GUJRATENTERPRISES09@GMAIL.COM</t>
  </si>
  <si>
    <t>RINKU123</t>
  </si>
  <si>
    <t>R</t>
  </si>
  <si>
    <t>PATEL(Only Limited Details)</t>
  </si>
  <si>
    <t>Bhubaneswar</t>
  </si>
  <si>
    <t>STUDY</t>
  </si>
  <si>
    <t>NARAYAN PATEL</t>
  </si>
  <si>
    <t>26-34</t>
  </si>
  <si>
    <t>lalitpatel1911@gmail.com</t>
  </si>
  <si>
    <t>govindbhai</t>
  </si>
  <si>
    <t>Sree hari Krishna saw mill Anjar kutch</t>
  </si>
  <si>
    <t>image/20160703_221155344.jpg</t>
  </si>
  <si>
    <t>image/20160703_221155333.jpg</t>
  </si>
  <si>
    <t>patelbhagwandas24@gmail.com</t>
  </si>
  <si>
    <t>Payal</t>
  </si>
  <si>
    <t>Ramani(Only Limited Details)</t>
  </si>
  <si>
    <t>umesh.asanjo@gmail.com</t>
  </si>
  <si>
    <t>maiyat89umesh</t>
  </si>
  <si>
    <t>Maiyat</t>
  </si>
  <si>
    <t>I am modest, but hard working and I consistently sets firm goals for myself. "I am confident in my abilities" Hobbies:-Drive The Car,Playing Cricket,Reading,</t>
  </si>
  <si>
    <t>Jayantilal Kanjibhai Maiyat</t>
  </si>
  <si>
    <t>Mahadev Saw Mill, Kadodara Bardoli Road, Gangadhara-Bardoli Dist:-Surat</t>
  </si>
  <si>
    <t>Dakor</t>
  </si>
  <si>
    <t>image/20160720_023710504.jpg</t>
  </si>
  <si>
    <t>image/20160720_023710393.jpg</t>
  </si>
  <si>
    <t>bhavikapatel194@gmail.com</t>
  </si>
  <si>
    <t>bhabika1987</t>
  </si>
  <si>
    <t>Bhavika</t>
  </si>
  <si>
    <t>hi I m sensitive.I m foodie.I like music travelling reading dancing cooking driving.I like yoga meditation.</t>
  </si>
  <si>
    <t>Haribhai patel</t>
  </si>
  <si>
    <t>Satsang house,new adarsh society,b/h sardar baug,sanala road,morbi.</t>
  </si>
  <si>
    <t>29-32</t>
  </si>
  <si>
    <t>Awaiting Divorce</t>
  </si>
  <si>
    <t xml:space="preserve">kkat_333@yahoo.com </t>
  </si>
  <si>
    <t>cashmakeuplove28</t>
  </si>
  <si>
    <t>K</t>
  </si>
  <si>
    <t>P(Only Limited Details)</t>
  </si>
  <si>
    <t>23-25</t>
  </si>
  <si>
    <t>vimalpatel893@gmail.com</t>
  </si>
  <si>
    <t>vimal8600</t>
  </si>
  <si>
    <t>VIMAL</t>
  </si>
  <si>
    <t>I LIVE WITH MY FAMILY MY HOBBY IS WATCHING MOVIES &amp; PLAYING CRICKET etc</t>
  </si>
  <si>
    <t>MANILAL</t>
  </si>
  <si>
    <t>Address FLAT NO.205,WING-A TULSI VANDHAN APPARTMENT, SECTOR-06,MOSHI PRADHIKARAN, BHOSARI, PUNE CITY, MAHARASHTRA PIN 411026</t>
  </si>
  <si>
    <t>18-35</t>
  </si>
  <si>
    <t>image/20161008_05084728.jpg</t>
  </si>
  <si>
    <t>image/20161008_05082696.jpg</t>
  </si>
  <si>
    <t>kanchanpatel1982@gmail.com</t>
  </si>
  <si>
    <t>vibhore22</t>
  </si>
  <si>
    <t>Ghanshyam</t>
  </si>
  <si>
    <t>Sakhala</t>
  </si>
  <si>
    <t>Kerala</t>
  </si>
  <si>
    <t>Thiruvananthapuram</t>
  </si>
  <si>
    <t>image/20170113_04060842.jpg</t>
  </si>
  <si>
    <t>image/20170113_04062154.jpg</t>
  </si>
  <si>
    <t>mits4590@gmail.com</t>
  </si>
  <si>
    <t>82333love2mits</t>
  </si>
  <si>
    <t>Mital</t>
  </si>
  <si>
    <t>Sports and drowing</t>
  </si>
  <si>
    <t>Arvindbhai</t>
  </si>
  <si>
    <t>46-B, Ganshyam society dhansura Gujrat 383310</t>
  </si>
  <si>
    <t>24-29</t>
  </si>
  <si>
    <t>image/20161112_012326954.jpg</t>
  </si>
  <si>
    <t>image/20161112_012326943.jpg</t>
  </si>
  <si>
    <t>Manishchhabhaiya.2013@gmail.com</t>
  </si>
  <si>
    <t>manish3337</t>
  </si>
  <si>
    <t xml:space="preserve">Manish </t>
  </si>
  <si>
    <t xml:space="preserve">Chhabhaiya </t>
  </si>
  <si>
    <t>+Music  $marriage dance Reading#</t>
  </si>
  <si>
    <t>Dhanpurakampa, bayad, aravalli, gujarat</t>
  </si>
  <si>
    <t>image/20161120_081424974.jpg</t>
  </si>
  <si>
    <t>image/20161120_081424643.jpg</t>
  </si>
  <si>
    <t>prinedh126@hotmail.com</t>
  </si>
  <si>
    <t>neha1993</t>
  </si>
  <si>
    <t>Neha</t>
  </si>
  <si>
    <t>Ukani</t>
  </si>
  <si>
    <t>Engaged</t>
  </si>
  <si>
    <t>Maganlal Hansraj Patel</t>
  </si>
  <si>
    <t>B27, RTO RELOCATION, BHUJ KUTCH</t>
  </si>
  <si>
    <t>image/20161128_003908574.jpg</t>
  </si>
  <si>
    <t>image/20161128_003908543.jpg</t>
  </si>
  <si>
    <t>ketan530@gmail.com</t>
  </si>
  <si>
    <t>MAAPAA9421</t>
  </si>
  <si>
    <t>Ketan</t>
  </si>
  <si>
    <t>Interested in Book Reading, Watching Movies and love to spend time with Family &amp; Friends</t>
  </si>
  <si>
    <t>Kirtikumar Haribhai Limbani</t>
  </si>
  <si>
    <t>Flat No. C-500, Raghukul Appartment, Near Nehru Garden, Lakadganj, Nagpur-440008</t>
  </si>
  <si>
    <t>25-32</t>
  </si>
  <si>
    <t>image/20161204_074821004.jpg</t>
  </si>
  <si>
    <t>image/20161204_074820973.jpg</t>
  </si>
  <si>
    <t>niral.diwani98@gmail.com</t>
  </si>
  <si>
    <t>np19101993</t>
  </si>
  <si>
    <t>Niral</t>
  </si>
  <si>
    <t>Diwani</t>
  </si>
  <si>
    <t>My hobbies are listening music and playing a games. Understanding nature. I Am Ready For  Accept the all type of challenge In Any Time In Any Where.</t>
  </si>
  <si>
    <t>Hemantbhai</t>
  </si>
  <si>
    <t>A-4 shiv Darshan society behind Gayatri high school naroda ahmedabad</t>
  </si>
  <si>
    <t>image/20161207_00205529.jpg</t>
  </si>
  <si>
    <t>image/20161207_00273710.jpg</t>
  </si>
  <si>
    <t>avnishpatelgec@gmail.com</t>
  </si>
  <si>
    <t>gj9s1203</t>
  </si>
  <si>
    <t>Avnish</t>
  </si>
  <si>
    <t>Chaudhary</t>
  </si>
  <si>
    <t>Thanks for reaching out. I am Software Engineer. In free time I like to  watch movies, play cricket , read movie.  For more details   https://m.facebook.com/avnishpatel1233  https://www.linkedin.com/in/avnishpatel007</t>
  </si>
  <si>
    <t>Punambhai</t>
  </si>
  <si>
    <t>At-RamapirKampa, Dist : Arvalli,  Gujarat</t>
  </si>
  <si>
    <t>image/20161218_103739294.jpg</t>
  </si>
  <si>
    <t>image/20161218_103739283.jpg</t>
  </si>
  <si>
    <t>chintanchaudhari1233@gmail.com</t>
  </si>
  <si>
    <t>Chintan</t>
  </si>
  <si>
    <t>Dhansura</t>
  </si>
  <si>
    <t>Meet new people, watch movie, travelling</t>
  </si>
  <si>
    <t>At-Ramapirkampa,Ta-Dhansura,Dist-Sabarkantha,Gujarat</t>
  </si>
  <si>
    <t>25-33</t>
  </si>
  <si>
    <t>image/20161219_075046494.jpg</t>
  </si>
  <si>
    <t>image/20161219_075046473.jpg</t>
  </si>
  <si>
    <t>prafull.engg@gmail.com</t>
  </si>
  <si>
    <t>psp100.com</t>
  </si>
  <si>
    <t>prafull</t>
  </si>
  <si>
    <t>khartoum</t>
  </si>
  <si>
    <t>I am an electrical maintenance engineer working for samsung company placed  in sudan (North Africa ).Also handling project for Robot installation and  programming.  I like to travel  and singing. Playing chess is my first interest in playing and  reading is my hobby.  I traveled more  than 2 lac km  for my project application  including Africa  and  Dubai.</t>
  </si>
  <si>
    <t>shivagan bhai pokar</t>
  </si>
  <si>
    <t>Ap- Kadi.  96,Ayodhya Dham Society 4  Mahesana. Gujarat.</t>
  </si>
  <si>
    <t>image/20161219_075425744.jpg</t>
  </si>
  <si>
    <t>image/20161219_075425723.jpg</t>
  </si>
  <si>
    <t>rohitchhabhaiya52@gmail.com</t>
  </si>
  <si>
    <t>ro121989</t>
  </si>
  <si>
    <t>Rohit</t>
  </si>
  <si>
    <t>Collecting old money's, Interest to go on long drives when I fill alone.</t>
  </si>
  <si>
    <t>praveen bhai</t>
  </si>
  <si>
    <t>152,patelvas, laxmipar(Netra), tal-nakhatrana, bhuj.</t>
  </si>
  <si>
    <t>18-27</t>
  </si>
  <si>
    <t>image/20161229_213403794.jpg</t>
  </si>
  <si>
    <t>image/20161229_213403793.jpg</t>
  </si>
  <si>
    <t>rvalani4@gmail.com</t>
  </si>
  <si>
    <t xml:space="preserve">Pooja </t>
  </si>
  <si>
    <t>valani (surani bhagat)(Only Limited Details)</t>
  </si>
  <si>
    <t>gujarat</t>
  </si>
  <si>
    <t>Teaching</t>
  </si>
  <si>
    <t>bokareankit@gmail.com</t>
  </si>
  <si>
    <t>Bokare12345</t>
  </si>
  <si>
    <t>Ankit</t>
  </si>
  <si>
    <t>Bokare(Only Limited Details)</t>
  </si>
  <si>
    <t>Bholu3099@gmail.com</t>
  </si>
  <si>
    <t>hardik8944</t>
  </si>
  <si>
    <t>Hardik</t>
  </si>
  <si>
    <t>Travelling, Photography, Cricket, Expanding Business.</t>
  </si>
  <si>
    <t>Dilipbhai</t>
  </si>
  <si>
    <t>Hariomnagar Society. Dholka</t>
  </si>
  <si>
    <t>image/20170108_094711254.jpg</t>
  </si>
  <si>
    <t>image/20170108_094711243.jpg</t>
  </si>
  <si>
    <t>harshika212@gmail.com</t>
  </si>
  <si>
    <t>kartik1994</t>
  </si>
  <si>
    <t>Harshika</t>
  </si>
  <si>
    <t>Reading, Listening to music</t>
  </si>
  <si>
    <t>Anil Patel</t>
  </si>
  <si>
    <t>H.no:4-35-435,Madhavaram colony, Opp. Allwyn colony 1st phase, Kukatpally,Hyderabad 500072.</t>
  </si>
  <si>
    <t>24-26</t>
  </si>
  <si>
    <t>image/20170114_020920904.jpg</t>
  </si>
  <si>
    <t>image/20170114_020920863.jpg</t>
  </si>
  <si>
    <t>28anuppatel@gmail.com</t>
  </si>
  <si>
    <t>Anup</t>
  </si>
  <si>
    <t>Bhawani</t>
  </si>
  <si>
    <t>I m good boy and my hobby is playing cricket and listening music</t>
  </si>
  <si>
    <t>Bhabhi bhai bhawani</t>
  </si>
  <si>
    <t>4,aadarsh nagar society opp.keya  motors chhani jakat naka, Vadodara</t>
  </si>
  <si>
    <t>image/20170115_024624163.jpg</t>
  </si>
  <si>
    <t>dapolihardware@gmail.com</t>
  </si>
  <si>
    <t>Ratnagiri</t>
  </si>
  <si>
    <t>Playing Games Reading Books  Traveling</t>
  </si>
  <si>
    <t>MANGALDAS</t>
  </si>
  <si>
    <t>Near Pranth Office ,Zariali  Dapoli Pin-415712 Dist-Ratnagari</t>
  </si>
  <si>
    <t>25-28</t>
  </si>
  <si>
    <t>image/20170117_231301544.jpg</t>
  </si>
  <si>
    <t>image/20170117_231301453.jpg</t>
  </si>
  <si>
    <t>gbpatel7976@gmail.com</t>
  </si>
  <si>
    <t>gbpatel7976</t>
  </si>
  <si>
    <t>APURVKUMAR GHANSHYAMBHAI</t>
  </si>
  <si>
    <t>PLAYING CRICKET</t>
  </si>
  <si>
    <t>GHANSHYAMBHAI BABUBHAI PATEL</t>
  </si>
  <si>
    <t>AT &amp; PO - VISHNUPURA,TA - KAPADVANJ,DIST - KHEDA, 387620</t>
  </si>
  <si>
    <t>image/20170118_024649554.jpg</t>
  </si>
  <si>
    <t>image/20170118_024649543.jpg</t>
  </si>
  <si>
    <t>hrp265ngp@gmail.com</t>
  </si>
  <si>
    <t>hrp25779ngp</t>
  </si>
  <si>
    <t xml:space="preserve">Hiren </t>
  </si>
  <si>
    <t>I am from Well to do family Traveling, Reading</t>
  </si>
  <si>
    <t>265, Ashish, Satnami Nagar Layout, Near Radiance Hospital Lakadganj,</t>
  </si>
  <si>
    <t>28-32</t>
  </si>
  <si>
    <t>image/20170118_064931294.jpg</t>
  </si>
  <si>
    <t>image/20170118_064931293.jpg</t>
  </si>
  <si>
    <t>nikhilrudani54@gmail.com</t>
  </si>
  <si>
    <t>nikhil</t>
  </si>
  <si>
    <t>rudani</t>
  </si>
  <si>
    <t>Interest</t>
  </si>
  <si>
    <t>gangaram</t>
  </si>
  <si>
    <t>No.687 c.b.i main road r.t nagar post bangalore-32</t>
  </si>
  <si>
    <t>27-27</t>
  </si>
  <si>
    <t>Rocksashok2255@gmail.com</t>
  </si>
  <si>
    <t>ashok321</t>
  </si>
  <si>
    <t>Ashok</t>
  </si>
  <si>
    <t>Acting, dancing, cricket, football, badminton, driving</t>
  </si>
  <si>
    <t>Govind bhai</t>
  </si>
  <si>
    <t>95,bhatwadi,vengurla,sindhudurga.(Oras)</t>
  </si>
  <si>
    <t>24-24</t>
  </si>
  <si>
    <t>image/20170122_072402794.jpg</t>
  </si>
  <si>
    <t>image/20170122_072402773.jpg</t>
  </si>
  <si>
    <t>leoajay.aj@gmail.com</t>
  </si>
  <si>
    <t>sanjay8496</t>
  </si>
  <si>
    <t>ajay</t>
  </si>
  <si>
    <t>pajwani</t>
  </si>
  <si>
    <t>Telangana</t>
  </si>
  <si>
    <t>i am a straight forward person, believe in action rather than words upholding traditional values  watching movies and listening music</t>
  </si>
  <si>
    <t>vinod pajwani</t>
  </si>
  <si>
    <t>flat no ; 402 , sri krishna residency, huda colony , chandanagar, hyderabad, telangana state</t>
  </si>
  <si>
    <t>image/20170123_111143424.jpg</t>
  </si>
  <si>
    <t>image/20170123_111143003.jpg</t>
  </si>
  <si>
    <t>bhavesh9422@yahoo.com</t>
  </si>
  <si>
    <t>bhavesh8236</t>
  </si>
  <si>
    <t>Hii It,s Bhavesh Pokar I Have Completed Ma Bcom Final Year Currently I M Doing My Personal Business Of Plywood I Have 1 Brother He Is Married My Mom Is HouseWife And Dad Is Also Supporting In Business</t>
  </si>
  <si>
    <t>Rajendra Pokar</t>
  </si>
  <si>
    <t>Mayur Palace Plot No 16/17 Flat No,305 Trimurti Nagar Ring Road Nagpur.</t>
  </si>
  <si>
    <t>image/20170125_01035486.jpg</t>
  </si>
  <si>
    <t>image/20170125_01045048.jpg</t>
  </si>
  <si>
    <t xml:space="preserve">Chetanya.patel@gmail.com </t>
  </si>
  <si>
    <t>patanahi0</t>
  </si>
  <si>
    <t>Chetanya</t>
  </si>
  <si>
    <t>Itarsi</t>
  </si>
  <si>
    <t>I am a fun loving person. Always try to enjoy every moment of life.</t>
  </si>
  <si>
    <t>Ramesh Chandra Patel</t>
  </si>
  <si>
    <t>Ward No. 23, Vinoba Bhave Marg, Gandhi Nagar, ITARSI, (M.P.)-461111</t>
  </si>
  <si>
    <t>image/20170807_04472047.jpg</t>
  </si>
  <si>
    <t>image/20170807_04473218.jpg</t>
  </si>
  <si>
    <t>kanjibhaipatel88@gmail.com</t>
  </si>
  <si>
    <t>shankar1234</t>
  </si>
  <si>
    <t>Shankar</t>
  </si>
  <si>
    <t>Khandwa</t>
  </si>
  <si>
    <t>Cricket &amp; other sports</t>
  </si>
  <si>
    <t>shivji bhai</t>
  </si>
  <si>
    <t>Kanji bhai patep&amp;co.Old indore railway line khandwa(m.p.)</t>
  </si>
  <si>
    <t>Never Married,Divorced,Widowed,Annulled</t>
  </si>
  <si>
    <t>image/20170125_025138484.jpg</t>
  </si>
  <si>
    <t>image/20170125_025138463.jpg</t>
  </si>
  <si>
    <t>hani881994@gmail.com</t>
  </si>
  <si>
    <t>mychoice881994</t>
  </si>
  <si>
    <t>Hetal</t>
  </si>
  <si>
    <t>I'm working as a java developer . I have positive attitude and self depended person. I interested to work my own field.  My hobbies are surfing, dancing, singing and Traveling.</t>
  </si>
  <si>
    <t>kanti bhai</t>
  </si>
  <si>
    <t>Naroda,Ahmedabad</t>
  </si>
  <si>
    <t>mukeshpajwani.vmp@gmail.com</t>
  </si>
  <si>
    <t>ajay8496</t>
  </si>
  <si>
    <t>mukesh</t>
  </si>
  <si>
    <t>honesty and friendship admire me most,i love sports and listening music</t>
  </si>
  <si>
    <t>flat no 402,sri krishna residency,huda colony , chandanagar, hyderabad,telangana state.</t>
  </si>
  <si>
    <t>image/20170125_215414784.jpg</t>
  </si>
  <si>
    <t>image/20170125_215414763.jpg</t>
  </si>
  <si>
    <t>dhabalpatel@gmail.com</t>
  </si>
  <si>
    <t>rekha.dhabal1</t>
  </si>
  <si>
    <t xml:space="preserve">Dhabal </t>
  </si>
  <si>
    <t xml:space="preserve">Patel </t>
  </si>
  <si>
    <t>Udupi</t>
  </si>
  <si>
    <t>Love to spend time with family and friends. Love outdoor games and reading books.</t>
  </si>
  <si>
    <t>Kantilal Patel</t>
  </si>
  <si>
    <t>C/o- Shree Sharda Enterprises, Opp of Hiremahalingeswara Temple, Kota-576221</t>
  </si>
  <si>
    <t>Kolkata</t>
  </si>
  <si>
    <t>image/20170128_23053641.jpg</t>
  </si>
  <si>
    <t>image/20170128_23043077.jpg</t>
  </si>
  <si>
    <t>bhagyeshp95@gmail.com</t>
  </si>
  <si>
    <t>Bj@456789</t>
  </si>
  <si>
    <t>Reading, Playing Cricket</t>
  </si>
  <si>
    <t>29 umiya park soc., balasinor road, kathlal, Gujarat</t>
  </si>
  <si>
    <t>image/20170129_06182440.jpg</t>
  </si>
  <si>
    <t>image/20170129_06192596.jpg</t>
  </si>
  <si>
    <t>vrushabh.patel75@ymail.com</t>
  </si>
  <si>
    <t>harshit1187</t>
  </si>
  <si>
    <t>Harshit</t>
  </si>
  <si>
    <t>Learning more and more about cars and related technologies.</t>
  </si>
  <si>
    <t>Narsinh</t>
  </si>
  <si>
    <t>602, Green Ridge-2, Shimpoli, Link Rd, Borivali (W).</t>
  </si>
  <si>
    <t>25-29</t>
  </si>
  <si>
    <t>image/20170202_09301675.jpg</t>
  </si>
  <si>
    <t>image/20170202_09313947.jpg</t>
  </si>
  <si>
    <t>Vipul patel</t>
  </si>
  <si>
    <t>vipul1234</t>
  </si>
  <si>
    <t>Playing volleyball and cricket</t>
  </si>
  <si>
    <t>PURSHOTTAM</t>
  </si>
  <si>
    <t>Patel saw mill. Mahaveer nagar. A/p. Hupari</t>
  </si>
  <si>
    <t>image/20170201_060652354.jpg</t>
  </si>
  <si>
    <t>image/20170201_060652333.jpg</t>
  </si>
  <si>
    <t>chandreshpatel155@gmail.com</t>
  </si>
  <si>
    <t>chandresh20881</t>
  </si>
  <si>
    <t>Chandresh</t>
  </si>
  <si>
    <t>Love my family</t>
  </si>
  <si>
    <t>Nanjibhai Khimjibhai Patel</t>
  </si>
  <si>
    <t>Flat no. 5, 2nd floor, Vaishnavi Building, Mahalaxmi Society, Near Trikoni Garden, Lathe Galli, Dwarka,  Nashik.</t>
  </si>
  <si>
    <t>25-34</t>
  </si>
  <si>
    <t>image/20170202_23093367.jpg</t>
  </si>
  <si>
    <t>image/20170202_23095817.jpg</t>
  </si>
  <si>
    <t>Patelurvashi1194@gmail.com</t>
  </si>
  <si>
    <t>uru201194</t>
  </si>
  <si>
    <t>Urvashi</t>
  </si>
  <si>
    <t>Mendhi designing</t>
  </si>
  <si>
    <t>Diwani giridhar patel</t>
  </si>
  <si>
    <t>H.no 502.starlite appartments idpl chintal ,hyderabad</t>
  </si>
  <si>
    <t>jitendra.nakrani@gmail.com</t>
  </si>
  <si>
    <t>jaan3333</t>
  </si>
  <si>
    <t>Jitendra</t>
  </si>
  <si>
    <t>connect new friends Like farm work</t>
  </si>
  <si>
    <t>Dhirajlal</t>
  </si>
  <si>
    <t>Patel vas Kadiya mota</t>
  </si>
  <si>
    <t>image/20170502_06112828.jpg</t>
  </si>
  <si>
    <t>image/20170502_06113843.jpg</t>
  </si>
  <si>
    <t>Urvashipatel1194@gmail.com</t>
  </si>
  <si>
    <t>Mehandi designing</t>
  </si>
  <si>
    <t>Starlite appts idpl chintal hyderabad</t>
  </si>
  <si>
    <t>rakeshpatelkp7@gmail.com</t>
  </si>
  <si>
    <t>27111991ready</t>
  </si>
  <si>
    <t>Rakesh</t>
  </si>
  <si>
    <t>Davanagere</t>
  </si>
  <si>
    <t>I am Rakesh Patel. Very cool, calm and simple person.</t>
  </si>
  <si>
    <t>K D Patel</t>
  </si>
  <si>
    <t>Ganga Nivas, Door No.704, Nataraj Layout, Harappanahalli, Davanagere District, Karnataka,Pin 583131.</t>
  </si>
  <si>
    <t>image/20170205_002903554.jpg</t>
  </si>
  <si>
    <t>image/20170205_002903543.jpg</t>
  </si>
  <si>
    <t>ombhimani05@gmail.com</t>
  </si>
  <si>
    <t>1966ABCD</t>
  </si>
  <si>
    <t>URAVASHI</t>
  </si>
  <si>
    <t>BHIMANI</t>
  </si>
  <si>
    <t>Kundan</t>
  </si>
  <si>
    <t>303 Usha apartment wardhaman nagar nagpur</t>
  </si>
  <si>
    <t>ritesh89.rp@gmail.com</t>
  </si>
  <si>
    <t>ritesh89</t>
  </si>
  <si>
    <t>Ritesh</t>
  </si>
  <si>
    <t>my hobbies are reading,music,movie,play cricket,vollyball and travel differnt place.</t>
  </si>
  <si>
    <t>Ravji bhai</t>
  </si>
  <si>
    <t>101 guru krupa residency, opp. meldi maa temple, manjipura road Nadiad</t>
  </si>
  <si>
    <t>image/20170224_08520649.jpg</t>
  </si>
  <si>
    <t>image/20170224_08512158.jpg</t>
  </si>
  <si>
    <t>halpanikiran@gmail.com</t>
  </si>
  <si>
    <t>Jaisrikrishna0819</t>
  </si>
  <si>
    <t>kiran</t>
  </si>
  <si>
    <t>Vijayawada</t>
  </si>
  <si>
    <t>PLAYING</t>
  </si>
  <si>
    <t>SHIVJI HIRJI PATEL</t>
  </si>
  <si>
    <t>30-22-119/A , SEETHARAM PURAM ELURU ROAD , VIJAYAWADA 520002</t>
  </si>
  <si>
    <t>image/20170214_002312274.jpg</t>
  </si>
  <si>
    <t>image/20170214_002312253.jpg</t>
  </si>
  <si>
    <t>nakulpatel02@gmail.com</t>
  </si>
  <si>
    <t>nakul1991</t>
  </si>
  <si>
    <t>Nakul</t>
  </si>
  <si>
    <t>Tasgaon</t>
  </si>
  <si>
    <t>i like to learn about new things</t>
  </si>
  <si>
    <t>Bhagwandas</t>
  </si>
  <si>
    <t>Vita road, near water tank , tasgaon</t>
  </si>
  <si>
    <t>image/20170220_02323275.jpg</t>
  </si>
  <si>
    <t>image/20170220_02332660.jpg</t>
  </si>
  <si>
    <t>patelmanish.in@gmail.com</t>
  </si>
  <si>
    <t>P@$$w0rdM</t>
  </si>
  <si>
    <t>Looking for education bride.</t>
  </si>
  <si>
    <t>Kalyanji</t>
  </si>
  <si>
    <t>A-602, Sai Srishti Apartment, Near Amber Plaza Hall, Mira Road East - 401107</t>
  </si>
  <si>
    <t>image/20170221_10350597.jpg</t>
  </si>
  <si>
    <t>image/20170221_10402578.jpg</t>
  </si>
  <si>
    <t>krtrading.1992@gamil.com</t>
  </si>
  <si>
    <t>kratradin.1992</t>
  </si>
  <si>
    <t>Stand tall whatever comes , Interested in building goodwill and facing challenges, All Sports chess, music,</t>
  </si>
  <si>
    <t>Chandulal</t>
  </si>
  <si>
    <t>A-503, sunflower , flower valley , khadakpada , Kalyan (w ).</t>
  </si>
  <si>
    <t>image/20170222_102126344.jpg</t>
  </si>
  <si>
    <t>image/20170222_102126333.jpg</t>
  </si>
  <si>
    <t xml:space="preserve">Mehulpatel8977@gmail.com </t>
  </si>
  <si>
    <t>KiritBhai dholu</t>
  </si>
  <si>
    <t>A-104 shila apartment G.I.D.C Ankleshwer</t>
  </si>
  <si>
    <t>image/20170223_232100324.jpg</t>
  </si>
  <si>
    <t>image/20170223_232100313.jpg</t>
  </si>
  <si>
    <t>hetal.080592@gmail.com</t>
  </si>
  <si>
    <t>poppyseeds243</t>
  </si>
  <si>
    <t xml:space="preserve">Thakarani </t>
  </si>
  <si>
    <t>A psychology professional who loves to travel, emote, and has likes and interests in anything related to lifestyle and fashion. I wish to establish a business and a profound entity out of myself. My interest also lies in criminal psychology and food industry.   In all, wants to live life, to the fullest and would want someone I am with, also do the same.</t>
  </si>
  <si>
    <t>Jayantibhai Ramjibhai Thakarani</t>
  </si>
  <si>
    <t>303-304, Bhaktisagar co-op housing society, satnami chowk, AVG layout, near durga mandir, Lakadganj, nagpur-8</t>
  </si>
  <si>
    <t>image/20170314_00274901.jpg</t>
  </si>
  <si>
    <t>image/20170314_00285476.jpg</t>
  </si>
  <si>
    <t>pateltarun007@yahoo.com</t>
  </si>
  <si>
    <t>222323gsm</t>
  </si>
  <si>
    <t xml:space="preserve">Anjali </t>
  </si>
  <si>
    <t>Hello this is anjali patel. I m in to homeopathic practise as a freelancer. My hobbies are travalling across india. Reading , movies. Many more</t>
  </si>
  <si>
    <t>Bharatbhai lakhubhai pokar</t>
  </si>
  <si>
    <t>Umiyanagar society,kapadwanj road, ta.Dhansura Dis.Aravalli Dhansura</t>
  </si>
  <si>
    <t>image/20170226_011412554.jpg</t>
  </si>
  <si>
    <t>Pratikthakrani7@gmail.com</t>
  </si>
  <si>
    <t>pratik825</t>
  </si>
  <si>
    <t xml:space="preserve">Pratik </t>
  </si>
  <si>
    <t>Thakrani</t>
  </si>
  <si>
    <t>Travelling  is my best hobbie..</t>
  </si>
  <si>
    <t>Dineshbhai</t>
  </si>
  <si>
    <t>Kubadharol kampa  po-kubadharol Ta-vadali  DI-S.K</t>
  </si>
  <si>
    <t>image/20170227_203806804.jpg</t>
  </si>
  <si>
    <t>image/20170227_203806783.jpg</t>
  </si>
  <si>
    <t>rakeshpatel.rp52.rp@gmail.com</t>
  </si>
  <si>
    <t>r9901046477</t>
  </si>
  <si>
    <t>RAKESH</t>
  </si>
  <si>
    <t>BHAGAT</t>
  </si>
  <si>
    <t>INTRESTED IN SERCHING NEW IDEAS IN BUSINESS AND FOR FUEATURE DEVOLOPING LIKE TO SPEND TIME WITH SWEET FAMILY</t>
  </si>
  <si>
    <t>JETHALAL SAMJI BHAGAT</t>
  </si>
  <si>
    <t>NO 92 OPP CHANKESHWARA TEMPLE HENNUR MAIN  ROAD KACHARAKANAHALLI BANGALORE -560084</t>
  </si>
  <si>
    <t>image/20170302_00074940.jpg</t>
  </si>
  <si>
    <t>image/20170302_00082000.jpg</t>
  </si>
  <si>
    <t>siervee@gmail.com</t>
  </si>
  <si>
    <t>wadakhan</t>
  </si>
  <si>
    <t>Karan</t>
  </si>
  <si>
    <t>Siervee</t>
  </si>
  <si>
    <t>Rajnandgaon</t>
  </si>
  <si>
    <t>Spend time with with Family.  Doing Business. Visit &amp; Discover Places. Found of Songs, Garbas(Play) Want to be Busy Always.</t>
  </si>
  <si>
    <t>Nilesh</t>
  </si>
  <si>
    <t>C-22 Sun City ,Raaipurnaka</t>
  </si>
  <si>
    <t>21-28</t>
  </si>
  <si>
    <t>image/20170309_103624414.jpg</t>
  </si>
  <si>
    <t>image/20170309_103624413.jpg</t>
  </si>
  <si>
    <t>Kirandivani@gmail.com</t>
  </si>
  <si>
    <t>patel108</t>
  </si>
  <si>
    <t>CHANDANI</t>
  </si>
  <si>
    <t>Music</t>
  </si>
  <si>
    <t>VIJAY BHAI</t>
  </si>
  <si>
    <t>Bhuj-kutch</t>
  </si>
  <si>
    <t>image/20170310_23112785.jpg</t>
  </si>
  <si>
    <t>maitri.dhoru@gmail.com</t>
  </si>
  <si>
    <t>loveme1661994</t>
  </si>
  <si>
    <t>Maitri</t>
  </si>
  <si>
    <t>Patel  dholu(Only Limited Details)</t>
  </si>
  <si>
    <t>aum.baroda@gmail.com</t>
  </si>
  <si>
    <t>jayahiralal3709</t>
  </si>
  <si>
    <t xml:space="preserve">Maitri </t>
  </si>
  <si>
    <t>Patel Dholu</t>
  </si>
  <si>
    <t>Reading,Travelling</t>
  </si>
  <si>
    <t>Hiralal Dholu</t>
  </si>
  <si>
    <t>9 Ashok Colony,R.v.Desi Road,baroda</t>
  </si>
  <si>
    <t>image/20170310_233228414.jpg</t>
  </si>
  <si>
    <t>image/20170310_233228403.jpg</t>
  </si>
  <si>
    <t>savandholu@yahoo.com</t>
  </si>
  <si>
    <t>kutch123</t>
  </si>
  <si>
    <t xml:space="preserve">Savan </t>
  </si>
  <si>
    <t>Originally from Mumbai , I have been living in Vadodara  for over 3 years. Doing Business as Civil Construction.</t>
  </si>
  <si>
    <t>402 ananta aries, ajwa waghodia ring road, bapod, Vadodara</t>
  </si>
  <si>
    <t>image/20170311_213954114.jpg</t>
  </si>
  <si>
    <t>image/20170311_213954093.jpg</t>
  </si>
  <si>
    <t>Khushboopatel1004@Gmail.com</t>
  </si>
  <si>
    <t xml:space="preserve">Dr Khushboo </t>
  </si>
  <si>
    <t>Patel (Only Limited Details)</t>
  </si>
  <si>
    <t>I like travelling and exploring new places,listening to music and reading.I am a friendly,independent,honest, caring and open minded girl. A hard working &amp; accommodating individual  who believes in living life to the fullest and who believes in family values &amp;  culture but at the same time not being too tied down to it. Modern, ambitious career wise yet family oriented</t>
  </si>
  <si>
    <t>Parbatbhai Patel</t>
  </si>
  <si>
    <t>Khushboo bungalow near patidar bhavan gen. Vaidya nagar nashik</t>
  </si>
  <si>
    <t>Nashik</t>
  </si>
  <si>
    <t>kiranbhojani384@gmail.com</t>
  </si>
  <si>
    <t>k9429759946</t>
  </si>
  <si>
    <t>Kiran</t>
  </si>
  <si>
    <t>Cricket, tour</t>
  </si>
  <si>
    <t>Ishvarbhai</t>
  </si>
  <si>
    <t>25, umapark society,  Nadol road dahegam</t>
  </si>
  <si>
    <t>image/20170315_020017394.jpg</t>
  </si>
  <si>
    <t>image/20170315_020017373.jpg</t>
  </si>
  <si>
    <t>Rajjju8461@gmail.com</t>
  </si>
  <si>
    <t>raJju1672</t>
  </si>
  <si>
    <t>Rajat</t>
  </si>
  <si>
    <t>Hang out, Listenin Song, Gossip, Photography</t>
  </si>
  <si>
    <t>Ashok C Patel</t>
  </si>
  <si>
    <t>4, Geeta Park Society, Near Nehru Chokadi, Dehgam</t>
  </si>
  <si>
    <t>image/20170318_03080045.jpg</t>
  </si>
  <si>
    <t>image/20170317_02261442.gif</t>
  </si>
  <si>
    <t>coolbhadresh13@gmail.com</t>
  </si>
  <si>
    <t>nakrani1991</t>
  </si>
  <si>
    <t>i interest play sport and travelling.Eating verities of food</t>
  </si>
  <si>
    <t>Jayantibhai Manibhai Nakrani</t>
  </si>
  <si>
    <t>ishwrepura kampa,at post khiloda Tal- Bhiloda, Dist- Arrvali</t>
  </si>
  <si>
    <t>26-30</t>
  </si>
  <si>
    <t>image/20170321_20035529.jpg</t>
  </si>
  <si>
    <t>image/20170321_20065413.jpg</t>
  </si>
  <si>
    <t>jag10mysur@gmail.com</t>
  </si>
  <si>
    <t>000000s</t>
  </si>
  <si>
    <t>Jagdish</t>
  </si>
  <si>
    <t>Simple Down to earth person... Searching for soulmate.</t>
  </si>
  <si>
    <t>image/20170322_07355577.jpg</t>
  </si>
  <si>
    <t>patelsandeep9@gmail.com</t>
  </si>
  <si>
    <t>ABCD1234</t>
  </si>
  <si>
    <t>SANDEEP</t>
  </si>
  <si>
    <t>Hobbies are study and traveling.</t>
  </si>
  <si>
    <t>HARESHBHAI A DHOLU</t>
  </si>
  <si>
    <t>201 POOJAN APPT NEAR SBI BANK BESIDE MEGHNA PARK CITYLIGHT SURAT</t>
  </si>
  <si>
    <t>26-31</t>
  </si>
  <si>
    <t>image/20170319_06564584.jpg</t>
  </si>
  <si>
    <t>image/20170319_06560388.jpg</t>
  </si>
  <si>
    <t>ravanitimbers26541@gmail.com</t>
  </si>
  <si>
    <t>rp9067847761</t>
  </si>
  <si>
    <t>bharat</t>
  </si>
  <si>
    <t>Movie</t>
  </si>
  <si>
    <t>parsotambhai</t>
  </si>
  <si>
    <t>104, umanagar society, Megpar borichi,</t>
  </si>
  <si>
    <t>Pratikdiwani49@gemil.com</t>
  </si>
  <si>
    <t>Pratik</t>
  </si>
  <si>
    <t>Hokey</t>
  </si>
  <si>
    <t>Kantibhaidiwani</t>
  </si>
  <si>
    <t>Didoryroad. Nashik.</t>
  </si>
  <si>
    <t>image/20170320_05110198.jpg</t>
  </si>
  <si>
    <t>image/20170320_05114936.jpg</t>
  </si>
  <si>
    <t>patel_maulik_007@yahoo.com</t>
  </si>
  <si>
    <t>PAPA011256</t>
  </si>
  <si>
    <t>MAULIKKUMAR</t>
  </si>
  <si>
    <t>SPORTS, NEW ALL ACTIVITIES</t>
  </si>
  <si>
    <t>JASUBHAI</t>
  </si>
  <si>
    <t>AT. MADASANA KAMPA,POST. MEDHASAN,TA. MODASA, DIST. ARAVALLI,STATE. GUJARAT.- 383276</t>
  </si>
  <si>
    <t>image/20170324_23454262.jpg</t>
  </si>
  <si>
    <t>image/20170324_23460401.jpg</t>
  </si>
  <si>
    <t>Hemantpatel7008@gmail.com</t>
  </si>
  <si>
    <t>japd5273</t>
  </si>
  <si>
    <t>Hemant</t>
  </si>
  <si>
    <t>Like new challenges and exploring life</t>
  </si>
  <si>
    <t>Praveen bhai Patel</t>
  </si>
  <si>
    <t>Shri Shyam Timber traders, behind anshdeep Honda showroom, near patidar bhawan, Rajnandgaon</t>
  </si>
  <si>
    <t>image/20170325_032808964.jpg</t>
  </si>
  <si>
    <t>image/20170325_032808953.jpg</t>
  </si>
  <si>
    <t>Jai0026@yahoo.in</t>
  </si>
  <si>
    <t xml:space="preserve">Jay </t>
  </si>
  <si>
    <t>Rajasthan</t>
  </si>
  <si>
    <t>Kota</t>
  </si>
  <si>
    <t>I like to listening music</t>
  </si>
  <si>
    <t>Narenra patel</t>
  </si>
  <si>
    <t>18- a small scale industrial area</t>
  </si>
  <si>
    <t>image/20170326_10420297.jpg</t>
  </si>
  <si>
    <t>image/20170326_10401997.jpg</t>
  </si>
  <si>
    <t>Akashrangani94@gmail.com</t>
  </si>
  <si>
    <t>aka cartoon94</t>
  </si>
  <si>
    <t>Easily matchup.  Cricket lover. Traditional and fashionable?.  Love to being clear in all situations..</t>
  </si>
  <si>
    <t>Shamjibhai</t>
  </si>
  <si>
    <t>E-1,402 Dhanlaxmi CHS, Mohili Village Ashalpha, Ghatkopar Andheri link road, Sakinaka. Mumbai 400072</t>
  </si>
  <si>
    <t>image/20170331_122257633.jpg</t>
  </si>
  <si>
    <t>Cpatel7990@gmail.com</t>
  </si>
  <si>
    <t>chintan7990</t>
  </si>
  <si>
    <t>.</t>
  </si>
  <si>
    <t>BhagwanDas rudani</t>
  </si>
  <si>
    <t>41, Vaikunth soc, Nr bapod jakat naka, waghodia road Vadodara</t>
  </si>
  <si>
    <t>image/20170519_03495331.jpg</t>
  </si>
  <si>
    <t>image/20170519_03492052.jpg</t>
  </si>
  <si>
    <t>hap1994@gmail.com</t>
  </si>
  <si>
    <t>14mcal106</t>
  </si>
  <si>
    <t>Patel (Shankhala)</t>
  </si>
  <si>
    <t>My hobbies are  watching videos on youtube,travelling,watching films.</t>
  </si>
  <si>
    <t>Arjunbhai Bhanjibhai Patel</t>
  </si>
  <si>
    <t>Sharda Timber Mart, Near Gyanbag, Vadtal-387375, Ta-Nadiad Dist-Kheda</t>
  </si>
  <si>
    <t>image/20180106_05205978.jpg</t>
  </si>
  <si>
    <t>image/20180106_05212366.jpg</t>
  </si>
  <si>
    <t>airforceniki13@gmail.com</t>
  </si>
  <si>
    <t>Bholu@2013</t>
  </si>
  <si>
    <t>nikita</t>
  </si>
  <si>
    <t>rangani(Only Limited Details)</t>
  </si>
  <si>
    <t>ontario</t>
  </si>
  <si>
    <t>toronto</t>
  </si>
  <si>
    <t>ashokpatel9431214677@gmail.com</t>
  </si>
  <si>
    <t>ashokpatel</t>
  </si>
  <si>
    <t>shweta</t>
  </si>
  <si>
    <t>Bihar</t>
  </si>
  <si>
    <t>Bhagalpur</t>
  </si>
  <si>
    <t>My daughter is a fun loving girl.She is currently working in Chennai.She likes to listen music,do cooking.She needs a guy how would respect her and her family.</t>
  </si>
  <si>
    <t>Ashok . Kumar.Patel</t>
  </si>
  <si>
    <t>Laxmi Timber Company,Shekhawat Hussain Lane,Khalifabagh,Bhagalpur,Bihar,812001</t>
  </si>
  <si>
    <t>bombayservicestation@gmail.com</t>
  </si>
  <si>
    <t>919433707811kp</t>
  </si>
  <si>
    <t>vishal</t>
  </si>
  <si>
    <t>West Bengal</t>
  </si>
  <si>
    <t>Howrah</t>
  </si>
  <si>
    <t>I just like being myself</t>
  </si>
  <si>
    <t>amrit lal patel</t>
  </si>
  <si>
    <t>andul ,  rajmath andul howrah-711302</t>
  </si>
  <si>
    <t>image/20170410_23391545.jpg</t>
  </si>
  <si>
    <t>image/20170410_23384320.jpg</t>
  </si>
  <si>
    <t>prreenapatel9@gmail.com</t>
  </si>
  <si>
    <t>reena111185</t>
  </si>
  <si>
    <t>Rupesh</t>
  </si>
  <si>
    <t>Maharashtra</t>
  </si>
  <si>
    <t>Travelling</t>
  </si>
  <si>
    <t>Ishwarbhai Khimji Pokar</t>
  </si>
  <si>
    <t>Flat No. 1, Swapna Vastu, Banarasi nagar, Hirawadi, Panchavati, Nashik - 422003</t>
  </si>
  <si>
    <t>image/20170412_051412504.jpg</t>
  </si>
  <si>
    <t>image/20170412_051412503.jpg</t>
  </si>
  <si>
    <t>vipulpatel2688@gmail.com</t>
  </si>
  <si>
    <t>Vipulkumar</t>
  </si>
  <si>
    <t>My art is my hobby</t>
  </si>
  <si>
    <t>A/p- Uttur, Tal-Aajra, Dist-Kolhapur, state-Maharastra Pin code-416 220</t>
  </si>
  <si>
    <t>image/20170415_044518914.jpg</t>
  </si>
  <si>
    <t>dk.halpani@gmail.com</t>
  </si>
  <si>
    <t>halpani1234</t>
  </si>
  <si>
    <t>Dipesh</t>
  </si>
  <si>
    <t>Halapani</t>
  </si>
  <si>
    <t>cricket,reading books,photography.</t>
  </si>
  <si>
    <t>Dineshbhai kanjibhai halapani</t>
  </si>
  <si>
    <t>M/S Patel stone traders,M/S Patel tiles factory,vakharkar nagar ,parola road, Dhule, Maharashtra.Pin code no. :- 424001</t>
  </si>
  <si>
    <t>23-24</t>
  </si>
  <si>
    <t>image/20170416_082904754.jpg</t>
  </si>
  <si>
    <t>image/20170416_082904753.jpg</t>
  </si>
  <si>
    <t>mehul007_patel@rediffmail.com</t>
  </si>
  <si>
    <t>mptinu7777</t>
  </si>
  <si>
    <t>Sakhla Dayani</t>
  </si>
  <si>
    <t>I have good character. I cannot take cigaratte, alcohol, gutaka. I have good habbit. I have studied BCA. I completed education in English.  I am interested in learn something new &amp; good work in Social.  My hobbies are listening song, travelling, reading, watching movies, cricket, playing cricket</t>
  </si>
  <si>
    <t>Arjun</t>
  </si>
  <si>
    <t>Shri Ram Hardware, 118/6B, P.B.Road, Shiroli(P), Kolhapur- 416122</t>
  </si>
  <si>
    <t>image/20170417_10053284.jpg</t>
  </si>
  <si>
    <t>image/20170417_11195745.jpg</t>
  </si>
  <si>
    <t>dhvl_patel5@yahoo.co.in</t>
  </si>
  <si>
    <t>jayaben23011990</t>
  </si>
  <si>
    <t>dhansura</t>
  </si>
  <si>
    <t>my hobbies are playing tennis, listening music, hanging out with friends, travelling and playing football.</t>
  </si>
  <si>
    <t>jayantibhai patel</t>
  </si>
  <si>
    <t>46 ayodhya nagar society,kapadwanj road,dhansura-383310sabarkantha gujarat</t>
  </si>
  <si>
    <t>image/20170417_23000107.jpg</t>
  </si>
  <si>
    <t>image/20170417_23383897.jpg</t>
  </si>
  <si>
    <t xml:space="preserve">outofruls@gmail.com </t>
  </si>
  <si>
    <t>nikhil003</t>
  </si>
  <si>
    <t xml:space="preserve">Nikhil </t>
  </si>
  <si>
    <t>I am simple and regular gay.</t>
  </si>
  <si>
    <t>Prabhulal Patel</t>
  </si>
  <si>
    <t>Pune pcmc</t>
  </si>
  <si>
    <t>image/20170417_223439413.jpg</t>
  </si>
  <si>
    <t>patel.hosh.jbp@gmail.com</t>
  </si>
  <si>
    <t>p1ssword</t>
  </si>
  <si>
    <t>Hinal</t>
  </si>
  <si>
    <t>Love to explore places and travel.</t>
  </si>
  <si>
    <t>Goverdhan Patel</t>
  </si>
  <si>
    <t>1457/ 1-A, Mahanadda, Madan Mahal Jabalpur</t>
  </si>
  <si>
    <t>image/20170424_10592268.jpg</t>
  </si>
  <si>
    <t>image/20170424_10594237.jpg</t>
  </si>
  <si>
    <t>khushalipatel111@gmail.com</t>
  </si>
  <si>
    <t>khushali7383</t>
  </si>
  <si>
    <t xml:space="preserve">khushali </t>
  </si>
  <si>
    <t>I like to read books and dance</t>
  </si>
  <si>
    <t>Dhirajbhai</t>
  </si>
  <si>
    <t>201,kushan residency , lad society road, nehrupark, vastrapur.</t>
  </si>
  <si>
    <t>22-24</t>
  </si>
  <si>
    <t>ankitpatel15491@yahoo.com</t>
  </si>
  <si>
    <t>jayjalaram123</t>
  </si>
  <si>
    <t>traveling, music listening, dancing</t>
  </si>
  <si>
    <t>suresh patel</t>
  </si>
  <si>
    <t>jalara saw mill , station Road padra</t>
  </si>
  <si>
    <t>image/20170429_095805124.jpg</t>
  </si>
  <si>
    <t>image/20170429_095805123.jpg</t>
  </si>
  <si>
    <t xml:space="preserve">Miteshptl173@gmail.com </t>
  </si>
  <si>
    <t>shubhampatel16</t>
  </si>
  <si>
    <t>Dr Mitesh</t>
  </si>
  <si>
    <t>Travelling, music, food, reading, surfing, swimming, driving,</t>
  </si>
  <si>
    <t>Narsinhbhai</t>
  </si>
  <si>
    <t>Labhpurakampa</t>
  </si>
  <si>
    <t>image/20170625_02513245.jpg</t>
  </si>
  <si>
    <t>image/20170625_02503992.jpg</t>
  </si>
  <si>
    <t>bharatpatel32@gmail.com</t>
  </si>
  <si>
    <t>BANSARI</t>
  </si>
  <si>
    <t>Kalpeshpatel.kp857@gmail.com</t>
  </si>
  <si>
    <t>jyoti1994</t>
  </si>
  <si>
    <t>Kalpesh</t>
  </si>
  <si>
    <t>Yavatmal</t>
  </si>
  <si>
    <t>I like driving.</t>
  </si>
  <si>
    <t>Purushottam</t>
  </si>
  <si>
    <t>Shetkarinagar ,ward no.3 ,wani.</t>
  </si>
  <si>
    <t>image/20170507_09431100.jpg</t>
  </si>
  <si>
    <t>image/20170507_09481107.jpg</t>
  </si>
  <si>
    <t>narenvasani23@gmail.com</t>
  </si>
  <si>
    <t>narendra</t>
  </si>
  <si>
    <t>Riding and movies woching .  Yoga.. Jogging ..And social ectiviti...</t>
  </si>
  <si>
    <t>AMRUTLAL.K.PATEL</t>
  </si>
  <si>
    <t>A-50.Narnarayn bangloz.bholav.bharuch</t>
  </si>
  <si>
    <t>image/20170508_020417104.jpg</t>
  </si>
  <si>
    <t>image/20170508_020417103.jpg</t>
  </si>
  <si>
    <t>bhumikp9@gmail.com</t>
  </si>
  <si>
    <t>b9730691686</t>
  </si>
  <si>
    <t>bhumik</t>
  </si>
  <si>
    <t>surani bhagat</t>
  </si>
  <si>
    <t>CRICKET AND MOVIES</t>
  </si>
  <si>
    <t>NANALAL (NANJIBHAI) VISHRAM SURANI</t>
  </si>
  <si>
    <t>JALARAM NIVASH ,ANAND SAW MILL WAKHARKAR NAGAR,DHULE</t>
  </si>
  <si>
    <t>20-23</t>
  </si>
  <si>
    <t>image/20170513_025756304.jpg</t>
  </si>
  <si>
    <t>image/20170513_025756303.jpg</t>
  </si>
  <si>
    <t>rajsurani@gmail.com</t>
  </si>
  <si>
    <t>khushboo08</t>
  </si>
  <si>
    <t>Surgeon Lieutenant Ankit</t>
  </si>
  <si>
    <t>Surani</t>
  </si>
  <si>
    <t>Listening Bollywood Music and Playing Cricket</t>
  </si>
  <si>
    <t>Harishchandra Surani</t>
  </si>
  <si>
    <t>D/204, ThirupatiDarshan, Patharli Road, Gograsswadi, Dombivli (E),District.  Thane,Maharashtra. 421201 - INDIA.</t>
  </si>
  <si>
    <t>image/20170516_10112978.jpg</t>
  </si>
  <si>
    <t>harshadjabwani@gmail.com</t>
  </si>
  <si>
    <t>mehul@43</t>
  </si>
  <si>
    <t>JABWANI</t>
  </si>
  <si>
    <t>PLAYING CRICKET,WACHING MOVIES</t>
  </si>
  <si>
    <t>HARSHAD</t>
  </si>
  <si>
    <t>228,KAPSE CHOWK GAROBA MAIDAN NAGPUR</t>
  </si>
  <si>
    <t>image/20170516_053733064.jpg</t>
  </si>
  <si>
    <t>image/20170516_053733063.jpg</t>
  </si>
  <si>
    <t>hardikpatel131292@yahoo.in</t>
  </si>
  <si>
    <t>sureshbhaimb1312</t>
  </si>
  <si>
    <t>perth</t>
  </si>
  <si>
    <t>perth CBD</t>
  </si>
  <si>
    <t>not now</t>
  </si>
  <si>
    <t>sureshbhai</t>
  </si>
  <si>
    <t>image/20170517_042658054.jpg</t>
  </si>
  <si>
    <t>image/20170517_042658053.jpg</t>
  </si>
  <si>
    <t xml:space="preserve">maheshvelani7@gmail.com </t>
  </si>
  <si>
    <t>Mahesh</t>
  </si>
  <si>
    <t>Velani</t>
  </si>
  <si>
    <t>Movie, playing cricket &amp; also read the books.</t>
  </si>
  <si>
    <t>S.no.83/1/2,C-103,rajas residency, dangat patil nagar, shivane, pune:411023.</t>
  </si>
  <si>
    <t>image/20170519_11260799.jpg</t>
  </si>
  <si>
    <t>image/20170519_11281535.jpg</t>
  </si>
  <si>
    <t>Narendrapatel231496@gmail.com</t>
  </si>
  <si>
    <t>narendra6</t>
  </si>
  <si>
    <t>Narendra</t>
  </si>
  <si>
    <t>I am very lovely parson ...I am glad you are interested in my profile. I have completed my Masters. My outlook towards life is modern, but I'm equally grounded in our traditions. I would love to meet someone who is loyal, loving to share my life with.</t>
  </si>
  <si>
    <t>Lakhamshibhai</t>
  </si>
  <si>
    <t>Om traders..at post mhalsakore talk.NIPHAD nashik422103</t>
  </si>
  <si>
    <t>image/20170523_123137384.jpg</t>
  </si>
  <si>
    <t>image/20170523_123137373.jpg</t>
  </si>
  <si>
    <t>Mail4sagarpatel@gmail.com</t>
  </si>
  <si>
    <t>sagar152207</t>
  </si>
  <si>
    <t>Traveling, Gaming, Some time books</t>
  </si>
  <si>
    <t>image/20170526_00382898.jpg</t>
  </si>
  <si>
    <t>image/20170526_00390532.jpg</t>
  </si>
  <si>
    <t>patelnd92@gmail.com</t>
  </si>
  <si>
    <t>BeetelCpu1992</t>
  </si>
  <si>
    <t>Choudhary</t>
  </si>
  <si>
    <t>Interested in Graphic Design &amp; Photography</t>
  </si>
  <si>
    <t>9, Parmukhraj Park, Jitodia Road, Anand - 388001</t>
  </si>
  <si>
    <t>image/20170602_09505819.gif</t>
  </si>
  <si>
    <t>image/20170602_09213239.gif</t>
  </si>
  <si>
    <t>deepaksankhla22@gmail</t>
  </si>
  <si>
    <t>Dipak</t>
  </si>
  <si>
    <t>travelling, Music and spending time with friends and myself which I like most, I m an open book for very few  wise people,rest of can not read me..I think so. and I love my parents so much..  Mostly my mom.</t>
  </si>
  <si>
    <t>11, Laxmi home society, S.V.I.T Collage road, vasad</t>
  </si>
  <si>
    <t>image/20170601_100241134.jpg</t>
  </si>
  <si>
    <t>image/20170601_100241113.jpg</t>
  </si>
  <si>
    <t>hardikravani1995@gmail.com</t>
  </si>
  <si>
    <t>hardik1995</t>
  </si>
  <si>
    <t>HARDIK</t>
  </si>
  <si>
    <t>RAVANI</t>
  </si>
  <si>
    <t>I like reading and travelling</t>
  </si>
  <si>
    <t>SHANTILAL</t>
  </si>
  <si>
    <t>C/o. Gayatri Traders, Near Bus Station, Opposite Telephone Exchange, A/p. Otur, Tal. Junnar, Dist. Pune - 412409</t>
  </si>
  <si>
    <t>20-22</t>
  </si>
  <si>
    <t>image/20170613_05110210.bmp</t>
  </si>
  <si>
    <t>image/20170613_05132403.bmp</t>
  </si>
  <si>
    <t>geetakhetani31@gmail.com</t>
  </si>
  <si>
    <t>shinchan31</t>
  </si>
  <si>
    <t>Geeta</t>
  </si>
  <si>
    <t>Khetani</t>
  </si>
  <si>
    <t>I'm a fashion designer currently working as freelancer. I'm more of a social person. Besides my hobbies are singing, traveling, reading, cooking, driving, trekking and so on.. I'm into yoga practise and somewhere to spiritual process. As I strongly believe in mental and physical stability.</t>
  </si>
  <si>
    <t>Hiralal gangaram khetani</t>
  </si>
  <si>
    <t>Rudraksh app. ,MIDC,satpur,  nashik.</t>
  </si>
  <si>
    <t>image/20170607_104146054.jpg</t>
  </si>
  <si>
    <t>image/20170607_104146033.jpg</t>
  </si>
  <si>
    <t>kirtipatel574@gmail.com</t>
  </si>
  <si>
    <t>kirtipatel574</t>
  </si>
  <si>
    <t>Kirti</t>
  </si>
  <si>
    <t>Playing cricket,  volleyball, carrom, etc</t>
  </si>
  <si>
    <t>Lalji bhai Vishram bhai Pokar</t>
  </si>
  <si>
    <t>Shree Sarswati Traders, At/Post:Bamaniya, Nr. Mahuva Sugar Factory, Ta:Mahuva, Dist:Surat</t>
  </si>
  <si>
    <t>image/20170612_085317444.jpg</t>
  </si>
  <si>
    <t>image/20170612_085317433.jpg</t>
  </si>
  <si>
    <t>Aashish Patel</t>
  </si>
  <si>
    <t>ashish@9736</t>
  </si>
  <si>
    <t>Ashish</t>
  </si>
  <si>
    <t>I am an educated person.I am very decent &amp; emotional person.I don't believe in show up.My hobbies are cricket &amp; travel to different places.</t>
  </si>
  <si>
    <t>22 Ankur society Dhansura road At &amp; Po VadagamDist -Arvalli</t>
  </si>
  <si>
    <t>image/20170613_10051558.jpg</t>
  </si>
  <si>
    <t>image/20170613_10055302.jpg</t>
  </si>
  <si>
    <t>kesharanir@yahoo.com</t>
  </si>
  <si>
    <t>bhanjibhai123</t>
  </si>
  <si>
    <t>CHIRAG</t>
  </si>
  <si>
    <t>KESHARANI</t>
  </si>
  <si>
    <t>I have completed my B.TECH with Distinctions and further studied in IMT-Dubai and BURGUNDY SCHOOL OF BUSINESS -  DIJON-FRANCE. In football I represented my school and college in state level and at present I am Partner and Director of MAPAC TECHNOLOGY (Industries).  READING BOOKS,PLAYING FOOTBALL,PLAYING MUSIC,</t>
  </si>
  <si>
    <t>Dr. RAMJI</t>
  </si>
  <si>
    <t>Dr. Ramji Bhanji KesharaniBhuj -Nakhtrana HighwayMankuvaBhuj-KutchPin - 370030</t>
  </si>
  <si>
    <t>18-26</t>
  </si>
  <si>
    <t>image/20170614_053848474.jpg</t>
  </si>
  <si>
    <t>image/20170614_053848473.jpg</t>
  </si>
  <si>
    <t>rp225981@gmail.com</t>
  </si>
  <si>
    <t>7777914488ashapura</t>
  </si>
  <si>
    <t>DILIP KUMAR</t>
  </si>
  <si>
    <t>PARSOTTAM</t>
  </si>
  <si>
    <t>Bhavnagar</t>
  </si>
  <si>
    <t>Watch movie  Playing volleyball Music</t>
  </si>
  <si>
    <t>parsottam bhai</t>
  </si>
  <si>
    <t>Jay Ashapura timber Lati bajar  Opp.rly crossing  Botad</t>
  </si>
  <si>
    <t>20-28</t>
  </si>
  <si>
    <t>Annulled</t>
  </si>
  <si>
    <t>image/20170622_023257894.jpg</t>
  </si>
  <si>
    <t>image/20170622_023257873.jpg</t>
  </si>
  <si>
    <t>Dhavak420@gmail.com</t>
  </si>
  <si>
    <t>d1h1a1v1a1l1</t>
  </si>
  <si>
    <t>Kampala</t>
  </si>
  <si>
    <t>I like riding books &amp; playing cricket</t>
  </si>
  <si>
    <t>A2 Aashirwad society Anand</t>
  </si>
  <si>
    <t>image/20170705_04481960.jpg</t>
  </si>
  <si>
    <t>image/20170705_04491590.jpg</t>
  </si>
  <si>
    <t>Patel.vishal0187@gmail.com</t>
  </si>
  <si>
    <t>vishal12</t>
  </si>
  <si>
    <t xml:space="preserve">Vishal </t>
  </si>
  <si>
    <t>I am simplistic,open mined, creative and fun loving person, Reading, Listening music, Travelling with family.</t>
  </si>
  <si>
    <t>Shantilal H Patel</t>
  </si>
  <si>
    <t>S/5 Krishanakunj Tenament P.D.Pandya collage road ghodasar Ahmedabad</t>
  </si>
  <si>
    <t>image/20180213_08354077.jpg</t>
  </si>
  <si>
    <t>image/20180213_08365946.jpg</t>
  </si>
  <si>
    <t>rajnikantpatelrajni@gmail.com</t>
  </si>
  <si>
    <t>Mayurmdp@5391</t>
  </si>
  <si>
    <t>Mayur</t>
  </si>
  <si>
    <t>Bhadani</t>
  </si>
  <si>
    <t>Kannad AURANGABAD</t>
  </si>
  <si>
    <t>I am very gentle, handsome boy.</t>
  </si>
  <si>
    <t>Manilal Kehta Bhadani</t>
  </si>
  <si>
    <t>New Patel plywood &amp; hardware, Pishor Naka, Kannad, Dist Aurangabad</t>
  </si>
  <si>
    <t>23-23</t>
  </si>
  <si>
    <t>image/20170720_00194946.jpg</t>
  </si>
  <si>
    <t>image/20170720_00201019.jpg</t>
  </si>
  <si>
    <t>dvp_hmt@rediffmail.com</t>
  </si>
  <si>
    <t>girish94270</t>
  </si>
  <si>
    <t>Parth Girishbhai</t>
  </si>
  <si>
    <t>Studying at Australia in Master in Management Engineering</t>
  </si>
  <si>
    <t>Girishbhai Dholu</t>
  </si>
  <si>
    <t>17-Rajtirth Township, Behind Medistar Hospital, Opp.Piplikampa Dhansura Road, Himatnagar</t>
  </si>
  <si>
    <t>image/20170711_04445390.jpg</t>
  </si>
  <si>
    <t>image/20170711_04454231.jpg</t>
  </si>
  <si>
    <t>devilpatel88888@gmail.com</t>
  </si>
  <si>
    <t>qwert12345</t>
  </si>
  <si>
    <t>AMIT</t>
  </si>
  <si>
    <t>POKAAR</t>
  </si>
  <si>
    <t>NOT 100% PERFECT BECOZ NO ONE IS THERE 100% MY HOBBIES PLAY GAMES AND MUSIC  MAKING NEW FRDS   INTEREST IS IN MY MOTIVE AND FUTURE AND SPECIALLY IN MY FAMILY</t>
  </si>
  <si>
    <t>image/20181204_03262234.jpg</t>
  </si>
  <si>
    <t>image/20181204_03273945.jpg</t>
  </si>
  <si>
    <t>Kwm.patel@yahoo.co.in</t>
  </si>
  <si>
    <t>k9314090883</t>
  </si>
  <si>
    <t>Mitul</t>
  </si>
  <si>
    <t>Amravati</t>
  </si>
  <si>
    <t>Reading</t>
  </si>
  <si>
    <t>Shantilal patel</t>
  </si>
  <si>
    <t>Mahak sadan near gurudwara gandhinagar amravati. Pin.444606</t>
  </si>
  <si>
    <t>image/20170720_10161681.jpg</t>
  </si>
  <si>
    <t>image/20170720_10164619.jpg</t>
  </si>
  <si>
    <t>keeranpokar007@gmail.com</t>
  </si>
  <si>
    <t>k2n421993</t>
  </si>
  <si>
    <t>Cricket long drive music different types of foods</t>
  </si>
  <si>
    <t>Gangdasbhai</t>
  </si>
  <si>
    <t>Silky vatika, near kanya sala, sarsa-anand</t>
  </si>
  <si>
    <t>image/20170715_235251864.jpg</t>
  </si>
  <si>
    <t>image/20170715_235251863.jpg</t>
  </si>
  <si>
    <t>dakshapatel7217@gmail.com</t>
  </si>
  <si>
    <t>dimpalpatel</t>
  </si>
  <si>
    <t>Daksha</t>
  </si>
  <si>
    <t>image/20180209_23512200.jpg</t>
  </si>
  <si>
    <t>image/20180209_23513747.jpg</t>
  </si>
  <si>
    <t>drtwinkle6@gmail.com</t>
  </si>
  <si>
    <t>shivsagar6</t>
  </si>
  <si>
    <t>Twinkle</t>
  </si>
  <si>
    <t>Ravani</t>
  </si>
  <si>
    <t>My Interest are Reading,Travelling,Music,Photography</t>
  </si>
  <si>
    <t>Chhaganbhai Ravani</t>
  </si>
  <si>
    <t>A-102,Dharnidhar Pride,Near Science city,Behind Avirat house,Sola science city road,Ahmedabad-380060.</t>
  </si>
  <si>
    <t>image/20170723_074327594.jpg</t>
  </si>
  <si>
    <t>image/20170723_074327593.jpg</t>
  </si>
  <si>
    <t>rajeshsenghani@ymail.com</t>
  </si>
  <si>
    <t>rajusen1375</t>
  </si>
  <si>
    <t>Senghani</t>
  </si>
  <si>
    <t>Reading paying indore Game</t>
  </si>
  <si>
    <t>Flat no 8,shubh laxmi apartment chetenya shankul lakda vakhar katrap Badlapur East</t>
  </si>
  <si>
    <t>Widowed</t>
  </si>
  <si>
    <t>image/20170726_033436454.jpg</t>
  </si>
  <si>
    <t>image/20170726_033436403.jpg</t>
  </si>
  <si>
    <t>loveneshpatel@live.com</t>
  </si>
  <si>
    <t>luckie9425@</t>
  </si>
  <si>
    <t>Lovenesh</t>
  </si>
  <si>
    <t>Satna</t>
  </si>
  <si>
    <t>I am glad you are intrested in my profile. I have completed my bachelors. I am friendly and down to earth person. All in all. i am looking for a companion who would be my best friend with whom i can have intresting conversation enjoy finer things in life. I love photography and traveling</t>
  </si>
  <si>
    <t>Arjun Patel</t>
  </si>
  <si>
    <t>C/O sharda Vijay saw mill , maihar</t>
  </si>
  <si>
    <t>image/20170729_233923664.jpg</t>
  </si>
  <si>
    <t>image/20170729_233923303.jpg</t>
  </si>
  <si>
    <t>Jigneshgorani98@gmail.Com</t>
  </si>
  <si>
    <t>Vijay</t>
  </si>
  <si>
    <t>Chitradurga</t>
  </si>
  <si>
    <t>Playing and making new special  Visit new places</t>
  </si>
  <si>
    <t>Dayalal m gorani</t>
  </si>
  <si>
    <t>Sri laxmi sawmill holalkere road hosdurga577527</t>
  </si>
  <si>
    <t>image/20170802_10085428.jpg</t>
  </si>
  <si>
    <t>image/20170802_10095725.jpg</t>
  </si>
  <si>
    <t>prijesh1990@gmail.com</t>
  </si>
  <si>
    <t>upsc1990</t>
  </si>
  <si>
    <t>Prijesh</t>
  </si>
  <si>
    <t>No Say</t>
  </si>
  <si>
    <t>A18 Shiwalik Greens, Bayad, Arvalli, Gujarat-383325</t>
  </si>
  <si>
    <t>image/20170803_013125374.jpg</t>
  </si>
  <si>
    <t>image/20170803_013125373.jpg</t>
  </si>
  <si>
    <t>kiran.limbani8528@gmail.com</t>
  </si>
  <si>
    <t>premila2417</t>
  </si>
  <si>
    <t>Kirankumar</t>
  </si>
  <si>
    <t>I am a brown skinned professor who likes to watch lots of movies, travel and passionate about sleeping. I like adventurous trips and sports. I like playing all the sports rather than watching them. There is a small portion of me which likes to read some books. Interested in mythology and likes to explore more about it.</t>
  </si>
  <si>
    <t>Kantilal</t>
  </si>
  <si>
    <t>At post: Jiayapar,tal: Nakhatranadist: Kutch370030</t>
  </si>
  <si>
    <t>image/20170803_081525864.jpg</t>
  </si>
  <si>
    <t>image/20170803_081525853.jpg</t>
  </si>
  <si>
    <t>Deepaknisha52@gmail.com</t>
  </si>
  <si>
    <t>n6726767267</t>
  </si>
  <si>
    <t>Naveen</t>
  </si>
  <si>
    <t>Special character</t>
  </si>
  <si>
    <t>Babulal Patel</t>
  </si>
  <si>
    <t>#1-26/2, Vishaka nagar, PERKIT, armoor-Nzb</t>
  </si>
  <si>
    <t>image/20170804_051852644.jpg</t>
  </si>
  <si>
    <t>image/20170804_051852643.jpg</t>
  </si>
  <si>
    <t>sanket.patel96@gmail.com</t>
  </si>
  <si>
    <t>Sanket@1993</t>
  </si>
  <si>
    <t>Sanket</t>
  </si>
  <si>
    <t>I'M SIMPLE PERSON WHO HAS PRACTICAL APPROACH TO EVERY LIFE PROBLEM WHICH NEEDS INTELLECTUAL STRATEGY</t>
  </si>
  <si>
    <t>PRAVIN BHANJIBHAI DIWANI</t>
  </si>
  <si>
    <t>OM NIWAS BEHIND GIRNA STEEL SOYGAON, MALEGAON, (NASHIK)</t>
  </si>
  <si>
    <t>image/20170903_10171956.jpg</t>
  </si>
  <si>
    <t>Dipeshbhavani@gmail.com</t>
  </si>
  <si>
    <t>dipsbhavani93</t>
  </si>
  <si>
    <t>Believe in my self confidence I like playing cricket nd watching movies</t>
  </si>
  <si>
    <t>image/20170808_03430274.jpg</t>
  </si>
  <si>
    <t>image/20170808_03415736.jpg</t>
  </si>
  <si>
    <t>vipul21290@gmail.com</t>
  </si>
  <si>
    <t>Vimal</t>
  </si>
  <si>
    <t>Umreth</t>
  </si>
  <si>
    <t>Free minded Listing devotional songs Reading Etc</t>
  </si>
  <si>
    <t>Bhavani karshanbhai vishrambhai</t>
  </si>
  <si>
    <t>Pipadi mata mandir pase,Dist-anandUmreth-388220</t>
  </si>
  <si>
    <t>image/20170808_09033433.jpg</t>
  </si>
  <si>
    <t>image/20170808_09040522.jpg</t>
  </si>
  <si>
    <t>buntyboy.1990@gmail.com</t>
  </si>
  <si>
    <t>ravi9849164246</t>
  </si>
  <si>
    <t>Karthik</t>
  </si>
  <si>
    <t>Listening Music Watching Movies Long Drives</t>
  </si>
  <si>
    <t>Ravi lal jeevraj sankla</t>
  </si>
  <si>
    <t>1-2-25/A, Pragathinagar, Peddapalli</t>
  </si>
  <si>
    <t>image/20170831_09062405.jpg</t>
  </si>
  <si>
    <t>image/20170831_09065903.jpg</t>
  </si>
  <si>
    <t>riyapatel24100201@gmail.com</t>
  </si>
  <si>
    <t>jaiumiyamaa123</t>
  </si>
  <si>
    <t>Jiten</t>
  </si>
  <si>
    <t>Frndly,independent, calm in nature,enjoying life to d fullest</t>
  </si>
  <si>
    <t>Bhagwan das patel</t>
  </si>
  <si>
    <t>Patel cable,bhanpuri,raipur,c.g.</t>
  </si>
  <si>
    <t>image/20170815_22314836.jpg</t>
  </si>
  <si>
    <t>image/20170815_22311064.jpg</t>
  </si>
  <si>
    <t>manilal@navnirman.in</t>
  </si>
  <si>
    <t>mercedesbenz1A</t>
  </si>
  <si>
    <t>I am self-employed with a master's degree currently living in Hyderabad. I belong to nuclear family with moderate values.  People describe me as simple, kind, jovial, sweet and dynamic. My hobbies and interests are traveling, playing musical instruments, listening to music and movies.</t>
  </si>
  <si>
    <t>Manilal Patel</t>
  </si>
  <si>
    <t>image/20170817_102019204.jpg</t>
  </si>
  <si>
    <t>image/20170817_102019193.jpg</t>
  </si>
  <si>
    <t>patelhimanshu.3631@gmail.com</t>
  </si>
  <si>
    <t>manthan3631</t>
  </si>
  <si>
    <t>HIMANSHU</t>
  </si>
  <si>
    <t>CHHABHAIYA</t>
  </si>
  <si>
    <t>IT &amp; new electronic gadgets  daily learn new tachnologys</t>
  </si>
  <si>
    <t>ANILBHAI</t>
  </si>
  <si>
    <t>41/B VEDANT VATIKA THASRA -388250</t>
  </si>
  <si>
    <t>image/20170821_023531434.jpg</t>
  </si>
  <si>
    <t>image/20170821_023531423.jpg</t>
  </si>
  <si>
    <t>dipam20divani@gmail.com</t>
  </si>
  <si>
    <t>dipam214</t>
  </si>
  <si>
    <t>kajal lakhamsi diwani</t>
  </si>
  <si>
    <t>diwani</t>
  </si>
  <si>
    <t>Akola</t>
  </si>
  <si>
    <t>DANCEING  IS  HOBBY</t>
  </si>
  <si>
    <t>LAKHAMSI ARJUN DIVANI</t>
  </si>
  <si>
    <t>SURAJDEEP APT RAM DAS PETH AKOLA</t>
  </si>
  <si>
    <t>image/20171223_23110664.jpg</t>
  </si>
  <si>
    <t>image/20171223_23104349.jpg</t>
  </si>
  <si>
    <t>patelpragnesh735@gmail.com</t>
  </si>
  <si>
    <t>Patel99091</t>
  </si>
  <si>
    <t>Pragnesh</t>
  </si>
  <si>
    <t>hey, i am pragnesh and i   Everyday work to improve myself and my skills which is part of maturing and becoming better at what I do. more than i like net surfing, sports, swimming and interest in cars.</t>
  </si>
  <si>
    <t>Maganbhai Abjibhai Limbani</t>
  </si>
  <si>
    <t>101, 102, Yogeshwar Society, near Dharam nagar A. K. road Surat, Gujarat.</t>
  </si>
  <si>
    <t>Never Married,Divorced,Awaiting Divorce,Annulled</t>
  </si>
  <si>
    <t>image/20170909_09104814.jpg</t>
  </si>
  <si>
    <t>image/20170909_09075476.jpg</t>
  </si>
  <si>
    <t>priyapatel.030892@gmail.com</t>
  </si>
  <si>
    <t>sweta501</t>
  </si>
  <si>
    <t>Sweta</t>
  </si>
  <si>
    <t>My sister is a well educated B.H.M.S Doctor practicing for experience.</t>
  </si>
  <si>
    <t>Hiralal</t>
  </si>
  <si>
    <t>A-17 Morlidhar Society,Odhav Main Road,Odhav, AhmedabadGujarat - 382415</t>
  </si>
  <si>
    <t>image/20170914_07422402.jpg</t>
  </si>
  <si>
    <t>image/20170914_07424047.jpg</t>
  </si>
  <si>
    <t>brijesh.pokar@gmail.com</t>
  </si>
  <si>
    <t>nackedbitch7</t>
  </si>
  <si>
    <t>Brijesh</t>
  </si>
  <si>
    <t>I am a straightforward and down to earth person. I live my life on ethics. simplicity amazes me. I am divorced twice. I enjoy spending quality time with family. My occupation is related to Auto Customization, as i enjoy my work.</t>
  </si>
  <si>
    <t>Natvarlal Devjibhai Patel</t>
  </si>
  <si>
    <t>B/37, Part-2, Prerna tenament, Near paras nagar, Behind namrata society, Isanpur, Ahmedabad, Gujarat.</t>
  </si>
  <si>
    <t>26-33</t>
  </si>
  <si>
    <t>image/20170915_010514394.jpg</t>
  </si>
  <si>
    <t>image/20170915_010514383.jpg</t>
  </si>
  <si>
    <t>smithpatel970@gmail.com</t>
  </si>
  <si>
    <t>p@telsmit123</t>
  </si>
  <si>
    <t>Smit</t>
  </si>
  <si>
    <t>Myself Smit Patel. There are 3 members In my family father,  Mother and Me. I have completed BCA in 2015 from BAOU.  My Hobby is Travelling</t>
  </si>
  <si>
    <t>Indravadan</t>
  </si>
  <si>
    <t>E/16 Jagannathpuram Flat,  Opp Lalbaug,  Manjalpur,  Vadodara</t>
  </si>
  <si>
    <t>image/20170915_030148854.jpg</t>
  </si>
  <si>
    <t>image/20170915_030148833.jpg</t>
  </si>
  <si>
    <t>Uravashibhimani@gmail.com</t>
  </si>
  <si>
    <t>28111993ABCD</t>
  </si>
  <si>
    <t xml:space="preserve">Uravashi </t>
  </si>
  <si>
    <t xml:space="preserve">Bhimani </t>
  </si>
  <si>
    <t>Love to accept new challenges</t>
  </si>
  <si>
    <t>Kundan Bhimani</t>
  </si>
  <si>
    <t>image/20170920_20553356.jpg</t>
  </si>
  <si>
    <t>image/20170920_20592919.jpg</t>
  </si>
  <si>
    <t xml:space="preserve">Jigneshpatel172194@gmail.com </t>
  </si>
  <si>
    <t>Jigs1721</t>
  </si>
  <si>
    <t xml:space="preserve">Jignesh </t>
  </si>
  <si>
    <t>I am single and my Interest in Reading books and get a knowledge in Economy in every day of our country.</t>
  </si>
  <si>
    <t>Pravin bhai</t>
  </si>
  <si>
    <t>87, HariOm Nagar, Near Jalaram Mandir, Demai Road, Himatnagar</t>
  </si>
  <si>
    <t>image/20171018_03272538.jpg</t>
  </si>
  <si>
    <t>image/20171018_03261591.jpg</t>
  </si>
  <si>
    <t>jigneshp495@gmail.com</t>
  </si>
  <si>
    <t>gj01kd0121</t>
  </si>
  <si>
    <t xml:space="preserve">Chabhaiya </t>
  </si>
  <si>
    <t>Dahegam</t>
  </si>
  <si>
    <t>Want to live every moment of life with joy.</t>
  </si>
  <si>
    <t>Dayarambhai</t>
  </si>
  <si>
    <t>Ghadge Mala near Taran Talao Nashik Road Nashik</t>
  </si>
  <si>
    <t>27-33</t>
  </si>
  <si>
    <t>image/20171104_04234729.jpg</t>
  </si>
  <si>
    <t>image/20171104_04255497.jpg</t>
  </si>
  <si>
    <t>csmehul22@gmail.com</t>
  </si>
  <si>
    <t>MehulPatel@22111989</t>
  </si>
  <si>
    <t>Bhanvadiya</t>
  </si>
  <si>
    <t>Front-End Developer at Krish Compusoft Services Pvt. Ltd. - Ahmedabad</t>
  </si>
  <si>
    <t>Rashikbhai Bavanjibhai Bhanvadiya</t>
  </si>
  <si>
    <t>Nr. Elishbridge cross road, Elishbridge, Ahmedabad.-380006.</t>
  </si>
  <si>
    <t>image/20171105_06344581.jpg</t>
  </si>
  <si>
    <t>image/20171105_06350442.jpg</t>
  </si>
  <si>
    <t>jbpokar2211@gmail.com</t>
  </si>
  <si>
    <t>jigar2211</t>
  </si>
  <si>
    <t>JIGARKUMAR</t>
  </si>
  <si>
    <t>I looking smart Education al girls whose nature is softly harmful . My hobby in sports reading and traveling at natural places</t>
  </si>
  <si>
    <t>BABUBHAI</t>
  </si>
  <si>
    <t>25,A one society,Nr shardakunj, Motipura, Himatnagar,Sabarkantha,Gujarat</t>
  </si>
  <si>
    <t>image/20171114_070234594.jpg</t>
  </si>
  <si>
    <t>image/20171114_070234593.jpg</t>
  </si>
  <si>
    <t>jay_5890@yahoo.in</t>
  </si>
  <si>
    <t>jaye5hva5an1</t>
  </si>
  <si>
    <t>Jayesh</t>
  </si>
  <si>
    <t>Ontario</t>
  </si>
  <si>
    <t>Toronto</t>
  </si>
  <si>
    <t>Traveling, Driving &amp; Out-door leisure</t>
  </si>
  <si>
    <t>Shivji Khimji Vasani</t>
  </si>
  <si>
    <t>C/O Shree Jay Krishna Traders, Opp. Hariom Indu.Estate, Pij-Road, At Tundel  -  387230 Taluko  -  Nadiad  Dist.  -  Kheda,  Gujarat</t>
  </si>
  <si>
    <t>image/20171121_100244664.jpg</t>
  </si>
  <si>
    <t>image/20171121_100244663.jpg</t>
  </si>
  <si>
    <t>appu972525@gmail.com</t>
  </si>
  <si>
    <t>jayjalaram</t>
  </si>
  <si>
    <t>ankit</t>
  </si>
  <si>
    <t>Like social services. God shiva lover.</t>
  </si>
  <si>
    <t>Jalaram saw mill,Station road, opposite girls school, padra</t>
  </si>
  <si>
    <t>image/20180327_10210476.jpg</t>
  </si>
  <si>
    <t>image/20180327_10242255.jpg</t>
  </si>
  <si>
    <t>tbpatel_2009@yahoo.co.in</t>
  </si>
  <si>
    <t>tbpatel1959</t>
  </si>
  <si>
    <t>Dimpi</t>
  </si>
  <si>
    <t>Patel Rangani</t>
  </si>
  <si>
    <t>Tribhuvan</t>
  </si>
  <si>
    <t>607/B, Raheja Green, Raheja Estate,Kulupwadi Road,Near National ParkBorivali (East)Mumbai=400066</t>
  </si>
  <si>
    <t>image/20171126_05551285.jpg</t>
  </si>
  <si>
    <t>image/20171126_05554873.jpg</t>
  </si>
  <si>
    <t xml:space="preserve">bhaveshdiwani1111@gmail.com </t>
  </si>
  <si>
    <t>bh@vesh11</t>
  </si>
  <si>
    <t>I like travelling, sports and create a new contact with new person</t>
  </si>
  <si>
    <t>A/p yadrav phata, sangli road Ichalkaranji</t>
  </si>
  <si>
    <t>image/20171211_08324564.jpg</t>
  </si>
  <si>
    <t>image/20171211_21465080.jpg</t>
  </si>
  <si>
    <t>rocks25112008@gmail.com</t>
  </si>
  <si>
    <t>rahul251189</t>
  </si>
  <si>
    <t>I'm very honest,loyal,matured,loving &amp; caring.i'm down to earth &amp; alwys respect my family.i  love sports,movies,photography &amp; travelling.</t>
  </si>
  <si>
    <t>Chandubhai</t>
  </si>
  <si>
    <t>15,Nandanvan bunglows,near smruti mandir,canal road,ghodasar,ahmedabad.</t>
  </si>
  <si>
    <t>image/20171204_231241434.jpg</t>
  </si>
  <si>
    <t>image/20171204_231241383.jpg</t>
  </si>
  <si>
    <t>Ketanpatel5050@gmail.com</t>
  </si>
  <si>
    <t>ketan12345</t>
  </si>
  <si>
    <t xml:space="preserve">Ketan </t>
  </si>
  <si>
    <t>Intrest in sports activities.</t>
  </si>
  <si>
    <t>Hari Bhai dholu</t>
  </si>
  <si>
    <t>237 k,  Scheme no. 71 Sectore A  indore</t>
  </si>
  <si>
    <t>image/20171214_103743314.jpg</t>
  </si>
  <si>
    <t>image/20171214_103743303.jpg</t>
  </si>
  <si>
    <t>gujratimatrimony2017@gmail.com</t>
  </si>
  <si>
    <t>gujmat2017</t>
  </si>
  <si>
    <t>Vaishali</t>
  </si>
  <si>
    <t>Jharkhand</t>
  </si>
  <si>
    <t>Ranchi</t>
  </si>
  <si>
    <t>I have created this profile for my younger sister Vaishali. Our family is originally from Gujarat but we are settled in Ranchi. Our all relatives resides in different cities of gujarat. My sister is an officer with a bachelor's degree working in government sector. She is employed with Allahabad Bank. She is currently living in Ranchi along with parents. Her job is transferable to groom's location after marriage. We come from a middle class, nuclear family background with moderate values. She is kind hearted, understanding, helping in nature. She likes to spend her free time with family and friends.  Vaishali is a simple, kind hearted girl who loves and respects her family a lot.She likes to spend time with her family &amp; friends.</t>
  </si>
  <si>
    <t>Kishore J Patel</t>
  </si>
  <si>
    <t>10A Purulia Road, Near Jharkhand Hospital, Kanta Toli Chowk, Ranchi, Jharkhand - 834001</t>
  </si>
  <si>
    <t>image/20171218_090448164.jpg</t>
  </si>
  <si>
    <t>image/20171218_090448163.jpg</t>
  </si>
  <si>
    <t>Rajkot</t>
  </si>
  <si>
    <t>Ghanshyamraj1979@gmail.com</t>
  </si>
  <si>
    <t>Mohanlal patel</t>
  </si>
  <si>
    <t>Plot no 11/2 gat no472/2 Indraprastha colony Jalgaon MH 425002</t>
  </si>
  <si>
    <t>36-36</t>
  </si>
  <si>
    <t>Divorced,Widowed</t>
  </si>
  <si>
    <t>image/20180102_060840884.jpg</t>
  </si>
  <si>
    <t>image/20180102_060840883.jpg</t>
  </si>
  <si>
    <t>Suresh.umabeats@gmail.com</t>
  </si>
  <si>
    <t>suresh123</t>
  </si>
  <si>
    <t xml:space="preserve">Chandni </t>
  </si>
  <si>
    <t>Nakarani</t>
  </si>
  <si>
    <t>A warm and ambitious person with full of life and energy combined with high morality, famjly values. My hobby is singing, acting, travelling and knowing different cultures</t>
  </si>
  <si>
    <t>Suresh nakarani</t>
  </si>
  <si>
    <t>Kalawad road, rajkot</t>
  </si>
  <si>
    <t>image/20180102_082127684.jpg</t>
  </si>
  <si>
    <t>image/20180102_082127673.jpg</t>
  </si>
  <si>
    <t>tarunpokar@gmail.com</t>
  </si>
  <si>
    <t>tp77tarun</t>
  </si>
  <si>
    <t xml:space="preserve">Tarun </t>
  </si>
  <si>
    <t>Bellary</t>
  </si>
  <si>
    <t>Vry hardworking n I believe in living life wit positivity n enjoy life to fullest... i do believe in karma... do good n good comes to u.... much more to say n if u lik my profile thn feel free to contact.. all the best for ur search</t>
  </si>
  <si>
    <t>Hansraj Pokar</t>
  </si>
  <si>
    <t>Bhuvana building... Sindgi compound. Near Raghavendra theatre.. bellary Karnataka</t>
  </si>
  <si>
    <t>image/20180116_22243681.jpg</t>
  </si>
  <si>
    <t>dxt3794@gmail.com</t>
  </si>
  <si>
    <t>Dixit6594</t>
  </si>
  <si>
    <t>Dixit</t>
  </si>
  <si>
    <t>Emerging entrepreneur</t>
  </si>
  <si>
    <t>Kesarvadi, B/h Police station Waghodia, Vadodara</t>
  </si>
  <si>
    <t>image/20180110_21424602.jpg</t>
  </si>
  <si>
    <t>image/20180110_21425739.jpg</t>
  </si>
  <si>
    <t>jeegar.pokar@gmail.com</t>
  </si>
  <si>
    <t>94264j29263</t>
  </si>
  <si>
    <t>Traveling, Reading</t>
  </si>
  <si>
    <t>MUKESHBHAI</t>
  </si>
  <si>
    <t>Jiyapar, Ta: Nakhatrana - Kutch</t>
  </si>
  <si>
    <t>image/20180117_22465629.jpg</t>
  </si>
  <si>
    <t>image/20180117_09002246.jpg</t>
  </si>
  <si>
    <t>vijaypatel5555@rediffmail.com</t>
  </si>
  <si>
    <t>rach1991</t>
  </si>
  <si>
    <t>Rachna</t>
  </si>
  <si>
    <t>Jagdalpur</t>
  </si>
  <si>
    <t>studying &amp; music</t>
  </si>
  <si>
    <t>Ramnik lal Patel</t>
  </si>
  <si>
    <t>Nayapara , Jagdalpur (C.G.)</t>
  </si>
  <si>
    <t>image/20180123_05314780.jpg</t>
  </si>
  <si>
    <t>image/20180123_05324370.jpg</t>
  </si>
  <si>
    <t>kamleshraj86@yahoo.co.in</t>
  </si>
  <si>
    <t>kamleshraj86</t>
  </si>
  <si>
    <t>Nothing</t>
  </si>
  <si>
    <t>Late. Mohanlal  patel</t>
  </si>
  <si>
    <t>56 khandesh mill   complex jalgaon</t>
  </si>
  <si>
    <t>30-38</t>
  </si>
  <si>
    <t>image/20180117_220823544.jpg</t>
  </si>
  <si>
    <t>image/20180117_220823513.jpg</t>
  </si>
  <si>
    <t>Smileyjigar@gmail.com</t>
  </si>
  <si>
    <t>jigar123</t>
  </si>
  <si>
    <t>Ahmednagar</t>
  </si>
  <si>
    <t>Traveling , watching movies, Typing</t>
  </si>
  <si>
    <t>Ravjibhai Gopalbhai Bhavani</t>
  </si>
  <si>
    <t>Jalna road, kushal Nagar ,Aurangabad.</t>
  </si>
  <si>
    <t>image/20180118_010455804.jpg</t>
  </si>
  <si>
    <t>image/20180118_010455783.jpg</t>
  </si>
  <si>
    <t>Jitupatel77777@gmail.com</t>
  </si>
  <si>
    <t>jitu9090</t>
  </si>
  <si>
    <t>Jitu pkoar</t>
  </si>
  <si>
    <t>Jitu</t>
  </si>
  <si>
    <t>Tarveling</t>
  </si>
  <si>
    <t>Laljibhai Pokar</t>
  </si>
  <si>
    <t>19-29</t>
  </si>
  <si>
    <t>image/20180119_234134524.jpg</t>
  </si>
  <si>
    <t>image/20180119_234134473.jpg</t>
  </si>
  <si>
    <t>rahulpatel12309@gmail.com</t>
  </si>
  <si>
    <t>Rahul1282</t>
  </si>
  <si>
    <t>Rahulkumar</t>
  </si>
  <si>
    <t>I want to become successful person in my Civil Engineering field. Fulfill my as well as my parents all dreams as soon as I complete my Master Studies . And always passionate about my work because I am workoholic person. And my hobbies are playing Cricket, Volleyball, Chess and I love to travel.</t>
  </si>
  <si>
    <t>Tulsidas Bhavani</t>
  </si>
  <si>
    <t>A/5 Flat no. 6, Jalvayu Vihar, Sec. No. 06, Near Spine City Mall, Moshi PCNTDA, Moshi, Pune (Maharashtra)-412405</t>
  </si>
  <si>
    <t>image/20180126_22122961.jpg</t>
  </si>
  <si>
    <t>image/20180126_22125851.jpg</t>
  </si>
  <si>
    <t>jittu.swastik@gmail.com</t>
  </si>
  <si>
    <t>bhavna@26</t>
  </si>
  <si>
    <t xml:space="preserve">Jiten </t>
  </si>
  <si>
    <t>Watching Movies, Travelling To New Places, Learning New Things,</t>
  </si>
  <si>
    <t>MANSUKH LAL KHETANI</t>
  </si>
  <si>
    <t>Flat No. 404, Arjuna Heights, Near Arora Dharmkanta, Bhanpuri, Raipur, (C.G.)</t>
  </si>
  <si>
    <t>image/20180123_12362847.jpg</t>
  </si>
  <si>
    <t>image/20180123_12364852.jpg</t>
  </si>
  <si>
    <t>Varsha2013in@rediffmail.com</t>
  </si>
  <si>
    <t>VARSHA1234</t>
  </si>
  <si>
    <t>Sonu</t>
  </si>
  <si>
    <t>Love to smile</t>
  </si>
  <si>
    <t>Basant bhai</t>
  </si>
  <si>
    <t>image/20190321_02304893.jpg</t>
  </si>
  <si>
    <t>image/20190321_02312405.jpg</t>
  </si>
  <si>
    <t>hmb108@gmail.com</t>
  </si>
  <si>
    <t>hmb123hmb</t>
  </si>
  <si>
    <t>BHAWANI</t>
  </si>
  <si>
    <t>TRAVELING, SWIMMING, READING.</t>
  </si>
  <si>
    <t>MOHANLAL JIVRAJBHAI BHAWANI</t>
  </si>
  <si>
    <t>35, KAMLA BHUVAN, SANGHANI ESTATE,L.B.S. MARG, GHATKOPAR (W), MUMBAI-400086.</t>
  </si>
  <si>
    <t>image/20180125_05333433.jpg</t>
  </si>
  <si>
    <t>image/20180125_05335719.jpg</t>
  </si>
  <si>
    <t>vasant_patel008@rediffmail.com</t>
  </si>
  <si>
    <t>vp241064</t>
  </si>
  <si>
    <t>akash</t>
  </si>
  <si>
    <t>Chhindwara</t>
  </si>
  <si>
    <t>COMPLITED BE.BTECH.IN OCKLAND.NEWZEALAND. looking life partner.</t>
  </si>
  <si>
    <t>vasant bhai patel jadwani</t>
  </si>
  <si>
    <t>shri sharda saw mill, station road ,umranala.dist chhindwara [m.p]</t>
  </si>
  <si>
    <t>image/20180129_223053014.jpg</t>
  </si>
  <si>
    <t>image/20180129_223052993.jpg</t>
  </si>
  <si>
    <t>jigarsankhlavirani@gmail.com</t>
  </si>
  <si>
    <t>Jig@r2790</t>
  </si>
  <si>
    <t>hello, my self Jigar. I like to learn new things from various sources, music, travelling etc.</t>
  </si>
  <si>
    <t>Jentilal</t>
  </si>
  <si>
    <t>199, Patelwas, Vijaynagar, Virani Nani(Gadh), Ta. Mandvi Kachchh 370445</t>
  </si>
  <si>
    <t>image/20180204_05164413.bmp</t>
  </si>
  <si>
    <t>image/20180204_05160230.bmp</t>
  </si>
  <si>
    <t>Karanpatel2688@gmail.com</t>
  </si>
  <si>
    <t>26@karan</t>
  </si>
  <si>
    <t>Painting, playing badmintant</t>
  </si>
  <si>
    <t>Parshottambhai</t>
  </si>
  <si>
    <t>5, sahakar apartment, Nr. Panchartna app. Ellorapark, Vadodara 390023</t>
  </si>
  <si>
    <t>image/20180208_003454734.jpg</t>
  </si>
  <si>
    <t>image/20180208_003454613.jpg</t>
  </si>
  <si>
    <t>jigar8394@gmail.com</t>
  </si>
  <si>
    <t>jigar9051</t>
  </si>
  <si>
    <t>I enjoy solving problems, troubleshooting issues, and coming up with solutions in a timely manner. I thrive in team settings, and I think my ability to effectively communicate with others is what drives my ability to solve a variety of problems.</t>
  </si>
  <si>
    <t>Devendrabhai</t>
  </si>
  <si>
    <t>Gokul nagar  Near bus station gadhsisa</t>
  </si>
  <si>
    <t>image/20180212_10344541.jpg</t>
  </si>
  <si>
    <t>image/20180212_10342153.jpg</t>
  </si>
  <si>
    <t>Kavya.rudani@gmail.com</t>
  </si>
  <si>
    <t>kavya1993</t>
  </si>
  <si>
    <t>Premji Bhai Rudani</t>
  </si>
  <si>
    <t>Patel was, near Bus Station, Devisar</t>
  </si>
  <si>
    <t>image/20180214_12300581.jpg</t>
  </si>
  <si>
    <t>image/20180214_12302073.jpg</t>
  </si>
  <si>
    <t xml:space="preserve">patel.mahendra763@gmail.com </t>
  </si>
  <si>
    <t>ardpp5807c</t>
  </si>
  <si>
    <t>Kaushik</t>
  </si>
  <si>
    <t>Playing cricket and travelling</t>
  </si>
  <si>
    <t>Mahendra</t>
  </si>
  <si>
    <t>Om apartment  Saibaba  nagar Ringroad Kharbi  squar Nagpur</t>
  </si>
  <si>
    <t>image/20180217_09255871.jpg</t>
  </si>
  <si>
    <t>Neha.patidar110@gmail.com</t>
  </si>
  <si>
    <t>neha1992</t>
  </si>
  <si>
    <t xml:space="preserve">Neha </t>
  </si>
  <si>
    <t>My daughter is  passionate person with clear goals,she love music and always ready to learn new things</t>
  </si>
  <si>
    <t>Ambalal</t>
  </si>
  <si>
    <t>Sanyara yax tal Nakhatrana Kachchh</t>
  </si>
  <si>
    <t>image/20180222_05313501.jpg</t>
  </si>
  <si>
    <t>image/20180222_05371831.jpg</t>
  </si>
  <si>
    <t>Makani.pradeep@gmail.com</t>
  </si>
  <si>
    <t>PRADEEP31</t>
  </si>
  <si>
    <t>Pradeep</t>
  </si>
  <si>
    <t>Hii</t>
  </si>
  <si>
    <t>Mahendrabhai</t>
  </si>
  <si>
    <t>B-108 paras SOS katargam surat</t>
  </si>
  <si>
    <t>18-40</t>
  </si>
  <si>
    <t>image/20180223_11185122.jpg</t>
  </si>
  <si>
    <t>image/20180223_11222799.jpg</t>
  </si>
  <si>
    <t>Kevalpatel207@gmail. Com</t>
  </si>
  <si>
    <t>keval@12345</t>
  </si>
  <si>
    <t xml:space="preserve">Keval </t>
  </si>
  <si>
    <t>Meet me and know about my self</t>
  </si>
  <si>
    <t>122 nilkamal society opp galaxy cinema naroda Ahmadabad</t>
  </si>
  <si>
    <t>image/20180305_213111654.jpg</t>
  </si>
  <si>
    <t>image/20180305_213111643.jpg</t>
  </si>
  <si>
    <t>mm30261@gmail.com</t>
  </si>
  <si>
    <t>andhra pradesh</t>
  </si>
  <si>
    <t>hyderabad</t>
  </si>
  <si>
    <t>my self mahendra, m from hyderabad, m cool luking and my hobbies playing cricket, friends , travellling, chating</t>
  </si>
  <si>
    <t>jayanthilal bhawani</t>
  </si>
  <si>
    <t>plot no.49, hyderabad</t>
  </si>
  <si>
    <t>image/20180321_02234424.jpg</t>
  </si>
  <si>
    <t>image/20180320_10122798.jpg</t>
  </si>
  <si>
    <t>klt6145@gmail.com</t>
  </si>
  <si>
    <t>letap20118</t>
  </si>
  <si>
    <t>Kunal</t>
  </si>
  <si>
    <t xml:space="preserve">Makani </t>
  </si>
  <si>
    <t>I am straight forward  My hobbies are playing cricket and PS games</t>
  </si>
  <si>
    <t>Mohanlal makani</t>
  </si>
  <si>
    <t>H. No 7-1-118/4&amp;5S v colony Bairamalguda Hyderabad</t>
  </si>
  <si>
    <t>image/20180325_06431848.jpg</t>
  </si>
  <si>
    <t>image/20180325_06473617.jpg</t>
  </si>
  <si>
    <t>pratikpatel80555@gmail.com</t>
  </si>
  <si>
    <t>Pratik@1991</t>
  </si>
  <si>
    <t>Bhagat</t>
  </si>
  <si>
    <t>Reading, Traveling</t>
  </si>
  <si>
    <t>Bhimji bhai</t>
  </si>
  <si>
    <t>Miraroad</t>
  </si>
  <si>
    <t>image/20181109_00080580.jpg</t>
  </si>
  <si>
    <t>image/20181109_00053069.jpg</t>
  </si>
  <si>
    <t>Mavanivishal96@gmail.com</t>
  </si>
  <si>
    <t>mavani3830</t>
  </si>
  <si>
    <t>Monika</t>
  </si>
  <si>
    <t>Riding</t>
  </si>
  <si>
    <t>Ashok bhaimavani</t>
  </si>
  <si>
    <t>Gayatritimbar mart neyar saibabatempal lakhawad road mehasana</t>
  </si>
  <si>
    <t>image/20180321_220436104.jpg</t>
  </si>
  <si>
    <t>image/20180321_220436093.jpg</t>
  </si>
  <si>
    <t>Patel.Kirti24@gmail.com</t>
  </si>
  <si>
    <t>kirti14728</t>
  </si>
  <si>
    <t>Music and reading. Travel</t>
  </si>
  <si>
    <t>Vishnubhai</t>
  </si>
  <si>
    <t>At po-Visalvasna.dist-patan.state- Gujrat</t>
  </si>
  <si>
    <t>image/20180328_014555384.jpg</t>
  </si>
  <si>
    <t>image/20180328_014446523.jpg</t>
  </si>
  <si>
    <t>Vipulworld03@yahoo.com</t>
  </si>
  <si>
    <t>vipnir.03</t>
  </si>
  <si>
    <t>I  m free minded person. I like to explore new fields of learning something new , never satisfied with knowledge i have , always want  to learn something more , That's  why I like to teach also.</t>
  </si>
  <si>
    <t>Ravaji bhai khimaji diwani</t>
  </si>
  <si>
    <t>Shree maruti traders , A/p yadrav fata, opp- petrol pump, ichalkaranji-sangli road , ichalkaranji-sangli. Pin - 416121</t>
  </si>
  <si>
    <t>image/20180329_05353653.jpg</t>
  </si>
  <si>
    <t>image/20180329_05415851.jpg</t>
  </si>
  <si>
    <t>bhaviknkn@gmail.com</t>
  </si>
  <si>
    <t>umiya@204</t>
  </si>
  <si>
    <t xml:space="preserve">BHAVIK </t>
  </si>
  <si>
    <t>SHARJAH</t>
  </si>
  <si>
    <t>I am caring, loving, understanding, trustworthy, honest and kind hearted human being. I come from a middle class family. I think family as the first priority of my life. I believe in success through hard work &amp; dedication. My motto in life is to ‘If you want something, work hard &amp; you will achieve it; there are no shot cuts’. I enjoy life to the fullest &amp; love humour. I like travelling, swimming, cooking and watching movies</t>
  </si>
  <si>
    <t>TULSIDAS RATANSI NAKARANI</t>
  </si>
  <si>
    <t>14/B, BLDG #1, SHIVAM COMPLEX, RAJAJI RD, 3rd CROSS LANE, BEHIND PATKAR SCHOOL, RAM NAGAR, DOMBIVLI EAST,421201, THANE, MAHARASHTRA, INDIA.</t>
  </si>
  <si>
    <t>image/20180405_23550936.gif</t>
  </si>
  <si>
    <t>image/20180405_23582674.gif</t>
  </si>
  <si>
    <t>bp7254824@gmail.com</t>
  </si>
  <si>
    <t xml:space="preserve">Bharat  </t>
  </si>
  <si>
    <t xml:space="preserve">Shankhla </t>
  </si>
  <si>
    <t>Mehsana</t>
  </si>
  <si>
    <t>Reading, listening, playing</t>
  </si>
  <si>
    <t>Bhavanbhai patel</t>
  </si>
  <si>
    <t>Ambaliyasn Mehsana</t>
  </si>
  <si>
    <t>image/20180417_06144922.jpg</t>
  </si>
  <si>
    <t>image/20180417_17392705.jpg</t>
  </si>
  <si>
    <t>pateldip1993@gmail.com</t>
  </si>
  <si>
    <t>Yesyou123</t>
  </si>
  <si>
    <t>Architect | Businessman | Entrepreneur |</t>
  </si>
  <si>
    <t>Damodar</t>
  </si>
  <si>
    <t>Patel stone traders , behind cotton market, dhule</t>
  </si>
  <si>
    <t>image/20180420_12065058.jpg</t>
  </si>
  <si>
    <t>image/20180420_12070325.jpg</t>
  </si>
  <si>
    <t>ypyogesh666@gmail.com</t>
  </si>
  <si>
    <t>Yogesh</t>
  </si>
  <si>
    <t>Gondiya</t>
  </si>
  <si>
    <t>I am very honest and do business very honestly</t>
  </si>
  <si>
    <t>Himmatbhai Pokar</t>
  </si>
  <si>
    <t>Flat No.202 Kavlya Apartment Ramnagar Gondia</t>
  </si>
  <si>
    <t>image/20180423_08573238.jpg</t>
  </si>
  <si>
    <t>image/20180423_08585602.jpg</t>
  </si>
  <si>
    <t>ptl.rajeshh@gmail.com</t>
  </si>
  <si>
    <t>apbpp2786l</t>
  </si>
  <si>
    <t>rajesh</t>
  </si>
  <si>
    <t>shankhla</t>
  </si>
  <si>
    <t>hi thre thanks for visiting my profile i believe in family values and positivity.i am energetic,lively &amp; caring boy having passion for life art. .Love myself keeping fit and healthy, Very Honest,caring balance of Modern &amp; traditional values, respect elders, believe: give respect take respect.  Also enjoy travelling,  i sped some time with my Family and Friends , some time watch movies , shopping,trying new food and places</t>
  </si>
  <si>
    <t>Mohan</t>
  </si>
  <si>
    <t>RNO.3 KALOLA NIVAS M/A MEHTA COMP OLD MANEKLAL L.B.S.Marg AGRA ROAD GHATKOPAR W MUMBAI 400086</t>
  </si>
  <si>
    <t>30-35</t>
  </si>
  <si>
    <t>image/20180427_10562196.jpg</t>
  </si>
  <si>
    <t>image/20180427_10260264.jpg</t>
  </si>
  <si>
    <t>patel.ritesh0102@gmail.com</t>
  </si>
  <si>
    <t>gujju0102</t>
  </si>
  <si>
    <t>I am a simple person who believes in honesty &amp; moral values. I also believe in pursuing goals that brings change in the society. Music and badminton is something that keeps me motivated and healthy.</t>
  </si>
  <si>
    <t>Liladhar Patel</t>
  </si>
  <si>
    <t>K-401, Darshanam Antica Society, Dhanteshwar, Vadodara, Gujarat</t>
  </si>
  <si>
    <t>image/20180506_22282163.jpg</t>
  </si>
  <si>
    <t>image/20180506_22340143.jpg</t>
  </si>
  <si>
    <t>bhagatrajesh.n@gmail.com</t>
  </si>
  <si>
    <t>Raju294287</t>
  </si>
  <si>
    <t>listen Music, Travel,</t>
  </si>
  <si>
    <t>Naran</t>
  </si>
  <si>
    <t>Deshalpar (Vandhay), Bhuj - Kutch 370040</t>
  </si>
  <si>
    <t>image/20180509_07532112.jpg</t>
  </si>
  <si>
    <t>image/20180509_07533475.jpg</t>
  </si>
  <si>
    <t>Umesh.bhut@gmail.com</t>
  </si>
  <si>
    <t>bhut2182</t>
  </si>
  <si>
    <t>Bhut</t>
  </si>
  <si>
    <t>Cricket, travelling, music, all type work</t>
  </si>
  <si>
    <t>Chandu bhai</t>
  </si>
  <si>
    <t>Veraval shapar Shree harinagar block no 89 Sidc Road</t>
  </si>
  <si>
    <t>image/20180514_023006684.jpg</t>
  </si>
  <si>
    <t>image/20180514_023006673.jpg</t>
  </si>
  <si>
    <t>vmklati@gmail.com</t>
  </si>
  <si>
    <t>mk981969</t>
  </si>
  <si>
    <t>Umang</t>
  </si>
  <si>
    <t>Myself Umang Virendrabhai Patel , lives in Australia for study n my native place is Visnagar , MESHANA ,North GUJARAT. Right now I m studying master in professional account in Australia. I m tall ,fair, handsome n Smart.  I m interested in meeting peoples, playing chess n listeng music</t>
  </si>
  <si>
    <t>Virendrabhai  Mavjibhai Halpani</t>
  </si>
  <si>
    <t>M.K. Patel &amp; Co.,Kansa char raste (sardar circle),VisnagarDIS: Meshana,North Gujarat</t>
  </si>
  <si>
    <t>image/20180514_21460916.jpg</t>
  </si>
  <si>
    <t>image/20180514_21464250.jpg</t>
  </si>
  <si>
    <t>bipinlimbani@gmail.com</t>
  </si>
  <si>
    <t>9bhl9364</t>
  </si>
  <si>
    <t>BIPIN</t>
  </si>
  <si>
    <t>LIMBANI</t>
  </si>
  <si>
    <t>I've completed my graduation from Pune University and now I'm pursuing CA(Final). Currently working as a tax consultant.     I'm simple and down to earth and fun loving boy and believe in simple living &amp; high thinking. I come from middle class family. I am modern thinker but also believe in good values given by our ancestors. I love singing, listening to music and eagerness to learn something new every time.    I believe in success through hard work &amp; dedication. My motto in life is to ‘If you want something, work hard &amp; you will achieve it; there are no shot cuts’. I enjoy life to the fullest &amp; love humour. I am a progressive thinker &amp; respect each person’s space &amp; values.</t>
  </si>
  <si>
    <t>HIRALAL</t>
  </si>
  <si>
    <t>C-2, SWAPNARANJAN APPT, BEHING YES BANK, PATAS ROAD, DAUND, PUNE-413801</t>
  </si>
  <si>
    <t>image/20180515_082323254.jpg</t>
  </si>
  <si>
    <t>image/20180515_082323243.jpg</t>
  </si>
  <si>
    <t>Dhawalpatel2008@gmail.com</t>
  </si>
  <si>
    <t>dhawal067</t>
  </si>
  <si>
    <t>Dhawal patel</t>
  </si>
  <si>
    <t>Parasiya</t>
  </si>
  <si>
    <t>Ishwar bhai patel</t>
  </si>
  <si>
    <t>Nemavar road, khategaon dist. Dewas</t>
  </si>
  <si>
    <t>image/20180516_034504624.jpg</t>
  </si>
  <si>
    <t>image/20180516_034504583.jpg</t>
  </si>
  <si>
    <t>Hiren.nakarani143@gmail.com</t>
  </si>
  <si>
    <t>Nakarani@18</t>
  </si>
  <si>
    <t>Hiren</t>
  </si>
  <si>
    <t>SportsMan Play For Cricket</t>
  </si>
  <si>
    <t>Virendra bhai Nakrani</t>
  </si>
  <si>
    <t>Navavas-Ravapar</t>
  </si>
  <si>
    <t>image/20180518_23153686.jpg</t>
  </si>
  <si>
    <t>image/20180518_23160200.jpg</t>
  </si>
  <si>
    <t>Niravsenghani@gmail.com</t>
  </si>
  <si>
    <t>dillusenghani9</t>
  </si>
  <si>
    <t xml:space="preserve">Nirav </t>
  </si>
  <si>
    <t>Interested in Business development and sports activities</t>
  </si>
  <si>
    <t>Navinchandra</t>
  </si>
  <si>
    <t>Bungalow no. 06, Ilark homes prisha park society, nr. Ganshyan nagar, Mundra Kutch</t>
  </si>
  <si>
    <t>image/20180519_10093302.jpg</t>
  </si>
  <si>
    <t>image/20180519_10045063.jpg</t>
  </si>
  <si>
    <t>jayeshnc25985@gmail.com</t>
  </si>
  <si>
    <t>jnc5126j</t>
  </si>
  <si>
    <t>jayesh</t>
  </si>
  <si>
    <t>chaudhari</t>
  </si>
  <si>
    <t>cricket</t>
  </si>
  <si>
    <t>narottambhai</t>
  </si>
  <si>
    <t>B/202 Shila Recidency,Nr 500qurters, GIDC Ankleshwar Gujarat</t>
  </si>
  <si>
    <t>24-32</t>
  </si>
  <si>
    <t>image/20180520_195120964.jpg</t>
  </si>
  <si>
    <t>image/20180520_195120953.jpg</t>
  </si>
  <si>
    <t>pravin61@gmail.com</t>
  </si>
  <si>
    <t>01@umiya</t>
  </si>
  <si>
    <t>Kndarp</t>
  </si>
  <si>
    <t>London</t>
  </si>
  <si>
    <t>---</t>
  </si>
  <si>
    <t>Pravin Pokar</t>
  </si>
  <si>
    <t>Flower Valley, Block-C6, Flat-104,493/B, G.T.Road (S), Howrah 711102</t>
  </si>
  <si>
    <t>image/20180527_07414111.jpg</t>
  </si>
  <si>
    <t>image/20180527_07421486.jpg</t>
  </si>
  <si>
    <t>amithpatel95@rediff.com</t>
  </si>
  <si>
    <t>bang1992</t>
  </si>
  <si>
    <t>amith</t>
  </si>
  <si>
    <t>READING BOOKS, SWIMING,PLAYING CRICKET,TRAVELING</t>
  </si>
  <si>
    <t>NANDU BHAI BHAWANI</t>
  </si>
  <si>
    <t>#100, 1 ST B MAIN ROAD DEFENCE COLONY ,HESSARGHATTA MAIN ROAD BANGALORE 560073</t>
  </si>
  <si>
    <t>image/20180530_01174898.jpg</t>
  </si>
  <si>
    <t>image/20180530_01181580.jpg</t>
  </si>
  <si>
    <t>patelbhavesh780@yahoo.com</t>
  </si>
  <si>
    <t>Uvesh900</t>
  </si>
  <si>
    <t>I'm passionate person with clear goals, love music, playing football always ready to learn new things. Doing Freelancing in Administrator Task, Data Task, Web Research as Additional Profession.</t>
  </si>
  <si>
    <t>Vithal Bhai Patel</t>
  </si>
  <si>
    <t>#86/87 Reliable Dwarka Apartment Flat 8 Upadhyay Layout, Near SBI Bank, Nagadevanahalli Bangalore 560056</t>
  </si>
  <si>
    <t>image/20180530_05082748.jpg</t>
  </si>
  <si>
    <t>image/20180530_05051159.jpg</t>
  </si>
  <si>
    <t>rameshpatel2596@gmail.com</t>
  </si>
  <si>
    <t>Haresh</t>
  </si>
  <si>
    <t>Book reading, listening music are my most hobbies.</t>
  </si>
  <si>
    <t>Govind Patel</t>
  </si>
  <si>
    <t>#86/87 Relaible Dwaraka Apartment, Upadhayaya Layout,           Nagadevanahalli Banaglore 560056</t>
  </si>
  <si>
    <t>image/20180610_23361905.jpg</t>
  </si>
  <si>
    <t>image/20180610_23362926.jpg</t>
  </si>
  <si>
    <t>soundwawe89@gmail.com</t>
  </si>
  <si>
    <t>jignesh123</t>
  </si>
  <si>
    <t>jignesh</t>
  </si>
  <si>
    <t>I  m  simple caring boy ,  painting , music , and  business</t>
  </si>
  <si>
    <t>Hansraj kanj bhavani</t>
  </si>
  <si>
    <t>A.303 sarthi anekshi ,B/H-maruti Suzuki show room opp.dastan farm .Ahmedabad Gujarat  pin.382430</t>
  </si>
  <si>
    <t>image/20180608_00344421.jpg</t>
  </si>
  <si>
    <t>image/20180608_00355865.jpg</t>
  </si>
  <si>
    <t>bhavesh343@gmail.com</t>
  </si>
  <si>
    <t>kardoshaadi123</t>
  </si>
  <si>
    <t>Chinsurah</t>
  </si>
  <si>
    <t>I am a very shy type, smiling, etc</t>
  </si>
  <si>
    <t>Lt Umesh Kumar Patel</t>
  </si>
  <si>
    <t>Barabazar Chandannagar Hooghly West Bengal</t>
  </si>
  <si>
    <t>image/20180613_23271186.jpg</t>
  </si>
  <si>
    <t>image/20180613_23282650.jpg</t>
  </si>
  <si>
    <t>ompatelbz@gmail.com</t>
  </si>
  <si>
    <t>Umiya123@123</t>
  </si>
  <si>
    <t>Om</t>
  </si>
  <si>
    <t>Fun loving, down to earth.  Hobbies include reading, traveling, music, cricket</t>
  </si>
  <si>
    <t>Praful</t>
  </si>
  <si>
    <t>D 901, Tanish Orchid, Alandi, Pune, Pin-412105</t>
  </si>
  <si>
    <t>image/20180611_090029194.jpg</t>
  </si>
  <si>
    <t>image/20180611_090029173.jpg</t>
  </si>
  <si>
    <t>pareshh2310@gmail.com</t>
  </si>
  <si>
    <t xml:space="preserve">Hareshkumar Chandulal </t>
  </si>
  <si>
    <t>Traveling, watching movies,</t>
  </si>
  <si>
    <t>At &amp; post-Takhatgadh Taluka-PrantijDist-sabarkantha</t>
  </si>
  <si>
    <t>30-36</t>
  </si>
  <si>
    <t>image/20180617_09470170.jpg</t>
  </si>
  <si>
    <t>image/20180617_09473360.jpg</t>
  </si>
  <si>
    <t>dhaval.senghaani@gmail.com</t>
  </si>
  <si>
    <t>asdfghjkl58</t>
  </si>
  <si>
    <t xml:space="preserve">DrDhaval </t>
  </si>
  <si>
    <t xml:space="preserve">Senghaani </t>
  </si>
  <si>
    <t>Medicos, Reading. Writing, Entrepreneur,  Adventure,  Music......</t>
  </si>
  <si>
    <t>35/A, Shreevin Bungalow, Kutchhi Society, Khed Tasiya Road, Himmatnagar.</t>
  </si>
  <si>
    <t>image/20180619_08254192.jpg</t>
  </si>
  <si>
    <t>image/20180619_08264619.jpg</t>
  </si>
  <si>
    <t>nikidoors@gmail.com</t>
  </si>
  <si>
    <t>honey@8384</t>
  </si>
  <si>
    <t>NIKITA</t>
  </si>
  <si>
    <t>Versatile person. loves to work professionally as well as doing household work .. Hobbies include dancing, playing few sports, learning new subjects/fields.</t>
  </si>
  <si>
    <t>MADHUSUDAN P PATEL</t>
  </si>
  <si>
    <t># 16 1ST CROSS 6TH MAIN 2ND STAGE BTM LAYOUT NEAR KARNATAKA BANK  BANGALORE 560076</t>
  </si>
  <si>
    <t>image/20180622_00555462.jpg</t>
  </si>
  <si>
    <t>image/20180622_00561778.jpg</t>
  </si>
  <si>
    <t>hardik.patel807@gmail.com</t>
  </si>
  <si>
    <t>hardik70224</t>
  </si>
  <si>
    <t>Ashokbhai Ramanbhain Pokar</t>
  </si>
  <si>
    <t>2 Aradhna Society, Mahavirnagar, Himatnagar</t>
  </si>
  <si>
    <t>image/20180622_233025234.jpg</t>
  </si>
  <si>
    <t>image/20180622_233025233.jpg</t>
  </si>
  <si>
    <t>Harsukpatel@Gmail.com</t>
  </si>
  <si>
    <t>harsukpatel</t>
  </si>
  <si>
    <t>Watch movies Play cricket And moor</t>
  </si>
  <si>
    <t>Shankarlal patel</t>
  </si>
  <si>
    <t>Shankarlal patel 3-6-282/A S B H colony chintal kunta K/v  rangareddy  Telangana</t>
  </si>
  <si>
    <t>28-30</t>
  </si>
  <si>
    <t>image/20180624_011436124.jpg</t>
  </si>
  <si>
    <t>image/20180624_011436003.jpg</t>
  </si>
  <si>
    <t>rudanimanoj1@gmail.com</t>
  </si>
  <si>
    <t>MANOJ123</t>
  </si>
  <si>
    <t>Manoj</t>
  </si>
  <si>
    <t>Cricket  Watch Movie Traveling</t>
  </si>
  <si>
    <t>Ramnik Lal</t>
  </si>
  <si>
    <t>Near Anandnagar Gilrs School , Nakhatrana</t>
  </si>
  <si>
    <t>image/20180627_00514634.jpg</t>
  </si>
  <si>
    <t>image/20180627_00520844.jpg</t>
  </si>
  <si>
    <t xml:space="preserve">Atulppatel2015@gmail.com </t>
  </si>
  <si>
    <t>gandhinagar123</t>
  </si>
  <si>
    <t>Xyz</t>
  </si>
  <si>
    <t>Travelling,</t>
  </si>
  <si>
    <t>Abcdefghi</t>
  </si>
  <si>
    <t>Jejrhfbrb</t>
  </si>
  <si>
    <t>image/20180717_01172284.jpg</t>
  </si>
  <si>
    <t>image/20180717_01145290.jpg</t>
  </si>
  <si>
    <t>devanighanshyam0@gmail.com</t>
  </si>
  <si>
    <t>centuryaqua</t>
  </si>
  <si>
    <t xml:space="preserve">Ghanshyam </t>
  </si>
  <si>
    <t>Junagadh</t>
  </si>
  <si>
    <t>My Work is Passion</t>
  </si>
  <si>
    <t>Goradhanbhai</t>
  </si>
  <si>
    <t>At : Ramgadh  Ta : Visavadar Dis : Junagadh</t>
  </si>
  <si>
    <t>image/20180705_050947213.jpg</t>
  </si>
  <si>
    <t>rajesh.ptl311989@gmail.com</t>
  </si>
  <si>
    <t>Rp03011989</t>
  </si>
  <si>
    <t>Reading books &amp; Traveling</t>
  </si>
  <si>
    <t>Narayanbhai</t>
  </si>
  <si>
    <t>saraswati saw mill badgujar plot near cotton market parola road ,Dhule</t>
  </si>
  <si>
    <t>image/20180718_03182250.jpg</t>
  </si>
  <si>
    <t>image/20180718_03190136.jpg</t>
  </si>
  <si>
    <t>dr.maulikphysio@gmail.com</t>
  </si>
  <si>
    <t>maulik5757</t>
  </si>
  <si>
    <t>DrMaulik</t>
  </si>
  <si>
    <t>I am Physiotherapist by profession and have my on Advanced physiotherapy and Neuro rehabilitation centre at Ahmedabad. I love music and long drive..</t>
  </si>
  <si>
    <t>28-34</t>
  </si>
  <si>
    <t>image/20180712_05533130.jpg</t>
  </si>
  <si>
    <t>image/20180712_05530853.jpg</t>
  </si>
  <si>
    <t>Cricket, kabbadi</t>
  </si>
  <si>
    <t>Hasmukhbhai</t>
  </si>
  <si>
    <t>13,suvernapuri society, padra Opp geb Padra- jambusar road,padra</t>
  </si>
  <si>
    <t>image/20180709_042755794.jpg</t>
  </si>
  <si>
    <t>image/20180709_042755783.jpg</t>
  </si>
  <si>
    <t>sendy2525@gmail.com</t>
  </si>
  <si>
    <t>Sandip@2525</t>
  </si>
  <si>
    <t>Sandip</t>
  </si>
  <si>
    <t>cracket ,traveling ,reading ,networking</t>
  </si>
  <si>
    <t>Chhagan bhai</t>
  </si>
  <si>
    <t>25/ uma park so bakarol bujarang road kujad gam ahemedabad-indore highyway ahemedabad 382430</t>
  </si>
  <si>
    <t>image/20180819_02304990.jpg</t>
  </si>
  <si>
    <t>image/20180819_02343787.jpg</t>
  </si>
  <si>
    <t>pokarnaveen19@gmail.com</t>
  </si>
  <si>
    <t>8309170530pn</t>
  </si>
  <si>
    <t xml:space="preserve">Naveen </t>
  </si>
  <si>
    <t>I am Naveen Pokar  &amp; I have studied B-tech &amp; I have started my garment bussiness</t>
  </si>
  <si>
    <t>Ratanshi bhai</t>
  </si>
  <si>
    <t>Karimnagar, Pincode-505001 T. S</t>
  </si>
  <si>
    <t>image/20180825_03475718.jpg</t>
  </si>
  <si>
    <t>image/20180825_03501667.jpg</t>
  </si>
  <si>
    <t>jaydip.pokar@gmail.com</t>
  </si>
  <si>
    <t>Jaydip@123</t>
  </si>
  <si>
    <t>Jaydip</t>
  </si>
  <si>
    <t>I m interested in studying and watching TV and cricket match and also football.. Reading Historical books and novels</t>
  </si>
  <si>
    <t>Pokar vithaldas</t>
  </si>
  <si>
    <t>A-12/103, MICT township,nana kapaya, Mundra Kachchh 370030</t>
  </si>
  <si>
    <t>image/20180905_195430934.jpg</t>
  </si>
  <si>
    <t>image/20180905_195430853.jpg</t>
  </si>
  <si>
    <t>nirajpatel137@gmail.com</t>
  </si>
  <si>
    <t>ashakiran007</t>
  </si>
  <si>
    <t>Bargarh</t>
  </si>
  <si>
    <t>Hardworking punctuality dedication</t>
  </si>
  <si>
    <t>Asha Kiran residencyWard no 18Bhatli roadBargarh 768028</t>
  </si>
  <si>
    <t>image/20180908_023559084.jpg</t>
  </si>
  <si>
    <t>image/20180908_023559053.jpg</t>
  </si>
  <si>
    <t>sejal506080@gmail.com</t>
  </si>
  <si>
    <t>Ganga2108</t>
  </si>
  <si>
    <t xml:space="preserve">Sejal </t>
  </si>
  <si>
    <t>I am a gujju girl with tinch of Bangalore smack. Always ready n open to meet every kind of soul. Love for food is from the bottom of my heart.</t>
  </si>
  <si>
    <t>Chandulal Patel</t>
  </si>
  <si>
    <t>Divya Spencer, BTM 2nd stage, Bannergatta, behind shopper's stop.</t>
  </si>
  <si>
    <t>image/20181003_07574797.jpg</t>
  </si>
  <si>
    <t>image/20181003_07581517.jpg</t>
  </si>
  <si>
    <t>vasaniauto@gmail.com</t>
  </si>
  <si>
    <t>vasani123</t>
  </si>
  <si>
    <t>Shailesh</t>
  </si>
  <si>
    <t>n</t>
  </si>
  <si>
    <t>Vasani Nivas. , Katch</t>
  </si>
  <si>
    <t>30-34</t>
  </si>
  <si>
    <t>image/20181013_213937973.jpg</t>
  </si>
  <si>
    <t>bgpatel311@gmail.com</t>
  </si>
  <si>
    <t>cooltanu24</t>
  </si>
  <si>
    <t>T</t>
  </si>
  <si>
    <t>P</t>
  </si>
  <si>
    <t>I am a dedicated, hard working girl. I always do work with positivity and enthusiasm. As my study, I have completed Homeopathic and worked in PHC for 2 years and presently I am preparing for Government Exam.  As my interest, I like to read historical books. I Also like to play badminton.</t>
  </si>
  <si>
    <t>B</t>
  </si>
  <si>
    <t>Vavol, Gandhinagar</t>
  </si>
  <si>
    <t>image/20181018_20312099.jpg</t>
  </si>
  <si>
    <t>image/20181018_20324524.jpg</t>
  </si>
  <si>
    <t>bkagathara@gmail.com</t>
  </si>
  <si>
    <t>Vaasu@9099</t>
  </si>
  <si>
    <t>BHAVESH</t>
  </si>
  <si>
    <t>KAGATHARA</t>
  </si>
  <si>
    <t>My Friends describes me as a caring, little introvert and health conscious, I love driving, chess, reading movies and music. I love to travel by road, I spent my free time on surfing or visiting friends.</t>
  </si>
  <si>
    <t>DHARMSHI BHAI</t>
  </si>
  <si>
    <t>NATHUVDALATA DHROL -361210DIST JAMNAGAR</t>
  </si>
  <si>
    <t>image/20181021_084403864.jpg</t>
  </si>
  <si>
    <t>image/20181021_084403833.jpg</t>
  </si>
  <si>
    <t>dhaval.limani@yahoo.co.in</t>
  </si>
  <si>
    <t>dhaval</t>
  </si>
  <si>
    <t>limani</t>
  </si>
  <si>
    <t>i would describe myself as being passionate about things that i have instrest in, focuse, and always trying to learn. i try my best to make decisions in life that reflact the qualities of indipendance and courage. i would also describe my self  as a good friend...</t>
  </si>
  <si>
    <t>masukh dhanji limani</t>
  </si>
  <si>
    <t>neelkanth park, C-19, bldg no- 1, karve road, near gokul bunglow, mhatre wadi, dombivli (west)  PIN: 421202</t>
  </si>
  <si>
    <t>image/20181026_15283142.jpg</t>
  </si>
  <si>
    <t>image/20181026_15281999.jpg</t>
  </si>
  <si>
    <t>omshanti.yogesh@gmail.com</t>
  </si>
  <si>
    <t>8140bharat</t>
  </si>
  <si>
    <t xml:space="preserve">Bharat jayantilal </t>
  </si>
  <si>
    <t>Ramani</t>
  </si>
  <si>
    <t>I want a peace. I am clever.</t>
  </si>
  <si>
    <t>Jayantilal Ramani</t>
  </si>
  <si>
    <t>Ramani Nagar,Kotda jadodar.Ta-Nakhatrana  Dist-Kutch</t>
  </si>
  <si>
    <t>30-40</t>
  </si>
  <si>
    <t>image/20181112_094547774.jpg</t>
  </si>
  <si>
    <t>image/20181112_094547763.jpg</t>
  </si>
  <si>
    <t>vivekpatel216@gmail.com</t>
  </si>
  <si>
    <t>vivek216</t>
  </si>
  <si>
    <t>My self Vivek Patel now am in nagpur my hobby in  business</t>
  </si>
  <si>
    <t>Dayaram</t>
  </si>
  <si>
    <t>66, AVG-Layout New Timber Market, Lakadganj, Nagpur</t>
  </si>
  <si>
    <t>image/20181116_030330824.jpg</t>
  </si>
  <si>
    <t>image/20181116_030330813.jpg</t>
  </si>
  <si>
    <t>sandippatel2201@gmail.com</t>
  </si>
  <si>
    <t>vadiya2201</t>
  </si>
  <si>
    <t>Vadiya</t>
  </si>
  <si>
    <t>Volleyball , Reding</t>
  </si>
  <si>
    <t>Himmatlal</t>
  </si>
  <si>
    <t>A.p Shiradwad Jalaram saw mill,shiradwad. Tel.shirol Dist. Kolhapur</t>
  </si>
  <si>
    <t>19-26</t>
  </si>
  <si>
    <t>image/20181116_042422454.jpg</t>
  </si>
  <si>
    <t>image/20181116_042422453.jpg</t>
  </si>
  <si>
    <t>dineshshethia@gmail.com</t>
  </si>
  <si>
    <t>dinesh1234</t>
  </si>
  <si>
    <t>Dhwani</t>
  </si>
  <si>
    <t>Shethia</t>
  </si>
  <si>
    <t>She is family loving, Cooperative and Generous.</t>
  </si>
  <si>
    <t>Dineshchandra Haribhai Shethia</t>
  </si>
  <si>
    <t>A-402, Keshav Residency, Road No. 3, TP-2, Vasant Vihar, Vasana -Bhayali Road, Vadodara - 391410</t>
  </si>
  <si>
    <t>image/20181119_04541573.jpg</t>
  </si>
  <si>
    <t>image/20181119_04542382.jpg</t>
  </si>
  <si>
    <t>adeeshpatel@outlook.com</t>
  </si>
  <si>
    <t>Default@99</t>
  </si>
  <si>
    <t>My son is in Canada and currently, he is pursuing MBA in Finance</t>
  </si>
  <si>
    <t>Jayantilal Manilal Patel</t>
  </si>
  <si>
    <t>A/204 shree Ram Residency Opp Nihal Khant Maha dev mandir Sadar patel chock  krishna nagar</t>
  </si>
  <si>
    <t>image/20181118_100148764.jpg</t>
  </si>
  <si>
    <t>image/20181118_100148743.jpg</t>
  </si>
  <si>
    <t>maheshpatel881@gmail.com</t>
  </si>
  <si>
    <t>mahesh29</t>
  </si>
  <si>
    <t>Maheshkumar</t>
  </si>
  <si>
    <t>Pajwani</t>
  </si>
  <si>
    <t>Latur</t>
  </si>
  <si>
    <t>Like to roam to new places, watch movies. Interested in learning new and excited things.</t>
  </si>
  <si>
    <t>Gopal Bhimji</t>
  </si>
  <si>
    <t>Hanuman Saw Mill, Parli Road, AhmedpurDist-Latur</t>
  </si>
  <si>
    <t>image/20181123_01040082.jpg</t>
  </si>
  <si>
    <t>image/20181123_01091664.jpg</t>
  </si>
  <si>
    <t>pradipbathani@yahoo.com</t>
  </si>
  <si>
    <t>Gfdsa^1234</t>
  </si>
  <si>
    <t>Pradip</t>
  </si>
  <si>
    <t>Bathani</t>
  </si>
  <si>
    <t>Hobbies- Traveling, Reading (Magazine), Playing (Chess, Carrom, Cericket...etc.)</t>
  </si>
  <si>
    <t>Ishwarlal</t>
  </si>
  <si>
    <t>Laxmi Home Society, NR.Vasad Bus Station, Vasad.</t>
  </si>
  <si>
    <t>image/20181121_23472681.jpg</t>
  </si>
  <si>
    <t>image/20181121_23474287.jpg</t>
  </si>
  <si>
    <t>patelkalpesh3660@gmail.com</t>
  </si>
  <si>
    <t>kalpeshpokar4676</t>
  </si>
  <si>
    <t>kalpesh</t>
  </si>
  <si>
    <t>I LIKE MEETING NEW PEOPLES AND FRIENDSHIPPING WITH THEM</t>
  </si>
  <si>
    <t>KANTILAL</t>
  </si>
  <si>
    <t>LAXMI NIWAS OPP AROMA THEATRE SHASTRI NAGAR SOYGAON MALEGAON</t>
  </si>
  <si>
    <t>image/20181122_224244444.jpg</t>
  </si>
  <si>
    <t>image/20181122_224244423.jpg</t>
  </si>
  <si>
    <t>up193658@gmail.com</t>
  </si>
  <si>
    <t>nitu2018</t>
  </si>
  <si>
    <t>Naitik</t>
  </si>
  <si>
    <t>I use to play cricket, and now love to travel</t>
  </si>
  <si>
    <t>Arjunbhai</t>
  </si>
  <si>
    <t>A2 Anjanee Recidency, Naroda, Ahmedabad</t>
  </si>
  <si>
    <t>image/20181127_075503624.jpg</t>
  </si>
  <si>
    <t>image/20181127_075503623.jpg</t>
  </si>
  <si>
    <t>vmehul703@gmail.com</t>
  </si>
  <si>
    <t>Mehul2001</t>
  </si>
  <si>
    <t>Hi I am very simple personality and I also want my better half which is honest and humble</t>
  </si>
  <si>
    <t>Ramniklal Vasani</t>
  </si>
  <si>
    <t>Plot No 60 Umanivas Jadavjinagar College Road Bhuj Kutch</t>
  </si>
  <si>
    <t>image/20181206_091330484.jpg</t>
  </si>
  <si>
    <t>image/20181206_091330473.jpg</t>
  </si>
  <si>
    <t xml:space="preserve">Ketan Patel </t>
  </si>
  <si>
    <t>ketan590</t>
  </si>
  <si>
    <t xml:space="preserve">Mavani Ketan Kumar </t>
  </si>
  <si>
    <t xml:space="preserve">Arvind bhai </t>
  </si>
  <si>
    <t>Music &amp; movies</t>
  </si>
  <si>
    <t>AT Ganesh kampa post shika ta. Dhansura.Dist Arvalli</t>
  </si>
  <si>
    <t>image/20181216_085641814.jpg</t>
  </si>
  <si>
    <t>image/20181216_085641813.jpg</t>
  </si>
  <si>
    <t>sudhirphaarmaa@gmail.com</t>
  </si>
  <si>
    <t>Sunil@5990</t>
  </si>
  <si>
    <t>Sunilkumar</t>
  </si>
  <si>
    <t>Muktaben</t>
  </si>
  <si>
    <t>C-405, Ganesh Gold, Near chenpur Godrej garden city road</t>
  </si>
  <si>
    <t>image/20181220_05392570.jpg</t>
  </si>
  <si>
    <t>image/20181220_05401581.jpg</t>
  </si>
  <si>
    <t>patelpradip811@gmail.com</t>
  </si>
  <si>
    <t>Pradip123</t>
  </si>
  <si>
    <t>pradip</t>
  </si>
  <si>
    <t>Originally from Bhuj, I have been living in Ahmedabad for over 7 years. I am 5.8 feet tall and moderately built. My Business as a financial Advisor has made me a patient man and improved my persuasive skills! My business also keeps me on my toes as I am always trying to learn new skills to keep pace with the changing technology landscape. I especially value humor, being able to laugh at yourself, being able to communicate, culture in general, social issues, staying healthy, and the freedom to think out of the box.  Hobbies :  Travelling Meet new people brain storming</t>
  </si>
  <si>
    <t>Natavarlal Ramjibhai Patel</t>
  </si>
  <si>
    <t>13,Sneh Appartment AMC staff societyB/h, Loyola Hall,Memnagar,Ahmedabad-380052</t>
  </si>
  <si>
    <t>image/20181217_02583683.jpg</t>
  </si>
  <si>
    <t>image/20181217_02585583.jpg</t>
  </si>
  <si>
    <t>pragnesh2310@gmail.com</t>
  </si>
  <si>
    <t>pragnesh23</t>
  </si>
  <si>
    <t>KINJAL</t>
  </si>
  <si>
    <t>TRAVELLING....READING...SEE MOVIE..TV WATCHING ..PAINTING..SINGING...</t>
  </si>
  <si>
    <t>PRAGNESH RAMJIBHAI LIMBANI</t>
  </si>
  <si>
    <t>PRAGNESH R PATEL 1, " ALPVIRAM " TAPOVAN GRUH SANKUL OPP. NARAYAN ESTATE NEAR SHAKTINATH TEMPLE J.B.MODY PARK ROAD BHARUCH.392001..GUJARAT</t>
  </si>
  <si>
    <t>image/20181221_025533614.jpg</t>
  </si>
  <si>
    <t>image/20181221_025533513.jpg</t>
  </si>
  <si>
    <t>dyogeshbhai@yahoo.com</t>
  </si>
  <si>
    <t>yogesh101</t>
  </si>
  <si>
    <t>yogesh</t>
  </si>
  <si>
    <t>dayani</t>
  </si>
  <si>
    <t>Dayani Gangarambhai S</t>
  </si>
  <si>
    <t>UMIYA NAGAR  GURUKRUPA SOCIETY CHHOTAUDEPUR</t>
  </si>
  <si>
    <t>image/20181223_224647174.jpg</t>
  </si>
  <si>
    <t>image/20181223_224647163.jpg</t>
  </si>
  <si>
    <t>Pateljayesh511@gmail.com</t>
  </si>
  <si>
    <t>mahesh4a</t>
  </si>
  <si>
    <t>Chauhan</t>
  </si>
  <si>
    <t>Traveling,and play ing game</t>
  </si>
  <si>
    <t>Waljibhai</t>
  </si>
  <si>
    <t>Patel traders ,near lic office warud</t>
  </si>
  <si>
    <t>image/20181225_052814543.jpg</t>
  </si>
  <si>
    <t>kalpeshp075@gmail.com</t>
  </si>
  <si>
    <t>987456321meet</t>
  </si>
  <si>
    <t>Gopi</t>
  </si>
  <si>
    <t>Interesting in travelling and music , photogenic</t>
  </si>
  <si>
    <t>Sankarlal vasantlal</t>
  </si>
  <si>
    <t>147 bangur avenue Block A 4th floor flat 4A near super market kolkata-700055</t>
  </si>
  <si>
    <t>image/20190117_083537154.jpg</t>
  </si>
  <si>
    <t>image/20190117_083537153.jpg</t>
  </si>
  <si>
    <t>Jayeshnarottambhai@gmail.com</t>
  </si>
  <si>
    <t>jnc250985</t>
  </si>
  <si>
    <t>Chaudhari</t>
  </si>
  <si>
    <t>Narottambhai</t>
  </si>
  <si>
    <t>B/202 Shila Residency,Nr.500qurters,GIDC Ankleshwar,Bharuch,Gujarat</t>
  </si>
  <si>
    <t>image/20190118_232846494.jpg</t>
  </si>
  <si>
    <t>image/20190118_232846463.jpg</t>
  </si>
  <si>
    <t>pateldeepak.777@rediffmail.com</t>
  </si>
  <si>
    <t>lifepartner2019</t>
  </si>
  <si>
    <t>DEEPAK</t>
  </si>
  <si>
    <t>MUSIC ENTHUTIESTIC TRAVELLING TO UNEXPLORED DESTINATIONS. TECHNOLOGY ADDICT</t>
  </si>
  <si>
    <t>RAMESHBHAI PATEL</t>
  </si>
  <si>
    <t>SURAT</t>
  </si>
  <si>
    <t>image/20190421_09220647.jpg</t>
  </si>
  <si>
    <t>image/20190421_09222089.jpg</t>
  </si>
  <si>
    <t xml:space="preserve">m.bhagat1994@gmail.com </t>
  </si>
  <si>
    <t>Milan</t>
  </si>
  <si>
    <t>Surani bhagat</t>
  </si>
  <si>
    <t>I interested  in  trawling</t>
  </si>
  <si>
    <t>Bipinbhai</t>
  </si>
  <si>
    <t>302/pavan apprtment near,mohan Nagar society</t>
  </si>
  <si>
    <t>image/20190119_204111044.jpg</t>
  </si>
  <si>
    <t>image/20190119_204111023.jpg</t>
  </si>
  <si>
    <t>dakshp.dp@gmail.com</t>
  </si>
  <si>
    <t>d9373828705</t>
  </si>
  <si>
    <t>Dakshesh</t>
  </si>
  <si>
    <t>Hey, m Dakshesh rangani here, searching for my bride which must be understanding n careing for family</t>
  </si>
  <si>
    <t>Dilip</t>
  </si>
  <si>
    <t>Ashapura saw mill Ap- kasal (balamwadi) Tal- kudal dist- sindhudurg Pin- 416603</t>
  </si>
  <si>
    <t>image/20190126_21492861.jpg</t>
  </si>
  <si>
    <t>image/20190122_04115022.jpg</t>
  </si>
  <si>
    <t>patelrahul611@gmail.com</t>
  </si>
  <si>
    <t>rahul7795</t>
  </si>
  <si>
    <t>I m interested in Indian Army and Cricket etc... ??I don’t need a perfect life because I want a happy and joyful life??</t>
  </si>
  <si>
    <t>Parshotambhai</t>
  </si>
  <si>
    <t>Anand gujarat</t>
  </si>
  <si>
    <t>19-24</t>
  </si>
  <si>
    <t>Patelnitishpatel@gmail.com</t>
  </si>
  <si>
    <t>tarunapatel92</t>
  </si>
  <si>
    <t xml:space="preserve">Nitish </t>
  </si>
  <si>
    <t>Jolly kind of person, love to travel , down to earth , other you can know after talking to me, I like reading novel ,movie freak , foodie</t>
  </si>
  <si>
    <t>Harilal Patel</t>
  </si>
  <si>
    <t>72/A/1, Khatir bazaar lane, bidhan park ,Mahesh, Hooghly.West Bengal-712202</t>
  </si>
  <si>
    <t>image/20190131_063927904.jpg</t>
  </si>
  <si>
    <t>image/20190131_063927903.jpg</t>
  </si>
  <si>
    <t>bhupendravagdiya11582@email.com</t>
  </si>
  <si>
    <t>bhupendra</t>
  </si>
  <si>
    <t>cricket... traveling...</t>
  </si>
  <si>
    <t>kesavlal</t>
  </si>
  <si>
    <t>petlad....sainath road</t>
  </si>
  <si>
    <t>Widowed,Awaiting Divorce</t>
  </si>
  <si>
    <t>image/20190217_011223533.jpg</t>
  </si>
  <si>
    <t>Jigneshpatel1226.jp@gamil.com</t>
  </si>
  <si>
    <t>J9725097143</t>
  </si>
  <si>
    <t>Sport</t>
  </si>
  <si>
    <t>Narnbhai</t>
  </si>
  <si>
    <t>Uma compalex inside corner singarva</t>
  </si>
  <si>
    <t>26-27</t>
  </si>
  <si>
    <t>image/20190218_021411784.jpg</t>
  </si>
  <si>
    <t>image/20190218_021411743.jpg</t>
  </si>
  <si>
    <t>tppatel36@gmail.com</t>
  </si>
  <si>
    <t>020588tp</t>
  </si>
  <si>
    <t>Lucky</t>
  </si>
  <si>
    <t>Sirvi</t>
  </si>
  <si>
    <t>My best hobbies is  organic  agriculture work.</t>
  </si>
  <si>
    <t>At.Mahadevfarm,junisarotri,Post. IqbalgadhTa.AmirgadhDi.BanashkanthaPin.385135</t>
  </si>
  <si>
    <t>image/20190302_22185094.jpg</t>
  </si>
  <si>
    <t>image/20190302_22191723.jpg</t>
  </si>
  <si>
    <t>hirenlimbani71@gmail.com</t>
  </si>
  <si>
    <t>hirenlimbani5085</t>
  </si>
  <si>
    <t>Photography</t>
  </si>
  <si>
    <t>Patel jayantibhai</t>
  </si>
  <si>
    <t>10'pavagadh banglows,thalota roa,visnagar,mahesana</t>
  </si>
  <si>
    <t>image/20190303_08141308.jpg</t>
  </si>
  <si>
    <t>image/20190303_08144374.jpg</t>
  </si>
  <si>
    <t>jpjignesh1988@gmail.com</t>
  </si>
  <si>
    <t>Practising in the field of Law.  Mantri of Gandhidham Patidar Yuvak Mandal.</t>
  </si>
  <si>
    <t>Jayantilal Karshan Halpani</t>
  </si>
  <si>
    <t>104-105, Satyam Apt, Near Olso Circle, Sector 1,Plot No. 3, Gandhidham</t>
  </si>
  <si>
    <t>image/20190306_105923424.jpg</t>
  </si>
  <si>
    <t>image/20190306_105923413.jpg</t>
  </si>
  <si>
    <t>Nareshnayani@gmail.com</t>
  </si>
  <si>
    <t>N9427211027</t>
  </si>
  <si>
    <t>Ankit jayantilal Bhavani</t>
  </si>
  <si>
    <t>Me interest new technical in agri masinary</t>
  </si>
  <si>
    <t>At, post:moti virani</t>
  </si>
  <si>
    <t>image/20190310_052656134.jpg</t>
  </si>
  <si>
    <t>image/20190310_052656113.jpg</t>
  </si>
  <si>
    <t>nileshramani2143@gmail.com</t>
  </si>
  <si>
    <t>nilesh2143</t>
  </si>
  <si>
    <t>Reading,traveling, Music,</t>
  </si>
  <si>
    <t>Babulal</t>
  </si>
  <si>
    <t>Tirupati apartment,h no.275 kaneri,B-wing,old agra road,Bhiwandi Dist-Thane</t>
  </si>
  <si>
    <t>image/20190317_103407034.jpg</t>
  </si>
  <si>
    <t>image/20190317_103406983.jpg</t>
  </si>
  <si>
    <t>Mrunalipatel2303@gmail.com</t>
  </si>
  <si>
    <t>asdfghjkl</t>
  </si>
  <si>
    <t xml:space="preserve">Brijesh </t>
  </si>
  <si>
    <t>Sangli</t>
  </si>
  <si>
    <t>Watching movie, love to travel and eating different food.</t>
  </si>
  <si>
    <t>Shree Ganesh Traders, Police station Road,A/P-Ashta-416301 Tel-Walwa, Dist-Sangli,Maharashtra.</t>
  </si>
  <si>
    <t>Deepakpatel91@gmail.com</t>
  </si>
  <si>
    <t>deepak91</t>
  </si>
  <si>
    <t>I AM DEEPAK PATEL AND I HAVE COPLETED MY BACHLORS DEGREE AND LOOKING FOR A SUITABLE LIFE PARTNER MY HOBBY IS LISTENING MUSIC</t>
  </si>
  <si>
    <t>SHANTI LAL PATEL</t>
  </si>
  <si>
    <t>338/1 MADAN MAHAL NAGPUR ROAD JABALPUR</t>
  </si>
  <si>
    <t>image/20190330_04571113.jpg</t>
  </si>
  <si>
    <t>image/20190330_04564144.jpg</t>
  </si>
  <si>
    <t>dpatel.0779@gmail.com</t>
  </si>
  <si>
    <t>mayank14</t>
  </si>
  <si>
    <t>Dinesh</t>
  </si>
  <si>
    <t>my hobbies are reading &amp; listening music</t>
  </si>
  <si>
    <t>Shankar Ratansi Sankhala</t>
  </si>
  <si>
    <t>7/8 Laxmi Kamal Society, Datta Mandir Road, Nasik Road, Nasik.</t>
  </si>
  <si>
    <t>32-40</t>
  </si>
  <si>
    <t>image/20191030_05122145.jpg</t>
  </si>
  <si>
    <t>image/20191030_05224013.jpg</t>
  </si>
  <si>
    <t>ramanikhushi011998@gmail.com</t>
  </si>
  <si>
    <t>Khushi</t>
  </si>
  <si>
    <t>Durg</t>
  </si>
  <si>
    <t>Mu hobbies includes travelling, cooking and other activities like badminton and chess.</t>
  </si>
  <si>
    <t>Dheeraj Bhai Ramani</t>
  </si>
  <si>
    <t>Durg road, Ganjpara, BALOD</t>
  </si>
  <si>
    <t>image/20190612_09571141.jpg</t>
  </si>
  <si>
    <t>image/20190612_10140295.jpg</t>
  </si>
  <si>
    <t>udaygodhani@17gmail.com</t>
  </si>
  <si>
    <t>uday96653</t>
  </si>
  <si>
    <t>uday</t>
  </si>
  <si>
    <t>godhani</t>
  </si>
  <si>
    <t>Bhandara</t>
  </si>
  <si>
    <t>hello to see my profile</t>
  </si>
  <si>
    <t>ramesh</t>
  </si>
  <si>
    <t>indira nagar opp. malewar mar rahin home</t>
  </si>
  <si>
    <t>image/20190803_043239643.jpg</t>
  </si>
  <si>
    <t>shreya5072@gmail.com</t>
  </si>
  <si>
    <t>ShReYa92</t>
  </si>
  <si>
    <t>Akshay</t>
  </si>
  <si>
    <t>Travelling,movies, eating different dishes,playing garba,photogarphy</t>
  </si>
  <si>
    <t>Maheshbhai</t>
  </si>
  <si>
    <t>Shree shiv shakti saw mill, near ramji mandir, valsad road, khergam, district-navsari.396040</t>
  </si>
  <si>
    <t>image/20190814_05054540.jpg</t>
  </si>
  <si>
    <t>image/20190814_05064978.jpg</t>
  </si>
  <si>
    <t xml:space="preserve">Hareshkalariya84@gmail.com </t>
  </si>
  <si>
    <t>hareshpatel</t>
  </si>
  <si>
    <t>Haresh m patel</t>
  </si>
  <si>
    <t>Hari</t>
  </si>
  <si>
    <t>Panting</t>
  </si>
  <si>
    <t>Magan n patel</t>
  </si>
  <si>
    <t>510.8 behind nilam hotel nagaon .tal hatkanangla.nagaon.kolhapur maharashtra.416122</t>
  </si>
  <si>
    <t>image/20190821_02085004.jpg</t>
  </si>
  <si>
    <t>image/20190820_111658573.jpg</t>
  </si>
  <si>
    <t>anilkalariyapatel87@gmil.com</t>
  </si>
  <si>
    <t>anil1987</t>
  </si>
  <si>
    <t>Anil</t>
  </si>
  <si>
    <t>Kalariya patel</t>
  </si>
  <si>
    <t>Cricket. Football. Romantic book. Comics book.</t>
  </si>
  <si>
    <t>Magan bhai</t>
  </si>
  <si>
    <t>510/8 behind Nilam hotel,Nagaon,tal-hatkanangle,Nagaon, Kolhapur, Maharashtra-416122</t>
  </si>
  <si>
    <t>Never Married,Widowed</t>
  </si>
  <si>
    <t>image/20191021_09010002.jpg</t>
  </si>
  <si>
    <t>image/20191021_09242843.jpg</t>
  </si>
  <si>
    <t>rahulrockptl@gmail.com</t>
  </si>
  <si>
    <t>Badminton</t>
  </si>
  <si>
    <t>Kishor Patel</t>
  </si>
  <si>
    <t>202,B-Block , Ashapura Home's, Bhanpuri, Raipur</t>
  </si>
  <si>
    <t>maitrydesigns@yahoo.com</t>
  </si>
  <si>
    <t>KALPESH6224</t>
  </si>
  <si>
    <t>pajvani</t>
  </si>
  <si>
    <t>simply enjoying life with joint family,,love to gossip,work comes first for me ,but in between take care of family members requirements</t>
  </si>
  <si>
    <t>mohanbhai</t>
  </si>
  <si>
    <t>403.takshshila scty, dahad ,umargaon station</t>
  </si>
  <si>
    <t>image/20190913_050147704.jpg</t>
  </si>
  <si>
    <t>image/20190913_050147673.jpg</t>
  </si>
  <si>
    <t>anandpatel126@gmail.com</t>
  </si>
  <si>
    <t>Anandlalu1234</t>
  </si>
  <si>
    <t>Reading, sports, travelling</t>
  </si>
  <si>
    <t>DrChimanbhai</t>
  </si>
  <si>
    <t>2 Shantanu appartment, Gayatri mandir road, mahavirnagar, Himmatnagar 383001</t>
  </si>
  <si>
    <t>image/20190913_22433801.jpg</t>
  </si>
  <si>
    <t xml:space="preserve">deepakslyfe@gmail.com </t>
  </si>
  <si>
    <t>Sunny@88</t>
  </si>
  <si>
    <t>Keshav Patel</t>
  </si>
  <si>
    <t>Hi, I would like to know you, if you like my profile. I am a creative professional, and into multiple art fields.</t>
  </si>
  <si>
    <t>C3, Gurukrupa Residency, 9th Main Padmanabhnagar, BSK 3rd Stage, Bangalore</t>
  </si>
  <si>
    <t>namanpokar@gmail.com</t>
  </si>
  <si>
    <t>patidar8635</t>
  </si>
  <si>
    <t>VIJAY</t>
  </si>
  <si>
    <t>SIMPLE NATURE WITH HIGH VALUES . TAKE CARES OF THE PERSON WHOM HE LOVES TRAVELLING READING FITNESS</t>
  </si>
  <si>
    <t>POPATBHAI PATEL</t>
  </si>
  <si>
    <t>SHREE RAMKRUPA PLOT NO.129, VARDHAMANNAGAR SOCEITY, NAGPUR-440008</t>
  </si>
  <si>
    <t>31-36</t>
  </si>
  <si>
    <t>image/20191011_051307734.bmp</t>
  </si>
  <si>
    <t>image/20191011_051307713.bmp</t>
  </si>
  <si>
    <t>Patelbhavin374@gmail.com</t>
  </si>
  <si>
    <t>bhavik1234567890</t>
  </si>
  <si>
    <t>Cricket kabbdi</t>
  </si>
  <si>
    <t>13 suvernpuri society padra</t>
  </si>
  <si>
    <t>19-25</t>
  </si>
  <si>
    <t>image/20200105_055848384.jpg</t>
  </si>
  <si>
    <t>image/20200105_055848373.jpg</t>
  </si>
  <si>
    <t>patelshail@gmail.com</t>
  </si>
  <si>
    <t>premlove537</t>
  </si>
  <si>
    <t>shailesh</t>
  </si>
  <si>
    <t>limbani</t>
  </si>
  <si>
    <t>i wish that my future partner will be my friend, mature and beautiful for best life. i like to play outdoor games badminton and volleyball, indoor games chess and playing cards, swimming and wish to travel the whole world</t>
  </si>
  <si>
    <t>chimanbhai</t>
  </si>
  <si>
    <t>44-45, shaktinagar society, near mother school, gotri road, vadodara - 390021</t>
  </si>
  <si>
    <t>28-40</t>
  </si>
  <si>
    <t>image/20200130_231509663.jpg</t>
  </si>
  <si>
    <t xml:space="preserve">urjapatel308@gmail.com </t>
  </si>
  <si>
    <t>patel@home</t>
  </si>
  <si>
    <t>Urja</t>
  </si>
  <si>
    <t>Reading, cooking  blogging, travelling</t>
  </si>
  <si>
    <t>Jagdish Ravji Chhabhaiya</t>
  </si>
  <si>
    <t>New Gota, S.G Highway, Ahmedabad, Gujarat</t>
  </si>
  <si>
    <t>image/20200215_02491041.jpg</t>
  </si>
  <si>
    <t>image/20200215_02502559.jpg</t>
  </si>
  <si>
    <t>Div.j.patel@gmail.com</t>
  </si>
  <si>
    <t>patelshome@</t>
  </si>
  <si>
    <t>Harsh</t>
  </si>
  <si>
    <t>New Gota, S,G Highway, Ahmedabad, Gujarat</t>
  </si>
  <si>
    <t>image/20200215_02475847.jpg</t>
  </si>
  <si>
    <t>image/20200215_02415459.jpg</t>
  </si>
  <si>
    <t>harshad116@gmail.com</t>
  </si>
  <si>
    <t>9414525783h</t>
  </si>
  <si>
    <t>Nova scotia</t>
  </si>
  <si>
    <t>Halifax</t>
  </si>
  <si>
    <t>I'm just finished my MBA in international Business and working with private firm at Halifax city NS Canada.</t>
  </si>
  <si>
    <t>Harshad Bhai</t>
  </si>
  <si>
    <t>Diesel shad road, Gandhinagar, Abu Road, Rajasthan</t>
  </si>
  <si>
    <t>image/20200216_07114962.jpg</t>
  </si>
  <si>
    <t>image/20200216_07145076.jpg</t>
  </si>
  <si>
    <t>Bhumikpatel008@gmail.com</t>
  </si>
  <si>
    <t xml:space="preserve">Bhumik </t>
  </si>
  <si>
    <t xml:space="preserve">Surani </t>
  </si>
  <si>
    <t>Cricket, swimming, running, movies, travel, PC games</t>
  </si>
  <si>
    <t>Nanji</t>
  </si>
  <si>
    <t>Natraj talkies Dhule</t>
  </si>
  <si>
    <t>image/20200224_001238324.jpg</t>
  </si>
  <si>
    <t>image/20200224_001238293.jpg</t>
  </si>
  <si>
    <t>Dileshshivshakti@gmail.com</t>
  </si>
  <si>
    <t>dilesh123</t>
  </si>
  <si>
    <t>Dilesh</t>
  </si>
  <si>
    <t>Narsih bhai</t>
  </si>
  <si>
    <t>Bilvaniya kmpa, Dhansura</t>
  </si>
  <si>
    <t>20-35</t>
  </si>
  <si>
    <t>image/20200227_072412274.jpg</t>
  </si>
  <si>
    <t>image/20200227_072412273.jpg</t>
  </si>
  <si>
    <t>nipuulp@gmail.com</t>
  </si>
  <si>
    <t>777623nik</t>
  </si>
  <si>
    <t>Nikhil Vitthalbhai</t>
  </si>
  <si>
    <t>I am a very simple, god fearing, caring, talented, understanding, trustworthy and kind hearted human being. I believe in the motto Live and let live. I hate liars. I am fun loving, down to earth and very much Optimist playing outdoor game , music,movie,food lover. national level 100m running champion.</t>
  </si>
  <si>
    <t>Vitthal Damjibhai patel</t>
  </si>
  <si>
    <t>plot no-35 UMA SHANKAR BHAWAN  Opp. R N Lawn  SHREE NARAYAN NAGAR Parsodi UMRED</t>
  </si>
  <si>
    <t>image/20200410_09365986.jpg</t>
  </si>
  <si>
    <t>image/20200410_09351619.jpg</t>
  </si>
  <si>
    <t>ankpatel28@gmail.com</t>
  </si>
  <si>
    <t>@nkPatel@28</t>
  </si>
  <si>
    <t xml:space="preserve">Ankit </t>
  </si>
  <si>
    <t>I'm a Mechanical engineer. and  I have been doing Service in engineering background since 2 years. Apart from profession, I like to explore new places ,I'm bit more fitness concern person and yes  I like pets very much. Well, in my hobbies :-Travelling, music etc</t>
  </si>
  <si>
    <t>Khimjibhai Bhanjibhai Sankhala</t>
  </si>
  <si>
    <t>C/O Sharda Timber Mart, Near Gyan bag , Vadtal-387375, TA-Nadiad  Dist-Kheda</t>
  </si>
  <si>
    <t>image/20200410_234739354.jpg</t>
  </si>
  <si>
    <t>image/20200410_234739343.jpg</t>
  </si>
  <si>
    <t>cmpatel26@yahoo.in</t>
  </si>
  <si>
    <t>Dharnidhar102</t>
  </si>
  <si>
    <t>cmpatel261963@gmail.com</t>
  </si>
  <si>
    <t>I m an Endodontist and looking for pursuing my clinical practice, and looking for an understanding and supportive life-partner who can understand the value of profession.</t>
  </si>
  <si>
    <t>A/102, Dharnidhar Pride, Nr. Science City, Behind Avirat House, Science city sola road,Ahmedabad-380060</t>
  </si>
  <si>
    <t>27-31</t>
  </si>
  <si>
    <t>image/20200427_05405934.jpg</t>
  </si>
  <si>
    <t>image/20200427_05411204.jpg</t>
  </si>
  <si>
    <t>thelasthope24124@gmail.com</t>
  </si>
  <si>
    <t>hardik123</t>
  </si>
  <si>
    <t xml:space="preserve">Hardik </t>
  </si>
  <si>
    <t xml:space="preserve">Shankla </t>
  </si>
  <si>
    <t>South Australia</t>
  </si>
  <si>
    <t>Adelaide</t>
  </si>
  <si>
    <t>Quite straightforward person just looking for a partner to make a beautiful life.</t>
  </si>
  <si>
    <t>4 ANKIN PARK SOCIETY, PETLAD , GUJARAT</t>
  </si>
  <si>
    <t>image/20200506_081310634.jpg</t>
  </si>
  <si>
    <t>image/20200506_081310613.jpg</t>
  </si>
  <si>
    <t>mankuvanikul@gmail.com</t>
  </si>
  <si>
    <t>Nikul@1991</t>
  </si>
  <si>
    <t>Nikhil</t>
  </si>
  <si>
    <t>Prabhudas</t>
  </si>
  <si>
    <t>102,Parasiya Darshan, Shirgaon,Aptewadi, Badlapur (E) 421503</t>
  </si>
  <si>
    <t>image/20200525_001717844.jpg</t>
  </si>
  <si>
    <t>image/20200525_001717743.jpg</t>
  </si>
  <si>
    <t>rdbhensdadia@gmail.com</t>
  </si>
  <si>
    <t>patel2158</t>
  </si>
  <si>
    <t>BHENSDADIA RUCHIT</t>
  </si>
  <si>
    <t>DAMJIBHAI</t>
  </si>
  <si>
    <t>BUSINESS DEVLOPING</t>
  </si>
  <si>
    <t>RAJKOT</t>
  </si>
  <si>
    <t>image/20200602_00321913.jpg</t>
  </si>
  <si>
    <t>chiragkatariya7@gmail.com</t>
  </si>
  <si>
    <t>Champ7Champ</t>
  </si>
  <si>
    <t>Katariya</t>
  </si>
  <si>
    <t>Simple Boy, Simple Living</t>
  </si>
  <si>
    <t>kishanpatel7766@gmail.com</t>
  </si>
  <si>
    <t>kishan123</t>
  </si>
  <si>
    <t>KISHAN</t>
  </si>
  <si>
    <t>Reading Traveling Listening Music</t>
  </si>
  <si>
    <t>HARIBHAI RAVANI</t>
  </si>
  <si>
    <t>29/A, DHANANJAY VILA, KADI</t>
  </si>
  <si>
    <t>image/20200531_21140435.jpg</t>
  </si>
  <si>
    <t>image/20200531_21163705.jpg</t>
  </si>
  <si>
    <t>jigar4041@gmail.com</t>
  </si>
  <si>
    <t>Jigar@10</t>
  </si>
  <si>
    <t xml:space="preserve">jigar </t>
  </si>
  <si>
    <t>my hobbies histrory book reading</t>
  </si>
  <si>
    <t>dashrathbhai</t>
  </si>
  <si>
    <t>himatnagar</t>
  </si>
  <si>
    <t>kcpatel1107@gmail.com</t>
  </si>
  <si>
    <t>Kishu2020</t>
  </si>
  <si>
    <t>Kishan</t>
  </si>
  <si>
    <t>mina238@gmail.com</t>
  </si>
  <si>
    <t>vaishali05</t>
  </si>
  <si>
    <t>Cooking,  Music</t>
  </si>
  <si>
    <t>A/501 , Nest Orchid    Althan,  Surat</t>
  </si>
  <si>
    <t>image/20200804_05115664.jpg</t>
  </si>
  <si>
    <t>image/20200804_05121564.jpg</t>
  </si>
  <si>
    <t>jigarapatel2711@gmail.com</t>
  </si>
  <si>
    <t>dhir27111995</t>
  </si>
  <si>
    <t>jigar</t>
  </si>
  <si>
    <t>savanpatel925@gmail.com</t>
  </si>
  <si>
    <t>SAVAN@1208</t>
  </si>
  <si>
    <t>Savankumar</t>
  </si>
  <si>
    <t>akundemitbos@gmail.com</t>
  </si>
  <si>
    <t>12345mkl</t>
  </si>
  <si>
    <t>jsjsjs</t>
  </si>
  <si>
    <t>kskdkd</t>
  </si>
  <si>
    <t>Chhapra</t>
  </si>
  <si>
    <t>jsjsjsjjs di dunia ini yang akan datang akan datang akan datang akan datang</t>
  </si>
  <si>
    <t>hshs'di dunia ini yang akan datang akan datang akan</t>
  </si>
  <si>
    <t>shantilalpatel154@gmail.com</t>
  </si>
  <si>
    <t>Hardikswagat94</t>
  </si>
  <si>
    <t>Chandrapur</t>
  </si>
  <si>
    <t>Interest in interior and glass work and investment program</t>
  </si>
  <si>
    <t>Bhagwat appartment,Behind Bhagwat arcade,civil line,chandrapur</t>
  </si>
  <si>
    <t>image/20200710_21033789.jpg</t>
  </si>
  <si>
    <t>image/20200710_21073431.jpg</t>
  </si>
  <si>
    <t xml:space="preserve">ushadpatel82@gmail.com </t>
  </si>
  <si>
    <t>ilovemyindia1947</t>
  </si>
  <si>
    <t>Vikram R</t>
  </si>
  <si>
    <t>interested watching movies, outdoors, travelling, Sports activities. Currently serving as sports conveyor for Dakshin Karnataka region</t>
  </si>
  <si>
    <t>Ramesh k pokar</t>
  </si>
  <si>
    <t>K R Puram  samajJ k kung Outer ring road</t>
  </si>
  <si>
    <t>28-35</t>
  </si>
  <si>
    <t>image/20200713_09523688.jpg</t>
  </si>
  <si>
    <t>image/20200713_09544664.jpg</t>
  </si>
  <si>
    <t>koushickpatel@gmail.com</t>
  </si>
  <si>
    <t>koushik25011991</t>
  </si>
  <si>
    <t>Rithik</t>
  </si>
  <si>
    <t xml:space="preserve">Sankala </t>
  </si>
  <si>
    <t>Mangalore</t>
  </si>
  <si>
    <t>patelkoushik25011991@gmail.com</t>
  </si>
  <si>
    <t xml:space="preserve">Sandeep </t>
  </si>
  <si>
    <t>This Sandeep Patel. I had Pursued Post Graduation in Civil Engineering (Structural engineering), Currently I am employed as own and provide structural plans to builder's.  I like to listen music, travel and to solve puzzle.</t>
  </si>
  <si>
    <t>Jayanti lal Sankala</t>
  </si>
  <si>
    <t>1-3-129/A sastri nagar,nirmal, telengana Pin code 504106</t>
  </si>
  <si>
    <t>image/20200721_02012260.jpg</t>
  </si>
  <si>
    <t>image/20200721_02013439.jpg</t>
  </si>
  <si>
    <t>hirensenghani@gmail.com</t>
  </si>
  <si>
    <t>Hiren@123</t>
  </si>
  <si>
    <t>Describe in meeting</t>
  </si>
  <si>
    <t>Parsotam</t>
  </si>
  <si>
    <t>1103,pioneer park,dhokali naka,thane west</t>
  </si>
  <si>
    <t>22-32</t>
  </si>
  <si>
    <t>mbpatel62@gmail.com</t>
  </si>
  <si>
    <t>mb891962</t>
  </si>
  <si>
    <t>Vaibhav</t>
  </si>
  <si>
    <t>navinrpatel22@gmail.com</t>
  </si>
  <si>
    <t>navinAa123</t>
  </si>
  <si>
    <t>Mohit</t>
  </si>
  <si>
    <t>Mahabubnagar</t>
  </si>
  <si>
    <t>Iam a business person  Upper middle class family &amp; iam living with our parents having 1 brother married  &amp; I have no sisters</t>
  </si>
  <si>
    <t>Navin Patel</t>
  </si>
  <si>
    <t>Sri Balaji saw millD/1 industrial estate Mahabubnagar Telangana</t>
  </si>
  <si>
    <t>shirviankit80@gmail.com</t>
  </si>
  <si>
    <t>8108863903Ankit</t>
  </si>
  <si>
    <t>shiravi</t>
  </si>
  <si>
    <t>Traveling,foods,cricket,movies,songs.</t>
  </si>
  <si>
    <t>Nanji bhai</t>
  </si>
  <si>
    <t>B/408, Bingo plaza building No. 1 , shree khande vadi, Manpada road, Dombivali east. 421201</t>
  </si>
  <si>
    <t>image/20200722_015139354.jpg</t>
  </si>
  <si>
    <t>image/20200722_015139343.jpg</t>
  </si>
  <si>
    <t>dineshrudani44@gmail. com</t>
  </si>
  <si>
    <t>dinesh1971</t>
  </si>
  <si>
    <t>Dineshpatel</t>
  </si>
  <si>
    <t>Chunilal Patel</t>
  </si>
  <si>
    <t>kantipatidar1@gmail.com</t>
  </si>
  <si>
    <t>8120119040kanti</t>
  </si>
  <si>
    <t>I am a Simple Living And High Thinking Girl,  I am Interested in Drawing ,Cooking ,Badminton ,Shopping and Travelling.  I am A Physically Fit and Smart Girl.</t>
  </si>
  <si>
    <t>Jaypatel6225@gmail.com</t>
  </si>
  <si>
    <t>jayesh2110</t>
  </si>
  <si>
    <t>Alpesh patel</t>
  </si>
  <si>
    <t xml:space="preserve">Mohanbhai patel </t>
  </si>
  <si>
    <t>sankalakanchan@gmail.com</t>
  </si>
  <si>
    <t>kanchan123</t>
  </si>
  <si>
    <t>Sandeep</t>
  </si>
  <si>
    <t>Vellore</t>
  </si>
  <si>
    <t>This is Sandeep(Rithik) Patel from Telangana. I had pursued post graduation as M-Tech under the stream of "Structural Engineering".Started my career with job title as "Civil  Engineer"for a private sector from Hyderabad. In recent time I had started my own builder work and consultant also considering with Steel Structural Designs and Architectural plans.</t>
  </si>
  <si>
    <t>5-10-81 Budhawarpet nirmal 504106</t>
  </si>
  <si>
    <t>19-28</t>
  </si>
  <si>
    <t>image/20200725_04445975.jpg</t>
  </si>
  <si>
    <t>image/20200725_04452013.jpg</t>
  </si>
  <si>
    <t>ratnani.ankit@gmail.com</t>
  </si>
  <si>
    <t>magiceye91</t>
  </si>
  <si>
    <t>Ratnani</t>
  </si>
  <si>
    <t>Movie, Music, Motorsports</t>
  </si>
  <si>
    <t>102, Arjun Heights, Indira Timber Market, Bhanpuri, Raipur</t>
  </si>
  <si>
    <t>image/20200725_065409664.jpg</t>
  </si>
  <si>
    <t>image/20200725_065409653.jpg</t>
  </si>
  <si>
    <t>dineshpatel138@rocketmail.com</t>
  </si>
  <si>
    <t>sneha1996</t>
  </si>
  <si>
    <t>sneha rudani</t>
  </si>
  <si>
    <t>dinesh rudani</t>
  </si>
  <si>
    <t>reading book show movies &amp; t.v</t>
  </si>
  <si>
    <t>dinesh chunilal rudani</t>
  </si>
  <si>
    <t>b/4 manila society Nr.Naranpura rly crossing Naranpura Ahmedabad 380013</t>
  </si>
  <si>
    <t>jiggipatel94@gmail.com</t>
  </si>
  <si>
    <t>Jiggipatel94</t>
  </si>
  <si>
    <t>Washim</t>
  </si>
  <si>
    <t>Originally from Karanja Lad, I am ( 5'10")tall and moderately built. Beside being commerce graduate i have obsession for fitness and sports which has led me to be a businessman and an athelete.I always try to learn new skills to keep pace with the changing lifestyle. Being an extrovert I especially value humor, calm and peaceful behaviour, being able to communicate and staying healthy as well as to be creative at business.  Beside my love for traveling I have kept myself engaged in various social activities such as organising Volleyball Tournament, blood donation campaigns and representing ABKKP at various levels every year.</t>
  </si>
  <si>
    <t>Umiya Niwas, Patel Marble &amp; Stone, Opp. Jesus Garden, Old bus stand road, Karanja lad</t>
  </si>
  <si>
    <t>image/20200904_11301641.jpg</t>
  </si>
  <si>
    <t>image/20200904_11315249.jpg</t>
  </si>
  <si>
    <t>Drshiwani1510@gmail.com</t>
  </si>
  <si>
    <t>Indore66</t>
  </si>
  <si>
    <t xml:space="preserve">Shiwani </t>
  </si>
  <si>
    <t xml:space="preserve">Patidar </t>
  </si>
  <si>
    <t>Khargone</t>
  </si>
  <si>
    <t>Looking for relation where we can mutually support eachother.</t>
  </si>
  <si>
    <t>Radheshyam patidar</t>
  </si>
  <si>
    <t>65/9,ward 9 ,braj vihar Colony,Maheshwar</t>
  </si>
  <si>
    <t>image/20200804_05424100.jpg</t>
  </si>
  <si>
    <t>image/20200804_05430828.jpg</t>
  </si>
  <si>
    <t>kishankumarpatel1997@gmail.com</t>
  </si>
  <si>
    <t>K65447084v@</t>
  </si>
  <si>
    <t>jitupatidar94470@gmail.com</t>
  </si>
  <si>
    <t>Satynaran</t>
  </si>
  <si>
    <t>Mandsaur</t>
  </si>
  <si>
    <t>gautam08patel@yahoo.co.in</t>
  </si>
  <si>
    <t>limbani20</t>
  </si>
  <si>
    <t>Devjibhai</t>
  </si>
  <si>
    <t>Business Travelling</t>
  </si>
  <si>
    <t>Shanjibhai</t>
  </si>
  <si>
    <t>503 Shubham 2Opp pramukh residency, Chala, vapi</t>
  </si>
  <si>
    <t>45-55</t>
  </si>
  <si>
    <t>hemangipokar199604@gmail.com</t>
  </si>
  <si>
    <t>Hemangi</t>
  </si>
  <si>
    <t>Travelling, Reading,etc</t>
  </si>
  <si>
    <t>Narshi</t>
  </si>
  <si>
    <t>09,Shanti Darshan Apt. R.T.O. Corner MERI Nashik</t>
  </si>
  <si>
    <t>image/20200814_084436834.jpg</t>
  </si>
  <si>
    <t>image/20200814_084436823.jpg</t>
  </si>
  <si>
    <t>shyambhut12345@gmail.com</t>
  </si>
  <si>
    <t>bhut12345</t>
  </si>
  <si>
    <t>Shyam</t>
  </si>
  <si>
    <t>Fkgxdracb</t>
  </si>
  <si>
    <t>patelrajesh2120@yahoo.com</t>
  </si>
  <si>
    <t>miral123</t>
  </si>
  <si>
    <t>Miral</t>
  </si>
  <si>
    <t>I am interested to become IAS officer. I am preparing for UPSC</t>
  </si>
  <si>
    <t>Rajesh P patel</t>
  </si>
  <si>
    <t>170-Royalcounty. J. P. Nagar 8 th phase. Banglore</t>
  </si>
  <si>
    <t>image/20200818_090751184.jpg</t>
  </si>
  <si>
    <t>image/20200818_090751183.jpg</t>
  </si>
  <si>
    <t>Kuldeepkalriya11@gmail.com</t>
  </si>
  <si>
    <t>KULDEEP@1243</t>
  </si>
  <si>
    <t>Kuldeep</t>
  </si>
  <si>
    <t>Traaveling</t>
  </si>
  <si>
    <t>Jayantilala</t>
  </si>
  <si>
    <t>To-movana  Ta-keshod Di-junagadh</t>
  </si>
  <si>
    <t>tejashmakadia@outlook.com</t>
  </si>
  <si>
    <t>tejash</t>
  </si>
  <si>
    <t xml:space="preserve">Tejash </t>
  </si>
  <si>
    <t>Travelling &amp; Gaming &amp; Reading Novel</t>
  </si>
  <si>
    <t>kartik.padmani@gmail.com</t>
  </si>
  <si>
    <t>k56439798K</t>
  </si>
  <si>
    <t>Kartik</t>
  </si>
  <si>
    <t>Padmani</t>
  </si>
  <si>
    <t>Kamrej</t>
  </si>
  <si>
    <t>18-30</t>
  </si>
  <si>
    <t xml:space="preserve">dixitvasani6838@gmail.com </t>
  </si>
  <si>
    <t>dixvasani6838</t>
  </si>
  <si>
    <t>Dixit m</t>
  </si>
  <si>
    <t>vasani</t>
  </si>
  <si>
    <t>Cricket. Dancing. Holy.futbol</t>
  </si>
  <si>
    <t>Mohanlal vasani</t>
  </si>
  <si>
    <t>Shreenath classic  F -502 Nana chiloda</t>
  </si>
  <si>
    <t>miteshdayapar@gmail.com</t>
  </si>
  <si>
    <t>Dayapar370630</t>
  </si>
  <si>
    <t>Mitesh Patel</t>
  </si>
  <si>
    <t>BhavanBhai Patel</t>
  </si>
  <si>
    <t>To reach the goal</t>
  </si>
  <si>
    <t>BhavanBhai</t>
  </si>
  <si>
    <t>Village - Dayapar. Taluka - Lakhpat. District - Kutch. Pin - 370630 ??????? ??? ??</t>
  </si>
  <si>
    <t>patelankita2331996@gmail.com</t>
  </si>
  <si>
    <t>123patel</t>
  </si>
  <si>
    <t xml:space="preserve">Mehul </t>
  </si>
  <si>
    <t>Cricket , movie , travelling</t>
  </si>
  <si>
    <t>Hasmukh bhai samjibhai Patel</t>
  </si>
  <si>
    <t>A/201 umadarshan residency , hanspura , near dehgam circle ahmedabad</t>
  </si>
  <si>
    <t>image/20200826_070027344.jpg</t>
  </si>
  <si>
    <t>image/20200826_070027303.jpg</t>
  </si>
  <si>
    <t>akashpatel7285@gmail.com</t>
  </si>
  <si>
    <t>akashpatel1994</t>
  </si>
  <si>
    <t>Photography, traveling and reading</t>
  </si>
  <si>
    <t>Panchani.prakash15@gmail.com</t>
  </si>
  <si>
    <t>Prakash6287</t>
  </si>
  <si>
    <t>Prakash</t>
  </si>
  <si>
    <t>Panchani</t>
  </si>
  <si>
    <t>niravlimbani09@gmail.com</t>
  </si>
  <si>
    <t>Nili@001</t>
  </si>
  <si>
    <t>Our future is in our hand.</t>
  </si>
  <si>
    <t>Ankit.327272@gmail.com</t>
  </si>
  <si>
    <t>bunty7272</t>
  </si>
  <si>
    <t>A simple guy</t>
  </si>
  <si>
    <t>Shanti lal halpani</t>
  </si>
  <si>
    <t>Jasmin timbers new timber market fafadih</t>
  </si>
  <si>
    <t>patelvishal408.pv@gmail.com</t>
  </si>
  <si>
    <t>Reading, playing, traveling</t>
  </si>
  <si>
    <t>Shivjibhai bhavani</t>
  </si>
  <si>
    <t>Songadh</t>
  </si>
  <si>
    <t>image/20200904_113235944.jpg</t>
  </si>
  <si>
    <t>Kalpesh14641@gmail.com</t>
  </si>
  <si>
    <t>9944203888kp</t>
  </si>
  <si>
    <t xml:space="preserve">Kalpesh </t>
  </si>
  <si>
    <t>Tamil Nadu</t>
  </si>
  <si>
    <t>Tiruchchirappalli</t>
  </si>
  <si>
    <t>Humble man, love nature, proud to be Patel.</t>
  </si>
  <si>
    <t>Amrutlal</t>
  </si>
  <si>
    <t>ARKnagar, Chennai bay pass road, tricky.</t>
  </si>
  <si>
    <t>image/20200908_23335406.jpg</t>
  </si>
  <si>
    <t>image/20200908_23342647.jpg</t>
  </si>
  <si>
    <t xml:space="preserve">vishalramani888@gmail.com </t>
  </si>
  <si>
    <t>vishal8388</t>
  </si>
  <si>
    <t>Longdrive watching movie</t>
  </si>
  <si>
    <t>Amrutlal meghji bhai patel</t>
  </si>
  <si>
    <t>Kalka gate,station road,petlad</t>
  </si>
  <si>
    <t>bansipatel419@gmail.com</t>
  </si>
  <si>
    <t>Bansi</t>
  </si>
  <si>
    <t>Pajavani</t>
  </si>
  <si>
    <t>Dhruvip8@gmail.com</t>
  </si>
  <si>
    <t>patelsonup</t>
  </si>
  <si>
    <t xml:space="preserve">Ankita </t>
  </si>
  <si>
    <t>Cooking</t>
  </si>
  <si>
    <t>JIVANIPRATIK@GMAIL.COM</t>
  </si>
  <si>
    <t>pRATIK123456</t>
  </si>
  <si>
    <t>PRATIK</t>
  </si>
  <si>
    <t>JIVANI</t>
  </si>
  <si>
    <t>MY HOBBY CRICKET,REDING,COOKING,MUSIC,PHOTOGRAPHAY.GOOD FAMILY BACK 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</si>
</sst>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NumberFormat="1" applyFont="1" applyAlignment="1">
      <alignment horizontal="left"/>
    </xf>
    <xf numFmtId="14"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29C16-2812-41B8-9B98-808AE42AFE16}">
  <dimension ref="A1:AE425"/>
  <sheetViews>
    <sheetView tabSelected="1" topLeftCell="R1" workbookViewId="0">
      <pane ySplit="1" topLeftCell="A2" activePane="bottomLeft" state="frozen"/>
      <selection pane="bottomLeft" activeCell="O2" sqref="O2"/>
    </sheetView>
  </sheetViews>
  <sheetFormatPr defaultRowHeight="14.5" x14ac:dyDescent="0.35"/>
  <cols>
    <col min="1" max="1" width="4.81640625" style="1" bestFit="1" customWidth="1"/>
    <col min="2" max="2" width="33.08984375" style="1" bestFit="1" customWidth="1"/>
    <col min="3" max="3" width="20.26953125" style="1" bestFit="1" customWidth="1"/>
    <col min="4" max="4" width="28.7265625" style="1" bestFit="1" customWidth="1"/>
    <col min="5" max="5" width="37.08984375" style="1" bestFit="1" customWidth="1"/>
    <col min="6" max="6" width="10.6328125" style="1" customWidth="1"/>
    <col min="7" max="7" width="10.453125" style="1" bestFit="1" customWidth="1"/>
    <col min="8" max="8" width="12.81640625" style="1" customWidth="1"/>
    <col min="9" max="9" width="14.90625" style="1" bestFit="1" customWidth="1"/>
    <col min="10" max="10" width="19.7265625" style="1" bestFit="1" customWidth="1"/>
    <col min="11" max="11" width="11.453125" style="2" bestFit="1" customWidth="1"/>
    <col min="12" max="12" width="13" style="1" bestFit="1" customWidth="1"/>
    <col min="13" max="13" width="6.1796875" style="1" bestFit="1" customWidth="1"/>
    <col min="14" max="14" width="14.7265625" style="1" customWidth="1"/>
    <col min="15" max="15" width="47.6328125" style="1" customWidth="1"/>
    <col min="16" max="16" width="12.453125" style="1" bestFit="1" customWidth="1"/>
    <col min="17" max="17" width="36" style="1" bestFit="1" customWidth="1"/>
    <col min="18" max="18" width="65.36328125" style="1" customWidth="1"/>
    <col min="19" max="19" width="15" style="1" customWidth="1"/>
    <col min="20" max="20" width="54.7265625" style="1" bestFit="1" customWidth="1"/>
    <col min="21" max="21" width="16.81640625" style="1" bestFit="1" customWidth="1"/>
    <col min="22" max="22" width="14.54296875" style="1" bestFit="1" customWidth="1"/>
    <col min="23" max="24" width="29.453125" style="1" bestFit="1" customWidth="1"/>
    <col min="25" max="25" width="10.453125" style="3" bestFit="1" customWidth="1"/>
    <col min="26" max="26" width="15" style="1" bestFit="1" customWidth="1"/>
    <col min="27" max="27" width="19.08984375" style="1" bestFit="1" customWidth="1"/>
    <col min="28" max="28" width="19.1796875" style="1" bestFit="1" customWidth="1"/>
    <col min="29" max="29" width="17.54296875" style="1" bestFit="1" customWidth="1"/>
    <col min="30" max="30" width="16.54296875" style="3" bestFit="1" customWidth="1"/>
    <col min="31" max="31" width="12.26953125" style="1" bestFit="1" customWidth="1"/>
    <col min="32" max="16384" width="8.7265625" style="1"/>
  </cols>
  <sheetData>
    <row r="1" spans="1:31" s="4" customFormat="1" x14ac:dyDescent="0.35">
      <c r="A1" s="4" t="s">
        <v>0</v>
      </c>
      <c r="B1" s="4" t="s">
        <v>1</v>
      </c>
      <c r="C1" s="4" t="s">
        <v>2</v>
      </c>
      <c r="D1" s="4" t="s">
        <v>3</v>
      </c>
      <c r="E1" s="4" t="s">
        <v>4</v>
      </c>
      <c r="F1" s="4" t="s">
        <v>5</v>
      </c>
      <c r="G1" s="4" t="s">
        <v>6</v>
      </c>
      <c r="H1" s="4" t="s">
        <v>7</v>
      </c>
      <c r="I1" s="4" t="s">
        <v>8</v>
      </c>
      <c r="J1" s="4" t="s">
        <v>9</v>
      </c>
      <c r="K1" s="5" t="s">
        <v>10</v>
      </c>
      <c r="L1" s="4" t="s">
        <v>11</v>
      </c>
      <c r="M1" s="4" t="s">
        <v>12</v>
      </c>
      <c r="N1" s="4" t="s">
        <v>13</v>
      </c>
      <c r="O1" s="4" t="s">
        <v>14</v>
      </c>
      <c r="P1" s="4" t="s">
        <v>15</v>
      </c>
      <c r="Q1" s="4" t="s">
        <v>16</v>
      </c>
      <c r="R1" s="4" t="s">
        <v>17</v>
      </c>
      <c r="S1" s="4" t="s">
        <v>18</v>
      </c>
      <c r="T1" s="4" t="s">
        <v>19</v>
      </c>
      <c r="U1" s="4" t="s">
        <v>20</v>
      </c>
      <c r="V1" s="4" t="s">
        <v>21</v>
      </c>
      <c r="W1" s="4" t="s">
        <v>22</v>
      </c>
      <c r="X1" s="4" t="s">
        <v>23</v>
      </c>
      <c r="Y1" s="6" t="s">
        <v>24</v>
      </c>
      <c r="Z1" s="4" t="s">
        <v>25</v>
      </c>
      <c r="AA1" s="4" t="s">
        <v>26</v>
      </c>
      <c r="AB1" s="4" t="s">
        <v>27</v>
      </c>
      <c r="AC1" s="4" t="s">
        <v>28</v>
      </c>
      <c r="AD1" s="6" t="s">
        <v>29</v>
      </c>
      <c r="AE1" s="4" t="s">
        <v>30</v>
      </c>
    </row>
    <row r="2" spans="1:31" x14ac:dyDescent="0.35">
      <c r="A2" s="1">
        <v>4</v>
      </c>
      <c r="B2" s="1" t="s">
        <v>31</v>
      </c>
      <c r="C2" s="1" t="s">
        <v>32</v>
      </c>
      <c r="D2" s="1" t="s">
        <v>33</v>
      </c>
      <c r="E2" s="1" t="s">
        <v>34</v>
      </c>
      <c r="F2" s="1">
        <v>1</v>
      </c>
      <c r="G2" s="3">
        <v>29567</v>
      </c>
      <c r="H2" s="1">
        <v>1</v>
      </c>
      <c r="I2" s="1" t="s">
        <v>35</v>
      </c>
      <c r="J2" s="1" t="s">
        <v>36</v>
      </c>
      <c r="K2" s="2">
        <f>91-9175563167</f>
        <v>-9175563076</v>
      </c>
      <c r="L2" s="1" t="s">
        <v>37</v>
      </c>
      <c r="M2" s="1">
        <v>5.05</v>
      </c>
      <c r="N2" s="1">
        <v>12</v>
      </c>
      <c r="O2" s="1" t="s">
        <v>38</v>
      </c>
      <c r="P2" s="1">
        <f>91-9323023163</f>
        <v>-9323023072</v>
      </c>
      <c r="Q2" s="1" t="s">
        <v>39</v>
      </c>
      <c r="R2" s="1" t="s">
        <v>40</v>
      </c>
      <c r="S2" s="1" t="s">
        <v>43</v>
      </c>
      <c r="T2" s="1" t="s">
        <v>44</v>
      </c>
      <c r="U2" s="1">
        <v>5.0199999999999996</v>
      </c>
      <c r="V2" s="1">
        <v>5.07</v>
      </c>
      <c r="W2" s="1" t="s">
        <v>46</v>
      </c>
      <c r="X2" s="1" t="s">
        <v>47</v>
      </c>
      <c r="Y2" s="3">
        <v>41980.133715277778</v>
      </c>
      <c r="Z2" s="1">
        <v>1</v>
      </c>
      <c r="AA2" s="1">
        <v>1</v>
      </c>
      <c r="AB2" s="1">
        <v>1</v>
      </c>
      <c r="AC2" s="1">
        <v>4</v>
      </c>
      <c r="AD2" s="3">
        <v>42855.67236759259</v>
      </c>
      <c r="AE2" s="1" t="s">
        <v>42</v>
      </c>
    </row>
    <row r="3" spans="1:31" x14ac:dyDescent="0.35">
      <c r="A3" s="1">
        <v>6</v>
      </c>
      <c r="B3" s="1" t="s">
        <v>49</v>
      </c>
      <c r="C3" s="1" t="s">
        <v>50</v>
      </c>
      <c r="D3" s="1" t="s">
        <v>51</v>
      </c>
      <c r="E3" s="1" t="s">
        <v>52</v>
      </c>
      <c r="F3" s="1">
        <v>1</v>
      </c>
      <c r="G3" s="3">
        <v>31528</v>
      </c>
      <c r="H3" s="1">
        <v>1</v>
      </c>
      <c r="I3" s="1" t="s">
        <v>35</v>
      </c>
      <c r="J3" s="1" t="s">
        <v>36</v>
      </c>
      <c r="K3" s="2">
        <f>91-9820915680</f>
        <v>-9820915589</v>
      </c>
      <c r="L3" s="1" t="s">
        <v>37</v>
      </c>
      <c r="M3" s="1">
        <v>5.1100000000000003</v>
      </c>
      <c r="N3" s="1">
        <v>49</v>
      </c>
      <c r="O3" s="1" t="s">
        <v>53</v>
      </c>
      <c r="P3" s="1" t="s">
        <v>54</v>
      </c>
      <c r="Q3" s="1" t="s">
        <v>55</v>
      </c>
      <c r="R3" s="1" t="s">
        <v>56</v>
      </c>
      <c r="S3" s="1" t="s">
        <v>57</v>
      </c>
      <c r="T3" s="1" t="s">
        <v>58</v>
      </c>
      <c r="U3" s="1">
        <v>5.03</v>
      </c>
      <c r="V3" s="1">
        <v>5.08</v>
      </c>
      <c r="W3" s="1" t="s">
        <v>42</v>
      </c>
      <c r="X3" s="1" t="s">
        <v>42</v>
      </c>
      <c r="Y3" s="3">
        <v>41980.218981481485</v>
      </c>
      <c r="Z3" s="1">
        <v>1</v>
      </c>
      <c r="AA3" s="1">
        <v>1</v>
      </c>
      <c r="AB3" s="1">
        <v>1</v>
      </c>
      <c r="AC3" s="1">
        <v>1</v>
      </c>
      <c r="AD3" s="3">
        <v>43151.730733101853</v>
      </c>
      <c r="AE3" s="1" t="s">
        <v>42</v>
      </c>
    </row>
    <row r="4" spans="1:31" x14ac:dyDescent="0.35">
      <c r="A4" s="1">
        <v>18</v>
      </c>
      <c r="B4" s="1" t="s">
        <v>59</v>
      </c>
      <c r="C4" s="1" t="s">
        <v>60</v>
      </c>
      <c r="D4" s="1" t="s">
        <v>61</v>
      </c>
      <c r="E4" s="1" t="s">
        <v>62</v>
      </c>
      <c r="F4" s="1">
        <v>1</v>
      </c>
      <c r="G4" s="3">
        <v>35314</v>
      </c>
      <c r="H4" s="1">
        <v>1</v>
      </c>
      <c r="I4" s="1" t="s">
        <v>63</v>
      </c>
      <c r="J4" s="1" t="s">
        <v>64</v>
      </c>
      <c r="K4" s="2">
        <f>91-9898572875</f>
        <v>-9898572784</v>
      </c>
      <c r="L4" s="1" t="s">
        <v>58</v>
      </c>
      <c r="M4" s="1">
        <v>4.05</v>
      </c>
      <c r="N4" s="1">
        <v>14</v>
      </c>
      <c r="O4" s="1" t="s">
        <v>65</v>
      </c>
      <c r="P4" s="1">
        <f>91-9898572875</f>
        <v>-9898572784</v>
      </c>
      <c r="Q4" s="1" t="s">
        <v>66</v>
      </c>
      <c r="R4" s="1" t="s">
        <v>67</v>
      </c>
      <c r="S4" s="1" t="s">
        <v>68</v>
      </c>
      <c r="T4" s="1" t="s">
        <v>58</v>
      </c>
      <c r="U4" s="1">
        <v>4.01</v>
      </c>
      <c r="V4" s="1">
        <v>4.01</v>
      </c>
      <c r="Y4" s="3">
        <v>41984.182593206016</v>
      </c>
      <c r="Z4" s="1">
        <v>1</v>
      </c>
      <c r="AA4" s="1">
        <v>1</v>
      </c>
      <c r="AB4" s="1">
        <v>1</v>
      </c>
      <c r="AC4" s="1">
        <v>3</v>
      </c>
      <c r="AD4" s="3" t="s">
        <v>42</v>
      </c>
      <c r="AE4" s="1" t="s">
        <v>42</v>
      </c>
    </row>
    <row r="5" spans="1:31" x14ac:dyDescent="0.35">
      <c r="A5" s="1">
        <v>33</v>
      </c>
      <c r="B5" s="1" t="s">
        <v>69</v>
      </c>
      <c r="C5" s="1">
        <v>8818883905</v>
      </c>
      <c r="D5" s="1" t="s">
        <v>70</v>
      </c>
      <c r="E5" s="1" t="s">
        <v>71</v>
      </c>
      <c r="F5" s="1">
        <v>1</v>
      </c>
      <c r="G5" s="3">
        <v>33442</v>
      </c>
      <c r="H5" s="1">
        <v>1</v>
      </c>
      <c r="I5" s="1" t="s">
        <v>72</v>
      </c>
      <c r="J5" s="1" t="s">
        <v>73</v>
      </c>
      <c r="K5" s="2">
        <f>91-8818883905</f>
        <v>-8818883814</v>
      </c>
      <c r="L5" s="1" t="s">
        <v>58</v>
      </c>
      <c r="M5" s="1">
        <v>6.01</v>
      </c>
      <c r="N5" s="1">
        <v>43</v>
      </c>
      <c r="O5" s="1" t="s">
        <v>74</v>
      </c>
      <c r="P5" s="1">
        <f>91-8818883904</f>
        <v>-8818883813</v>
      </c>
      <c r="Q5" s="1" t="s">
        <v>75</v>
      </c>
      <c r="R5" s="1" t="s">
        <v>73</v>
      </c>
      <c r="S5" s="1" t="s">
        <v>77</v>
      </c>
      <c r="T5" s="1" t="s">
        <v>58</v>
      </c>
      <c r="U5" s="1">
        <v>5.0599999999999996</v>
      </c>
      <c r="V5" s="1">
        <v>6.03</v>
      </c>
      <c r="W5" s="1" t="s">
        <v>78</v>
      </c>
      <c r="X5" s="1" t="s">
        <v>79</v>
      </c>
      <c r="Y5" s="3">
        <v>42002.46311542824</v>
      </c>
      <c r="Z5" s="1">
        <v>1</v>
      </c>
      <c r="AA5" s="1">
        <v>1</v>
      </c>
      <c r="AB5" s="1">
        <v>1</v>
      </c>
      <c r="AC5" s="1">
        <v>1</v>
      </c>
      <c r="AD5" s="3">
        <v>43601.470972418982</v>
      </c>
      <c r="AE5" s="1" t="s">
        <v>42</v>
      </c>
    </row>
    <row r="6" spans="1:31" x14ac:dyDescent="0.35">
      <c r="A6" s="1">
        <v>36</v>
      </c>
      <c r="B6" s="1" t="s">
        <v>80</v>
      </c>
      <c r="C6" s="1" t="s">
        <v>81</v>
      </c>
      <c r="D6" s="1" t="s">
        <v>82</v>
      </c>
      <c r="E6" s="1" t="s">
        <v>83</v>
      </c>
      <c r="F6" s="1">
        <v>0</v>
      </c>
      <c r="G6" s="3">
        <v>32360</v>
      </c>
      <c r="H6" s="1">
        <v>1</v>
      </c>
      <c r="I6" s="1" t="s">
        <v>35</v>
      </c>
      <c r="J6" s="1" t="s">
        <v>36</v>
      </c>
      <c r="K6" s="2">
        <f>91-9930131466</f>
        <v>-9930131375</v>
      </c>
      <c r="L6" s="1" t="s">
        <v>58</v>
      </c>
      <c r="M6" s="1">
        <v>5.05</v>
      </c>
      <c r="N6" s="1">
        <v>10</v>
      </c>
      <c r="O6" s="1" t="s">
        <v>84</v>
      </c>
      <c r="P6" s="1">
        <f>91-9029694572</f>
        <v>-9029694481</v>
      </c>
      <c r="Q6" s="1" t="s">
        <v>85</v>
      </c>
      <c r="R6" s="1" t="s">
        <v>86</v>
      </c>
      <c r="S6" s="1" t="s">
        <v>87</v>
      </c>
      <c r="T6" s="1" t="s">
        <v>58</v>
      </c>
      <c r="U6" s="1">
        <v>5.05</v>
      </c>
      <c r="V6" s="1">
        <v>6</v>
      </c>
      <c r="W6" s="1" t="s">
        <v>88</v>
      </c>
      <c r="X6" s="1" t="s">
        <v>89</v>
      </c>
      <c r="Y6" s="3">
        <v>42006.397905092592</v>
      </c>
      <c r="Z6" s="1">
        <v>1</v>
      </c>
      <c r="AA6" s="1">
        <v>1</v>
      </c>
      <c r="AB6" s="1">
        <v>1</v>
      </c>
      <c r="AC6" s="1">
        <v>4</v>
      </c>
      <c r="AD6" s="3">
        <v>43611.154007951387</v>
      </c>
      <c r="AE6" s="1" t="s">
        <v>42</v>
      </c>
    </row>
    <row r="7" spans="1:31" x14ac:dyDescent="0.35">
      <c r="A7" s="1">
        <v>56</v>
      </c>
      <c r="B7" s="1" t="s">
        <v>90</v>
      </c>
      <c r="C7" s="1" t="s">
        <v>91</v>
      </c>
      <c r="D7" s="1" t="s">
        <v>92</v>
      </c>
      <c r="E7" s="1" t="s">
        <v>34</v>
      </c>
      <c r="F7" s="1">
        <v>1</v>
      </c>
      <c r="G7" s="3">
        <v>31245</v>
      </c>
      <c r="H7" s="1">
        <v>1</v>
      </c>
      <c r="I7" s="1" t="s">
        <v>93</v>
      </c>
      <c r="J7" s="1" t="s">
        <v>94</v>
      </c>
      <c r="K7" s="2">
        <f>91-9790228904</f>
        <v>-9790228813</v>
      </c>
      <c r="L7" s="1" t="s">
        <v>37</v>
      </c>
      <c r="M7" s="1">
        <v>5.0199999999999996</v>
      </c>
      <c r="N7" s="1">
        <v>12</v>
      </c>
      <c r="O7" s="1" t="s">
        <v>95</v>
      </c>
      <c r="P7" s="1">
        <f>91-9112168837</f>
        <v>-9112168746</v>
      </c>
      <c r="Q7" s="1" t="s">
        <v>96</v>
      </c>
      <c r="R7" s="1" t="s">
        <v>97</v>
      </c>
      <c r="S7" s="1" t="s">
        <v>98</v>
      </c>
      <c r="T7" s="1" t="s">
        <v>99</v>
      </c>
      <c r="U7" s="1">
        <v>4</v>
      </c>
      <c r="V7" s="1">
        <v>5.03</v>
      </c>
      <c r="W7" s="1" t="s">
        <v>100</v>
      </c>
      <c r="X7" s="1" t="s">
        <v>101</v>
      </c>
      <c r="Y7" s="3">
        <v>42044.886597222219</v>
      </c>
      <c r="Z7" s="1">
        <v>1</v>
      </c>
      <c r="AA7" s="1">
        <v>1</v>
      </c>
      <c r="AB7" s="1">
        <v>1</v>
      </c>
      <c r="AC7" s="1">
        <v>4</v>
      </c>
      <c r="AD7" s="3">
        <v>42763.291230324074</v>
      </c>
      <c r="AE7" s="1" t="s">
        <v>42</v>
      </c>
    </row>
    <row r="8" spans="1:31" x14ac:dyDescent="0.35">
      <c r="A8" s="1">
        <v>63</v>
      </c>
      <c r="B8" s="1" t="s">
        <v>102</v>
      </c>
      <c r="C8" s="1" t="s">
        <v>103</v>
      </c>
      <c r="D8" s="1" t="s">
        <v>104</v>
      </c>
      <c r="E8" s="1" t="s">
        <v>105</v>
      </c>
      <c r="F8" s="1">
        <v>0</v>
      </c>
      <c r="G8" s="3">
        <v>31938</v>
      </c>
      <c r="H8" s="1">
        <v>1</v>
      </c>
      <c r="I8" s="1" t="s">
        <v>35</v>
      </c>
      <c r="J8" s="1" t="s">
        <v>106</v>
      </c>
      <c r="K8" s="2">
        <f>91-9422787262</f>
        <v>-9422787171</v>
      </c>
      <c r="L8" s="1" t="s">
        <v>58</v>
      </c>
      <c r="M8" s="1">
        <v>5.04</v>
      </c>
      <c r="N8" s="1">
        <v>5</v>
      </c>
      <c r="O8" s="1" t="s">
        <v>107</v>
      </c>
      <c r="P8" s="1">
        <f>91-8888993541</f>
        <v>-8888993450</v>
      </c>
      <c r="Q8" s="1" t="s">
        <v>108</v>
      </c>
      <c r="R8" s="1" t="s">
        <v>109</v>
      </c>
      <c r="S8" s="1" t="s">
        <v>87</v>
      </c>
      <c r="T8" s="1" t="s">
        <v>58</v>
      </c>
      <c r="U8" s="1">
        <v>5.0599999999999996</v>
      </c>
      <c r="V8" s="1">
        <v>7.05</v>
      </c>
      <c r="W8" s="1" t="s">
        <v>110</v>
      </c>
      <c r="X8" s="1" t="s">
        <v>111</v>
      </c>
      <c r="Y8" s="3">
        <v>42049.24255787037</v>
      </c>
      <c r="Z8" s="1">
        <v>1</v>
      </c>
      <c r="AA8" s="1">
        <v>1</v>
      </c>
      <c r="AB8" s="1">
        <v>1</v>
      </c>
      <c r="AC8" s="1">
        <v>1</v>
      </c>
      <c r="AD8" s="3">
        <v>43303.435042048608</v>
      </c>
      <c r="AE8" s="1" t="s">
        <v>42</v>
      </c>
    </row>
    <row r="9" spans="1:31" x14ac:dyDescent="0.35">
      <c r="A9" s="1">
        <v>70</v>
      </c>
      <c r="B9" s="1" t="s">
        <v>112</v>
      </c>
      <c r="C9" s="1" t="s">
        <v>113</v>
      </c>
      <c r="D9" s="1" t="s">
        <v>71</v>
      </c>
      <c r="E9" s="1" t="s">
        <v>114</v>
      </c>
      <c r="F9" s="1">
        <v>1</v>
      </c>
      <c r="G9" s="3">
        <v>34089</v>
      </c>
      <c r="H9" s="1">
        <v>1</v>
      </c>
      <c r="I9" s="1" t="s">
        <v>63</v>
      </c>
      <c r="J9" s="1" t="s">
        <v>115</v>
      </c>
      <c r="K9" s="2">
        <f>91-9737765511</f>
        <v>-9737765420</v>
      </c>
      <c r="L9" s="1" t="s">
        <v>58</v>
      </c>
      <c r="M9" s="1">
        <v>5</v>
      </c>
      <c r="N9" s="1">
        <v>46</v>
      </c>
      <c r="O9" s="1" t="s">
        <v>117</v>
      </c>
      <c r="P9" s="1">
        <f>91-9737765511</f>
        <v>-9737765420</v>
      </c>
      <c r="Q9" s="1" t="s">
        <v>118</v>
      </c>
      <c r="R9" s="1" t="s">
        <v>116</v>
      </c>
      <c r="S9" s="1" t="s">
        <v>119</v>
      </c>
      <c r="T9" s="1" t="s">
        <v>58</v>
      </c>
      <c r="U9" s="1">
        <v>5</v>
      </c>
      <c r="V9" s="1">
        <v>5</v>
      </c>
      <c r="W9" s="1" t="s">
        <v>120</v>
      </c>
      <c r="X9" s="1" t="s">
        <v>121</v>
      </c>
      <c r="Y9" s="3">
        <v>42051.091874999998</v>
      </c>
      <c r="Z9" s="1">
        <v>1</v>
      </c>
      <c r="AA9" s="1">
        <v>1</v>
      </c>
      <c r="AB9" s="1">
        <v>1</v>
      </c>
      <c r="AC9" s="1">
        <v>4</v>
      </c>
      <c r="AD9" s="3">
        <v>42791.568811226854</v>
      </c>
      <c r="AE9" s="1" t="s">
        <v>42</v>
      </c>
    </row>
    <row r="10" spans="1:31" x14ac:dyDescent="0.35">
      <c r="A10" s="1">
        <v>72</v>
      </c>
      <c r="B10" s="1" t="s">
        <v>122</v>
      </c>
      <c r="C10" s="1">
        <v>14314327</v>
      </c>
      <c r="D10" s="1" t="s">
        <v>123</v>
      </c>
      <c r="E10" s="1" t="s">
        <v>124</v>
      </c>
      <c r="F10" s="1">
        <v>1</v>
      </c>
      <c r="G10" s="3">
        <v>33209</v>
      </c>
      <c r="H10" s="1">
        <v>1</v>
      </c>
      <c r="I10" s="1" t="s">
        <v>125</v>
      </c>
      <c r="J10" s="1" t="s">
        <v>126</v>
      </c>
      <c r="K10" s="2">
        <f>91-9739427308</f>
        <v>-9739427217</v>
      </c>
      <c r="L10" s="1" t="s">
        <v>58</v>
      </c>
      <c r="M10" s="1">
        <v>5.04</v>
      </c>
      <c r="N10" s="1">
        <v>38</v>
      </c>
      <c r="O10" s="1" t="s">
        <v>127</v>
      </c>
      <c r="P10" s="1">
        <f>91-9909857414</f>
        <v>-9909857323</v>
      </c>
      <c r="Q10" s="1" t="s">
        <v>128</v>
      </c>
      <c r="R10" s="1" t="s">
        <v>129</v>
      </c>
      <c r="S10" s="1" t="s">
        <v>130</v>
      </c>
      <c r="T10" s="1" t="s">
        <v>58</v>
      </c>
      <c r="U10" s="1">
        <v>5.04</v>
      </c>
      <c r="V10" s="1">
        <v>5.04</v>
      </c>
      <c r="W10" s="1" t="s">
        <v>131</v>
      </c>
      <c r="X10" s="1" t="s">
        <v>132</v>
      </c>
      <c r="Y10" s="3">
        <v>42051.18544552083</v>
      </c>
      <c r="Z10" s="1">
        <v>1</v>
      </c>
      <c r="AA10" s="1">
        <v>1</v>
      </c>
      <c r="AB10" s="1">
        <v>1</v>
      </c>
      <c r="AC10" s="1">
        <v>1</v>
      </c>
      <c r="AD10" s="3">
        <v>43902.41252179398</v>
      </c>
      <c r="AE10" s="1" t="s">
        <v>42</v>
      </c>
    </row>
    <row r="11" spans="1:31" x14ac:dyDescent="0.35">
      <c r="A11" s="1">
        <v>75</v>
      </c>
      <c r="B11" s="1" t="s">
        <v>133</v>
      </c>
      <c r="C11" s="1" t="s">
        <v>134</v>
      </c>
      <c r="D11" s="1" t="s">
        <v>135</v>
      </c>
      <c r="E11" s="1" t="s">
        <v>71</v>
      </c>
      <c r="F11" s="1">
        <v>1</v>
      </c>
      <c r="G11" s="3">
        <v>32641</v>
      </c>
      <c r="H11" s="1">
        <v>1</v>
      </c>
      <c r="I11" s="1" t="s">
        <v>63</v>
      </c>
      <c r="J11" s="1" t="s">
        <v>64</v>
      </c>
      <c r="K11" s="2">
        <f>91-9898737333</f>
        <v>-9898737242</v>
      </c>
      <c r="L11" s="1" t="s">
        <v>58</v>
      </c>
      <c r="M11" s="1">
        <v>5.05</v>
      </c>
      <c r="N11" s="1">
        <v>11</v>
      </c>
      <c r="O11" s="1" t="s">
        <v>136</v>
      </c>
      <c r="P11" s="1">
        <f>91-8128888858</f>
        <v>-8128888767</v>
      </c>
      <c r="Q11" s="1" t="s">
        <v>137</v>
      </c>
      <c r="R11" s="1" t="s">
        <v>138</v>
      </c>
      <c r="S11" s="1" t="s">
        <v>139</v>
      </c>
      <c r="T11" s="1" t="s">
        <v>140</v>
      </c>
      <c r="U11" s="1">
        <v>5.01</v>
      </c>
      <c r="V11" s="1">
        <v>5.0599999999999996</v>
      </c>
      <c r="W11" s="1" t="s">
        <v>141</v>
      </c>
      <c r="X11" s="1" t="s">
        <v>142</v>
      </c>
      <c r="Y11" s="3">
        <v>42051.412604166668</v>
      </c>
      <c r="Z11" s="1">
        <v>1</v>
      </c>
      <c r="AA11" s="1">
        <v>1</v>
      </c>
      <c r="AB11" s="1">
        <v>1</v>
      </c>
      <c r="AC11" s="1">
        <v>1</v>
      </c>
      <c r="AD11" s="3">
        <v>43791.633423923609</v>
      </c>
      <c r="AE11" s="1" t="s">
        <v>42</v>
      </c>
    </row>
    <row r="12" spans="1:31" x14ac:dyDescent="0.35">
      <c r="A12" s="1">
        <v>76</v>
      </c>
      <c r="B12" s="1" t="s">
        <v>143</v>
      </c>
      <c r="C12" s="1" t="s">
        <v>144</v>
      </c>
      <c r="D12" s="1" t="s">
        <v>145</v>
      </c>
      <c r="E12" s="1" t="s">
        <v>146</v>
      </c>
      <c r="F12" s="1">
        <v>1</v>
      </c>
      <c r="G12" s="3">
        <v>32242</v>
      </c>
      <c r="H12" s="1">
        <v>1</v>
      </c>
      <c r="I12" s="1" t="s">
        <v>63</v>
      </c>
      <c r="J12" s="1" t="s">
        <v>64</v>
      </c>
      <c r="K12" s="2">
        <f>91-9429326872</f>
        <v>-9429326781</v>
      </c>
      <c r="L12" s="1" t="s">
        <v>58</v>
      </c>
      <c r="M12" s="1">
        <v>5.07</v>
      </c>
      <c r="N12" s="1">
        <v>36</v>
      </c>
      <c r="O12" s="1" t="s">
        <v>147</v>
      </c>
      <c r="P12" s="1" t="s">
        <v>54</v>
      </c>
      <c r="Q12" s="1" t="s">
        <v>148</v>
      </c>
      <c r="R12" s="1" t="s">
        <v>149</v>
      </c>
      <c r="S12" s="1" t="s">
        <v>150</v>
      </c>
      <c r="T12" s="1" t="s">
        <v>58</v>
      </c>
      <c r="U12" s="1">
        <v>5</v>
      </c>
      <c r="V12" s="1">
        <v>5.07</v>
      </c>
      <c r="W12" s="1" t="s">
        <v>151</v>
      </c>
      <c r="X12" s="1" t="s">
        <v>152</v>
      </c>
      <c r="Y12" s="3">
        <v>42051.95886554398</v>
      </c>
      <c r="Z12" s="1">
        <v>1</v>
      </c>
      <c r="AA12" s="1">
        <v>1</v>
      </c>
      <c r="AB12" s="1">
        <v>1</v>
      </c>
      <c r="AC12" s="1">
        <v>4</v>
      </c>
      <c r="AD12" s="3">
        <v>42762.648247569443</v>
      </c>
      <c r="AE12" s="1" t="s">
        <v>42</v>
      </c>
    </row>
    <row r="13" spans="1:31" x14ac:dyDescent="0.35">
      <c r="A13" s="1">
        <v>77</v>
      </c>
      <c r="B13" s="1" t="s">
        <v>153</v>
      </c>
      <c r="C13" s="1" t="s">
        <v>154</v>
      </c>
      <c r="D13" s="1" t="s">
        <v>155</v>
      </c>
      <c r="E13" s="1" t="s">
        <v>156</v>
      </c>
      <c r="F13" s="1">
        <v>1</v>
      </c>
      <c r="G13" s="3">
        <v>32684</v>
      </c>
      <c r="H13" s="1">
        <v>1</v>
      </c>
      <c r="I13" s="1" t="s">
        <v>35</v>
      </c>
      <c r="J13" s="1" t="s">
        <v>157</v>
      </c>
      <c r="K13" s="2">
        <f>91-8928103307</f>
        <v>-8928103216</v>
      </c>
      <c r="L13" s="1" t="s">
        <v>58</v>
      </c>
      <c r="M13" s="1">
        <v>5.1100000000000003</v>
      </c>
      <c r="N13" s="1">
        <v>48</v>
      </c>
      <c r="O13" s="1" t="s">
        <v>158</v>
      </c>
      <c r="P13" s="1">
        <f>91-9823980622</f>
        <v>-9823980531</v>
      </c>
      <c r="Q13" s="1" t="s">
        <v>159</v>
      </c>
      <c r="R13" s="1" t="s">
        <v>160</v>
      </c>
      <c r="S13" s="1" t="s">
        <v>161</v>
      </c>
      <c r="T13" s="1" t="s">
        <v>58</v>
      </c>
      <c r="U13" s="1">
        <v>5.0199999999999996</v>
      </c>
      <c r="V13" s="1">
        <v>5.08</v>
      </c>
      <c r="W13" s="1" t="s">
        <v>162</v>
      </c>
      <c r="X13" s="1" t="s">
        <v>163</v>
      </c>
      <c r="Y13" s="3">
        <v>42051.97556712963</v>
      </c>
      <c r="Z13" s="1">
        <v>1</v>
      </c>
      <c r="AA13" s="1">
        <v>1</v>
      </c>
      <c r="AB13" s="1">
        <v>1</v>
      </c>
      <c r="AC13" s="1">
        <v>1</v>
      </c>
      <c r="AD13" s="3">
        <v>43498.571256828705</v>
      </c>
      <c r="AE13" s="1" t="s">
        <v>42</v>
      </c>
    </row>
    <row r="14" spans="1:31" x14ac:dyDescent="0.35">
      <c r="A14" s="1">
        <v>81</v>
      </c>
      <c r="B14" s="1" t="s">
        <v>164</v>
      </c>
      <c r="C14" s="1" t="s">
        <v>165</v>
      </c>
      <c r="D14" s="1" t="s">
        <v>166</v>
      </c>
      <c r="E14" s="1" t="s">
        <v>52</v>
      </c>
      <c r="F14" s="1">
        <v>1</v>
      </c>
      <c r="G14" s="3">
        <v>32369</v>
      </c>
      <c r="H14" s="1">
        <v>1</v>
      </c>
      <c r="I14" s="1" t="s">
        <v>72</v>
      </c>
      <c r="J14" s="1" t="s">
        <v>167</v>
      </c>
      <c r="K14" s="2">
        <f>91-9899224666</f>
        <v>-9899224575</v>
      </c>
      <c r="L14" s="1" t="s">
        <v>58</v>
      </c>
      <c r="M14" s="1">
        <v>5.0999999999999996</v>
      </c>
      <c r="N14" s="1">
        <v>11</v>
      </c>
      <c r="O14" s="1" t="s">
        <v>168</v>
      </c>
      <c r="P14" s="1" t="s">
        <v>54</v>
      </c>
      <c r="Q14" s="1" t="s">
        <v>169</v>
      </c>
      <c r="R14" s="1" t="s">
        <v>170</v>
      </c>
      <c r="S14" s="1" t="s">
        <v>171</v>
      </c>
      <c r="T14" s="1" t="s">
        <v>58</v>
      </c>
      <c r="U14" s="1">
        <v>5</v>
      </c>
      <c r="V14" s="1">
        <v>5.05</v>
      </c>
      <c r="W14" s="1" t="s">
        <v>172</v>
      </c>
      <c r="X14" s="1" t="s">
        <v>173</v>
      </c>
      <c r="Y14" s="3">
        <v>42053.129178240742</v>
      </c>
      <c r="Z14" s="1">
        <v>1</v>
      </c>
      <c r="AA14" s="1">
        <v>1</v>
      </c>
      <c r="AB14" s="1">
        <v>1</v>
      </c>
      <c r="AC14" s="1">
        <v>4</v>
      </c>
      <c r="AD14" s="3">
        <v>42757.267051539355</v>
      </c>
      <c r="AE14" s="1" t="s">
        <v>42</v>
      </c>
    </row>
    <row r="15" spans="1:31" x14ac:dyDescent="0.35">
      <c r="A15" s="1">
        <v>82</v>
      </c>
      <c r="B15" s="1" t="s">
        <v>174</v>
      </c>
      <c r="C15" s="1" t="s">
        <v>175</v>
      </c>
      <c r="D15" s="1" t="s">
        <v>176</v>
      </c>
      <c r="E15" s="1" t="s">
        <v>177</v>
      </c>
      <c r="F15" s="1">
        <v>1</v>
      </c>
      <c r="G15" s="3">
        <v>32132</v>
      </c>
      <c r="H15" s="1">
        <v>93</v>
      </c>
      <c r="I15" s="1" t="s">
        <v>178</v>
      </c>
      <c r="J15" s="1" t="s">
        <v>179</v>
      </c>
      <c r="K15" s="2">
        <f>91-9993511480</f>
        <v>-9993511389</v>
      </c>
      <c r="L15" s="1" t="s">
        <v>58</v>
      </c>
      <c r="M15" s="1">
        <v>5.0999999999999996</v>
      </c>
      <c r="N15" s="1">
        <v>25</v>
      </c>
      <c r="O15" s="1" t="s">
        <v>180</v>
      </c>
      <c r="P15" s="1" t="s">
        <v>54</v>
      </c>
      <c r="Q15" s="1" t="s">
        <v>181</v>
      </c>
      <c r="R15" s="1" t="s">
        <v>182</v>
      </c>
      <c r="S15" s="1" t="s">
        <v>161</v>
      </c>
      <c r="T15" s="1" t="s">
        <v>58</v>
      </c>
      <c r="U15" s="1">
        <v>5.01</v>
      </c>
      <c r="V15" s="1">
        <v>5.0599999999999996</v>
      </c>
      <c r="W15" s="1" t="s">
        <v>183</v>
      </c>
      <c r="X15" s="1" t="s">
        <v>184</v>
      </c>
      <c r="Y15" s="3">
        <v>42053.903651539353</v>
      </c>
      <c r="Z15" s="1">
        <v>1</v>
      </c>
      <c r="AA15" s="1">
        <v>1</v>
      </c>
      <c r="AB15" s="1">
        <v>1</v>
      </c>
      <c r="AC15" s="1">
        <v>3</v>
      </c>
      <c r="AD15" s="3" t="s">
        <v>42</v>
      </c>
      <c r="AE15" s="1" t="s">
        <v>42</v>
      </c>
    </row>
    <row r="16" spans="1:31" x14ac:dyDescent="0.35">
      <c r="A16" s="1">
        <v>89</v>
      </c>
      <c r="B16" s="1" t="s">
        <v>185</v>
      </c>
      <c r="C16" s="1" t="s">
        <v>186</v>
      </c>
      <c r="D16" s="1" t="s">
        <v>187</v>
      </c>
      <c r="E16" s="1" t="s">
        <v>146</v>
      </c>
      <c r="F16" s="1">
        <v>1</v>
      </c>
      <c r="G16" s="3">
        <v>31951</v>
      </c>
      <c r="H16" s="1">
        <v>1</v>
      </c>
      <c r="I16" s="1" t="s">
        <v>35</v>
      </c>
      <c r="J16" s="1" t="s">
        <v>188</v>
      </c>
      <c r="K16" s="2">
        <f>91-9850869584</f>
        <v>-9850869493</v>
      </c>
      <c r="L16" s="1" t="s">
        <v>58</v>
      </c>
      <c r="M16" s="1">
        <v>5.04</v>
      </c>
      <c r="N16" s="1">
        <v>36</v>
      </c>
      <c r="O16" s="1" t="s">
        <v>189</v>
      </c>
      <c r="P16" s="1">
        <f>91-7276427901</f>
        <v>-7276427810</v>
      </c>
      <c r="Q16" s="1" t="s">
        <v>190</v>
      </c>
      <c r="R16" s="1" t="s">
        <v>191</v>
      </c>
      <c r="S16" s="1" t="s">
        <v>192</v>
      </c>
      <c r="T16" s="1" t="s">
        <v>58</v>
      </c>
      <c r="U16" s="1">
        <v>4.1100000000000003</v>
      </c>
      <c r="V16" s="1">
        <v>5.04</v>
      </c>
      <c r="W16" s="1" t="s">
        <v>193</v>
      </c>
      <c r="X16" s="1" t="s">
        <v>194</v>
      </c>
      <c r="Y16" s="3">
        <v>42058.419594907406</v>
      </c>
      <c r="Z16" s="1">
        <v>1</v>
      </c>
      <c r="AA16" s="1">
        <v>1</v>
      </c>
      <c r="AB16" s="1">
        <v>1</v>
      </c>
      <c r="AC16" s="1">
        <v>4</v>
      </c>
      <c r="AD16" s="3">
        <v>42791.494182175928</v>
      </c>
      <c r="AE16" s="1" t="s">
        <v>42</v>
      </c>
    </row>
    <row r="17" spans="1:31" x14ac:dyDescent="0.35">
      <c r="A17" s="1">
        <v>93</v>
      </c>
      <c r="B17" s="1" t="s">
        <v>195</v>
      </c>
      <c r="C17" s="1" t="s">
        <v>196</v>
      </c>
      <c r="D17" s="1" t="s">
        <v>197</v>
      </c>
      <c r="E17" s="1" t="s">
        <v>52</v>
      </c>
      <c r="F17" s="1">
        <v>1</v>
      </c>
      <c r="G17" s="3">
        <v>29116</v>
      </c>
      <c r="H17" s="1">
        <v>1</v>
      </c>
      <c r="I17" s="1" t="s">
        <v>35</v>
      </c>
      <c r="J17" s="1" t="s">
        <v>198</v>
      </c>
      <c r="K17" s="2">
        <f>91-8983853226</f>
        <v>-8983853135</v>
      </c>
      <c r="L17" s="1" t="s">
        <v>58</v>
      </c>
      <c r="M17" s="1">
        <v>5.0599999999999996</v>
      </c>
      <c r="N17" s="1">
        <v>12</v>
      </c>
      <c r="O17" s="1" t="s">
        <v>199</v>
      </c>
      <c r="P17" s="1">
        <f>91-9890186474</f>
        <v>-9890186383</v>
      </c>
      <c r="Q17" s="1" t="s">
        <v>200</v>
      </c>
      <c r="R17" s="1" t="s">
        <v>201</v>
      </c>
      <c r="S17" s="1" t="s">
        <v>202</v>
      </c>
      <c r="T17" s="1" t="s">
        <v>58</v>
      </c>
      <c r="U17" s="1">
        <v>4.09</v>
      </c>
      <c r="V17" s="1">
        <v>5.0599999999999996</v>
      </c>
      <c r="W17" s="1" t="s">
        <v>203</v>
      </c>
      <c r="X17" s="1" t="s">
        <v>204</v>
      </c>
      <c r="Y17" s="3">
        <v>42061.307025462964</v>
      </c>
      <c r="Z17" s="1">
        <v>1</v>
      </c>
      <c r="AA17" s="1">
        <v>1</v>
      </c>
      <c r="AB17" s="1">
        <v>1</v>
      </c>
      <c r="AC17" s="1">
        <v>4</v>
      </c>
      <c r="AD17" s="3">
        <v>42859.635513344911</v>
      </c>
      <c r="AE17" s="1" t="s">
        <v>42</v>
      </c>
    </row>
    <row r="18" spans="1:31" x14ac:dyDescent="0.35">
      <c r="A18" s="1">
        <v>99</v>
      </c>
      <c r="B18" s="1" t="s">
        <v>205</v>
      </c>
      <c r="C18" s="1" t="s">
        <v>206</v>
      </c>
      <c r="D18" s="1" t="s">
        <v>207</v>
      </c>
      <c r="E18" s="1" t="s">
        <v>208</v>
      </c>
      <c r="F18" s="1">
        <v>1</v>
      </c>
      <c r="G18" s="3">
        <v>32306</v>
      </c>
      <c r="H18" s="1">
        <v>1</v>
      </c>
      <c r="I18" s="1" t="s">
        <v>35</v>
      </c>
      <c r="J18" s="1" t="s">
        <v>209</v>
      </c>
      <c r="K18" s="2">
        <f>91-9420008114</f>
        <v>-9420008023</v>
      </c>
      <c r="L18" s="1" t="s">
        <v>58</v>
      </c>
      <c r="M18" s="1">
        <v>6</v>
      </c>
      <c r="N18" s="1">
        <v>14</v>
      </c>
      <c r="O18" s="1" t="s">
        <v>210</v>
      </c>
      <c r="P18" s="1">
        <f>91-9725140365</f>
        <v>-9725140274</v>
      </c>
      <c r="Q18" s="1" t="s">
        <v>211</v>
      </c>
      <c r="R18" s="1" t="s">
        <v>212</v>
      </c>
      <c r="S18" s="1" t="s">
        <v>213</v>
      </c>
      <c r="T18" s="1" t="s">
        <v>58</v>
      </c>
      <c r="U18" s="1">
        <v>5.03</v>
      </c>
      <c r="V18" s="1">
        <v>6</v>
      </c>
      <c r="W18" s="1" t="s">
        <v>214</v>
      </c>
      <c r="X18" s="1" t="s">
        <v>215</v>
      </c>
      <c r="Y18" s="3">
        <v>42066.472014317129</v>
      </c>
      <c r="Z18" s="1">
        <v>1</v>
      </c>
      <c r="AA18" s="1">
        <v>1</v>
      </c>
      <c r="AB18" s="1">
        <v>1</v>
      </c>
      <c r="AC18" s="1">
        <v>1</v>
      </c>
      <c r="AD18" s="3">
        <v>43222.502813657411</v>
      </c>
      <c r="AE18" s="1" t="s">
        <v>42</v>
      </c>
    </row>
    <row r="19" spans="1:31" x14ac:dyDescent="0.35">
      <c r="A19" s="1">
        <v>107</v>
      </c>
      <c r="B19" s="1" t="s">
        <v>216</v>
      </c>
      <c r="C19" s="1" t="s">
        <v>217</v>
      </c>
      <c r="D19" s="1" t="s">
        <v>218</v>
      </c>
      <c r="E19" s="1" t="s">
        <v>83</v>
      </c>
      <c r="F19" s="1">
        <v>0</v>
      </c>
      <c r="G19" s="3">
        <v>33136</v>
      </c>
      <c r="H19" s="1">
        <v>1</v>
      </c>
      <c r="I19" s="1" t="s">
        <v>35</v>
      </c>
      <c r="J19" s="1" t="s">
        <v>36</v>
      </c>
      <c r="K19" s="2">
        <f>91-7507991535</f>
        <v>-7507991444</v>
      </c>
      <c r="L19" s="1" t="s">
        <v>37</v>
      </c>
      <c r="M19" s="1">
        <v>5.07</v>
      </c>
      <c r="N19" s="1">
        <v>10</v>
      </c>
      <c r="O19" s="1" t="s">
        <v>219</v>
      </c>
      <c r="P19" s="1" t="s">
        <v>54</v>
      </c>
      <c r="Q19" s="1" t="s">
        <v>220</v>
      </c>
      <c r="R19" s="1" t="s">
        <v>221</v>
      </c>
      <c r="S19" s="1" t="s">
        <v>222</v>
      </c>
      <c r="T19" s="1" t="s">
        <v>223</v>
      </c>
      <c r="U19" s="1">
        <v>5.07</v>
      </c>
      <c r="V19" s="1">
        <v>7.05</v>
      </c>
      <c r="W19" s="1" t="s">
        <v>224</v>
      </c>
      <c r="X19" s="1" t="s">
        <v>225</v>
      </c>
      <c r="Y19" s="3">
        <v>42068.973645833335</v>
      </c>
      <c r="Z19" s="1">
        <v>1</v>
      </c>
      <c r="AA19" s="1">
        <v>1</v>
      </c>
      <c r="AB19" s="1">
        <v>1</v>
      </c>
      <c r="AC19" s="1">
        <v>4</v>
      </c>
      <c r="AD19" s="3">
        <v>42807.250653090276</v>
      </c>
      <c r="AE19" s="1" t="s">
        <v>42</v>
      </c>
    </row>
    <row r="20" spans="1:31" x14ac:dyDescent="0.35">
      <c r="A20" s="1">
        <v>108</v>
      </c>
      <c r="B20" s="1" t="s">
        <v>226</v>
      </c>
      <c r="C20" s="1" t="s">
        <v>227</v>
      </c>
      <c r="D20" s="1" t="s">
        <v>197</v>
      </c>
      <c r="E20" s="1" t="s">
        <v>228</v>
      </c>
      <c r="F20" s="1">
        <v>1</v>
      </c>
      <c r="G20" s="3">
        <v>33022</v>
      </c>
      <c r="H20" s="1">
        <v>1</v>
      </c>
      <c r="I20" s="1" t="s">
        <v>63</v>
      </c>
      <c r="J20" s="1" t="s">
        <v>94</v>
      </c>
      <c r="K20" s="2">
        <f>91-8238684484</f>
        <v>-8238684393</v>
      </c>
      <c r="L20" s="1" t="s">
        <v>58</v>
      </c>
      <c r="M20" s="1">
        <v>5.0599999999999996</v>
      </c>
      <c r="N20" s="1">
        <v>16</v>
      </c>
      <c r="O20" s="1" t="s">
        <v>229</v>
      </c>
      <c r="P20" s="1" t="s">
        <v>54</v>
      </c>
      <c r="Q20" s="1" t="s">
        <v>230</v>
      </c>
      <c r="R20" s="1" t="s">
        <v>231</v>
      </c>
      <c r="S20" s="1" t="s">
        <v>232</v>
      </c>
      <c r="T20" s="1" t="s">
        <v>58</v>
      </c>
      <c r="U20" s="1">
        <v>5</v>
      </c>
      <c r="V20" s="1">
        <v>5.04</v>
      </c>
      <c r="W20" s="1" t="s">
        <v>233</v>
      </c>
      <c r="X20" s="1" t="s">
        <v>234</v>
      </c>
      <c r="Y20" s="3">
        <v>42069.931881631943</v>
      </c>
      <c r="Z20" s="1">
        <v>1</v>
      </c>
      <c r="AA20" s="1">
        <v>1</v>
      </c>
      <c r="AB20" s="1">
        <v>1</v>
      </c>
      <c r="AC20" s="1">
        <v>4</v>
      </c>
      <c r="AD20" s="3">
        <v>42761.334237766205</v>
      </c>
      <c r="AE20" s="1" t="s">
        <v>42</v>
      </c>
    </row>
    <row r="21" spans="1:31" x14ac:dyDescent="0.35">
      <c r="A21" s="1">
        <v>122</v>
      </c>
      <c r="B21" s="1" t="s">
        <v>235</v>
      </c>
      <c r="C21" s="1" t="s">
        <v>236</v>
      </c>
      <c r="D21" s="1" t="s">
        <v>237</v>
      </c>
      <c r="E21" s="1" t="s">
        <v>238</v>
      </c>
      <c r="F21" s="1">
        <v>1</v>
      </c>
      <c r="G21" s="3">
        <v>34392</v>
      </c>
      <c r="H21" s="1">
        <v>1</v>
      </c>
      <c r="I21" s="1" t="s">
        <v>63</v>
      </c>
      <c r="J21" s="1" t="s">
        <v>239</v>
      </c>
      <c r="K21" s="2">
        <f>91-9601776425</f>
        <v>-9601776334</v>
      </c>
      <c r="L21" s="1" t="s">
        <v>58</v>
      </c>
      <c r="M21" s="1">
        <v>6.02</v>
      </c>
      <c r="N21" s="1">
        <v>11</v>
      </c>
      <c r="O21" s="1" t="s">
        <v>240</v>
      </c>
      <c r="P21" s="1">
        <f>91-9429084069</f>
        <v>-9429083978</v>
      </c>
      <c r="Q21" s="1" t="s">
        <v>241</v>
      </c>
      <c r="R21" s="1" t="s">
        <v>242</v>
      </c>
      <c r="S21" s="1" t="s">
        <v>243</v>
      </c>
      <c r="T21" s="1" t="s">
        <v>58</v>
      </c>
      <c r="U21" s="1">
        <v>5</v>
      </c>
      <c r="V21" s="1">
        <v>5</v>
      </c>
      <c r="W21" s="1" t="s">
        <v>244</v>
      </c>
      <c r="X21" s="1" t="s">
        <v>245</v>
      </c>
      <c r="Y21" s="3">
        <v>42078.994155092594</v>
      </c>
      <c r="Z21" s="1">
        <v>1</v>
      </c>
      <c r="AA21" s="1">
        <v>1</v>
      </c>
      <c r="AB21" s="1">
        <v>1</v>
      </c>
      <c r="AC21" s="1">
        <v>1</v>
      </c>
      <c r="AD21" s="3">
        <v>43423.33313515046</v>
      </c>
      <c r="AE21" s="1" t="s">
        <v>42</v>
      </c>
    </row>
    <row r="22" spans="1:31" x14ac:dyDescent="0.35">
      <c r="A22" s="1">
        <v>123</v>
      </c>
      <c r="B22" s="1" t="s">
        <v>246</v>
      </c>
      <c r="C22" s="1" t="s">
        <v>247</v>
      </c>
      <c r="D22" s="1" t="s">
        <v>248</v>
      </c>
      <c r="E22" s="1" t="s">
        <v>249</v>
      </c>
      <c r="F22" s="1">
        <v>1</v>
      </c>
      <c r="G22" s="3">
        <v>32633</v>
      </c>
      <c r="H22" s="1">
        <v>1</v>
      </c>
      <c r="I22" s="1" t="s">
        <v>250</v>
      </c>
      <c r="J22" s="1" t="s">
        <v>251</v>
      </c>
      <c r="K22" s="2">
        <f>91-7046634809</f>
        <v>-7046634718</v>
      </c>
      <c r="L22" s="1" t="s">
        <v>58</v>
      </c>
      <c r="M22" s="1">
        <v>5.0599999999999996</v>
      </c>
      <c r="N22" s="1">
        <v>43</v>
      </c>
      <c r="O22" s="1" t="s">
        <v>252</v>
      </c>
      <c r="P22" s="1">
        <f>91-7046634809</f>
        <v>-7046634718</v>
      </c>
      <c r="Q22" s="1" t="s">
        <v>253</v>
      </c>
      <c r="R22" s="1" t="s">
        <v>254</v>
      </c>
      <c r="S22" s="1" t="s">
        <v>255</v>
      </c>
      <c r="T22" s="1" t="s">
        <v>256</v>
      </c>
      <c r="U22" s="1">
        <v>4.0999999999999996</v>
      </c>
      <c r="V22" s="1">
        <v>5.04</v>
      </c>
      <c r="W22" s="1" t="s">
        <v>257</v>
      </c>
      <c r="X22" s="1" t="s">
        <v>258</v>
      </c>
      <c r="Y22" s="3">
        <v>42079.259256446756</v>
      </c>
      <c r="Z22" s="1">
        <v>1</v>
      </c>
      <c r="AA22" s="1">
        <v>1</v>
      </c>
      <c r="AB22" s="1">
        <v>1</v>
      </c>
      <c r="AC22" s="1">
        <v>1</v>
      </c>
      <c r="AD22" s="3">
        <v>43279.513058067132</v>
      </c>
      <c r="AE22" s="1" t="s">
        <v>42</v>
      </c>
    </row>
    <row r="23" spans="1:31" x14ac:dyDescent="0.35">
      <c r="A23" s="1">
        <v>126</v>
      </c>
      <c r="B23" s="1" t="s">
        <v>259</v>
      </c>
      <c r="C23" s="1" t="s">
        <v>260</v>
      </c>
      <c r="D23" s="1" t="s">
        <v>261</v>
      </c>
      <c r="E23" s="1" t="s">
        <v>262</v>
      </c>
      <c r="F23" s="1">
        <v>1</v>
      </c>
      <c r="G23" s="3">
        <v>33107</v>
      </c>
      <c r="H23" s="1">
        <v>1</v>
      </c>
      <c r="I23" s="1" t="s">
        <v>63</v>
      </c>
      <c r="J23" s="1" t="s">
        <v>263</v>
      </c>
      <c r="K23" s="2">
        <f>91-9714236702</f>
        <v>-9714236611</v>
      </c>
      <c r="L23" s="1" t="s">
        <v>58</v>
      </c>
      <c r="M23" s="1">
        <v>5.04</v>
      </c>
      <c r="N23" s="1">
        <v>8</v>
      </c>
      <c r="O23" s="1" t="s">
        <v>264</v>
      </c>
      <c r="P23" s="1">
        <f>91-9714236702</f>
        <v>-9714236611</v>
      </c>
      <c r="Q23" s="1" t="s">
        <v>265</v>
      </c>
      <c r="R23" s="1" t="s">
        <v>266</v>
      </c>
      <c r="S23" s="1" t="s">
        <v>267</v>
      </c>
      <c r="T23" s="1" t="s">
        <v>58</v>
      </c>
      <c r="U23" s="1">
        <v>4</v>
      </c>
      <c r="V23" s="1">
        <v>5.04</v>
      </c>
      <c r="W23" s="1" t="s">
        <v>268</v>
      </c>
      <c r="X23" s="1" t="s">
        <v>269</v>
      </c>
      <c r="Y23" s="3">
        <v>42080.06925925926</v>
      </c>
      <c r="Z23" s="1">
        <v>1</v>
      </c>
      <c r="AA23" s="1">
        <v>1</v>
      </c>
      <c r="AB23" s="1">
        <v>1</v>
      </c>
      <c r="AC23" s="1">
        <v>4</v>
      </c>
      <c r="AD23" s="3">
        <v>42908.358887615737</v>
      </c>
      <c r="AE23" s="1" t="s">
        <v>42</v>
      </c>
    </row>
    <row r="24" spans="1:31" x14ac:dyDescent="0.35">
      <c r="A24" s="1">
        <v>128</v>
      </c>
      <c r="B24" s="1" t="s">
        <v>270</v>
      </c>
      <c r="D24" s="1" t="s">
        <v>271</v>
      </c>
      <c r="E24" s="1" t="s">
        <v>272</v>
      </c>
      <c r="F24" s="1">
        <v>1</v>
      </c>
      <c r="G24" s="3">
        <v>33974</v>
      </c>
      <c r="H24" s="1">
        <v>1</v>
      </c>
      <c r="I24" s="1" t="s">
        <v>63</v>
      </c>
      <c r="J24" s="1" t="s">
        <v>64</v>
      </c>
      <c r="K24" s="2">
        <f>91-8866557357</f>
        <v>-8866557266</v>
      </c>
      <c r="L24" s="1" t="s">
        <v>58</v>
      </c>
      <c r="M24" s="1">
        <v>5.01</v>
      </c>
      <c r="N24" s="1">
        <v>5</v>
      </c>
      <c r="O24" s="1" t="s">
        <v>273</v>
      </c>
      <c r="P24" s="1" t="s">
        <v>54</v>
      </c>
      <c r="Q24" s="1" t="s">
        <v>274</v>
      </c>
      <c r="R24" s="1" t="s">
        <v>275</v>
      </c>
      <c r="S24" s="1" t="s">
        <v>276</v>
      </c>
      <c r="T24" s="1" t="s">
        <v>58</v>
      </c>
      <c r="U24" s="1">
        <v>4.1100000000000003</v>
      </c>
      <c r="V24" s="1">
        <v>5.09</v>
      </c>
      <c r="W24" s="1" t="s">
        <v>277</v>
      </c>
      <c r="X24" s="1" t="s">
        <v>278</v>
      </c>
      <c r="Y24" s="3">
        <v>42081.893232442133</v>
      </c>
      <c r="Z24" s="1">
        <v>1</v>
      </c>
      <c r="AA24" s="1">
        <v>1</v>
      </c>
      <c r="AB24" s="1">
        <v>1</v>
      </c>
      <c r="AC24" s="1">
        <v>4</v>
      </c>
      <c r="AD24" s="3" t="s">
        <v>42</v>
      </c>
      <c r="AE24" s="1" t="s">
        <v>42</v>
      </c>
    </row>
    <row r="25" spans="1:31" x14ac:dyDescent="0.35">
      <c r="A25" s="1">
        <v>135</v>
      </c>
      <c r="B25" s="1" t="s">
        <v>279</v>
      </c>
      <c r="C25" s="1" t="s">
        <v>280</v>
      </c>
      <c r="D25" s="1" t="s">
        <v>114</v>
      </c>
      <c r="E25" s="1" t="s">
        <v>281</v>
      </c>
      <c r="F25" s="1">
        <v>1</v>
      </c>
      <c r="G25" s="3">
        <v>31574</v>
      </c>
      <c r="H25" s="1">
        <v>1</v>
      </c>
      <c r="I25" s="1" t="s">
        <v>125</v>
      </c>
      <c r="J25" s="1" t="s">
        <v>282</v>
      </c>
      <c r="K25" s="2">
        <f>91-9164584790</f>
        <v>-9164584699</v>
      </c>
      <c r="L25" s="1" t="s">
        <v>58</v>
      </c>
      <c r="M25" s="1">
        <v>5.05</v>
      </c>
      <c r="N25" s="1">
        <v>27</v>
      </c>
      <c r="O25" s="1" t="s">
        <v>283</v>
      </c>
      <c r="P25" s="1">
        <f>91-9844480789</f>
        <v>-9844480698</v>
      </c>
      <c r="Q25" s="1" t="s">
        <v>284</v>
      </c>
      <c r="R25" s="1" t="s">
        <v>285</v>
      </c>
      <c r="S25" s="1" t="s">
        <v>286</v>
      </c>
      <c r="T25" s="1" t="s">
        <v>99</v>
      </c>
      <c r="U25" s="1">
        <v>4.0999999999999996</v>
      </c>
      <c r="V25" s="1">
        <v>5.0199999999999996</v>
      </c>
      <c r="W25" s="1" t="s">
        <v>288</v>
      </c>
      <c r="X25" s="1" t="s">
        <v>289</v>
      </c>
      <c r="Y25" s="3">
        <v>42084.033541666664</v>
      </c>
      <c r="Z25" s="1">
        <v>1</v>
      </c>
      <c r="AA25" s="1">
        <v>1</v>
      </c>
      <c r="AB25" s="1">
        <v>1</v>
      </c>
      <c r="AC25" s="1">
        <v>4</v>
      </c>
      <c r="AD25" s="3">
        <v>42995.323281597222</v>
      </c>
      <c r="AE25" s="1" t="s">
        <v>42</v>
      </c>
    </row>
    <row r="26" spans="1:31" x14ac:dyDescent="0.35">
      <c r="A26" s="1">
        <v>139</v>
      </c>
      <c r="B26" s="1" t="s">
        <v>290</v>
      </c>
      <c r="C26" s="1" t="s">
        <v>291</v>
      </c>
      <c r="D26" s="1" t="s">
        <v>292</v>
      </c>
      <c r="E26" s="1" t="s">
        <v>52</v>
      </c>
      <c r="F26" s="1">
        <v>0</v>
      </c>
      <c r="G26" s="3">
        <v>31681</v>
      </c>
      <c r="H26" s="1">
        <v>1</v>
      </c>
      <c r="I26" s="1" t="s">
        <v>63</v>
      </c>
      <c r="J26" s="1" t="s">
        <v>94</v>
      </c>
      <c r="K26" s="2">
        <f>91-9978815255</f>
        <v>-9978815164</v>
      </c>
      <c r="L26" s="1" t="s">
        <v>58</v>
      </c>
      <c r="M26" s="1">
        <v>5.05</v>
      </c>
      <c r="N26" s="1">
        <v>27</v>
      </c>
      <c r="O26" s="1" t="s">
        <v>293</v>
      </c>
      <c r="P26" s="1" t="s">
        <v>54</v>
      </c>
      <c r="Q26" s="1" t="s">
        <v>294</v>
      </c>
      <c r="R26" s="1" t="s">
        <v>295</v>
      </c>
      <c r="S26" s="1" t="s">
        <v>296</v>
      </c>
      <c r="T26" s="1" t="s">
        <v>44</v>
      </c>
      <c r="U26" s="1">
        <v>5.07</v>
      </c>
      <c r="V26" s="1">
        <v>7.05</v>
      </c>
      <c r="W26" s="1" t="s">
        <v>297</v>
      </c>
      <c r="X26" s="1" t="s">
        <v>42</v>
      </c>
      <c r="Y26" s="3">
        <v>42086.847971990741</v>
      </c>
      <c r="Z26" s="1">
        <v>1</v>
      </c>
      <c r="AA26" s="1">
        <v>1</v>
      </c>
      <c r="AB26" s="1">
        <v>1</v>
      </c>
      <c r="AC26" s="1">
        <v>4</v>
      </c>
      <c r="AD26" s="3">
        <v>42961.367292627314</v>
      </c>
      <c r="AE26" s="1" t="s">
        <v>42</v>
      </c>
    </row>
    <row r="27" spans="1:31" x14ac:dyDescent="0.35">
      <c r="A27" s="1">
        <v>140</v>
      </c>
      <c r="B27" s="1" t="s">
        <v>298</v>
      </c>
      <c r="C27" s="1" t="s">
        <v>299</v>
      </c>
      <c r="D27" s="1" t="s">
        <v>300</v>
      </c>
      <c r="E27" s="1" t="s">
        <v>71</v>
      </c>
      <c r="F27" s="1">
        <v>0</v>
      </c>
      <c r="G27" s="3">
        <v>32280</v>
      </c>
      <c r="H27" s="1">
        <v>1</v>
      </c>
      <c r="I27" s="1" t="s">
        <v>72</v>
      </c>
      <c r="J27" s="1" t="s">
        <v>167</v>
      </c>
      <c r="K27" s="2">
        <f>91-9425905620</f>
        <v>-9425905529</v>
      </c>
      <c r="L27" s="1" t="s">
        <v>58</v>
      </c>
      <c r="M27" s="1">
        <v>5.07</v>
      </c>
      <c r="N27" s="1">
        <v>11</v>
      </c>
      <c r="O27" s="1" t="s">
        <v>301</v>
      </c>
      <c r="P27" s="1">
        <f>91-9826086232</f>
        <v>-9826086141</v>
      </c>
      <c r="Q27" s="1" t="s">
        <v>302</v>
      </c>
      <c r="R27" s="1" t="s">
        <v>303</v>
      </c>
      <c r="S27" s="1" t="s">
        <v>304</v>
      </c>
      <c r="T27" s="1" t="s">
        <v>58</v>
      </c>
      <c r="U27" s="1">
        <v>5.07</v>
      </c>
      <c r="V27" s="1">
        <v>6.04</v>
      </c>
      <c r="W27" s="1" t="s">
        <v>305</v>
      </c>
      <c r="X27" s="1" t="s">
        <v>306</v>
      </c>
      <c r="Y27" s="3">
        <v>42087.007534722223</v>
      </c>
      <c r="Z27" s="1">
        <v>1</v>
      </c>
      <c r="AA27" s="1">
        <v>1</v>
      </c>
      <c r="AB27" s="1">
        <v>1</v>
      </c>
      <c r="AC27" s="1">
        <v>1</v>
      </c>
      <c r="AD27" s="3">
        <v>43847.241983831016</v>
      </c>
      <c r="AE27" s="1" t="s">
        <v>42</v>
      </c>
    </row>
    <row r="28" spans="1:31" x14ac:dyDescent="0.35">
      <c r="A28" s="1">
        <v>143</v>
      </c>
      <c r="B28" s="1" t="s">
        <v>307</v>
      </c>
      <c r="C28" s="1" t="s">
        <v>308</v>
      </c>
      <c r="D28" s="1" t="s">
        <v>309</v>
      </c>
      <c r="E28" s="1" t="s">
        <v>52</v>
      </c>
      <c r="F28" s="1">
        <v>0</v>
      </c>
      <c r="G28" s="3">
        <v>31748</v>
      </c>
      <c r="H28" s="1">
        <v>1</v>
      </c>
      <c r="I28" s="1" t="s">
        <v>93</v>
      </c>
      <c r="J28" s="1" t="s">
        <v>310</v>
      </c>
      <c r="K28" s="2">
        <f>91-9586139389</f>
        <v>-9586139298</v>
      </c>
      <c r="L28" s="1" t="s">
        <v>58</v>
      </c>
      <c r="M28" s="1">
        <v>5.05</v>
      </c>
      <c r="N28" s="1">
        <v>19</v>
      </c>
      <c r="O28" s="1" t="s">
        <v>311</v>
      </c>
      <c r="P28" s="1">
        <f>91-9586139389</f>
        <v>-9586139298</v>
      </c>
      <c r="Q28" s="1" t="s">
        <v>312</v>
      </c>
      <c r="R28" s="1" t="s">
        <v>314</v>
      </c>
      <c r="S28" s="1" t="s">
        <v>87</v>
      </c>
      <c r="T28" s="1" t="s">
        <v>58</v>
      </c>
      <c r="U28" s="1">
        <v>5.08</v>
      </c>
      <c r="V28" s="1">
        <v>6</v>
      </c>
      <c r="W28" s="1" t="s">
        <v>315</v>
      </c>
      <c r="X28" s="1" t="s">
        <v>316</v>
      </c>
      <c r="Y28" s="3">
        <v>42087.378074571759</v>
      </c>
      <c r="Z28" s="1">
        <v>1</v>
      </c>
      <c r="AA28" s="1">
        <v>1</v>
      </c>
      <c r="AB28" s="1">
        <v>1</v>
      </c>
      <c r="AC28" s="1">
        <v>1</v>
      </c>
      <c r="AD28" s="3">
        <v>43132.651050844906</v>
      </c>
      <c r="AE28" s="1" t="s">
        <v>42</v>
      </c>
    </row>
    <row r="29" spans="1:31" x14ac:dyDescent="0.35">
      <c r="A29" s="1">
        <v>146</v>
      </c>
      <c r="B29" s="1" t="s">
        <v>317</v>
      </c>
      <c r="C29" s="1" t="s">
        <v>318</v>
      </c>
      <c r="D29" s="1" t="s">
        <v>319</v>
      </c>
      <c r="E29" s="1" t="s">
        <v>262</v>
      </c>
      <c r="F29" s="1">
        <v>1</v>
      </c>
      <c r="G29" s="3">
        <v>33345</v>
      </c>
      <c r="H29" s="1">
        <v>1</v>
      </c>
      <c r="I29" s="1" t="s">
        <v>35</v>
      </c>
      <c r="J29" s="1" t="s">
        <v>36</v>
      </c>
      <c r="K29" s="2">
        <f>91-9325434433</f>
        <v>-9325434342</v>
      </c>
      <c r="L29" s="1" t="s">
        <v>58</v>
      </c>
      <c r="M29" s="1">
        <v>5.05</v>
      </c>
      <c r="N29" s="1">
        <v>12</v>
      </c>
      <c r="O29" s="1" t="s">
        <v>320</v>
      </c>
      <c r="P29" s="1">
        <f>91-8668967920</f>
        <v>-8668967829</v>
      </c>
      <c r="Q29" s="1" t="s">
        <v>321</v>
      </c>
      <c r="R29" s="1" t="s">
        <v>322</v>
      </c>
      <c r="S29" s="1" t="s">
        <v>323</v>
      </c>
      <c r="T29" s="1" t="s">
        <v>58</v>
      </c>
      <c r="U29" s="1">
        <v>4.08</v>
      </c>
      <c r="V29" s="1">
        <v>5.07</v>
      </c>
      <c r="W29" s="1" t="s">
        <v>324</v>
      </c>
      <c r="X29" s="1" t="s">
        <v>325</v>
      </c>
      <c r="Y29" s="3">
        <v>42090.313773148147</v>
      </c>
      <c r="Z29" s="1">
        <v>1</v>
      </c>
      <c r="AA29" s="1">
        <v>1</v>
      </c>
      <c r="AB29" s="1">
        <v>1</v>
      </c>
      <c r="AC29" s="1">
        <v>4</v>
      </c>
      <c r="AD29" s="3">
        <v>43095.683827511573</v>
      </c>
      <c r="AE29" s="1" t="s">
        <v>42</v>
      </c>
    </row>
    <row r="30" spans="1:31" x14ac:dyDescent="0.35">
      <c r="A30" s="1">
        <v>154</v>
      </c>
      <c r="B30" s="1" t="s">
        <v>326</v>
      </c>
      <c r="C30" s="1" t="s">
        <v>327</v>
      </c>
      <c r="D30" s="1" t="s">
        <v>328</v>
      </c>
      <c r="E30" s="1" t="s">
        <v>329</v>
      </c>
      <c r="F30" s="1">
        <v>1</v>
      </c>
      <c r="G30" s="3">
        <v>31345</v>
      </c>
      <c r="H30" s="1">
        <v>1</v>
      </c>
      <c r="I30" s="1" t="s">
        <v>35</v>
      </c>
      <c r="J30" s="1" t="s">
        <v>36</v>
      </c>
      <c r="K30" s="2">
        <f>91-9869668817</f>
        <v>-9869668726</v>
      </c>
      <c r="L30" s="1" t="s">
        <v>58</v>
      </c>
      <c r="M30" s="1">
        <v>5.08</v>
      </c>
      <c r="N30" s="1">
        <v>14</v>
      </c>
      <c r="O30" s="1" t="s">
        <v>330</v>
      </c>
      <c r="P30" s="1">
        <f>91-9987045328</f>
        <v>-9987045237</v>
      </c>
      <c r="Q30" s="1" t="s">
        <v>331</v>
      </c>
      <c r="R30" s="1" t="s">
        <v>332</v>
      </c>
      <c r="S30" s="1" t="s">
        <v>333</v>
      </c>
      <c r="T30" s="1" t="s">
        <v>58</v>
      </c>
      <c r="U30" s="1">
        <v>4</v>
      </c>
      <c r="V30" s="1">
        <v>6</v>
      </c>
      <c r="W30" s="1" t="s">
        <v>334</v>
      </c>
      <c r="X30" s="1" t="s">
        <v>335</v>
      </c>
      <c r="Y30" s="3">
        <v>42097.122396331019</v>
      </c>
      <c r="Z30" s="1">
        <v>1</v>
      </c>
      <c r="AA30" s="1">
        <v>1</v>
      </c>
      <c r="AB30" s="1">
        <v>1</v>
      </c>
      <c r="AC30" s="1">
        <v>1</v>
      </c>
      <c r="AD30" s="3">
        <v>43919.469438506945</v>
      </c>
      <c r="AE30" s="1" t="s">
        <v>42</v>
      </c>
    </row>
    <row r="31" spans="1:31" x14ac:dyDescent="0.35">
      <c r="A31" s="1">
        <v>155</v>
      </c>
      <c r="B31" s="1" t="s">
        <v>336</v>
      </c>
      <c r="C31" s="1" t="s">
        <v>337</v>
      </c>
      <c r="D31" s="1" t="s">
        <v>338</v>
      </c>
      <c r="E31" s="1" t="s">
        <v>83</v>
      </c>
      <c r="F31" s="1">
        <v>1</v>
      </c>
      <c r="G31" s="3">
        <v>32046</v>
      </c>
      <c r="H31" s="1">
        <v>1</v>
      </c>
      <c r="I31" s="1" t="s">
        <v>35</v>
      </c>
      <c r="J31" s="1" t="s">
        <v>36</v>
      </c>
      <c r="K31" s="2">
        <f>91-7045610366</f>
        <v>-7045610275</v>
      </c>
      <c r="L31" s="1" t="s">
        <v>58</v>
      </c>
      <c r="M31" s="1">
        <v>5.08</v>
      </c>
      <c r="N31" s="1">
        <v>10</v>
      </c>
      <c r="O31" s="1" t="s">
        <v>339</v>
      </c>
      <c r="P31" s="1">
        <f>91-9833398852</f>
        <v>-9833398761</v>
      </c>
      <c r="Q31" s="1" t="s">
        <v>340</v>
      </c>
      <c r="R31" s="1" t="s">
        <v>341</v>
      </c>
      <c r="S31" s="1" t="s">
        <v>57</v>
      </c>
      <c r="T31" s="1" t="s">
        <v>58</v>
      </c>
      <c r="U31" s="1">
        <v>5.01</v>
      </c>
      <c r="V31" s="1">
        <v>5.07</v>
      </c>
      <c r="W31" s="1" t="s">
        <v>342</v>
      </c>
      <c r="X31" s="1" t="s">
        <v>343</v>
      </c>
      <c r="Y31" s="3">
        <v>42097.451377314814</v>
      </c>
      <c r="Z31" s="1">
        <v>1</v>
      </c>
      <c r="AA31" s="1">
        <v>1</v>
      </c>
      <c r="AB31" s="1">
        <v>1</v>
      </c>
      <c r="AC31" s="1">
        <v>1</v>
      </c>
      <c r="AD31" s="3">
        <v>43950.387446377317</v>
      </c>
      <c r="AE31" s="1" t="s">
        <v>42</v>
      </c>
    </row>
    <row r="32" spans="1:31" x14ac:dyDescent="0.35">
      <c r="A32" s="1">
        <v>158</v>
      </c>
      <c r="B32" s="1" t="s">
        <v>344</v>
      </c>
      <c r="C32" s="1" t="s">
        <v>345</v>
      </c>
      <c r="D32" s="1" t="s">
        <v>346</v>
      </c>
      <c r="E32" s="1" t="s">
        <v>83</v>
      </c>
      <c r="F32" s="1">
        <v>1</v>
      </c>
      <c r="G32" s="3">
        <v>31909</v>
      </c>
      <c r="H32" s="1">
        <v>1</v>
      </c>
      <c r="I32" s="1" t="s">
        <v>35</v>
      </c>
      <c r="J32" s="1" t="s">
        <v>36</v>
      </c>
      <c r="K32" s="2">
        <f>91-8652722227</f>
        <v>-8652722136</v>
      </c>
      <c r="L32" s="1" t="s">
        <v>58</v>
      </c>
      <c r="M32" s="1">
        <v>5.0599999999999996</v>
      </c>
      <c r="N32" s="1">
        <v>10</v>
      </c>
      <c r="O32" s="1" t="s">
        <v>347</v>
      </c>
      <c r="P32" s="1">
        <f>91-9323131727</f>
        <v>-9323131636</v>
      </c>
      <c r="Q32" s="1" t="s">
        <v>348</v>
      </c>
      <c r="R32" s="1" t="s">
        <v>349</v>
      </c>
      <c r="S32" s="1" t="s">
        <v>350</v>
      </c>
      <c r="T32" s="1" t="s">
        <v>58</v>
      </c>
      <c r="U32" s="1">
        <v>5</v>
      </c>
      <c r="V32" s="1">
        <v>5.05</v>
      </c>
      <c r="W32" s="1" t="s">
        <v>351</v>
      </c>
      <c r="X32" s="1" t="s">
        <v>352</v>
      </c>
      <c r="Y32" s="3">
        <v>42099.173078703701</v>
      </c>
      <c r="Z32" s="1">
        <v>1</v>
      </c>
      <c r="AA32" s="1">
        <v>1</v>
      </c>
      <c r="AB32" s="1">
        <v>1</v>
      </c>
      <c r="AC32" s="1">
        <v>1</v>
      </c>
      <c r="AD32" s="3">
        <v>43750.779216238428</v>
      </c>
      <c r="AE32" s="1" t="s">
        <v>42</v>
      </c>
    </row>
    <row r="33" spans="1:31" x14ac:dyDescent="0.35">
      <c r="A33" s="1">
        <v>159</v>
      </c>
      <c r="B33" s="1" t="s">
        <v>353</v>
      </c>
      <c r="C33" s="1" t="s">
        <v>354</v>
      </c>
      <c r="D33" s="1" t="s">
        <v>355</v>
      </c>
      <c r="E33" s="1" t="s">
        <v>356</v>
      </c>
      <c r="F33" s="1">
        <v>0</v>
      </c>
      <c r="G33" s="3">
        <v>31543</v>
      </c>
      <c r="H33" s="1">
        <v>1</v>
      </c>
      <c r="I33" s="1" t="s">
        <v>35</v>
      </c>
      <c r="J33" s="1" t="s">
        <v>36</v>
      </c>
      <c r="K33" s="2">
        <f>91-9172626662</f>
        <v>-9172626571</v>
      </c>
      <c r="L33" s="1" t="s">
        <v>58</v>
      </c>
      <c r="M33" s="1">
        <v>5.01</v>
      </c>
      <c r="N33" s="1">
        <v>10</v>
      </c>
      <c r="O33" s="1" t="s">
        <v>357</v>
      </c>
      <c r="P33" s="1">
        <f>91-25163143</f>
        <v>-25163052</v>
      </c>
      <c r="Q33" s="1" t="s">
        <v>358</v>
      </c>
      <c r="R33" s="1" t="s">
        <v>359</v>
      </c>
      <c r="S33" s="1" t="s">
        <v>360</v>
      </c>
      <c r="T33" s="1" t="s">
        <v>58</v>
      </c>
      <c r="U33" s="1">
        <v>5.0199999999999996</v>
      </c>
      <c r="V33" s="1">
        <v>5.0599999999999996</v>
      </c>
      <c r="W33" s="1" t="s">
        <v>361</v>
      </c>
      <c r="X33" s="1" t="s">
        <v>362</v>
      </c>
      <c r="Y33" s="3">
        <v>42099.957971724536</v>
      </c>
      <c r="Z33" s="1">
        <v>1</v>
      </c>
      <c r="AA33" s="1">
        <v>1</v>
      </c>
      <c r="AB33" s="1">
        <v>1</v>
      </c>
      <c r="AC33" s="1">
        <v>1</v>
      </c>
      <c r="AD33" s="3">
        <v>43177.266953321756</v>
      </c>
      <c r="AE33" s="1" t="s">
        <v>42</v>
      </c>
    </row>
    <row r="34" spans="1:31" x14ac:dyDescent="0.35">
      <c r="A34" s="1">
        <v>160</v>
      </c>
      <c r="B34" s="1" t="s">
        <v>363</v>
      </c>
      <c r="C34" s="1" t="s">
        <v>364</v>
      </c>
      <c r="D34" s="1" t="s">
        <v>365</v>
      </c>
      <c r="E34" s="1" t="s">
        <v>52</v>
      </c>
      <c r="F34" s="1">
        <v>1</v>
      </c>
      <c r="G34" s="3">
        <v>29030</v>
      </c>
      <c r="H34" s="1">
        <v>1</v>
      </c>
      <c r="I34" s="1" t="s">
        <v>63</v>
      </c>
      <c r="J34" s="1" t="s">
        <v>64</v>
      </c>
      <c r="K34" s="2">
        <f>91-9978245632</f>
        <v>-9978245541</v>
      </c>
      <c r="L34" s="1" t="s">
        <v>58</v>
      </c>
      <c r="M34" s="1">
        <v>5.05</v>
      </c>
      <c r="N34" s="1">
        <v>27</v>
      </c>
      <c r="O34" s="1" t="s">
        <v>366</v>
      </c>
      <c r="P34" s="1">
        <f>91-8460709000</f>
        <v>-8460708909</v>
      </c>
      <c r="Q34" s="1" t="s">
        <v>367</v>
      </c>
      <c r="R34" s="1" t="s">
        <v>368</v>
      </c>
      <c r="S34" s="1" t="s">
        <v>369</v>
      </c>
      <c r="T34" s="1" t="s">
        <v>140</v>
      </c>
      <c r="U34" s="1">
        <v>4.1100000000000003</v>
      </c>
      <c r="V34" s="1">
        <v>5.04</v>
      </c>
      <c r="W34" s="1" t="s">
        <v>371</v>
      </c>
      <c r="X34" s="1" t="s">
        <v>372</v>
      </c>
      <c r="Y34" s="3">
        <v>42103.234425034723</v>
      </c>
      <c r="Z34" s="1">
        <v>1</v>
      </c>
      <c r="AA34" s="1">
        <v>1</v>
      </c>
      <c r="AB34" s="1">
        <v>1</v>
      </c>
      <c r="AC34" s="1">
        <v>4</v>
      </c>
      <c r="AD34" s="3" t="s">
        <v>42</v>
      </c>
      <c r="AE34" s="1" t="s">
        <v>42</v>
      </c>
    </row>
    <row r="35" spans="1:31" x14ac:dyDescent="0.35">
      <c r="A35" s="1">
        <v>166</v>
      </c>
      <c r="B35" s="1" t="s">
        <v>373</v>
      </c>
      <c r="C35" s="1" t="s">
        <v>374</v>
      </c>
      <c r="D35" s="1" t="s">
        <v>375</v>
      </c>
      <c r="E35" s="1" t="s">
        <v>83</v>
      </c>
      <c r="F35" s="1">
        <v>1</v>
      </c>
      <c r="G35" s="3">
        <v>33138</v>
      </c>
      <c r="H35" s="1">
        <v>2</v>
      </c>
      <c r="I35" s="1" t="s">
        <v>376</v>
      </c>
      <c r="J35" s="1" t="s">
        <v>377</v>
      </c>
      <c r="K35" s="2">
        <f>91-5106746757</f>
        <v>-5106746666</v>
      </c>
      <c r="L35" s="1" t="s">
        <v>58</v>
      </c>
      <c r="M35" s="1">
        <v>5.09</v>
      </c>
      <c r="N35" s="1">
        <v>10</v>
      </c>
      <c r="O35" s="1" t="s">
        <v>378</v>
      </c>
      <c r="P35" s="1">
        <f>91-5104586028</f>
        <v>-5104585937</v>
      </c>
      <c r="Q35" s="1" t="s">
        <v>379</v>
      </c>
      <c r="R35" s="1" t="s">
        <v>380</v>
      </c>
      <c r="S35" s="1" t="s">
        <v>276</v>
      </c>
      <c r="T35" s="1" t="s">
        <v>58</v>
      </c>
      <c r="U35" s="1">
        <v>4.0999999999999996</v>
      </c>
      <c r="V35" s="1">
        <v>5.0999999999999996</v>
      </c>
      <c r="W35" s="1" t="s">
        <v>381</v>
      </c>
      <c r="X35" s="1" t="s">
        <v>382</v>
      </c>
      <c r="Y35" s="3">
        <v>42107.688930358796</v>
      </c>
      <c r="Z35" s="1">
        <v>1</v>
      </c>
      <c r="AA35" s="1">
        <v>1</v>
      </c>
      <c r="AB35" s="1">
        <v>1</v>
      </c>
      <c r="AC35" s="1">
        <v>1</v>
      </c>
      <c r="AD35" s="3">
        <v>43986.648040509259</v>
      </c>
      <c r="AE35" s="1" t="s">
        <v>42</v>
      </c>
    </row>
    <row r="36" spans="1:31" x14ac:dyDescent="0.35">
      <c r="A36" s="1">
        <v>173</v>
      </c>
      <c r="B36" s="1" t="s">
        <v>383</v>
      </c>
      <c r="C36" s="1" t="s">
        <v>384</v>
      </c>
      <c r="D36" s="1" t="s">
        <v>385</v>
      </c>
      <c r="E36" s="1" t="s">
        <v>208</v>
      </c>
      <c r="F36" s="1">
        <v>1</v>
      </c>
      <c r="G36" s="3">
        <v>32184</v>
      </c>
      <c r="H36" s="1">
        <v>1</v>
      </c>
      <c r="I36" s="1" t="s">
        <v>125</v>
      </c>
      <c r="J36" s="1" t="s">
        <v>126</v>
      </c>
      <c r="K36" s="2">
        <f>91-9632699944</f>
        <v>-9632699853</v>
      </c>
      <c r="L36" s="1" t="s">
        <v>58</v>
      </c>
      <c r="M36" s="1">
        <v>5.1100000000000003</v>
      </c>
      <c r="N36" s="1">
        <v>5</v>
      </c>
      <c r="O36" s="1" t="s">
        <v>386</v>
      </c>
      <c r="P36" s="1">
        <f>91-9844075642</f>
        <v>-9844075551</v>
      </c>
      <c r="Q36" s="1" t="s">
        <v>387</v>
      </c>
      <c r="R36" s="1" t="s">
        <v>388</v>
      </c>
      <c r="S36" s="1" t="s">
        <v>390</v>
      </c>
      <c r="T36" s="1" t="s">
        <v>58</v>
      </c>
      <c r="U36" s="1">
        <v>5.0199999999999996</v>
      </c>
      <c r="V36" s="1">
        <v>6.02</v>
      </c>
      <c r="W36" s="1" t="s">
        <v>391</v>
      </c>
      <c r="X36" s="1" t="s">
        <v>392</v>
      </c>
      <c r="Y36" s="3">
        <v>42112.167736030089</v>
      </c>
      <c r="Z36" s="1">
        <v>1</v>
      </c>
      <c r="AA36" s="1">
        <v>1</v>
      </c>
      <c r="AB36" s="1">
        <v>1</v>
      </c>
      <c r="AC36" s="1">
        <v>1</v>
      </c>
      <c r="AD36" s="3">
        <v>43755.740374803238</v>
      </c>
      <c r="AE36" s="1" t="s">
        <v>42</v>
      </c>
    </row>
    <row r="37" spans="1:31" x14ac:dyDescent="0.35">
      <c r="A37" s="1">
        <v>182</v>
      </c>
      <c r="B37" s="1" t="s">
        <v>393</v>
      </c>
      <c r="C37" s="1" t="s">
        <v>394</v>
      </c>
      <c r="D37" s="1" t="s">
        <v>395</v>
      </c>
      <c r="E37" s="1" t="s">
        <v>52</v>
      </c>
      <c r="F37" s="1">
        <v>1</v>
      </c>
      <c r="G37" s="3">
        <v>33867</v>
      </c>
      <c r="H37" s="1">
        <v>1</v>
      </c>
      <c r="I37" s="1" t="s">
        <v>63</v>
      </c>
      <c r="J37" s="1" t="s">
        <v>396</v>
      </c>
      <c r="K37" s="2">
        <f>91-9016262905</f>
        <v>-9016262814</v>
      </c>
      <c r="L37" s="1" t="s">
        <v>58</v>
      </c>
      <c r="M37" s="1">
        <v>5.0199999999999996</v>
      </c>
      <c r="N37" s="1">
        <v>32</v>
      </c>
      <c r="O37" s="1" t="s">
        <v>397</v>
      </c>
      <c r="P37" s="1">
        <f>91-9016262905</f>
        <v>-9016262814</v>
      </c>
      <c r="Q37" s="1" t="s">
        <v>398</v>
      </c>
      <c r="R37" s="1" t="s">
        <v>399</v>
      </c>
      <c r="S37" s="1" t="s">
        <v>222</v>
      </c>
      <c r="T37" s="1" t="s">
        <v>58</v>
      </c>
      <c r="U37" s="1">
        <v>4.05</v>
      </c>
      <c r="V37" s="1">
        <v>5.03</v>
      </c>
      <c r="W37" s="1" t="s">
        <v>400</v>
      </c>
      <c r="X37" s="1" t="s">
        <v>401</v>
      </c>
      <c r="Y37" s="3">
        <v>42131.005524039349</v>
      </c>
      <c r="Z37" s="1">
        <v>1</v>
      </c>
      <c r="AA37" s="1">
        <v>1</v>
      </c>
      <c r="AB37" s="1">
        <v>1</v>
      </c>
      <c r="AC37" s="1">
        <v>1</v>
      </c>
      <c r="AD37" s="3">
        <v>43217.286512812498</v>
      </c>
      <c r="AE37" s="1" t="s">
        <v>42</v>
      </c>
    </row>
    <row r="38" spans="1:31" x14ac:dyDescent="0.35">
      <c r="A38" s="1">
        <v>184</v>
      </c>
      <c r="B38" s="1" t="s">
        <v>402</v>
      </c>
      <c r="C38" s="1" t="s">
        <v>403</v>
      </c>
      <c r="D38" s="1" t="s">
        <v>404</v>
      </c>
      <c r="E38" s="1" t="s">
        <v>52</v>
      </c>
      <c r="F38" s="1">
        <v>1</v>
      </c>
      <c r="G38" s="3">
        <v>30593</v>
      </c>
      <c r="H38" s="1">
        <v>1</v>
      </c>
      <c r="I38" s="1" t="s">
        <v>63</v>
      </c>
      <c r="J38" s="1" t="s">
        <v>405</v>
      </c>
      <c r="K38" s="2">
        <f>91-7043445707</f>
        <v>-7043445616</v>
      </c>
      <c r="L38" s="1" t="s">
        <v>58</v>
      </c>
      <c r="M38" s="1">
        <v>5.0599999999999996</v>
      </c>
      <c r="N38" s="1">
        <v>46</v>
      </c>
      <c r="O38" s="1" t="s">
        <v>406</v>
      </c>
      <c r="P38" s="1" t="s">
        <v>54</v>
      </c>
      <c r="Q38" s="1" t="s">
        <v>407</v>
      </c>
      <c r="R38" s="1" t="s">
        <v>408</v>
      </c>
      <c r="S38" s="1" t="s">
        <v>409</v>
      </c>
      <c r="T38" s="1" t="s">
        <v>99</v>
      </c>
      <c r="U38" s="1">
        <v>4.03</v>
      </c>
      <c r="V38" s="1">
        <v>5.04</v>
      </c>
      <c r="W38" s="1" t="s">
        <v>411</v>
      </c>
      <c r="X38" s="1" t="s">
        <v>412</v>
      </c>
      <c r="Y38" s="3">
        <v>42140.736548877314</v>
      </c>
      <c r="Z38" s="1">
        <v>1</v>
      </c>
      <c r="AA38" s="1">
        <v>1</v>
      </c>
      <c r="AB38" s="1">
        <v>1</v>
      </c>
      <c r="AC38" s="1">
        <v>1</v>
      </c>
      <c r="AD38" s="3">
        <v>44062.356900925923</v>
      </c>
      <c r="AE38" s="1" t="s">
        <v>42</v>
      </c>
    </row>
    <row r="39" spans="1:31" x14ac:dyDescent="0.35">
      <c r="A39" s="1">
        <v>188</v>
      </c>
      <c r="B39" s="1" t="s">
        <v>413</v>
      </c>
      <c r="C39" s="1" t="s">
        <v>414</v>
      </c>
      <c r="D39" s="1" t="s">
        <v>415</v>
      </c>
      <c r="E39" s="1" t="s">
        <v>52</v>
      </c>
      <c r="F39" s="1">
        <v>1</v>
      </c>
      <c r="G39" s="3">
        <v>29916</v>
      </c>
      <c r="H39" s="1">
        <v>1</v>
      </c>
      <c r="I39" s="1" t="s">
        <v>63</v>
      </c>
      <c r="J39" s="1" t="s">
        <v>405</v>
      </c>
      <c r="K39" s="2">
        <f>91-9601917026</f>
        <v>-9601916935</v>
      </c>
      <c r="L39" s="1" t="s">
        <v>58</v>
      </c>
      <c r="M39" s="1">
        <v>5.05</v>
      </c>
      <c r="N39" s="1">
        <v>46</v>
      </c>
      <c r="O39" s="1" t="s">
        <v>416</v>
      </c>
      <c r="P39" s="1">
        <f>91-9601917026</f>
        <v>-9601916935</v>
      </c>
      <c r="Q39" s="1" t="s">
        <v>417</v>
      </c>
      <c r="R39" s="1" t="s">
        <v>418</v>
      </c>
      <c r="S39" s="1" t="s">
        <v>419</v>
      </c>
      <c r="T39" s="1" t="s">
        <v>58</v>
      </c>
      <c r="U39" s="1">
        <v>5</v>
      </c>
      <c r="V39" s="1">
        <v>6</v>
      </c>
      <c r="W39" s="1" t="s">
        <v>420</v>
      </c>
      <c r="X39" s="1" t="s">
        <v>421</v>
      </c>
      <c r="Y39" s="3">
        <v>42144.039229050926</v>
      </c>
      <c r="Z39" s="1">
        <v>1</v>
      </c>
      <c r="AA39" s="1">
        <v>1</v>
      </c>
      <c r="AB39" s="1">
        <v>1</v>
      </c>
      <c r="AC39" s="1">
        <v>1</v>
      </c>
      <c r="AD39" s="3">
        <v>43117.672406909725</v>
      </c>
      <c r="AE39" s="1" t="s">
        <v>42</v>
      </c>
    </row>
    <row r="40" spans="1:31" x14ac:dyDescent="0.35">
      <c r="A40" s="1">
        <v>189</v>
      </c>
      <c r="B40" s="1" t="s">
        <v>422</v>
      </c>
      <c r="C40" s="1" t="s">
        <v>423</v>
      </c>
      <c r="D40" s="1" t="s">
        <v>424</v>
      </c>
      <c r="E40" s="1" t="s">
        <v>425</v>
      </c>
      <c r="F40" s="1">
        <v>1</v>
      </c>
      <c r="G40" s="3">
        <v>30134</v>
      </c>
      <c r="H40" s="1">
        <v>1</v>
      </c>
      <c r="I40" s="1" t="s">
        <v>63</v>
      </c>
      <c r="J40" s="1" t="s">
        <v>426</v>
      </c>
      <c r="K40" s="2">
        <f>91-9429524827</f>
        <v>-9429524736</v>
      </c>
      <c r="L40" s="1" t="s">
        <v>58</v>
      </c>
      <c r="M40" s="1">
        <v>5.07</v>
      </c>
      <c r="N40" s="1">
        <v>10</v>
      </c>
      <c r="O40" s="1" t="s">
        <v>427</v>
      </c>
      <c r="P40" s="1">
        <f>91-9428322181</f>
        <v>-9428322090</v>
      </c>
      <c r="Q40" s="1" t="s">
        <v>428</v>
      </c>
      <c r="R40" s="1" t="s">
        <v>429</v>
      </c>
      <c r="S40" s="1" t="s">
        <v>42</v>
      </c>
      <c r="T40" s="1" t="s">
        <v>42</v>
      </c>
      <c r="U40" s="1" t="s">
        <v>42</v>
      </c>
      <c r="V40" s="1" t="s">
        <v>42</v>
      </c>
      <c r="W40" s="1" t="s">
        <v>430</v>
      </c>
      <c r="X40" s="1" t="s">
        <v>431</v>
      </c>
      <c r="Y40" s="3">
        <v>42147.271238425928</v>
      </c>
      <c r="Z40" s="1">
        <v>1</v>
      </c>
      <c r="AA40" s="1">
        <v>1</v>
      </c>
      <c r="AB40" s="1">
        <v>1</v>
      </c>
      <c r="AC40" s="1">
        <v>1</v>
      </c>
      <c r="AD40" s="3">
        <v>43866.226793518515</v>
      </c>
      <c r="AE40" s="1" t="s">
        <v>42</v>
      </c>
    </row>
    <row r="41" spans="1:31" x14ac:dyDescent="0.35">
      <c r="A41" s="1">
        <v>192</v>
      </c>
      <c r="B41" s="1" t="s">
        <v>432</v>
      </c>
      <c r="C41" s="1" t="s">
        <v>433</v>
      </c>
      <c r="D41" s="1" t="s">
        <v>434</v>
      </c>
      <c r="E41" s="1" t="s">
        <v>356</v>
      </c>
      <c r="F41" s="1">
        <v>1</v>
      </c>
      <c r="G41" s="3">
        <v>32668</v>
      </c>
      <c r="H41" s="1">
        <v>1</v>
      </c>
      <c r="I41" s="1" t="s">
        <v>35</v>
      </c>
      <c r="J41" s="1" t="s">
        <v>36</v>
      </c>
      <c r="K41" s="2">
        <f>91-8291968848</f>
        <v>-8291968757</v>
      </c>
      <c r="L41" s="1" t="s">
        <v>58</v>
      </c>
      <c r="M41" s="1">
        <v>5.0599999999999996</v>
      </c>
      <c r="N41" s="1">
        <v>10</v>
      </c>
      <c r="O41" s="1" t="s">
        <v>435</v>
      </c>
      <c r="P41" s="1">
        <f>91-9819657012</f>
        <v>-9819656921</v>
      </c>
      <c r="Q41" s="1" t="s">
        <v>436</v>
      </c>
      <c r="R41" s="1" t="s">
        <v>437</v>
      </c>
      <c r="S41" s="1" t="s">
        <v>438</v>
      </c>
      <c r="T41" s="1" t="s">
        <v>58</v>
      </c>
      <c r="U41" s="1">
        <v>5</v>
      </c>
      <c r="V41" s="1">
        <v>5.05</v>
      </c>
      <c r="W41" s="1" t="s">
        <v>439</v>
      </c>
      <c r="X41" s="1" t="s">
        <v>440</v>
      </c>
      <c r="Y41" s="3">
        <v>42151.334422488428</v>
      </c>
      <c r="Z41" s="1">
        <v>1</v>
      </c>
      <c r="AA41" s="1">
        <v>1</v>
      </c>
      <c r="AB41" s="1">
        <v>1</v>
      </c>
      <c r="AC41" s="1">
        <v>1</v>
      </c>
      <c r="AD41" s="3">
        <v>43436.456308217596</v>
      </c>
      <c r="AE41" s="1" t="s">
        <v>42</v>
      </c>
    </row>
    <row r="42" spans="1:31" x14ac:dyDescent="0.35">
      <c r="A42" s="1">
        <v>193</v>
      </c>
      <c r="B42" s="1" t="s">
        <v>441</v>
      </c>
      <c r="C42" s="1" t="s">
        <v>442</v>
      </c>
      <c r="D42" s="1" t="s">
        <v>443</v>
      </c>
      <c r="E42" s="1" t="s">
        <v>444</v>
      </c>
      <c r="F42" s="1">
        <v>1</v>
      </c>
      <c r="G42" s="3">
        <v>33248</v>
      </c>
      <c r="H42" s="1">
        <v>1</v>
      </c>
      <c r="I42" s="1" t="s">
        <v>445</v>
      </c>
      <c r="J42" s="1" t="s">
        <v>446</v>
      </c>
      <c r="K42" s="2">
        <f>91-9776549120</f>
        <v>-9776549029</v>
      </c>
      <c r="L42" s="1" t="s">
        <v>58</v>
      </c>
      <c r="M42" s="1">
        <v>5.07</v>
      </c>
      <c r="N42" s="1">
        <v>5</v>
      </c>
      <c r="O42" s="1" t="s">
        <v>447</v>
      </c>
      <c r="P42" s="1">
        <f>91-9861165568</f>
        <v>-9861165477</v>
      </c>
      <c r="Q42" s="1" t="s">
        <v>448</v>
      </c>
      <c r="R42" s="1" t="s">
        <v>449</v>
      </c>
      <c r="S42" s="1" t="s">
        <v>130</v>
      </c>
      <c r="T42" s="1" t="s">
        <v>58</v>
      </c>
      <c r="U42" s="1">
        <v>5.03</v>
      </c>
      <c r="V42" s="1">
        <v>5.0599999999999996</v>
      </c>
      <c r="W42" s="1" t="s">
        <v>450</v>
      </c>
      <c r="X42" s="1" t="s">
        <v>451</v>
      </c>
      <c r="Y42" s="3">
        <v>42155.17942241898</v>
      </c>
      <c r="Z42" s="1">
        <v>1</v>
      </c>
      <c r="AA42" s="1">
        <v>1</v>
      </c>
      <c r="AB42" s="1">
        <v>1</v>
      </c>
      <c r="AC42" s="1">
        <v>4</v>
      </c>
      <c r="AD42" s="3">
        <v>42913.688903437498</v>
      </c>
      <c r="AE42" s="1" t="s">
        <v>42</v>
      </c>
    </row>
    <row r="43" spans="1:31" x14ac:dyDescent="0.35">
      <c r="A43" s="1">
        <v>201</v>
      </c>
      <c r="B43" s="1" t="s">
        <v>452</v>
      </c>
      <c r="C43" s="1" t="s">
        <v>453</v>
      </c>
      <c r="D43" s="1" t="s">
        <v>454</v>
      </c>
      <c r="E43" s="1" t="s">
        <v>52</v>
      </c>
      <c r="F43" s="1">
        <v>1</v>
      </c>
      <c r="G43" s="3">
        <v>33127</v>
      </c>
      <c r="H43" s="1">
        <v>1</v>
      </c>
      <c r="I43" s="1" t="s">
        <v>63</v>
      </c>
      <c r="J43" s="1" t="s">
        <v>64</v>
      </c>
      <c r="K43" s="2">
        <f>91-9429005718</f>
        <v>-9429005627</v>
      </c>
      <c r="L43" s="1" t="s">
        <v>58</v>
      </c>
      <c r="M43" s="1">
        <v>5.08</v>
      </c>
      <c r="N43" s="1">
        <v>32</v>
      </c>
      <c r="O43" s="1" t="s">
        <v>455</v>
      </c>
      <c r="P43" s="1" t="s">
        <v>54</v>
      </c>
      <c r="Q43" s="1" t="s">
        <v>456</v>
      </c>
      <c r="R43" s="1" t="s">
        <v>457</v>
      </c>
      <c r="S43" s="1" t="s">
        <v>458</v>
      </c>
      <c r="T43" s="1" t="s">
        <v>58</v>
      </c>
      <c r="U43" s="1">
        <v>4.03</v>
      </c>
      <c r="V43" s="1">
        <v>5.07</v>
      </c>
      <c r="W43" s="1" t="s">
        <v>460</v>
      </c>
      <c r="X43" s="1" t="s">
        <v>461</v>
      </c>
      <c r="Y43" s="3">
        <v>42180.060499305553</v>
      </c>
      <c r="Z43" s="1">
        <v>1</v>
      </c>
      <c r="AA43" s="1">
        <v>1</v>
      </c>
      <c r="AB43" s="1">
        <v>1</v>
      </c>
      <c r="AC43" s="1">
        <v>3</v>
      </c>
      <c r="AD43" s="3" t="s">
        <v>42</v>
      </c>
      <c r="AE43" s="1" t="s">
        <v>42</v>
      </c>
    </row>
    <row r="44" spans="1:31" x14ac:dyDescent="0.35">
      <c r="A44" s="1">
        <v>207</v>
      </c>
      <c r="B44" s="1" t="s">
        <v>462</v>
      </c>
      <c r="C44" s="1" t="s">
        <v>463</v>
      </c>
      <c r="D44" s="1" t="s">
        <v>464</v>
      </c>
      <c r="E44" s="1" t="s">
        <v>34</v>
      </c>
      <c r="F44" s="1">
        <v>1</v>
      </c>
      <c r="G44" s="3">
        <v>32611</v>
      </c>
      <c r="H44" s="1">
        <v>1</v>
      </c>
      <c r="I44" s="1" t="s">
        <v>35</v>
      </c>
      <c r="J44" s="1" t="s">
        <v>465</v>
      </c>
      <c r="K44" s="2">
        <f>91-9028480463</f>
        <v>-9028480372</v>
      </c>
      <c r="L44" s="1" t="s">
        <v>58</v>
      </c>
      <c r="M44" s="1">
        <v>5.07</v>
      </c>
      <c r="N44" s="1">
        <v>12</v>
      </c>
      <c r="O44" s="1" t="s">
        <v>466</v>
      </c>
      <c r="P44" s="1">
        <f>91-9028480463</f>
        <v>-9028480372</v>
      </c>
      <c r="Q44" s="1" t="s">
        <v>467</v>
      </c>
      <c r="R44" s="1" t="s">
        <v>468</v>
      </c>
      <c r="S44" s="1" t="s">
        <v>469</v>
      </c>
      <c r="T44" s="1" t="s">
        <v>58</v>
      </c>
      <c r="U44" s="1">
        <v>4.08</v>
      </c>
      <c r="V44" s="1">
        <v>5.05</v>
      </c>
      <c r="W44" s="1" t="s">
        <v>470</v>
      </c>
      <c r="X44" s="1" t="s">
        <v>471</v>
      </c>
      <c r="Y44" s="3">
        <v>42196.17723854167</v>
      </c>
      <c r="Z44" s="1">
        <v>1</v>
      </c>
      <c r="AA44" s="1">
        <v>1</v>
      </c>
      <c r="AB44" s="1">
        <v>1</v>
      </c>
      <c r="AC44" s="1">
        <v>1</v>
      </c>
      <c r="AD44" s="3">
        <v>43270.484142789355</v>
      </c>
      <c r="AE44" s="1" t="s">
        <v>42</v>
      </c>
    </row>
    <row r="45" spans="1:31" x14ac:dyDescent="0.35">
      <c r="A45" s="1">
        <v>210</v>
      </c>
      <c r="B45" s="1" t="s">
        <v>472</v>
      </c>
      <c r="C45" s="1">
        <v>9924849863</v>
      </c>
      <c r="D45" s="1" t="s">
        <v>473</v>
      </c>
      <c r="E45" s="1" t="s">
        <v>52</v>
      </c>
      <c r="F45" s="1">
        <v>0</v>
      </c>
      <c r="G45" s="3">
        <v>31801</v>
      </c>
      <c r="H45" s="1">
        <v>1</v>
      </c>
      <c r="I45" s="1" t="s">
        <v>63</v>
      </c>
      <c r="J45" s="1" t="s">
        <v>474</v>
      </c>
      <c r="K45" s="2">
        <f>91-9924849863</f>
        <v>-9924849772</v>
      </c>
      <c r="L45" s="1" t="s">
        <v>58</v>
      </c>
      <c r="M45" s="1">
        <v>5.0599999999999996</v>
      </c>
      <c r="N45" s="1">
        <v>19</v>
      </c>
      <c r="O45" s="1" t="s">
        <v>475</v>
      </c>
      <c r="P45" s="1">
        <f>91-9924849863</f>
        <v>-9924849772</v>
      </c>
      <c r="Q45" s="1" t="s">
        <v>476</v>
      </c>
      <c r="R45" s="1" t="s">
        <v>477</v>
      </c>
      <c r="S45" s="1" t="s">
        <v>77</v>
      </c>
      <c r="T45" s="1" t="s">
        <v>478</v>
      </c>
      <c r="U45" s="1">
        <v>5.0599999999999996</v>
      </c>
      <c r="V45" s="1">
        <v>5.0599999999999996</v>
      </c>
      <c r="W45" s="1" t="s">
        <v>479</v>
      </c>
      <c r="X45" s="1" t="s">
        <v>480</v>
      </c>
      <c r="Y45" s="3">
        <v>42200.286837615742</v>
      </c>
      <c r="Z45" s="1">
        <v>1</v>
      </c>
      <c r="AA45" s="1">
        <v>1</v>
      </c>
      <c r="AB45" s="1">
        <v>1</v>
      </c>
      <c r="AC45" s="1">
        <v>1</v>
      </c>
      <c r="AD45" s="3">
        <v>43253.157532789352</v>
      </c>
      <c r="AE45" s="1" t="s">
        <v>42</v>
      </c>
    </row>
    <row r="46" spans="1:31" x14ac:dyDescent="0.35">
      <c r="A46" s="1">
        <v>213</v>
      </c>
      <c r="B46" s="1" t="s">
        <v>481</v>
      </c>
      <c r="C46" s="1" t="s">
        <v>482</v>
      </c>
      <c r="D46" s="1" t="s">
        <v>483</v>
      </c>
      <c r="E46" s="1" t="s">
        <v>34</v>
      </c>
      <c r="F46" s="1">
        <v>1</v>
      </c>
      <c r="G46" s="3">
        <v>33797</v>
      </c>
      <c r="H46" s="1">
        <v>1</v>
      </c>
      <c r="I46" s="1" t="s">
        <v>35</v>
      </c>
      <c r="J46" s="1" t="s">
        <v>484</v>
      </c>
      <c r="K46" s="2">
        <f>91-9503034870</f>
        <v>-9503034779</v>
      </c>
      <c r="L46" s="1" t="s">
        <v>58</v>
      </c>
      <c r="M46" s="1">
        <v>5.08</v>
      </c>
      <c r="N46" s="1">
        <v>12</v>
      </c>
      <c r="O46" s="1" t="s">
        <v>485</v>
      </c>
      <c r="P46" s="1">
        <f>91-9503034870</f>
        <v>-9503034779</v>
      </c>
      <c r="Q46" s="1" t="s">
        <v>486</v>
      </c>
      <c r="R46" s="1" t="s">
        <v>487</v>
      </c>
      <c r="S46" s="1" t="s">
        <v>488</v>
      </c>
      <c r="T46" s="1" t="s">
        <v>58</v>
      </c>
      <c r="U46" s="1">
        <v>5</v>
      </c>
      <c r="V46" s="1">
        <v>5.08</v>
      </c>
      <c r="W46" s="1" t="s">
        <v>489</v>
      </c>
      <c r="X46" s="1" t="s">
        <v>490</v>
      </c>
      <c r="Y46" s="3">
        <v>42200.932040243053</v>
      </c>
      <c r="Z46" s="1">
        <v>1</v>
      </c>
      <c r="AA46" s="1">
        <v>1</v>
      </c>
      <c r="AB46" s="1">
        <v>1</v>
      </c>
      <c r="AC46" s="1">
        <v>1</v>
      </c>
      <c r="AD46" s="3">
        <v>43536.322595682868</v>
      </c>
      <c r="AE46" s="1" t="s">
        <v>42</v>
      </c>
    </row>
    <row r="47" spans="1:31" x14ac:dyDescent="0.35">
      <c r="A47" s="1">
        <v>215</v>
      </c>
      <c r="B47" s="1" t="s">
        <v>491</v>
      </c>
      <c r="C47" s="1" t="s">
        <v>492</v>
      </c>
      <c r="D47" s="1" t="s">
        <v>493</v>
      </c>
      <c r="E47" s="1" t="s">
        <v>494</v>
      </c>
      <c r="F47" s="1">
        <v>1</v>
      </c>
      <c r="G47" s="3">
        <v>32330</v>
      </c>
      <c r="H47" s="1">
        <v>1</v>
      </c>
      <c r="I47" s="1" t="s">
        <v>63</v>
      </c>
      <c r="J47" s="1" t="s">
        <v>495</v>
      </c>
      <c r="K47" s="2">
        <f>91-9408255068</f>
        <v>-9408254977</v>
      </c>
      <c r="L47" s="1" t="s">
        <v>58</v>
      </c>
      <c r="M47" s="1">
        <v>5.04</v>
      </c>
      <c r="N47" s="1">
        <v>12</v>
      </c>
      <c r="O47" s="1" t="s">
        <v>496</v>
      </c>
      <c r="P47" s="1">
        <f>91-9825553068</f>
        <v>-9825552977</v>
      </c>
      <c r="Q47" s="1" t="s">
        <v>497</v>
      </c>
      <c r="R47" s="1" t="s">
        <v>498</v>
      </c>
      <c r="S47" s="1" t="s">
        <v>499</v>
      </c>
      <c r="T47" s="1" t="s">
        <v>58</v>
      </c>
      <c r="U47" s="1">
        <v>4.08</v>
      </c>
      <c r="V47" s="1">
        <v>5.05</v>
      </c>
      <c r="W47" s="1" t="s">
        <v>500</v>
      </c>
      <c r="X47" s="1" t="s">
        <v>501</v>
      </c>
      <c r="Y47" s="3">
        <v>42201.093336655096</v>
      </c>
      <c r="Z47" s="1">
        <v>1</v>
      </c>
      <c r="AA47" s="1">
        <v>1</v>
      </c>
      <c r="AB47" s="1">
        <v>1</v>
      </c>
      <c r="AC47" s="1">
        <v>4</v>
      </c>
      <c r="AD47" s="3">
        <v>42973.322383333332</v>
      </c>
      <c r="AE47" s="1" t="s">
        <v>42</v>
      </c>
    </row>
    <row r="48" spans="1:31" x14ac:dyDescent="0.35">
      <c r="A48" s="1">
        <v>216</v>
      </c>
      <c r="B48" s="1" t="s">
        <v>502</v>
      </c>
      <c r="C48" s="1" t="s">
        <v>503</v>
      </c>
      <c r="D48" s="1" t="s">
        <v>504</v>
      </c>
      <c r="E48" s="1" t="s">
        <v>505</v>
      </c>
      <c r="F48" s="1">
        <v>1</v>
      </c>
      <c r="G48" s="3">
        <v>30826</v>
      </c>
      <c r="H48" s="1">
        <v>1</v>
      </c>
      <c r="I48" s="1" t="s">
        <v>35</v>
      </c>
      <c r="J48" s="1" t="s">
        <v>506</v>
      </c>
      <c r="K48" s="2">
        <f>91-9823016110</f>
        <v>-9823016019</v>
      </c>
      <c r="L48" s="1" t="s">
        <v>58</v>
      </c>
      <c r="M48" s="1">
        <v>5.05</v>
      </c>
      <c r="N48" s="1">
        <v>54</v>
      </c>
      <c r="O48" s="1" t="s">
        <v>507</v>
      </c>
      <c r="P48" s="1">
        <f>91-9373105524</f>
        <v>-9373105433</v>
      </c>
      <c r="Q48" s="1" t="s">
        <v>508</v>
      </c>
      <c r="R48" s="1" t="s">
        <v>509</v>
      </c>
      <c r="S48" s="1" t="s">
        <v>510</v>
      </c>
      <c r="T48" s="1" t="s">
        <v>58</v>
      </c>
      <c r="U48" s="1">
        <v>5</v>
      </c>
      <c r="V48" s="1">
        <v>5.05</v>
      </c>
      <c r="W48" s="1" t="s">
        <v>511</v>
      </c>
      <c r="X48" s="1" t="s">
        <v>512</v>
      </c>
      <c r="Y48" s="3">
        <v>42201.199189548614</v>
      </c>
      <c r="Z48" s="1">
        <v>1</v>
      </c>
      <c r="AA48" s="1">
        <v>1</v>
      </c>
      <c r="AB48" s="1">
        <v>1</v>
      </c>
      <c r="AC48" s="1">
        <v>1</v>
      </c>
      <c r="AD48" s="3">
        <v>44054.203270868056</v>
      </c>
      <c r="AE48" s="1" t="s">
        <v>42</v>
      </c>
    </row>
    <row r="49" spans="1:31" x14ac:dyDescent="0.35">
      <c r="A49" s="1">
        <v>220</v>
      </c>
      <c r="B49" s="1" t="s">
        <v>513</v>
      </c>
      <c r="C49" s="1" t="s">
        <v>514</v>
      </c>
      <c r="D49" s="1" t="s">
        <v>515</v>
      </c>
      <c r="E49" s="1" t="s">
        <v>516</v>
      </c>
      <c r="F49" s="1">
        <v>1</v>
      </c>
      <c r="G49" s="3">
        <v>33301</v>
      </c>
      <c r="H49" s="1">
        <v>1</v>
      </c>
      <c r="I49" s="1" t="s">
        <v>35</v>
      </c>
      <c r="J49" s="1" t="s">
        <v>517</v>
      </c>
      <c r="K49" s="2">
        <f>91-8007974111</f>
        <v>-8007974020</v>
      </c>
      <c r="L49" s="1" t="s">
        <v>58</v>
      </c>
      <c r="M49" s="1">
        <v>5.09</v>
      </c>
      <c r="N49" s="1">
        <v>38</v>
      </c>
      <c r="O49" s="1" t="s">
        <v>518</v>
      </c>
      <c r="P49" s="1">
        <f>91-7020768779</f>
        <v>-7020768688</v>
      </c>
      <c r="Q49" s="1" t="s">
        <v>519</v>
      </c>
      <c r="R49" s="1" t="s">
        <v>520</v>
      </c>
      <c r="S49" s="1" t="s">
        <v>150</v>
      </c>
      <c r="T49" s="1" t="s">
        <v>58</v>
      </c>
      <c r="U49" s="1">
        <v>5.01</v>
      </c>
      <c r="V49" s="1">
        <v>5.08</v>
      </c>
      <c r="W49" s="1" t="s">
        <v>521</v>
      </c>
      <c r="X49" s="1" t="s">
        <v>522</v>
      </c>
      <c r="Y49" s="3">
        <v>42202.392020057872</v>
      </c>
      <c r="Z49" s="1">
        <v>1</v>
      </c>
      <c r="AA49" s="1">
        <v>1</v>
      </c>
      <c r="AB49" s="1">
        <v>1</v>
      </c>
      <c r="AC49" s="1">
        <v>1</v>
      </c>
      <c r="AD49" s="3">
        <v>43494.604841053238</v>
      </c>
      <c r="AE49" s="1" t="s">
        <v>42</v>
      </c>
    </row>
    <row r="50" spans="1:31" x14ac:dyDescent="0.35">
      <c r="A50" s="1">
        <v>224</v>
      </c>
      <c r="B50" s="1" t="s">
        <v>523</v>
      </c>
      <c r="C50" s="1" t="s">
        <v>503</v>
      </c>
      <c r="D50" s="1" t="s">
        <v>524</v>
      </c>
      <c r="E50" s="1" t="s">
        <v>505</v>
      </c>
      <c r="F50" s="1">
        <v>0</v>
      </c>
      <c r="G50" s="3">
        <v>31693</v>
      </c>
      <c r="H50" s="1">
        <v>1</v>
      </c>
      <c r="I50" s="1" t="s">
        <v>35</v>
      </c>
      <c r="J50" s="1" t="s">
        <v>506</v>
      </c>
      <c r="K50" s="2">
        <f>91-9823016110</f>
        <v>-9823016019</v>
      </c>
      <c r="L50" s="1" t="s">
        <v>58</v>
      </c>
      <c r="M50" s="1">
        <v>5</v>
      </c>
      <c r="N50" s="1">
        <v>54</v>
      </c>
      <c r="O50" s="1" t="s">
        <v>525</v>
      </c>
      <c r="P50" s="1">
        <f>91-9373105524</f>
        <v>-9373105433</v>
      </c>
      <c r="Q50" s="1" t="s">
        <v>508</v>
      </c>
      <c r="R50" s="1" t="s">
        <v>526</v>
      </c>
      <c r="S50" s="1" t="s">
        <v>527</v>
      </c>
      <c r="T50" s="1" t="s">
        <v>58</v>
      </c>
      <c r="U50" s="1">
        <v>5.01</v>
      </c>
      <c r="V50" s="1">
        <v>7</v>
      </c>
      <c r="W50" s="1" t="s">
        <v>528</v>
      </c>
      <c r="X50" s="1" t="s">
        <v>529</v>
      </c>
      <c r="Y50" s="3">
        <v>42204.062952928238</v>
      </c>
      <c r="Z50" s="1">
        <v>1</v>
      </c>
      <c r="AA50" s="1">
        <v>1</v>
      </c>
      <c r="AB50" s="1">
        <v>1</v>
      </c>
      <c r="AC50" s="1">
        <v>1</v>
      </c>
      <c r="AD50" s="3">
        <v>43876.409274571757</v>
      </c>
      <c r="AE50" s="1" t="s">
        <v>42</v>
      </c>
    </row>
    <row r="51" spans="1:31" x14ac:dyDescent="0.35">
      <c r="A51" s="1">
        <v>225</v>
      </c>
      <c r="B51" s="1" t="s">
        <v>530</v>
      </c>
      <c r="C51" s="1" t="s">
        <v>531</v>
      </c>
      <c r="D51" s="1" t="s">
        <v>532</v>
      </c>
      <c r="E51" s="1" t="s">
        <v>533</v>
      </c>
      <c r="F51" s="1">
        <v>0</v>
      </c>
      <c r="G51" s="3">
        <v>29701</v>
      </c>
      <c r="H51" s="1">
        <v>1</v>
      </c>
      <c r="I51" s="1" t="s">
        <v>63</v>
      </c>
      <c r="J51" s="1" t="s">
        <v>94</v>
      </c>
      <c r="K51" s="2">
        <f>91-8980612044</f>
        <v>-8980611953</v>
      </c>
      <c r="L51" s="1" t="s">
        <v>37</v>
      </c>
      <c r="M51" s="1">
        <v>5</v>
      </c>
      <c r="N51" s="1">
        <v>27</v>
      </c>
      <c r="O51" s="1" t="s">
        <v>534</v>
      </c>
      <c r="P51" s="1">
        <f>91-9408322143</f>
        <v>-9408322052</v>
      </c>
      <c r="Q51" s="1" t="s">
        <v>535</v>
      </c>
      <c r="R51" s="1" t="s">
        <v>536</v>
      </c>
      <c r="S51" s="1" t="s">
        <v>537</v>
      </c>
      <c r="T51" s="1" t="s">
        <v>140</v>
      </c>
      <c r="U51" s="1">
        <v>5.01</v>
      </c>
      <c r="V51" s="1">
        <v>5.0599999999999996</v>
      </c>
      <c r="W51" s="1" t="s">
        <v>538</v>
      </c>
      <c r="X51" s="1" t="s">
        <v>539</v>
      </c>
      <c r="Y51" s="3">
        <v>42204.464579942127</v>
      </c>
      <c r="Z51" s="1">
        <v>1</v>
      </c>
      <c r="AA51" s="1">
        <v>1</v>
      </c>
      <c r="AB51" s="1">
        <v>1</v>
      </c>
      <c r="AC51" s="1">
        <v>4</v>
      </c>
      <c r="AD51" s="3">
        <v>42996.626412881946</v>
      </c>
      <c r="AE51" s="1" t="s">
        <v>42</v>
      </c>
    </row>
    <row r="52" spans="1:31" x14ac:dyDescent="0.35">
      <c r="A52" s="1">
        <v>228</v>
      </c>
      <c r="B52" s="1" t="s">
        <v>540</v>
      </c>
      <c r="C52" s="1">
        <v>2770273218</v>
      </c>
      <c r="D52" s="1" t="s">
        <v>541</v>
      </c>
      <c r="E52" s="1" t="s">
        <v>542</v>
      </c>
      <c r="F52" s="1">
        <v>1</v>
      </c>
      <c r="G52" s="3">
        <v>34510</v>
      </c>
      <c r="H52" s="1">
        <v>1</v>
      </c>
      <c r="I52" s="1" t="s">
        <v>63</v>
      </c>
      <c r="J52" s="1" t="s">
        <v>64</v>
      </c>
      <c r="K52" s="2">
        <f>91-9409133042</f>
        <v>-9409132951</v>
      </c>
      <c r="L52" s="1" t="s">
        <v>58</v>
      </c>
      <c r="M52" s="1">
        <v>5.07</v>
      </c>
      <c r="N52" s="1">
        <v>32</v>
      </c>
      <c r="O52" s="1" t="s">
        <v>543</v>
      </c>
      <c r="P52" s="1">
        <f>91-9409133042</f>
        <v>-9409132951</v>
      </c>
      <c r="Q52" s="1" t="s">
        <v>544</v>
      </c>
      <c r="R52" s="1" t="s">
        <v>545</v>
      </c>
      <c r="S52" s="1" t="s">
        <v>546</v>
      </c>
      <c r="T52" s="1" t="s">
        <v>58</v>
      </c>
      <c r="U52" s="1">
        <v>4.05</v>
      </c>
      <c r="V52" s="1">
        <v>5.1100000000000003</v>
      </c>
      <c r="W52" s="1" t="s">
        <v>547</v>
      </c>
      <c r="X52" s="1" t="s">
        <v>548</v>
      </c>
      <c r="Y52" s="3">
        <v>42206.962582060187</v>
      </c>
      <c r="Z52" s="1">
        <v>1</v>
      </c>
      <c r="AA52" s="1">
        <v>1</v>
      </c>
      <c r="AB52" s="1">
        <v>1</v>
      </c>
      <c r="AC52" s="1">
        <v>1</v>
      </c>
      <c r="AD52" s="3">
        <v>43406.248462118056</v>
      </c>
      <c r="AE52" s="1" t="s">
        <v>42</v>
      </c>
    </row>
    <row r="53" spans="1:31" x14ac:dyDescent="0.35">
      <c r="A53" s="1">
        <v>239</v>
      </c>
      <c r="B53" s="1" t="s">
        <v>549</v>
      </c>
      <c r="C53" s="1" t="s">
        <v>550</v>
      </c>
      <c r="D53" s="1" t="s">
        <v>551</v>
      </c>
      <c r="E53" s="1" t="s">
        <v>552</v>
      </c>
      <c r="F53" s="1">
        <v>1</v>
      </c>
      <c r="G53" s="3">
        <v>30868</v>
      </c>
      <c r="H53" s="1">
        <v>1</v>
      </c>
      <c r="I53" s="1" t="s">
        <v>63</v>
      </c>
      <c r="J53" s="1" t="s">
        <v>553</v>
      </c>
      <c r="K53" s="2">
        <f>91-9619533014</f>
        <v>-9619532923</v>
      </c>
      <c r="L53" s="1" t="s">
        <v>37</v>
      </c>
      <c r="M53" s="1">
        <v>5.0599999999999996</v>
      </c>
      <c r="N53" s="1">
        <v>16</v>
      </c>
      <c r="O53" s="1" t="s">
        <v>554</v>
      </c>
      <c r="P53" s="1">
        <f>91-9426221791</f>
        <v>-9426221700</v>
      </c>
      <c r="Q53" s="1" t="s">
        <v>555</v>
      </c>
      <c r="R53" s="1" t="s">
        <v>556</v>
      </c>
      <c r="S53" s="1" t="s">
        <v>557</v>
      </c>
      <c r="T53" s="1" t="s">
        <v>44</v>
      </c>
      <c r="U53" s="1">
        <v>5.1100000000000003</v>
      </c>
      <c r="V53" s="1">
        <v>6.01</v>
      </c>
      <c r="W53" s="1" t="s">
        <v>558</v>
      </c>
      <c r="X53" s="1" t="s">
        <v>559</v>
      </c>
      <c r="Y53" s="3">
        <v>42210.362944479166</v>
      </c>
      <c r="Z53" s="1">
        <v>1</v>
      </c>
      <c r="AA53" s="1">
        <v>1</v>
      </c>
      <c r="AB53" s="1">
        <v>1</v>
      </c>
      <c r="AC53" s="1">
        <v>1</v>
      </c>
      <c r="AD53" s="3">
        <v>43928.29035408565</v>
      </c>
      <c r="AE53" s="1" t="s">
        <v>42</v>
      </c>
    </row>
    <row r="54" spans="1:31" x14ac:dyDescent="0.35">
      <c r="A54" s="1">
        <v>247</v>
      </c>
      <c r="B54" s="1" t="s">
        <v>560</v>
      </c>
      <c r="C54" s="1" t="s">
        <v>561</v>
      </c>
      <c r="D54" s="1" t="s">
        <v>562</v>
      </c>
      <c r="E54" s="1" t="s">
        <v>228</v>
      </c>
      <c r="F54" s="1">
        <v>1</v>
      </c>
      <c r="G54" s="3">
        <v>32871</v>
      </c>
      <c r="H54" s="1">
        <v>1</v>
      </c>
      <c r="I54" s="1" t="s">
        <v>35</v>
      </c>
      <c r="J54" s="1" t="s">
        <v>506</v>
      </c>
      <c r="K54" s="2">
        <f>91-9422868249</f>
        <v>-9422868158</v>
      </c>
      <c r="L54" s="1" t="s">
        <v>58</v>
      </c>
      <c r="M54" s="1">
        <v>5.04</v>
      </c>
      <c r="N54" s="1">
        <v>16</v>
      </c>
      <c r="O54" s="1" t="s">
        <v>563</v>
      </c>
      <c r="P54" s="1">
        <f>91-9422868249</f>
        <v>-9422868158</v>
      </c>
      <c r="Q54" s="1" t="s">
        <v>564</v>
      </c>
      <c r="R54" s="1" t="s">
        <v>565</v>
      </c>
      <c r="S54" s="1" t="s">
        <v>323</v>
      </c>
      <c r="T54" s="1" t="s">
        <v>58</v>
      </c>
      <c r="U54" s="1">
        <v>4.1100000000000003</v>
      </c>
      <c r="V54" s="1">
        <v>5.04</v>
      </c>
      <c r="W54" s="1" t="s">
        <v>566</v>
      </c>
      <c r="X54" s="1" t="s">
        <v>567</v>
      </c>
      <c r="Y54" s="3">
        <v>42215.355813229166</v>
      </c>
      <c r="Z54" s="1">
        <v>1</v>
      </c>
      <c r="AA54" s="1">
        <v>1</v>
      </c>
      <c r="AB54" s="1">
        <v>1</v>
      </c>
      <c r="AC54" s="1">
        <v>1</v>
      </c>
      <c r="AD54" s="3">
        <v>44067.204217789353</v>
      </c>
      <c r="AE54" s="1" t="s">
        <v>42</v>
      </c>
    </row>
    <row r="55" spans="1:31" x14ac:dyDescent="0.35">
      <c r="A55" s="1">
        <v>255</v>
      </c>
      <c r="B55" s="1" t="s">
        <v>568</v>
      </c>
      <c r="C55" s="1" t="s">
        <v>569</v>
      </c>
      <c r="D55" s="1" t="s">
        <v>570</v>
      </c>
      <c r="E55" s="1" t="s">
        <v>571</v>
      </c>
      <c r="F55" s="1">
        <v>1</v>
      </c>
      <c r="G55" s="3">
        <v>31872</v>
      </c>
      <c r="H55" s="1">
        <v>1</v>
      </c>
      <c r="I55" s="1" t="s">
        <v>63</v>
      </c>
      <c r="J55" s="1" t="s">
        <v>64</v>
      </c>
      <c r="K55" s="2">
        <f>91-9428834877</f>
        <v>-9428834786</v>
      </c>
      <c r="L55" s="1" t="s">
        <v>58</v>
      </c>
      <c r="M55" s="1">
        <v>5.0199999999999996</v>
      </c>
      <c r="N55" s="1">
        <v>8</v>
      </c>
      <c r="O55" s="1" t="s">
        <v>572</v>
      </c>
      <c r="P55" s="1">
        <f>91-9428834877</f>
        <v>-9428834786</v>
      </c>
      <c r="Q55" s="1" t="s">
        <v>573</v>
      </c>
      <c r="R55" s="1" t="s">
        <v>574</v>
      </c>
      <c r="S55" s="1" t="s">
        <v>390</v>
      </c>
      <c r="T55" s="1" t="s">
        <v>58</v>
      </c>
      <c r="U55" s="1">
        <v>4.0599999999999996</v>
      </c>
      <c r="V55" s="1">
        <v>4.0599999999999996</v>
      </c>
      <c r="Y55" s="3">
        <v>42220.442282719909</v>
      </c>
      <c r="Z55" s="1">
        <v>1</v>
      </c>
      <c r="AA55" s="1">
        <v>1</v>
      </c>
      <c r="AB55" s="1">
        <v>1</v>
      </c>
      <c r="AC55" s="1">
        <v>3</v>
      </c>
      <c r="AD55" s="3" t="s">
        <v>42</v>
      </c>
      <c r="AE55" s="1" t="s">
        <v>42</v>
      </c>
    </row>
    <row r="56" spans="1:31" x14ac:dyDescent="0.35">
      <c r="A56" s="1">
        <v>261</v>
      </c>
      <c r="B56" s="1" t="s">
        <v>575</v>
      </c>
      <c r="C56" s="1" t="s">
        <v>576</v>
      </c>
      <c r="D56" s="1" t="s">
        <v>577</v>
      </c>
      <c r="E56" s="1" t="s">
        <v>71</v>
      </c>
      <c r="F56" s="1">
        <v>1</v>
      </c>
      <c r="G56" s="3">
        <v>32054</v>
      </c>
      <c r="H56" s="1">
        <v>1</v>
      </c>
      <c r="I56" s="1" t="s">
        <v>125</v>
      </c>
      <c r="J56" s="1" t="s">
        <v>126</v>
      </c>
      <c r="K56" s="2">
        <f>91-9844506080</f>
        <v>-9844505989</v>
      </c>
      <c r="L56" s="1" t="s">
        <v>58</v>
      </c>
      <c r="M56" s="1">
        <v>5.09</v>
      </c>
      <c r="N56" s="1">
        <v>19</v>
      </c>
      <c r="O56" s="1" t="s">
        <v>578</v>
      </c>
      <c r="P56" s="1">
        <f>91-9845359710</f>
        <v>-9845359619</v>
      </c>
      <c r="Q56" s="1" t="s">
        <v>579</v>
      </c>
      <c r="R56" s="1" t="s">
        <v>580</v>
      </c>
      <c r="S56" s="1" t="s">
        <v>581</v>
      </c>
      <c r="T56" s="1" t="s">
        <v>58</v>
      </c>
      <c r="U56" s="1">
        <v>5</v>
      </c>
      <c r="V56" s="1">
        <v>5.07</v>
      </c>
      <c r="W56" s="1" t="s">
        <v>582</v>
      </c>
      <c r="X56" s="1" t="s">
        <v>583</v>
      </c>
      <c r="Y56" s="3">
        <v>42222.978969178243</v>
      </c>
      <c r="Z56" s="1">
        <v>1</v>
      </c>
      <c r="AA56" s="1">
        <v>1</v>
      </c>
      <c r="AB56" s="1">
        <v>1</v>
      </c>
      <c r="AC56" s="1">
        <v>1</v>
      </c>
      <c r="AD56" s="3">
        <v>44090.358137187497</v>
      </c>
      <c r="AE56" s="1" t="s">
        <v>42</v>
      </c>
    </row>
    <row r="57" spans="1:31" x14ac:dyDescent="0.35">
      <c r="A57" s="1">
        <v>265</v>
      </c>
      <c r="B57" s="1" t="s">
        <v>584</v>
      </c>
      <c r="C57" s="1" t="s">
        <v>585</v>
      </c>
      <c r="D57" s="1" t="s">
        <v>586</v>
      </c>
      <c r="E57" s="1" t="s">
        <v>52</v>
      </c>
      <c r="F57" s="1">
        <v>1</v>
      </c>
      <c r="G57" s="3">
        <v>31925</v>
      </c>
      <c r="H57" s="1">
        <v>1</v>
      </c>
      <c r="I57" s="1" t="s">
        <v>63</v>
      </c>
      <c r="J57" s="1" t="s">
        <v>64</v>
      </c>
      <c r="K57" s="2">
        <f>91-9924130320</f>
        <v>-9924130229</v>
      </c>
      <c r="L57" s="1" t="s">
        <v>58</v>
      </c>
      <c r="M57" s="1">
        <v>5.08</v>
      </c>
      <c r="N57" s="1">
        <v>12</v>
      </c>
      <c r="O57" s="1" t="s">
        <v>587</v>
      </c>
      <c r="P57" s="1">
        <f>91-9427039795</f>
        <v>-9427039704</v>
      </c>
      <c r="Q57" s="1" t="s">
        <v>588</v>
      </c>
      <c r="R57" s="1" t="s">
        <v>589</v>
      </c>
      <c r="S57" s="1" t="s">
        <v>590</v>
      </c>
      <c r="T57" s="1" t="s">
        <v>58</v>
      </c>
      <c r="U57" s="1">
        <v>5</v>
      </c>
      <c r="V57" s="1">
        <v>6</v>
      </c>
      <c r="W57" s="1" t="s">
        <v>591</v>
      </c>
      <c r="X57" s="1" t="s">
        <v>592</v>
      </c>
      <c r="Y57" s="3">
        <v>42227.385835416666</v>
      </c>
      <c r="Z57" s="1">
        <v>1</v>
      </c>
      <c r="AA57" s="1">
        <v>1</v>
      </c>
      <c r="AB57" s="1">
        <v>1</v>
      </c>
      <c r="AC57" s="1">
        <v>1</v>
      </c>
      <c r="AD57" s="3">
        <v>43877.73680864583</v>
      </c>
      <c r="AE57" s="1" t="s">
        <v>42</v>
      </c>
    </row>
    <row r="58" spans="1:31" x14ac:dyDescent="0.35">
      <c r="A58" s="1">
        <v>268</v>
      </c>
      <c r="B58" s="1" t="s">
        <v>593</v>
      </c>
      <c r="C58" s="1" t="s">
        <v>594</v>
      </c>
      <c r="D58" s="1" t="s">
        <v>595</v>
      </c>
      <c r="E58" s="1" t="s">
        <v>356</v>
      </c>
      <c r="F58" s="1">
        <v>1</v>
      </c>
      <c r="G58" s="3">
        <v>32464</v>
      </c>
      <c r="H58" s="1">
        <v>1</v>
      </c>
      <c r="I58" s="1" t="s">
        <v>63</v>
      </c>
      <c r="J58" s="1" t="s">
        <v>459</v>
      </c>
      <c r="K58" s="2">
        <f>91-9879897147</f>
        <v>-9879897056</v>
      </c>
      <c r="L58" s="1" t="s">
        <v>37</v>
      </c>
      <c r="M58" s="1">
        <v>5.09</v>
      </c>
      <c r="N58" s="1">
        <v>10</v>
      </c>
      <c r="O58" s="1" t="s">
        <v>596</v>
      </c>
      <c r="P58" s="1">
        <f>91-9879897147</f>
        <v>-9879897056</v>
      </c>
      <c r="Q58" s="1" t="s">
        <v>597</v>
      </c>
      <c r="R58" s="1" t="s">
        <v>598</v>
      </c>
      <c r="S58" s="1" t="s">
        <v>286</v>
      </c>
      <c r="T58" s="1" t="s">
        <v>599</v>
      </c>
      <c r="U58" s="1">
        <v>5</v>
      </c>
      <c r="V58" s="1">
        <v>5.09</v>
      </c>
      <c r="W58" s="1" t="s">
        <v>600</v>
      </c>
      <c r="X58" s="1" t="s">
        <v>601</v>
      </c>
      <c r="Y58" s="3">
        <v>42233.092410613426</v>
      </c>
      <c r="Z58" s="1">
        <v>1</v>
      </c>
      <c r="AA58" s="1">
        <v>1</v>
      </c>
      <c r="AB58" s="1">
        <v>1</v>
      </c>
      <c r="AC58" s="1">
        <v>4</v>
      </c>
      <c r="AD58" s="3">
        <v>42863.205416550925</v>
      </c>
      <c r="AE58" s="1" t="s">
        <v>42</v>
      </c>
    </row>
    <row r="59" spans="1:31" x14ac:dyDescent="0.35">
      <c r="A59" s="1">
        <v>281</v>
      </c>
      <c r="B59" s="1" t="s">
        <v>602</v>
      </c>
      <c r="C59" s="1" t="s">
        <v>603</v>
      </c>
      <c r="D59" s="1" t="s">
        <v>604</v>
      </c>
      <c r="E59" s="1" t="s">
        <v>356</v>
      </c>
      <c r="F59" s="1">
        <v>1</v>
      </c>
      <c r="G59" s="3">
        <v>34404</v>
      </c>
      <c r="H59" s="1">
        <v>1</v>
      </c>
      <c r="I59" s="1" t="s">
        <v>63</v>
      </c>
      <c r="J59" s="1" t="s">
        <v>459</v>
      </c>
      <c r="K59" s="2">
        <f>91-9426589503</f>
        <v>-9426589412</v>
      </c>
      <c r="L59" s="1" t="s">
        <v>58</v>
      </c>
      <c r="M59" s="1">
        <v>5.04</v>
      </c>
      <c r="N59" s="1">
        <v>10</v>
      </c>
      <c r="O59" s="1" t="s">
        <v>605</v>
      </c>
      <c r="P59" s="1">
        <f>91-9909280172</f>
        <v>-9909280081</v>
      </c>
      <c r="Q59" s="1" t="s">
        <v>606</v>
      </c>
      <c r="R59" s="1" t="s">
        <v>607</v>
      </c>
      <c r="S59" s="1" t="s">
        <v>608</v>
      </c>
      <c r="T59" s="1" t="s">
        <v>58</v>
      </c>
      <c r="U59" s="1">
        <v>5</v>
      </c>
      <c r="V59" s="1">
        <v>5.04</v>
      </c>
      <c r="W59" s="1" t="s">
        <v>609</v>
      </c>
      <c r="X59" s="1" t="s">
        <v>610</v>
      </c>
      <c r="Y59" s="3">
        <v>42249.101429432871</v>
      </c>
      <c r="Z59" s="1">
        <v>1</v>
      </c>
      <c r="AA59" s="1">
        <v>1</v>
      </c>
      <c r="AB59" s="1">
        <v>1</v>
      </c>
      <c r="AC59" s="1">
        <v>4</v>
      </c>
      <c r="AD59" s="3">
        <v>42868.668262500003</v>
      </c>
      <c r="AE59" s="1" t="s">
        <v>42</v>
      </c>
    </row>
    <row r="60" spans="1:31" x14ac:dyDescent="0.35">
      <c r="A60" s="1">
        <v>284</v>
      </c>
      <c r="B60" s="1" t="s">
        <v>611</v>
      </c>
      <c r="C60" s="1">
        <v>19861986</v>
      </c>
      <c r="D60" s="1" t="s">
        <v>612</v>
      </c>
      <c r="E60" s="1" t="s">
        <v>613</v>
      </c>
      <c r="F60" s="1">
        <v>1</v>
      </c>
      <c r="G60" s="3">
        <v>31471</v>
      </c>
      <c r="H60" s="1">
        <v>1</v>
      </c>
      <c r="I60" s="1" t="s">
        <v>63</v>
      </c>
      <c r="J60" s="1" t="s">
        <v>370</v>
      </c>
      <c r="K60" s="2">
        <f>91-9429299270</f>
        <v>-9429299179</v>
      </c>
      <c r="L60" s="1" t="s">
        <v>58</v>
      </c>
      <c r="M60" s="1">
        <v>5.08</v>
      </c>
      <c r="N60" s="1">
        <v>11</v>
      </c>
      <c r="O60" s="1" t="s">
        <v>614</v>
      </c>
      <c r="P60" s="1">
        <f>91-9426165370</f>
        <v>-9426165279</v>
      </c>
      <c r="Q60" s="1" t="s">
        <v>615</v>
      </c>
      <c r="R60" s="1" t="s">
        <v>616</v>
      </c>
      <c r="S60" s="1" t="s">
        <v>617</v>
      </c>
      <c r="T60" s="1" t="s">
        <v>44</v>
      </c>
      <c r="U60" s="1">
        <v>4.07</v>
      </c>
      <c r="V60" s="1">
        <v>6</v>
      </c>
      <c r="W60" s="1" t="s">
        <v>618</v>
      </c>
      <c r="X60" s="1" t="s">
        <v>619</v>
      </c>
      <c r="Y60" s="3">
        <v>42258.361733136575</v>
      </c>
      <c r="Z60" s="1">
        <v>1</v>
      </c>
      <c r="AA60" s="1">
        <v>1</v>
      </c>
      <c r="AB60" s="1">
        <v>1</v>
      </c>
      <c r="AC60" s="1">
        <v>1</v>
      </c>
      <c r="AD60" s="3">
        <v>43816.348667557868</v>
      </c>
      <c r="AE60" s="1" t="s">
        <v>42</v>
      </c>
    </row>
    <row r="61" spans="1:31" x14ac:dyDescent="0.35">
      <c r="A61" s="1">
        <v>288</v>
      </c>
      <c r="B61" s="1" t="s">
        <v>620</v>
      </c>
      <c r="C61" s="1">
        <v>23061987</v>
      </c>
      <c r="D61" s="1" t="s">
        <v>621</v>
      </c>
      <c r="E61" s="1" t="s">
        <v>52</v>
      </c>
      <c r="F61" s="1">
        <v>1</v>
      </c>
      <c r="G61" s="3">
        <v>31951</v>
      </c>
      <c r="H61" s="1">
        <v>1</v>
      </c>
      <c r="I61" s="1" t="s">
        <v>63</v>
      </c>
      <c r="J61" s="1" t="s">
        <v>64</v>
      </c>
      <c r="K61" s="2">
        <f>91-9998027708</f>
        <v>-9998027617</v>
      </c>
      <c r="L61" s="1" t="s">
        <v>42</v>
      </c>
      <c r="M61" s="1" t="s">
        <v>42</v>
      </c>
      <c r="N61" s="1" t="s">
        <v>42</v>
      </c>
      <c r="O61" s="1" t="s">
        <v>42</v>
      </c>
      <c r="P61" s="1" t="s">
        <v>42</v>
      </c>
      <c r="Q61" s="1" t="s">
        <v>42</v>
      </c>
      <c r="R61" s="1" t="s">
        <v>42</v>
      </c>
      <c r="S61" s="1" t="s">
        <v>42</v>
      </c>
      <c r="T61" s="1" t="s">
        <v>42</v>
      </c>
      <c r="U61" s="1" t="s">
        <v>42</v>
      </c>
      <c r="V61" s="1" t="s">
        <v>42</v>
      </c>
      <c r="W61" s="1" t="s">
        <v>42</v>
      </c>
      <c r="X61" s="1" t="s">
        <v>42</v>
      </c>
      <c r="Y61" s="3">
        <v>42262.036836574072</v>
      </c>
      <c r="Z61" s="1">
        <v>1</v>
      </c>
      <c r="AA61" s="1">
        <v>1</v>
      </c>
      <c r="AB61" s="1">
        <v>1</v>
      </c>
      <c r="AC61" s="1">
        <v>3</v>
      </c>
      <c r="AD61" s="3" t="s">
        <v>42</v>
      </c>
      <c r="AE61" s="1" t="s">
        <v>42</v>
      </c>
    </row>
    <row r="62" spans="1:31" x14ac:dyDescent="0.35">
      <c r="A62" s="1">
        <v>291</v>
      </c>
      <c r="B62" s="1" t="s">
        <v>622</v>
      </c>
      <c r="C62" s="1" t="s">
        <v>623</v>
      </c>
      <c r="D62" s="1" t="s">
        <v>624</v>
      </c>
      <c r="E62" s="1" t="s">
        <v>625</v>
      </c>
      <c r="F62" s="1">
        <v>1</v>
      </c>
      <c r="G62" s="3">
        <v>33439</v>
      </c>
      <c r="H62" s="1">
        <v>1</v>
      </c>
      <c r="I62" s="1" t="s">
        <v>63</v>
      </c>
      <c r="J62" s="1" t="s">
        <v>459</v>
      </c>
      <c r="K62" s="2">
        <f>91-9099165080</f>
        <v>-9099164989</v>
      </c>
      <c r="L62" s="1" t="s">
        <v>58</v>
      </c>
      <c r="M62" s="1">
        <v>5.0999999999999996</v>
      </c>
      <c r="N62" s="1">
        <v>45</v>
      </c>
      <c r="O62" s="1" t="s">
        <v>626</v>
      </c>
      <c r="P62" s="1" t="s">
        <v>54</v>
      </c>
      <c r="Q62" s="1" t="s">
        <v>627</v>
      </c>
      <c r="R62" s="1" t="s">
        <v>628</v>
      </c>
      <c r="S62" s="1" t="s">
        <v>488</v>
      </c>
      <c r="T62" s="1" t="s">
        <v>58</v>
      </c>
      <c r="U62" s="1">
        <v>4.1100000000000003</v>
      </c>
      <c r="V62" s="1">
        <v>5.0999999999999996</v>
      </c>
      <c r="W62" s="1" t="s">
        <v>629</v>
      </c>
      <c r="X62" s="1" t="s">
        <v>630</v>
      </c>
      <c r="Y62" s="3">
        <v>42265.411931168979</v>
      </c>
      <c r="Z62" s="1">
        <v>1</v>
      </c>
      <c r="AA62" s="1">
        <v>1</v>
      </c>
      <c r="AB62" s="1">
        <v>1</v>
      </c>
      <c r="AC62" s="1">
        <v>4</v>
      </c>
      <c r="AD62" s="3" t="s">
        <v>42</v>
      </c>
      <c r="AE62" s="1" t="s">
        <v>42</v>
      </c>
    </row>
    <row r="63" spans="1:31" x14ac:dyDescent="0.35">
      <c r="A63" s="1">
        <v>299</v>
      </c>
      <c r="B63" s="1" t="s">
        <v>631</v>
      </c>
      <c r="C63" s="1" t="s">
        <v>632</v>
      </c>
      <c r="D63" s="1" t="s">
        <v>633</v>
      </c>
      <c r="E63" s="1" t="s">
        <v>83</v>
      </c>
      <c r="F63" s="1">
        <v>1</v>
      </c>
      <c r="G63" s="3">
        <v>34546</v>
      </c>
      <c r="H63" s="1">
        <v>1</v>
      </c>
      <c r="I63" s="1" t="s">
        <v>63</v>
      </c>
      <c r="J63" s="1" t="s">
        <v>634</v>
      </c>
      <c r="K63" s="2">
        <f>91-7600827242</f>
        <v>-7600827151</v>
      </c>
      <c r="L63" s="1" t="s">
        <v>58</v>
      </c>
      <c r="M63" s="1">
        <v>5.09</v>
      </c>
      <c r="N63" s="1">
        <v>10</v>
      </c>
      <c r="O63" s="1" t="s">
        <v>635</v>
      </c>
      <c r="P63" s="1" t="s">
        <v>54</v>
      </c>
      <c r="Q63" s="1" t="s">
        <v>636</v>
      </c>
      <c r="R63" s="1" t="s">
        <v>637</v>
      </c>
      <c r="S63" s="1" t="s">
        <v>638</v>
      </c>
      <c r="T63" s="1" t="s">
        <v>58</v>
      </c>
      <c r="U63" s="1">
        <v>4.03</v>
      </c>
      <c r="V63" s="1">
        <v>4.08</v>
      </c>
      <c r="W63" s="1" t="s">
        <v>639</v>
      </c>
      <c r="X63" s="1" t="s">
        <v>640</v>
      </c>
      <c r="Y63" s="3">
        <v>42279.343329432872</v>
      </c>
      <c r="Z63" s="1">
        <v>1</v>
      </c>
      <c r="AA63" s="1">
        <v>1</v>
      </c>
      <c r="AB63" s="1">
        <v>1</v>
      </c>
      <c r="AC63" s="1">
        <v>3</v>
      </c>
      <c r="AD63" s="3">
        <v>43975.076848611112</v>
      </c>
      <c r="AE63" s="1" t="s">
        <v>42</v>
      </c>
    </row>
    <row r="64" spans="1:31" x14ac:dyDescent="0.35">
      <c r="A64" s="1">
        <v>301</v>
      </c>
      <c r="B64" s="1" t="s">
        <v>641</v>
      </c>
      <c r="C64" s="1" t="s">
        <v>642</v>
      </c>
      <c r="D64" s="1" t="s">
        <v>643</v>
      </c>
      <c r="E64" s="1" t="s">
        <v>262</v>
      </c>
      <c r="F64" s="1">
        <v>1</v>
      </c>
      <c r="G64" s="3">
        <v>33024</v>
      </c>
      <c r="H64" s="1">
        <v>1</v>
      </c>
      <c r="I64" s="1" t="s">
        <v>35</v>
      </c>
      <c r="J64" s="1" t="s">
        <v>506</v>
      </c>
      <c r="K64" s="2">
        <f>91-9960004396</f>
        <v>-9960004305</v>
      </c>
      <c r="L64" s="1" t="s">
        <v>58</v>
      </c>
      <c r="M64" s="1">
        <v>5.07</v>
      </c>
      <c r="N64" s="1">
        <v>38</v>
      </c>
      <c r="O64" s="1" t="s">
        <v>644</v>
      </c>
      <c r="P64" s="1" t="s">
        <v>54</v>
      </c>
      <c r="Q64" s="1" t="s">
        <v>645</v>
      </c>
      <c r="R64" s="1" t="s">
        <v>646</v>
      </c>
      <c r="S64" s="1" t="s">
        <v>647</v>
      </c>
      <c r="T64" s="1" t="s">
        <v>58</v>
      </c>
      <c r="U64" s="1">
        <v>5.03</v>
      </c>
      <c r="V64" s="1">
        <v>5.05</v>
      </c>
      <c r="W64" s="1" t="s">
        <v>648</v>
      </c>
      <c r="X64" s="1" t="s">
        <v>649</v>
      </c>
      <c r="Y64" s="3">
        <v>42281.540660185186</v>
      </c>
      <c r="Z64" s="1">
        <v>1</v>
      </c>
      <c r="AA64" s="1">
        <v>1</v>
      </c>
      <c r="AB64" s="1">
        <v>1</v>
      </c>
      <c r="AC64" s="1">
        <v>1</v>
      </c>
      <c r="AD64" s="3">
        <v>44080.669453935188</v>
      </c>
      <c r="AE64" s="1" t="s">
        <v>42</v>
      </c>
    </row>
    <row r="65" spans="1:31" x14ac:dyDescent="0.35">
      <c r="A65" s="1">
        <v>308</v>
      </c>
      <c r="B65" s="1" t="s">
        <v>650</v>
      </c>
      <c r="C65" s="1" t="s">
        <v>651</v>
      </c>
      <c r="D65" s="1" t="s">
        <v>652</v>
      </c>
      <c r="E65" s="1" t="s">
        <v>653</v>
      </c>
      <c r="F65" s="1">
        <v>1</v>
      </c>
      <c r="G65" s="3">
        <v>31471</v>
      </c>
      <c r="H65" s="1">
        <v>1</v>
      </c>
      <c r="I65" s="1" t="s">
        <v>72</v>
      </c>
      <c r="J65" s="1" t="s">
        <v>654</v>
      </c>
      <c r="K65" s="2">
        <f>91-8319348523</f>
        <v>-8319348432</v>
      </c>
      <c r="L65" s="1" t="s">
        <v>58</v>
      </c>
      <c r="M65" s="1">
        <v>5.0999999999999996</v>
      </c>
      <c r="N65" s="1">
        <v>32</v>
      </c>
      <c r="O65" s="1" t="s">
        <v>655</v>
      </c>
      <c r="P65" s="1">
        <f>91-7632249075</f>
        <v>-7632248984</v>
      </c>
      <c r="Q65" s="1" t="s">
        <v>656</v>
      </c>
      <c r="R65" s="1" t="s">
        <v>657</v>
      </c>
      <c r="S65" s="1" t="s">
        <v>222</v>
      </c>
      <c r="T65" s="1" t="s">
        <v>99</v>
      </c>
      <c r="U65" s="1">
        <v>5</v>
      </c>
      <c r="V65" s="1">
        <v>5.0999999999999996</v>
      </c>
      <c r="W65" s="1" t="s">
        <v>658</v>
      </c>
      <c r="X65" s="1" t="s">
        <v>659</v>
      </c>
      <c r="Y65" s="3">
        <v>42290.899848530091</v>
      </c>
      <c r="Z65" s="1">
        <v>1</v>
      </c>
      <c r="AA65" s="1">
        <v>1</v>
      </c>
      <c r="AB65" s="1">
        <v>1</v>
      </c>
      <c r="AC65" s="1">
        <v>4</v>
      </c>
      <c r="AD65" s="3">
        <v>43008.316921956015</v>
      </c>
      <c r="AE65" s="1" t="s">
        <v>42</v>
      </c>
    </row>
    <row r="66" spans="1:31" x14ac:dyDescent="0.35">
      <c r="A66" s="1">
        <v>318</v>
      </c>
      <c r="B66" s="1" t="s">
        <v>660</v>
      </c>
      <c r="C66" s="1" t="s">
        <v>661</v>
      </c>
      <c r="D66" s="1" t="s">
        <v>662</v>
      </c>
      <c r="E66" s="1" t="s">
        <v>663</v>
      </c>
      <c r="F66" s="1">
        <v>1</v>
      </c>
      <c r="G66" s="3">
        <v>33055</v>
      </c>
      <c r="H66" s="1">
        <v>1</v>
      </c>
      <c r="I66" s="1" t="s">
        <v>63</v>
      </c>
      <c r="J66" s="1" t="s">
        <v>664</v>
      </c>
      <c r="K66" s="2">
        <f>91-9408126114</f>
        <v>-9408126023</v>
      </c>
      <c r="L66" s="1" t="s">
        <v>58</v>
      </c>
      <c r="M66" s="1">
        <v>5.03</v>
      </c>
      <c r="N66" s="1">
        <v>54</v>
      </c>
      <c r="O66" s="1" t="s">
        <v>665</v>
      </c>
      <c r="P66" s="1">
        <f>91-9408126114</f>
        <v>-9408126023</v>
      </c>
      <c r="Q66" s="1" t="s">
        <v>666</v>
      </c>
      <c r="R66" s="1" t="s">
        <v>667</v>
      </c>
      <c r="S66" s="1" t="s">
        <v>276</v>
      </c>
      <c r="T66" s="1" t="s">
        <v>58</v>
      </c>
      <c r="U66" s="1">
        <v>4.05</v>
      </c>
      <c r="V66" s="1">
        <v>4.0999999999999996</v>
      </c>
      <c r="W66" s="1" t="s">
        <v>668</v>
      </c>
      <c r="X66" s="1" t="s">
        <v>669</v>
      </c>
      <c r="Y66" s="3">
        <v>42303.861742858797</v>
      </c>
      <c r="Z66" s="1">
        <v>1</v>
      </c>
      <c r="AA66" s="1">
        <v>1</v>
      </c>
      <c r="AB66" s="1">
        <v>1</v>
      </c>
      <c r="AC66" s="1">
        <v>1</v>
      </c>
      <c r="AD66" s="3">
        <v>43227.231782604169</v>
      </c>
      <c r="AE66" s="1" t="s">
        <v>42</v>
      </c>
    </row>
    <row r="67" spans="1:31" x14ac:dyDescent="0.35">
      <c r="A67" s="1">
        <v>320</v>
      </c>
      <c r="B67" s="1" t="s">
        <v>670</v>
      </c>
      <c r="C67" s="1" t="s">
        <v>671</v>
      </c>
      <c r="D67" s="1" t="s">
        <v>672</v>
      </c>
      <c r="E67" s="1" t="s">
        <v>673</v>
      </c>
      <c r="F67" s="1">
        <v>1</v>
      </c>
      <c r="G67" s="3">
        <v>32160</v>
      </c>
      <c r="H67" s="1">
        <v>1</v>
      </c>
      <c r="I67" s="1" t="s">
        <v>35</v>
      </c>
      <c r="J67" s="1" t="s">
        <v>36</v>
      </c>
      <c r="K67" s="2">
        <f>91-9967205147</f>
        <v>-9967205056</v>
      </c>
      <c r="L67" s="1" t="s">
        <v>58</v>
      </c>
      <c r="M67" s="1">
        <v>5.09</v>
      </c>
      <c r="N67" s="1">
        <v>46</v>
      </c>
      <c r="O67" s="1" t="s">
        <v>674</v>
      </c>
      <c r="P67" s="1">
        <f>91-9819117827</f>
        <v>-9819117736</v>
      </c>
      <c r="Q67" s="1" t="s">
        <v>675</v>
      </c>
      <c r="R67" s="1" t="s">
        <v>676</v>
      </c>
      <c r="S67" s="1" t="s">
        <v>286</v>
      </c>
      <c r="T67" s="1" t="s">
        <v>478</v>
      </c>
      <c r="U67" s="1">
        <v>4.03</v>
      </c>
      <c r="V67" s="1">
        <v>5.0999999999999996</v>
      </c>
      <c r="W67" s="1" t="s">
        <v>677</v>
      </c>
      <c r="X67" s="1" t="s">
        <v>678</v>
      </c>
      <c r="Y67" s="3">
        <v>42305.188701851854</v>
      </c>
      <c r="Z67" s="1">
        <v>1</v>
      </c>
      <c r="AA67" s="1">
        <v>1</v>
      </c>
      <c r="AB67" s="1">
        <v>1</v>
      </c>
      <c r="AC67" s="1">
        <v>1</v>
      </c>
      <c r="AD67" s="3">
        <v>43921.293493206016</v>
      </c>
      <c r="AE67" s="1" t="s">
        <v>42</v>
      </c>
    </row>
    <row r="68" spans="1:31" x14ac:dyDescent="0.35">
      <c r="A68" s="1">
        <v>330</v>
      </c>
      <c r="B68" s="1" t="s">
        <v>679</v>
      </c>
      <c r="C68" s="1">
        <v>9427509895</v>
      </c>
      <c r="D68" s="1" t="s">
        <v>680</v>
      </c>
      <c r="E68" s="1" t="s">
        <v>681</v>
      </c>
      <c r="F68" s="1">
        <v>1</v>
      </c>
      <c r="G68" s="3">
        <v>34764</v>
      </c>
      <c r="H68" s="1">
        <v>1</v>
      </c>
      <c r="I68" s="1" t="s">
        <v>63</v>
      </c>
      <c r="J68" s="1" t="s">
        <v>64</v>
      </c>
      <c r="K68" s="2">
        <f>91-9427509895</f>
        <v>-9427509804</v>
      </c>
      <c r="L68" s="1" t="s">
        <v>58</v>
      </c>
      <c r="M68" s="1">
        <v>5</v>
      </c>
      <c r="N68" s="1">
        <v>12</v>
      </c>
      <c r="O68" s="1" t="s">
        <v>682</v>
      </c>
      <c r="P68" s="1" t="s">
        <v>54</v>
      </c>
      <c r="Q68" s="1" t="s">
        <v>683</v>
      </c>
      <c r="R68" s="1" t="s">
        <v>684</v>
      </c>
      <c r="S68" s="1" t="s">
        <v>119</v>
      </c>
      <c r="T68" s="1" t="s">
        <v>58</v>
      </c>
      <c r="U68" s="1">
        <v>5</v>
      </c>
      <c r="V68" s="1">
        <v>5</v>
      </c>
      <c r="W68" s="1" t="s">
        <v>685</v>
      </c>
      <c r="X68" s="1" t="s">
        <v>686</v>
      </c>
      <c r="Y68" s="3">
        <v>42313.43870204861</v>
      </c>
      <c r="Z68" s="1">
        <v>1</v>
      </c>
      <c r="AA68" s="1">
        <v>1</v>
      </c>
      <c r="AB68" s="1">
        <v>1</v>
      </c>
      <c r="AC68" s="1">
        <v>1</v>
      </c>
      <c r="AD68" s="3">
        <v>43559.453883946757</v>
      </c>
      <c r="AE68" s="1" t="s">
        <v>42</v>
      </c>
    </row>
    <row r="69" spans="1:31" x14ac:dyDescent="0.35">
      <c r="A69" s="1">
        <v>333</v>
      </c>
      <c r="B69" s="1" t="s">
        <v>687</v>
      </c>
      <c r="C69" s="1" t="s">
        <v>688</v>
      </c>
      <c r="D69" s="1" t="s">
        <v>689</v>
      </c>
      <c r="E69" s="1" t="s">
        <v>71</v>
      </c>
      <c r="F69" s="1">
        <v>1</v>
      </c>
      <c r="G69" s="3">
        <v>32529</v>
      </c>
      <c r="H69" s="1">
        <v>1</v>
      </c>
      <c r="I69" s="1" t="s">
        <v>63</v>
      </c>
      <c r="J69" s="1" t="s">
        <v>64</v>
      </c>
      <c r="K69" s="2">
        <f>91-7226969777</f>
        <v>-7226969686</v>
      </c>
      <c r="L69" s="1" t="s">
        <v>37</v>
      </c>
      <c r="M69" s="1">
        <v>5.07</v>
      </c>
      <c r="N69" s="1">
        <v>19</v>
      </c>
      <c r="O69" s="1" t="s">
        <v>690</v>
      </c>
      <c r="P69" s="1">
        <f>91-9427031347</f>
        <v>-9427031256</v>
      </c>
      <c r="Q69" s="1" t="s">
        <v>691</v>
      </c>
      <c r="R69" s="1" t="s">
        <v>692</v>
      </c>
      <c r="S69" s="1" t="s">
        <v>693</v>
      </c>
      <c r="T69" s="1" t="s">
        <v>599</v>
      </c>
      <c r="U69" s="1">
        <v>5</v>
      </c>
      <c r="V69" s="1">
        <v>5.0999999999999996</v>
      </c>
      <c r="W69" s="1" t="s">
        <v>694</v>
      </c>
      <c r="X69" s="1" t="s">
        <v>695</v>
      </c>
      <c r="Y69" s="3">
        <v>42313.966057025464</v>
      </c>
      <c r="Z69" s="1">
        <v>1</v>
      </c>
      <c r="AA69" s="1">
        <v>1</v>
      </c>
      <c r="AB69" s="1">
        <v>1</v>
      </c>
      <c r="AC69" s="1">
        <v>1</v>
      </c>
      <c r="AD69" s="3">
        <v>43725.842035069443</v>
      </c>
      <c r="AE69" s="1" t="s">
        <v>42</v>
      </c>
    </row>
    <row r="70" spans="1:31" x14ac:dyDescent="0.35">
      <c r="A70" s="1">
        <v>341</v>
      </c>
      <c r="B70" s="1" t="s">
        <v>696</v>
      </c>
      <c r="C70" s="1" t="s">
        <v>697</v>
      </c>
      <c r="D70" s="1" t="s">
        <v>698</v>
      </c>
      <c r="E70" s="1" t="s">
        <v>699</v>
      </c>
      <c r="F70" s="1">
        <v>1</v>
      </c>
      <c r="G70" s="3">
        <v>31856</v>
      </c>
      <c r="H70" s="1">
        <v>1</v>
      </c>
      <c r="I70" s="1" t="s">
        <v>700</v>
      </c>
      <c r="J70" s="1" t="s">
        <v>701</v>
      </c>
      <c r="K70" s="2">
        <f>91-9488158546</f>
        <v>-9488158455</v>
      </c>
      <c r="L70" s="1" t="s">
        <v>37</v>
      </c>
      <c r="M70" s="1">
        <v>5.1100000000000003</v>
      </c>
      <c r="N70" s="1">
        <v>27</v>
      </c>
      <c r="O70" s="1" t="s">
        <v>702</v>
      </c>
      <c r="P70" s="1">
        <f>91-8438465463</f>
        <v>-8438465372</v>
      </c>
      <c r="Q70" s="1" t="s">
        <v>703</v>
      </c>
      <c r="R70" s="1" t="s">
        <v>704</v>
      </c>
      <c r="S70" s="1" t="s">
        <v>139</v>
      </c>
      <c r="T70" s="1" t="s">
        <v>256</v>
      </c>
      <c r="U70" s="1">
        <v>4.0999999999999996</v>
      </c>
      <c r="V70" s="1">
        <v>5.1100000000000003</v>
      </c>
      <c r="W70" s="1" t="s">
        <v>705</v>
      </c>
      <c r="X70" s="1" t="s">
        <v>706</v>
      </c>
      <c r="Y70" s="3">
        <v>42326.428373958333</v>
      </c>
      <c r="Z70" s="1">
        <v>1</v>
      </c>
      <c r="AA70" s="1">
        <v>1</v>
      </c>
      <c r="AB70" s="1">
        <v>1</v>
      </c>
      <c r="AC70" s="1">
        <v>1</v>
      </c>
      <c r="AD70" s="3">
        <v>43948.410546446758</v>
      </c>
      <c r="AE70" s="1" t="s">
        <v>42</v>
      </c>
    </row>
    <row r="71" spans="1:31" x14ac:dyDescent="0.35">
      <c r="A71" s="1">
        <v>342</v>
      </c>
      <c r="B71" s="1" t="s">
        <v>707</v>
      </c>
      <c r="C71" s="1" t="s">
        <v>708</v>
      </c>
      <c r="D71" s="1" t="s">
        <v>709</v>
      </c>
      <c r="E71" s="1" t="s">
        <v>710</v>
      </c>
      <c r="F71" s="1">
        <v>0</v>
      </c>
      <c r="G71" s="3">
        <v>32401</v>
      </c>
      <c r="H71" s="1">
        <v>1</v>
      </c>
      <c r="I71" s="1" t="s">
        <v>35</v>
      </c>
      <c r="J71" s="1" t="s">
        <v>36</v>
      </c>
      <c r="K71" s="2">
        <f>91-9869288604</f>
        <v>-9869288513</v>
      </c>
      <c r="L71" s="1" t="s">
        <v>58</v>
      </c>
      <c r="M71" s="1">
        <v>5.0199999999999996</v>
      </c>
      <c r="N71" s="1">
        <v>19</v>
      </c>
      <c r="O71" s="1" t="s">
        <v>711</v>
      </c>
      <c r="P71" s="1">
        <f>91-9833994141</f>
        <v>-9833994050</v>
      </c>
      <c r="Q71" s="1" t="s">
        <v>712</v>
      </c>
      <c r="R71" s="1" t="s">
        <v>713</v>
      </c>
      <c r="S71" s="1" t="s">
        <v>296</v>
      </c>
      <c r="T71" s="1" t="s">
        <v>58</v>
      </c>
      <c r="U71" s="1">
        <v>5.05</v>
      </c>
      <c r="V71" s="1">
        <v>6.02</v>
      </c>
      <c r="W71" s="1" t="s">
        <v>714</v>
      </c>
      <c r="X71" s="1" t="s">
        <v>715</v>
      </c>
      <c r="Y71" s="3">
        <v>42332.11275385417</v>
      </c>
      <c r="Z71" s="1">
        <v>1</v>
      </c>
      <c r="AA71" s="1">
        <v>1</v>
      </c>
      <c r="AB71" s="1">
        <v>1</v>
      </c>
      <c r="AC71" s="1">
        <v>4</v>
      </c>
      <c r="AD71" s="3">
        <v>42832.247804629631</v>
      </c>
      <c r="AE71" s="1" t="s">
        <v>42</v>
      </c>
    </row>
    <row r="72" spans="1:31" x14ac:dyDescent="0.35">
      <c r="A72" s="1">
        <v>363</v>
      </c>
      <c r="B72" s="1" t="s">
        <v>716</v>
      </c>
      <c r="C72" s="1" t="s">
        <v>717</v>
      </c>
      <c r="D72" s="1" t="s">
        <v>718</v>
      </c>
      <c r="E72" s="1" t="s">
        <v>719</v>
      </c>
      <c r="F72" s="1">
        <v>0</v>
      </c>
      <c r="G72" s="3">
        <v>23072</v>
      </c>
      <c r="H72" s="1">
        <v>23</v>
      </c>
      <c r="I72" s="1" t="s">
        <v>720</v>
      </c>
      <c r="J72" s="1" t="s">
        <v>721</v>
      </c>
      <c r="K72" s="2" t="s">
        <v>54</v>
      </c>
      <c r="L72" s="1" t="s">
        <v>58</v>
      </c>
      <c r="M72" s="1">
        <v>4.0199999999999996</v>
      </c>
      <c r="N72" s="1">
        <v>4</v>
      </c>
      <c r="P72" s="1" t="s">
        <v>54</v>
      </c>
      <c r="S72" s="1" t="s">
        <v>722</v>
      </c>
      <c r="U72" s="1">
        <v>4</v>
      </c>
      <c r="V72" s="1">
        <v>7.05</v>
      </c>
      <c r="Y72" s="3">
        <v>42335.977134143519</v>
      </c>
      <c r="Z72" s="1">
        <v>1</v>
      </c>
      <c r="AA72" s="1">
        <v>1</v>
      </c>
      <c r="AB72" s="1">
        <v>1</v>
      </c>
      <c r="AC72" s="1">
        <v>3</v>
      </c>
      <c r="AD72" s="3" t="s">
        <v>42</v>
      </c>
      <c r="AE72" s="1" t="s">
        <v>42</v>
      </c>
    </row>
    <row r="73" spans="1:31" x14ac:dyDescent="0.35">
      <c r="A73" s="1">
        <v>367</v>
      </c>
      <c r="B73" s="1" t="s">
        <v>723</v>
      </c>
      <c r="C73" s="1" t="s">
        <v>724</v>
      </c>
      <c r="D73" s="1" t="s">
        <v>725</v>
      </c>
      <c r="E73" s="1" t="s">
        <v>62</v>
      </c>
      <c r="F73" s="1">
        <v>1</v>
      </c>
      <c r="G73" s="3">
        <v>34692</v>
      </c>
      <c r="H73" s="1">
        <v>1</v>
      </c>
      <c r="I73" s="1" t="s">
        <v>63</v>
      </c>
      <c r="J73" s="1" t="s">
        <v>459</v>
      </c>
      <c r="K73" s="2">
        <f>91-9427606468</f>
        <v>-9427606377</v>
      </c>
      <c r="L73" s="1" t="s">
        <v>58</v>
      </c>
      <c r="M73" s="1">
        <v>5.08</v>
      </c>
      <c r="N73" s="1">
        <v>14</v>
      </c>
      <c r="O73" s="1" t="s">
        <v>726</v>
      </c>
      <c r="P73" s="1" t="s">
        <v>54</v>
      </c>
      <c r="Q73" s="1" t="s">
        <v>727</v>
      </c>
      <c r="R73" s="1" t="s">
        <v>729</v>
      </c>
      <c r="S73" s="1" t="s">
        <v>546</v>
      </c>
      <c r="T73" s="1" t="s">
        <v>58</v>
      </c>
      <c r="U73" s="1">
        <v>5</v>
      </c>
      <c r="V73" s="1">
        <v>6</v>
      </c>
      <c r="W73" s="1" t="s">
        <v>730</v>
      </c>
      <c r="X73" s="1" t="s">
        <v>731</v>
      </c>
      <c r="Y73" s="3">
        <v>42336.052191932868</v>
      </c>
      <c r="Z73" s="1">
        <v>1</v>
      </c>
      <c r="AA73" s="1">
        <v>1</v>
      </c>
      <c r="AB73" s="1">
        <v>1</v>
      </c>
      <c r="AC73" s="1">
        <v>1</v>
      </c>
      <c r="AD73" s="3">
        <v>43538.235340740743</v>
      </c>
      <c r="AE73" s="1" t="s">
        <v>42</v>
      </c>
    </row>
    <row r="74" spans="1:31" x14ac:dyDescent="0.35">
      <c r="A74" s="1">
        <v>368</v>
      </c>
      <c r="B74" s="1" t="s">
        <v>732</v>
      </c>
      <c r="C74" s="1" t="s">
        <v>733</v>
      </c>
      <c r="D74" s="1" t="s">
        <v>734</v>
      </c>
      <c r="E74" s="1" t="s">
        <v>52</v>
      </c>
      <c r="F74" s="1">
        <v>1</v>
      </c>
      <c r="G74" s="3">
        <v>31542</v>
      </c>
      <c r="H74" s="1">
        <v>1</v>
      </c>
      <c r="I74" s="1" t="s">
        <v>63</v>
      </c>
      <c r="J74" s="1" t="s">
        <v>64</v>
      </c>
      <c r="K74" s="2">
        <f>91-9898733756</f>
        <v>-9898733665</v>
      </c>
      <c r="L74" s="1" t="s">
        <v>58</v>
      </c>
      <c r="M74" s="1">
        <v>5.0599999999999996</v>
      </c>
      <c r="N74" s="1">
        <v>46</v>
      </c>
      <c r="O74" s="1" t="s">
        <v>735</v>
      </c>
      <c r="P74" s="1" t="s">
        <v>54</v>
      </c>
      <c r="Q74" s="1" t="s">
        <v>736</v>
      </c>
      <c r="R74" s="1" t="s">
        <v>737</v>
      </c>
      <c r="S74" s="1" t="s">
        <v>192</v>
      </c>
      <c r="T74" s="1" t="s">
        <v>58</v>
      </c>
      <c r="U74" s="1">
        <v>5</v>
      </c>
      <c r="V74" s="1">
        <v>5.05</v>
      </c>
      <c r="W74" s="1" t="s">
        <v>738</v>
      </c>
      <c r="X74" s="1" t="s">
        <v>739</v>
      </c>
      <c r="Y74" s="3">
        <v>42336.91526184028</v>
      </c>
      <c r="Z74" s="1">
        <v>1</v>
      </c>
      <c r="AA74" s="1">
        <v>1</v>
      </c>
      <c r="AB74" s="1">
        <v>1</v>
      </c>
      <c r="AC74" s="1">
        <v>4</v>
      </c>
      <c r="AD74" s="3">
        <v>42833.749406249997</v>
      </c>
      <c r="AE74" s="1" t="s">
        <v>42</v>
      </c>
    </row>
    <row r="75" spans="1:31" x14ac:dyDescent="0.35">
      <c r="A75" s="1">
        <v>371</v>
      </c>
      <c r="B75" s="1" t="s">
        <v>740</v>
      </c>
      <c r="C75" s="1" t="s">
        <v>741</v>
      </c>
      <c r="D75" s="1" t="s">
        <v>742</v>
      </c>
      <c r="E75" s="1" t="s">
        <v>34</v>
      </c>
      <c r="F75" s="1">
        <v>1</v>
      </c>
      <c r="G75" s="3">
        <v>32772</v>
      </c>
      <c r="H75" s="1">
        <v>1</v>
      </c>
      <c r="I75" s="1" t="s">
        <v>63</v>
      </c>
      <c r="J75" s="1" t="s">
        <v>94</v>
      </c>
      <c r="K75" s="2">
        <f>91-9016225272</f>
        <v>-9016225181</v>
      </c>
      <c r="L75" s="1" t="s">
        <v>58</v>
      </c>
      <c r="M75" s="1">
        <v>5.09</v>
      </c>
      <c r="N75" s="1">
        <v>12</v>
      </c>
      <c r="O75" s="1" t="s">
        <v>743</v>
      </c>
      <c r="P75" s="1">
        <f>91-9016225272</f>
        <v>-9016225181</v>
      </c>
      <c r="Q75" s="1" t="s">
        <v>744</v>
      </c>
      <c r="R75" s="1" t="s">
        <v>745</v>
      </c>
      <c r="S75" s="1" t="s">
        <v>57</v>
      </c>
      <c r="T75" s="1" t="s">
        <v>58</v>
      </c>
      <c r="U75" s="1">
        <v>5.04</v>
      </c>
      <c r="V75" s="1">
        <v>5.04</v>
      </c>
      <c r="W75" s="1" t="s">
        <v>746</v>
      </c>
      <c r="X75" s="1" t="s">
        <v>747</v>
      </c>
      <c r="Y75" s="3">
        <v>42341.961029016202</v>
      </c>
      <c r="Z75" s="1">
        <v>1</v>
      </c>
      <c r="AA75" s="1">
        <v>1</v>
      </c>
      <c r="AB75" s="1">
        <v>1</v>
      </c>
      <c r="AC75" s="1">
        <v>4</v>
      </c>
      <c r="AD75" s="3">
        <v>43036.32289447917</v>
      </c>
      <c r="AE75" s="1" t="s">
        <v>42</v>
      </c>
    </row>
    <row r="76" spans="1:31" x14ac:dyDescent="0.35">
      <c r="A76" s="1">
        <v>375</v>
      </c>
      <c r="B76" s="1" t="s">
        <v>748</v>
      </c>
      <c r="C76" s="1" t="s">
        <v>749</v>
      </c>
      <c r="D76" s="1" t="s">
        <v>750</v>
      </c>
      <c r="E76" s="1" t="s">
        <v>663</v>
      </c>
      <c r="F76" s="1">
        <v>1</v>
      </c>
      <c r="G76" s="3">
        <v>33859</v>
      </c>
      <c r="H76" s="1">
        <v>1</v>
      </c>
      <c r="I76" s="1" t="s">
        <v>35</v>
      </c>
      <c r="J76" s="1" t="s">
        <v>188</v>
      </c>
      <c r="K76" s="2">
        <f>91-9420056871</f>
        <v>-9420056780</v>
      </c>
      <c r="L76" s="1" t="s">
        <v>58</v>
      </c>
      <c r="M76" s="1">
        <v>5.1100000000000003</v>
      </c>
      <c r="N76" s="1">
        <v>54</v>
      </c>
      <c r="O76" s="1" t="s">
        <v>751</v>
      </c>
      <c r="P76" s="1">
        <f>91-2141226593</f>
        <v>-2141226502</v>
      </c>
      <c r="Q76" s="1" t="s">
        <v>752</v>
      </c>
      <c r="R76" s="1" t="s">
        <v>753</v>
      </c>
      <c r="S76" s="1" t="s">
        <v>171</v>
      </c>
      <c r="T76" s="1" t="s">
        <v>58</v>
      </c>
      <c r="U76" s="1">
        <v>5.04</v>
      </c>
      <c r="V76" s="1">
        <v>5.0999999999999996</v>
      </c>
      <c r="W76" s="1" t="s">
        <v>754</v>
      </c>
      <c r="X76" s="1" t="s">
        <v>755</v>
      </c>
      <c r="Y76" s="3">
        <v>42347.380285150466</v>
      </c>
      <c r="Z76" s="1">
        <v>1</v>
      </c>
      <c r="AA76" s="1">
        <v>1</v>
      </c>
      <c r="AB76" s="1">
        <v>1</v>
      </c>
      <c r="AC76" s="1">
        <v>4</v>
      </c>
      <c r="AD76" s="3">
        <v>43086.711504513885</v>
      </c>
      <c r="AE76" s="1" t="s">
        <v>42</v>
      </c>
    </row>
    <row r="77" spans="1:31" x14ac:dyDescent="0.35">
      <c r="A77" s="1">
        <v>377</v>
      </c>
      <c r="B77" s="1" t="s">
        <v>756</v>
      </c>
      <c r="C77" s="1" t="s">
        <v>757</v>
      </c>
      <c r="D77" s="1" t="s">
        <v>758</v>
      </c>
      <c r="E77" s="1" t="s">
        <v>262</v>
      </c>
      <c r="F77" s="1">
        <v>1</v>
      </c>
      <c r="G77" s="3">
        <v>31471</v>
      </c>
      <c r="H77" s="1">
        <v>1</v>
      </c>
      <c r="I77" s="1" t="s">
        <v>35</v>
      </c>
      <c r="J77" s="1" t="s">
        <v>209</v>
      </c>
      <c r="K77" s="2">
        <f>91-9823232989</f>
        <v>-9823232898</v>
      </c>
      <c r="L77" s="1" t="s">
        <v>37</v>
      </c>
      <c r="M77" s="1">
        <v>6</v>
      </c>
      <c r="N77" s="1">
        <v>12</v>
      </c>
      <c r="O77" s="1" t="s">
        <v>759</v>
      </c>
      <c r="P77" s="1">
        <f>91-9822510834</f>
        <v>-9822510743</v>
      </c>
      <c r="Q77" s="1" t="s">
        <v>760</v>
      </c>
      <c r="R77" s="1" t="s">
        <v>389</v>
      </c>
      <c r="S77" s="1" t="s">
        <v>761</v>
      </c>
      <c r="T77" s="1" t="s">
        <v>44</v>
      </c>
      <c r="U77" s="1">
        <v>5</v>
      </c>
      <c r="V77" s="1">
        <v>6</v>
      </c>
      <c r="W77" s="1" t="s">
        <v>762</v>
      </c>
      <c r="X77" s="1" t="s">
        <v>763</v>
      </c>
      <c r="Y77" s="3">
        <v>42350.050070520832</v>
      </c>
      <c r="Z77" s="1">
        <v>1</v>
      </c>
      <c r="AA77" s="1">
        <v>1</v>
      </c>
      <c r="AB77" s="1">
        <v>1</v>
      </c>
      <c r="AC77" s="1">
        <v>4</v>
      </c>
      <c r="AD77" s="3">
        <v>42823.335433761575</v>
      </c>
      <c r="AE77" s="1" t="s">
        <v>42</v>
      </c>
    </row>
    <row r="78" spans="1:31" x14ac:dyDescent="0.35">
      <c r="A78" s="1">
        <v>382</v>
      </c>
      <c r="B78" s="1" t="s">
        <v>764</v>
      </c>
      <c r="C78" s="1">
        <v>123456789</v>
      </c>
      <c r="D78" s="1" t="s">
        <v>725</v>
      </c>
      <c r="E78" s="1" t="s">
        <v>765</v>
      </c>
      <c r="F78" s="1">
        <v>1</v>
      </c>
      <c r="G78" s="3">
        <v>32750</v>
      </c>
      <c r="H78" s="1">
        <v>1</v>
      </c>
      <c r="I78" s="1" t="s">
        <v>63</v>
      </c>
      <c r="J78" s="1" t="s">
        <v>370</v>
      </c>
      <c r="K78" s="2">
        <f>98-9726762107</f>
        <v>-9726762009</v>
      </c>
      <c r="L78" s="1" t="s">
        <v>58</v>
      </c>
      <c r="M78" s="1">
        <v>5.09</v>
      </c>
      <c r="N78" s="1">
        <v>8</v>
      </c>
      <c r="O78" s="1" t="s">
        <v>766</v>
      </c>
      <c r="P78" s="1">
        <f>91-9726762107</f>
        <v>-9726762016</v>
      </c>
      <c r="Q78" s="1" t="s">
        <v>767</v>
      </c>
      <c r="R78" s="1" t="s">
        <v>768</v>
      </c>
      <c r="S78" s="1" t="s">
        <v>769</v>
      </c>
      <c r="T78" s="1" t="s">
        <v>58</v>
      </c>
      <c r="U78" s="1">
        <v>4.0599999999999996</v>
      </c>
      <c r="V78" s="1">
        <v>5.0999999999999996</v>
      </c>
      <c r="W78" s="1" t="s">
        <v>770</v>
      </c>
      <c r="X78" s="1" t="s">
        <v>771</v>
      </c>
      <c r="Y78" s="3">
        <v>42355.965560798613</v>
      </c>
      <c r="Z78" s="1">
        <v>1</v>
      </c>
      <c r="AA78" s="1">
        <v>1</v>
      </c>
      <c r="AB78" s="1">
        <v>1</v>
      </c>
      <c r="AC78" s="1">
        <v>4</v>
      </c>
      <c r="AD78" s="3" t="s">
        <v>42</v>
      </c>
      <c r="AE78" s="1" t="s">
        <v>42</v>
      </c>
    </row>
    <row r="79" spans="1:31" x14ac:dyDescent="0.35">
      <c r="A79" s="1">
        <v>385</v>
      </c>
      <c r="B79" s="1" t="s">
        <v>772</v>
      </c>
      <c r="C79" s="1" t="s">
        <v>773</v>
      </c>
      <c r="D79" s="1" t="s">
        <v>774</v>
      </c>
      <c r="E79" s="1" t="s">
        <v>775</v>
      </c>
      <c r="F79" s="1">
        <v>0</v>
      </c>
      <c r="G79" s="3">
        <v>33952</v>
      </c>
      <c r="H79" s="1">
        <v>1</v>
      </c>
      <c r="I79" s="1" t="s">
        <v>63</v>
      </c>
      <c r="K79" s="2">
        <f>91-9825270340</f>
        <v>-9825270249</v>
      </c>
      <c r="L79" s="1" t="s">
        <v>58</v>
      </c>
      <c r="M79" s="1">
        <v>5.04</v>
      </c>
      <c r="N79" s="1">
        <v>33</v>
      </c>
      <c r="P79" s="1" t="s">
        <v>54</v>
      </c>
      <c r="Q79" s="1" t="s">
        <v>776</v>
      </c>
      <c r="R79" s="1" t="s">
        <v>778</v>
      </c>
      <c r="S79" s="1" t="s">
        <v>722</v>
      </c>
      <c r="T79" s="1" t="s">
        <v>58</v>
      </c>
      <c r="U79" s="1">
        <v>5.05</v>
      </c>
      <c r="V79" s="1">
        <v>6</v>
      </c>
      <c r="W79" s="1" t="s">
        <v>779</v>
      </c>
      <c r="X79" s="1" t="s">
        <v>780</v>
      </c>
      <c r="Y79" s="3">
        <v>42365.391865543985</v>
      </c>
      <c r="Z79" s="1">
        <v>1</v>
      </c>
      <c r="AA79" s="1">
        <v>1</v>
      </c>
      <c r="AB79" s="1">
        <v>1</v>
      </c>
      <c r="AC79" s="1">
        <v>1</v>
      </c>
      <c r="AD79" s="3">
        <v>43418.658558067131</v>
      </c>
      <c r="AE79" s="1" t="s">
        <v>42</v>
      </c>
    </row>
    <row r="80" spans="1:31" x14ac:dyDescent="0.35">
      <c r="A80" s="1">
        <v>389</v>
      </c>
      <c r="B80" s="1" t="s">
        <v>781</v>
      </c>
      <c r="C80" s="1" t="s">
        <v>782</v>
      </c>
      <c r="D80" s="1" t="s">
        <v>783</v>
      </c>
      <c r="E80" s="1" t="s">
        <v>784</v>
      </c>
      <c r="F80" s="1">
        <v>1</v>
      </c>
      <c r="G80" s="3">
        <v>33107</v>
      </c>
      <c r="H80" s="1">
        <v>1</v>
      </c>
      <c r="I80" s="1" t="s">
        <v>35</v>
      </c>
      <c r="J80" s="1" t="s">
        <v>209</v>
      </c>
      <c r="K80" s="2">
        <f>91-9764343620</f>
        <v>-9764343529</v>
      </c>
      <c r="L80" s="1" t="s">
        <v>58</v>
      </c>
      <c r="M80" s="1">
        <v>5.0599999999999996</v>
      </c>
      <c r="N80" s="1">
        <v>21</v>
      </c>
      <c r="O80" s="1" t="s">
        <v>785</v>
      </c>
      <c r="P80" s="1">
        <f>91-8928979900</f>
        <v>-8928979809</v>
      </c>
      <c r="Q80" s="1" t="s">
        <v>42</v>
      </c>
      <c r="R80" s="1" t="s">
        <v>42</v>
      </c>
      <c r="S80" s="1" t="s">
        <v>323</v>
      </c>
      <c r="T80" s="1" t="s">
        <v>58</v>
      </c>
      <c r="U80" s="1">
        <v>4.07</v>
      </c>
      <c r="V80" s="1">
        <v>5.07</v>
      </c>
      <c r="W80" s="1" t="s">
        <v>786</v>
      </c>
      <c r="X80" s="1" t="s">
        <v>787</v>
      </c>
      <c r="Y80" s="3">
        <v>42373.144305983798</v>
      </c>
      <c r="Z80" s="1">
        <v>1</v>
      </c>
      <c r="AA80" s="1">
        <v>1</v>
      </c>
      <c r="AB80" s="1">
        <v>1</v>
      </c>
      <c r="AC80" s="1">
        <v>1</v>
      </c>
      <c r="AD80" s="3">
        <v>43273.482507372682</v>
      </c>
      <c r="AE80" s="1" t="s">
        <v>42</v>
      </c>
    </row>
    <row r="81" spans="1:31" x14ac:dyDescent="0.35">
      <c r="A81" s="1">
        <v>397</v>
      </c>
      <c r="B81" s="1" t="s">
        <v>788</v>
      </c>
      <c r="C81" s="1" t="s">
        <v>789</v>
      </c>
      <c r="D81" s="1" t="s">
        <v>790</v>
      </c>
      <c r="E81" s="1" t="s">
        <v>791</v>
      </c>
      <c r="F81" s="1">
        <v>1</v>
      </c>
      <c r="G81" s="3">
        <v>34305</v>
      </c>
      <c r="H81" s="1">
        <v>1</v>
      </c>
      <c r="I81" s="1" t="s">
        <v>63</v>
      </c>
      <c r="J81" s="1" t="s">
        <v>634</v>
      </c>
      <c r="K81" s="2">
        <f>91-9998585059</f>
        <v>-9998584968</v>
      </c>
      <c r="L81" s="1" t="s">
        <v>58</v>
      </c>
      <c r="M81" s="1">
        <v>5.03</v>
      </c>
      <c r="N81" s="1">
        <v>43</v>
      </c>
      <c r="O81" s="1" t="s">
        <v>792</v>
      </c>
      <c r="P81" s="1">
        <f>91-9998585059</f>
        <v>-9998584968</v>
      </c>
      <c r="Q81" s="1" t="s">
        <v>793</v>
      </c>
      <c r="R81" s="1" t="s">
        <v>794</v>
      </c>
      <c r="S81" s="1" t="s">
        <v>130</v>
      </c>
      <c r="T81" s="1" t="s">
        <v>58</v>
      </c>
      <c r="U81" s="1">
        <v>4.0999999999999996</v>
      </c>
      <c r="V81" s="1">
        <v>5.07</v>
      </c>
      <c r="W81" s="1" t="s">
        <v>795</v>
      </c>
      <c r="X81" s="1" t="s">
        <v>796</v>
      </c>
      <c r="Y81" s="3">
        <v>42384.991821678239</v>
      </c>
      <c r="Z81" s="1">
        <v>1</v>
      </c>
      <c r="AA81" s="1">
        <v>1</v>
      </c>
      <c r="AB81" s="1">
        <v>1</v>
      </c>
      <c r="AC81" s="1">
        <v>1</v>
      </c>
      <c r="AD81" s="3">
        <v>43181.67601466435</v>
      </c>
      <c r="AE81" s="1" t="s">
        <v>42</v>
      </c>
    </row>
    <row r="82" spans="1:31" x14ac:dyDescent="0.35">
      <c r="A82" s="1">
        <v>407</v>
      </c>
      <c r="B82" s="1" t="s">
        <v>797</v>
      </c>
      <c r="C82" s="1" t="s">
        <v>798</v>
      </c>
      <c r="D82" s="1" t="s">
        <v>799</v>
      </c>
      <c r="E82" s="1" t="s">
        <v>625</v>
      </c>
      <c r="F82" s="1">
        <v>1</v>
      </c>
      <c r="G82" s="3">
        <v>32259</v>
      </c>
      <c r="H82" s="1">
        <v>1</v>
      </c>
      <c r="I82" s="1" t="s">
        <v>63</v>
      </c>
      <c r="J82" s="1" t="s">
        <v>634</v>
      </c>
      <c r="K82" s="2">
        <f>91-9033563145</f>
        <v>-9033563054</v>
      </c>
      <c r="L82" s="1" t="s">
        <v>58</v>
      </c>
      <c r="M82" s="1">
        <v>5.0599999999999996</v>
      </c>
      <c r="N82" s="1">
        <v>45</v>
      </c>
      <c r="O82" s="1" t="s">
        <v>800</v>
      </c>
      <c r="P82" s="1">
        <f>91-9033563145</f>
        <v>-9033563054</v>
      </c>
      <c r="Q82" s="1" t="s">
        <v>801</v>
      </c>
      <c r="R82" s="1" t="s">
        <v>802</v>
      </c>
      <c r="S82" s="1" t="s">
        <v>232</v>
      </c>
      <c r="T82" s="1" t="s">
        <v>58</v>
      </c>
      <c r="U82" s="1">
        <v>5.0199999999999996</v>
      </c>
      <c r="V82" s="1">
        <v>5.0199999999999996</v>
      </c>
      <c r="W82" s="1" t="s">
        <v>803</v>
      </c>
      <c r="X82" s="1" t="s">
        <v>804</v>
      </c>
      <c r="Y82" s="3">
        <v>42404.964491284722</v>
      </c>
      <c r="Z82" s="1">
        <v>1</v>
      </c>
      <c r="AA82" s="1">
        <v>1</v>
      </c>
      <c r="AB82" s="1">
        <v>1</v>
      </c>
      <c r="AC82" s="1">
        <v>1</v>
      </c>
      <c r="AD82" s="3">
        <v>43929.379406828702</v>
      </c>
      <c r="AE82" s="1" t="s">
        <v>42</v>
      </c>
    </row>
    <row r="83" spans="1:31" x14ac:dyDescent="0.35">
      <c r="A83" s="1">
        <v>410</v>
      </c>
      <c r="B83" s="1" t="s">
        <v>805</v>
      </c>
      <c r="C83" s="1" t="s">
        <v>806</v>
      </c>
      <c r="D83" s="1" t="s">
        <v>807</v>
      </c>
      <c r="E83" s="1" t="s">
        <v>52</v>
      </c>
      <c r="F83" s="1">
        <v>1</v>
      </c>
      <c r="G83" s="3">
        <v>33573</v>
      </c>
      <c r="H83" s="1">
        <v>1</v>
      </c>
      <c r="I83" s="1" t="s">
        <v>125</v>
      </c>
      <c r="J83" s="1" t="s">
        <v>126</v>
      </c>
      <c r="K83" s="2">
        <f>91-9970813231</f>
        <v>-9970813140</v>
      </c>
      <c r="L83" s="1" t="s">
        <v>58</v>
      </c>
      <c r="M83" s="1">
        <v>5.08</v>
      </c>
      <c r="N83" s="1">
        <v>16</v>
      </c>
      <c r="O83" s="1" t="s">
        <v>808</v>
      </c>
      <c r="P83" s="1">
        <f>91-9970813231</f>
        <v>-9970813140</v>
      </c>
      <c r="Q83" s="1" t="s">
        <v>809</v>
      </c>
      <c r="R83" s="1" t="s">
        <v>810</v>
      </c>
      <c r="S83" s="1" t="s">
        <v>130</v>
      </c>
      <c r="T83" s="1" t="s">
        <v>58</v>
      </c>
      <c r="U83" s="1">
        <v>5.03</v>
      </c>
      <c r="V83" s="1">
        <v>5.07</v>
      </c>
      <c r="W83" s="1" t="s">
        <v>811</v>
      </c>
      <c r="X83" s="1" t="s">
        <v>812</v>
      </c>
      <c r="Y83" s="3">
        <v>42408.399324918981</v>
      </c>
      <c r="Z83" s="1">
        <v>1</v>
      </c>
      <c r="AA83" s="1">
        <v>1</v>
      </c>
      <c r="AB83" s="1">
        <v>1</v>
      </c>
      <c r="AC83" s="1">
        <v>4</v>
      </c>
      <c r="AD83" s="3">
        <v>43053.596262928244</v>
      </c>
      <c r="AE83" s="1" t="s">
        <v>42</v>
      </c>
    </row>
    <row r="84" spans="1:31" x14ac:dyDescent="0.35">
      <c r="A84" s="1">
        <v>414</v>
      </c>
      <c r="B84" s="1" t="s">
        <v>813</v>
      </c>
      <c r="C84" s="1" t="s">
        <v>814</v>
      </c>
      <c r="D84" s="1" t="s">
        <v>815</v>
      </c>
      <c r="E84" s="1" t="s">
        <v>238</v>
      </c>
      <c r="F84" s="1">
        <v>1</v>
      </c>
      <c r="G84" s="3">
        <v>30710</v>
      </c>
      <c r="H84" s="1">
        <v>1</v>
      </c>
      <c r="I84" s="1" t="s">
        <v>35</v>
      </c>
      <c r="J84" s="1" t="s">
        <v>209</v>
      </c>
      <c r="K84" s="2">
        <f>91-8087184499</f>
        <v>-8087184408</v>
      </c>
      <c r="L84" s="1" t="s">
        <v>37</v>
      </c>
      <c r="M84" s="1">
        <v>5.08</v>
      </c>
      <c r="N84" s="1">
        <v>11</v>
      </c>
      <c r="O84" s="1" t="s">
        <v>816</v>
      </c>
      <c r="P84" s="1">
        <f>91-9405018185</f>
        <v>-9405018094</v>
      </c>
      <c r="Q84" s="1" t="s">
        <v>817</v>
      </c>
      <c r="R84" s="1" t="s">
        <v>818</v>
      </c>
      <c r="S84" s="1" t="s">
        <v>409</v>
      </c>
      <c r="T84" s="1" t="s">
        <v>256</v>
      </c>
      <c r="U84" s="1">
        <v>5</v>
      </c>
      <c r="V84" s="1">
        <v>5.07</v>
      </c>
      <c r="W84" s="1" t="s">
        <v>819</v>
      </c>
      <c r="X84" s="1" t="s">
        <v>820</v>
      </c>
      <c r="Y84" s="3">
        <v>42420.238434803243</v>
      </c>
      <c r="Z84" s="1">
        <v>1</v>
      </c>
      <c r="AA84" s="1">
        <v>1</v>
      </c>
      <c r="AB84" s="1">
        <v>1</v>
      </c>
      <c r="AC84" s="1">
        <v>1</v>
      </c>
      <c r="AD84" s="3">
        <v>43125.60194216435</v>
      </c>
      <c r="AE84" s="1" t="s">
        <v>42</v>
      </c>
    </row>
    <row r="85" spans="1:31" x14ac:dyDescent="0.35">
      <c r="A85" s="1">
        <v>416</v>
      </c>
      <c r="B85" s="1" t="s">
        <v>821</v>
      </c>
      <c r="C85" s="1" t="s">
        <v>822</v>
      </c>
      <c r="D85" s="1" t="s">
        <v>823</v>
      </c>
      <c r="E85" s="1" t="s">
        <v>52</v>
      </c>
      <c r="F85" s="1">
        <v>1</v>
      </c>
      <c r="G85" s="3">
        <v>32349</v>
      </c>
      <c r="H85" s="1">
        <v>1</v>
      </c>
      <c r="I85" s="1" t="s">
        <v>63</v>
      </c>
      <c r="J85" s="1" t="s">
        <v>64</v>
      </c>
      <c r="K85" s="2">
        <f>91-8141875823</f>
        <v>-8141875732</v>
      </c>
      <c r="L85" s="1" t="s">
        <v>58</v>
      </c>
      <c r="M85" s="1">
        <v>5.0599999999999996</v>
      </c>
      <c r="N85" s="1">
        <v>50</v>
      </c>
      <c r="O85" s="1" t="s">
        <v>824</v>
      </c>
      <c r="P85" s="1">
        <f>91-8734952916</f>
        <v>-8734952825</v>
      </c>
      <c r="Q85" s="1" t="s">
        <v>825</v>
      </c>
      <c r="R85" s="1" t="s">
        <v>826</v>
      </c>
      <c r="S85" s="1" t="s">
        <v>192</v>
      </c>
      <c r="T85" s="1" t="s">
        <v>599</v>
      </c>
      <c r="U85" s="1">
        <v>5</v>
      </c>
      <c r="V85" s="1">
        <v>5.0599999999999996</v>
      </c>
      <c r="Y85" s="3">
        <v>42424.0022690162</v>
      </c>
      <c r="Z85" s="1">
        <v>1</v>
      </c>
      <c r="AA85" s="1">
        <v>1</v>
      </c>
      <c r="AB85" s="1">
        <v>0</v>
      </c>
      <c r="AC85" s="1">
        <v>0</v>
      </c>
      <c r="AD85" s="3" t="s">
        <v>42</v>
      </c>
      <c r="AE85" s="1" t="s">
        <v>42</v>
      </c>
    </row>
    <row r="86" spans="1:31" x14ac:dyDescent="0.35">
      <c r="A86" s="1">
        <v>421</v>
      </c>
      <c r="B86" s="1" t="s">
        <v>827</v>
      </c>
      <c r="C86" s="1" t="s">
        <v>828</v>
      </c>
      <c r="D86" s="1" t="s">
        <v>829</v>
      </c>
      <c r="E86" s="1" t="s">
        <v>52</v>
      </c>
      <c r="F86" s="1">
        <v>1</v>
      </c>
      <c r="G86" s="3">
        <v>34712</v>
      </c>
      <c r="H86" s="1">
        <v>1</v>
      </c>
      <c r="I86" s="1" t="s">
        <v>63</v>
      </c>
      <c r="J86" s="1" t="s">
        <v>64</v>
      </c>
      <c r="K86" s="2">
        <f>91-8734919292</f>
        <v>-8734919201</v>
      </c>
      <c r="L86" s="1" t="s">
        <v>58</v>
      </c>
      <c r="M86" s="1">
        <v>5.08</v>
      </c>
      <c r="N86" s="1">
        <v>11</v>
      </c>
      <c r="O86" s="1" t="s">
        <v>830</v>
      </c>
      <c r="P86" s="1" t="s">
        <v>54</v>
      </c>
      <c r="Q86" s="1" t="s">
        <v>831</v>
      </c>
      <c r="R86" s="1" t="s">
        <v>832</v>
      </c>
      <c r="S86" s="1" t="s">
        <v>458</v>
      </c>
      <c r="T86" s="1" t="s">
        <v>58</v>
      </c>
      <c r="U86" s="1">
        <v>4.05</v>
      </c>
      <c r="V86" s="1">
        <v>5.0599999999999996</v>
      </c>
      <c r="W86" s="1" t="s">
        <v>833</v>
      </c>
      <c r="Y86" s="3">
        <v>42438.426861574073</v>
      </c>
      <c r="Z86" s="1">
        <v>1</v>
      </c>
      <c r="AA86" s="1">
        <v>1</v>
      </c>
      <c r="AB86" s="1">
        <v>1</v>
      </c>
      <c r="AC86" s="1">
        <v>1</v>
      </c>
      <c r="AD86" s="3">
        <v>44097.162227893517</v>
      </c>
      <c r="AE86" s="1" t="s">
        <v>42</v>
      </c>
    </row>
    <row r="87" spans="1:31" x14ac:dyDescent="0.35">
      <c r="A87" s="1">
        <v>431</v>
      </c>
      <c r="B87" s="1" t="s">
        <v>834</v>
      </c>
      <c r="C87" s="1" t="s">
        <v>835</v>
      </c>
      <c r="D87" s="1" t="s">
        <v>836</v>
      </c>
      <c r="E87" s="1" t="s">
        <v>837</v>
      </c>
      <c r="F87" s="1">
        <v>1</v>
      </c>
      <c r="G87" s="3">
        <v>32317</v>
      </c>
      <c r="H87" s="1">
        <v>1</v>
      </c>
      <c r="I87" s="1" t="s">
        <v>63</v>
      </c>
      <c r="K87" s="2">
        <f>91-7046569796</f>
        <v>-7046569705</v>
      </c>
      <c r="L87" s="1" t="s">
        <v>58</v>
      </c>
      <c r="M87" s="1">
        <v>5.0599999999999996</v>
      </c>
      <c r="N87" s="1">
        <v>11</v>
      </c>
      <c r="O87" s="1" t="s">
        <v>838</v>
      </c>
      <c r="P87" s="1">
        <f>91-9924880355</f>
        <v>-9924880264</v>
      </c>
      <c r="Q87" s="1" t="s">
        <v>839</v>
      </c>
      <c r="R87" s="1" t="s">
        <v>840</v>
      </c>
      <c r="S87" s="1" t="s">
        <v>286</v>
      </c>
      <c r="T87" s="1" t="s">
        <v>58</v>
      </c>
      <c r="U87" s="1">
        <v>5</v>
      </c>
      <c r="V87" s="1">
        <v>5.0599999999999996</v>
      </c>
      <c r="W87" s="1" t="s">
        <v>841</v>
      </c>
      <c r="X87" s="1" t="s">
        <v>842</v>
      </c>
      <c r="Y87" s="3">
        <v>42467.17007172454</v>
      </c>
      <c r="Z87" s="1">
        <v>1</v>
      </c>
      <c r="AA87" s="1">
        <v>1</v>
      </c>
      <c r="AB87" s="1">
        <v>1</v>
      </c>
      <c r="AC87" s="1">
        <v>4</v>
      </c>
      <c r="AD87" s="3">
        <v>42856.463384722221</v>
      </c>
      <c r="AE87" s="1" t="s">
        <v>42</v>
      </c>
    </row>
    <row r="88" spans="1:31" x14ac:dyDescent="0.35">
      <c r="A88" s="1">
        <v>432</v>
      </c>
      <c r="B88" s="1" t="s">
        <v>843</v>
      </c>
      <c r="C88" s="1" t="s">
        <v>844</v>
      </c>
      <c r="D88" s="1" t="s">
        <v>845</v>
      </c>
      <c r="E88" s="1" t="s">
        <v>444</v>
      </c>
      <c r="F88" s="1">
        <v>1</v>
      </c>
      <c r="G88" s="3">
        <v>34122</v>
      </c>
      <c r="H88" s="1">
        <v>1</v>
      </c>
      <c r="I88" s="1" t="s">
        <v>63</v>
      </c>
      <c r="J88" s="1" t="s">
        <v>64</v>
      </c>
      <c r="K88" s="2">
        <f>91-9429753113</f>
        <v>-9429753022</v>
      </c>
      <c r="L88" s="1" t="s">
        <v>58</v>
      </c>
      <c r="M88" s="1">
        <v>5.0599999999999996</v>
      </c>
      <c r="N88" s="1">
        <v>5</v>
      </c>
      <c r="O88" s="1" t="s">
        <v>846</v>
      </c>
      <c r="P88" s="1">
        <f>91-9427370180</f>
        <v>-9427370089</v>
      </c>
      <c r="Q88" s="1" t="s">
        <v>847</v>
      </c>
      <c r="R88" s="1" t="s">
        <v>849</v>
      </c>
      <c r="S88" s="1" t="s">
        <v>850</v>
      </c>
      <c r="T88" s="1" t="s">
        <v>58</v>
      </c>
      <c r="U88" s="1">
        <v>4.09</v>
      </c>
      <c r="V88" s="1">
        <v>5.09</v>
      </c>
      <c r="W88" s="1" t="s">
        <v>851</v>
      </c>
      <c r="X88" s="1" t="s">
        <v>852</v>
      </c>
      <c r="Y88" s="3">
        <v>42469.95127824074</v>
      </c>
      <c r="Z88" s="1">
        <v>1</v>
      </c>
      <c r="AA88" s="1">
        <v>1</v>
      </c>
      <c r="AB88" s="1">
        <v>1</v>
      </c>
      <c r="AC88" s="1">
        <v>4</v>
      </c>
      <c r="AD88" s="3">
        <v>42974.611522488427</v>
      </c>
      <c r="AE88" s="1" t="s">
        <v>42</v>
      </c>
    </row>
    <row r="89" spans="1:31" x14ac:dyDescent="0.35">
      <c r="A89" s="1">
        <v>440</v>
      </c>
      <c r="B89" s="1" t="s">
        <v>853</v>
      </c>
      <c r="C89" s="1" t="s">
        <v>854</v>
      </c>
      <c r="D89" s="1" t="s">
        <v>61</v>
      </c>
      <c r="E89" s="1" t="s">
        <v>62</v>
      </c>
      <c r="F89" s="1">
        <v>1</v>
      </c>
      <c r="G89" s="3">
        <v>34583</v>
      </c>
      <c r="H89" s="1">
        <v>1</v>
      </c>
      <c r="I89" s="1" t="s">
        <v>63</v>
      </c>
      <c r="J89" s="1" t="s">
        <v>370</v>
      </c>
      <c r="K89" s="2">
        <f>91-8407914448</f>
        <v>-8407914357</v>
      </c>
      <c r="L89" s="1" t="s">
        <v>58</v>
      </c>
      <c r="M89" s="1">
        <v>5.05</v>
      </c>
      <c r="N89" s="1">
        <v>14</v>
      </c>
      <c r="O89" s="1" t="s">
        <v>855</v>
      </c>
      <c r="P89" s="1">
        <f>91-8407914448</f>
        <v>-8407914357</v>
      </c>
      <c r="Q89" s="1" t="s">
        <v>856</v>
      </c>
      <c r="R89" s="1" t="s">
        <v>857</v>
      </c>
      <c r="S89" s="1" t="s">
        <v>858</v>
      </c>
      <c r="T89" s="1" t="s">
        <v>58</v>
      </c>
      <c r="U89" s="1">
        <v>5</v>
      </c>
      <c r="V89" s="1">
        <v>5.03</v>
      </c>
      <c r="Y89" s="3">
        <v>42474.924905520835</v>
      </c>
      <c r="Z89" s="1">
        <v>1</v>
      </c>
      <c r="AA89" s="1">
        <v>1</v>
      </c>
      <c r="AB89" s="1">
        <v>0</v>
      </c>
      <c r="AC89" s="1">
        <v>0</v>
      </c>
      <c r="AD89" s="3" t="s">
        <v>42</v>
      </c>
      <c r="AE89" s="1" t="s">
        <v>42</v>
      </c>
    </row>
    <row r="90" spans="1:31" x14ac:dyDescent="0.35">
      <c r="A90" s="1">
        <v>442</v>
      </c>
      <c r="B90" s="1" t="s">
        <v>859</v>
      </c>
      <c r="C90" s="1" t="s">
        <v>860</v>
      </c>
      <c r="D90" s="1" t="s">
        <v>861</v>
      </c>
      <c r="E90" s="1" t="s">
        <v>208</v>
      </c>
      <c r="F90" s="1">
        <v>1</v>
      </c>
      <c r="G90" s="3">
        <v>32240</v>
      </c>
      <c r="H90" s="1">
        <v>1</v>
      </c>
      <c r="I90" s="1" t="s">
        <v>35</v>
      </c>
      <c r="J90" s="1" t="s">
        <v>36</v>
      </c>
      <c r="K90" s="2">
        <f>91-7977052221</f>
        <v>-7977052130</v>
      </c>
      <c r="L90" s="1" t="s">
        <v>58</v>
      </c>
      <c r="M90" s="1">
        <v>5.0599999999999996</v>
      </c>
      <c r="N90" s="1">
        <v>14</v>
      </c>
      <c r="O90" s="1" t="s">
        <v>862</v>
      </c>
      <c r="P90" s="1">
        <f>91-7977052221</f>
        <v>-7977052130</v>
      </c>
      <c r="Q90" s="1" t="s">
        <v>863</v>
      </c>
      <c r="R90" s="1" t="s">
        <v>864</v>
      </c>
      <c r="S90" s="1" t="s">
        <v>42</v>
      </c>
      <c r="T90" s="1" t="s">
        <v>42</v>
      </c>
      <c r="U90" s="1" t="s">
        <v>42</v>
      </c>
      <c r="V90" s="1" t="s">
        <v>42</v>
      </c>
      <c r="W90" s="1" t="s">
        <v>865</v>
      </c>
      <c r="X90" s="1" t="s">
        <v>866</v>
      </c>
      <c r="Y90" s="3">
        <v>42476.258139814818</v>
      </c>
      <c r="Z90" s="1">
        <v>1</v>
      </c>
      <c r="AA90" s="1">
        <v>1</v>
      </c>
      <c r="AB90" s="1">
        <v>1</v>
      </c>
      <c r="AC90" s="1">
        <v>3</v>
      </c>
      <c r="AD90" s="3">
        <v>44024.758452314818</v>
      </c>
      <c r="AE90" s="1" t="s">
        <v>42</v>
      </c>
    </row>
    <row r="91" spans="1:31" x14ac:dyDescent="0.35">
      <c r="A91" s="1">
        <v>446</v>
      </c>
      <c r="B91" s="1" t="s">
        <v>867</v>
      </c>
      <c r="C91" s="1" t="s">
        <v>868</v>
      </c>
      <c r="D91" s="1" t="s">
        <v>869</v>
      </c>
      <c r="E91" s="1" t="s">
        <v>870</v>
      </c>
      <c r="F91" s="1">
        <v>0</v>
      </c>
      <c r="G91" s="3">
        <v>32833</v>
      </c>
      <c r="H91" s="1">
        <v>1</v>
      </c>
      <c r="I91" s="1" t="s">
        <v>35</v>
      </c>
      <c r="J91" s="1" t="s">
        <v>871</v>
      </c>
      <c r="K91" s="2">
        <f>91-9049228969</f>
        <v>-9049228878</v>
      </c>
      <c r="L91" s="1" t="s">
        <v>58</v>
      </c>
      <c r="M91" s="1">
        <v>5.0199999999999996</v>
      </c>
      <c r="N91" s="1">
        <v>27</v>
      </c>
      <c r="O91" s="1" t="s">
        <v>872</v>
      </c>
      <c r="P91" s="1" t="s">
        <v>54</v>
      </c>
      <c r="Q91" s="1" t="s">
        <v>873</v>
      </c>
      <c r="R91" s="1" t="s">
        <v>874</v>
      </c>
      <c r="S91" s="1" t="s">
        <v>304</v>
      </c>
      <c r="T91" s="1" t="s">
        <v>58</v>
      </c>
      <c r="U91" s="1">
        <v>5.08</v>
      </c>
      <c r="V91" s="1">
        <v>6</v>
      </c>
      <c r="Y91" s="3">
        <v>42477.308193634257</v>
      </c>
      <c r="Z91" s="1">
        <v>1</v>
      </c>
      <c r="AA91" s="1">
        <v>1</v>
      </c>
      <c r="AB91" s="1">
        <v>1</v>
      </c>
      <c r="AC91" s="1">
        <v>4</v>
      </c>
      <c r="AD91" s="3">
        <v>42928.556564895836</v>
      </c>
      <c r="AE91" s="1" t="s">
        <v>42</v>
      </c>
    </row>
    <row r="92" spans="1:31" x14ac:dyDescent="0.35">
      <c r="A92" s="1">
        <v>454</v>
      </c>
      <c r="B92" s="1" t="s">
        <v>875</v>
      </c>
      <c r="C92" s="1" t="s">
        <v>876</v>
      </c>
      <c r="D92" s="1" t="s">
        <v>877</v>
      </c>
      <c r="E92" s="1" t="s">
        <v>878</v>
      </c>
      <c r="F92" s="1">
        <v>0</v>
      </c>
      <c r="G92" s="3">
        <v>31288</v>
      </c>
      <c r="H92" s="1">
        <v>1</v>
      </c>
      <c r="I92" s="1" t="s">
        <v>63</v>
      </c>
      <c r="J92" s="1" t="s">
        <v>64</v>
      </c>
      <c r="K92" s="2">
        <f>91-9898034118</f>
        <v>-9898034027</v>
      </c>
      <c r="L92" s="1" t="s">
        <v>58</v>
      </c>
      <c r="M92" s="1">
        <v>5.04</v>
      </c>
      <c r="N92" s="1">
        <v>38</v>
      </c>
      <c r="O92" s="1" t="s">
        <v>389</v>
      </c>
      <c r="P92" s="1" t="s">
        <v>54</v>
      </c>
      <c r="Q92" s="1" t="s">
        <v>190</v>
      </c>
      <c r="R92" s="1" t="s">
        <v>879</v>
      </c>
      <c r="S92" s="1" t="s">
        <v>880</v>
      </c>
      <c r="T92" s="1" t="s">
        <v>58</v>
      </c>
      <c r="U92" s="1">
        <v>5.0199999999999996</v>
      </c>
      <c r="V92" s="1">
        <v>5.0999999999999996</v>
      </c>
      <c r="W92" s="1" t="s">
        <v>882</v>
      </c>
      <c r="X92" s="1" t="s">
        <v>883</v>
      </c>
      <c r="Y92" s="3">
        <v>42480.481527812502</v>
      </c>
      <c r="Z92" s="1">
        <v>1</v>
      </c>
      <c r="AA92" s="1">
        <v>1</v>
      </c>
      <c r="AB92" s="1">
        <v>1</v>
      </c>
      <c r="AC92" s="1">
        <v>1</v>
      </c>
      <c r="AD92" s="3">
        <v>43692.601055243053</v>
      </c>
      <c r="AE92" s="1" t="s">
        <v>42</v>
      </c>
    </row>
    <row r="93" spans="1:31" x14ac:dyDescent="0.35">
      <c r="A93" s="1">
        <v>456</v>
      </c>
      <c r="B93" s="1" t="s">
        <v>884</v>
      </c>
      <c r="C93" s="1" t="s">
        <v>885</v>
      </c>
      <c r="D93" s="1" t="s">
        <v>886</v>
      </c>
      <c r="E93" s="1" t="s">
        <v>887</v>
      </c>
      <c r="F93" s="1">
        <v>0</v>
      </c>
      <c r="G93" s="3">
        <v>33252</v>
      </c>
      <c r="H93" s="1">
        <v>1</v>
      </c>
      <c r="I93" s="1" t="s">
        <v>63</v>
      </c>
      <c r="J93" s="1" t="s">
        <v>634</v>
      </c>
      <c r="K93" s="2">
        <f>91-9408255068</f>
        <v>-9408254977</v>
      </c>
      <c r="L93" s="1" t="s">
        <v>58</v>
      </c>
      <c r="M93" s="1">
        <v>5</v>
      </c>
      <c r="N93" s="1">
        <v>12</v>
      </c>
      <c r="O93" s="1" t="s">
        <v>888</v>
      </c>
      <c r="P93" s="1" t="s">
        <v>54</v>
      </c>
      <c r="Q93" s="1" t="s">
        <v>889</v>
      </c>
      <c r="R93" s="1" t="s">
        <v>890</v>
      </c>
      <c r="S93" s="1" t="s">
        <v>891</v>
      </c>
      <c r="T93" s="1" t="s">
        <v>58</v>
      </c>
      <c r="U93" s="1">
        <v>5</v>
      </c>
      <c r="V93" s="1">
        <v>5.08</v>
      </c>
      <c r="W93" s="1" t="s">
        <v>892</v>
      </c>
      <c r="X93" s="1" t="s">
        <v>893</v>
      </c>
      <c r="Y93" s="3">
        <v>42481.15783822917</v>
      </c>
      <c r="Z93" s="1">
        <v>1</v>
      </c>
      <c r="AA93" s="1">
        <v>1</v>
      </c>
      <c r="AB93" s="1">
        <v>1</v>
      </c>
      <c r="AC93" s="1">
        <v>4</v>
      </c>
      <c r="AD93" s="3">
        <v>42979.555954745367</v>
      </c>
      <c r="AE93" s="1" t="s">
        <v>42</v>
      </c>
    </row>
    <row r="94" spans="1:31" x14ac:dyDescent="0.35">
      <c r="A94" s="1">
        <v>462</v>
      </c>
      <c r="B94" s="1" t="s">
        <v>894</v>
      </c>
      <c r="C94" s="1" t="s">
        <v>895</v>
      </c>
      <c r="D94" s="1" t="s">
        <v>896</v>
      </c>
      <c r="E94" s="1" t="s">
        <v>897</v>
      </c>
      <c r="F94" s="1">
        <v>1</v>
      </c>
      <c r="G94" s="3">
        <v>34098</v>
      </c>
      <c r="H94" s="1">
        <v>1</v>
      </c>
      <c r="I94" s="1" t="s">
        <v>63</v>
      </c>
      <c r="J94" s="1" t="s">
        <v>370</v>
      </c>
      <c r="K94" s="2">
        <f>91-9428773103</f>
        <v>-9428773012</v>
      </c>
      <c r="L94" s="1" t="s">
        <v>58</v>
      </c>
      <c r="M94" s="1">
        <v>5.05</v>
      </c>
      <c r="N94" s="1">
        <v>19</v>
      </c>
      <c r="O94" s="1" t="s">
        <v>898</v>
      </c>
      <c r="P94" s="1">
        <f>91-2835284531</f>
        <v>-2835284440</v>
      </c>
      <c r="Q94" s="1" t="s">
        <v>899</v>
      </c>
      <c r="R94" s="1" t="s">
        <v>900</v>
      </c>
      <c r="S94" s="1" t="s">
        <v>901</v>
      </c>
      <c r="T94" s="1" t="s">
        <v>58</v>
      </c>
      <c r="U94" s="1">
        <v>4.09</v>
      </c>
      <c r="V94" s="1">
        <v>4.09</v>
      </c>
      <c r="W94" s="1" t="s">
        <v>902</v>
      </c>
      <c r="X94" s="1" t="s">
        <v>903</v>
      </c>
      <c r="Y94" s="3">
        <v>42482.795403506942</v>
      </c>
      <c r="Z94" s="1">
        <v>1</v>
      </c>
      <c r="AA94" s="1">
        <v>1</v>
      </c>
      <c r="AB94" s="1">
        <v>1</v>
      </c>
      <c r="AC94" s="1">
        <v>4</v>
      </c>
      <c r="AD94" s="3" t="s">
        <v>42</v>
      </c>
      <c r="AE94" s="1" t="s">
        <v>42</v>
      </c>
    </row>
    <row r="95" spans="1:31" x14ac:dyDescent="0.35">
      <c r="A95" s="1">
        <v>469</v>
      </c>
      <c r="B95" s="1" t="s">
        <v>904</v>
      </c>
      <c r="C95" s="1" t="s">
        <v>905</v>
      </c>
      <c r="D95" s="1" t="s">
        <v>906</v>
      </c>
      <c r="E95" s="1" t="s">
        <v>907</v>
      </c>
      <c r="F95" s="1">
        <v>0</v>
      </c>
      <c r="G95" s="3">
        <v>33232</v>
      </c>
      <c r="H95" s="1">
        <v>1</v>
      </c>
      <c r="I95" s="1" t="s">
        <v>63</v>
      </c>
      <c r="J95" s="1" t="s">
        <v>908</v>
      </c>
      <c r="K95" s="2" t="s">
        <v>54</v>
      </c>
      <c r="L95" s="1" t="s">
        <v>58</v>
      </c>
      <c r="M95" s="1">
        <v>4.09</v>
      </c>
      <c r="N95" s="1">
        <v>23</v>
      </c>
      <c r="P95" s="1" t="s">
        <v>54</v>
      </c>
      <c r="S95" s="1" t="s">
        <v>909</v>
      </c>
      <c r="T95" s="1" t="s">
        <v>58</v>
      </c>
      <c r="U95" s="1">
        <v>4</v>
      </c>
      <c r="V95" s="1">
        <v>7.05</v>
      </c>
      <c r="Y95" s="3">
        <v>42484.83202519676</v>
      </c>
      <c r="Z95" s="1">
        <v>1</v>
      </c>
      <c r="AA95" s="1">
        <v>1</v>
      </c>
      <c r="AB95" s="1">
        <v>1</v>
      </c>
      <c r="AC95" s="1">
        <v>4</v>
      </c>
      <c r="AD95" s="3">
        <v>42967.720746145831</v>
      </c>
      <c r="AE95" s="1" t="s">
        <v>42</v>
      </c>
    </row>
    <row r="96" spans="1:31" x14ac:dyDescent="0.35">
      <c r="A96" s="1">
        <v>472</v>
      </c>
      <c r="B96" s="1" t="s">
        <v>910</v>
      </c>
      <c r="C96" s="1" t="s">
        <v>911</v>
      </c>
      <c r="D96" s="1" t="s">
        <v>912</v>
      </c>
      <c r="E96" s="1" t="s">
        <v>913</v>
      </c>
      <c r="F96" s="1">
        <v>0</v>
      </c>
      <c r="G96" s="3">
        <v>34800</v>
      </c>
      <c r="H96" s="1">
        <v>1</v>
      </c>
      <c r="I96" s="1" t="s">
        <v>125</v>
      </c>
      <c r="J96" s="1" t="s">
        <v>914</v>
      </c>
      <c r="K96" s="2">
        <f>91-7829772261</f>
        <v>-7829772170</v>
      </c>
      <c r="L96" s="1" t="s">
        <v>58</v>
      </c>
      <c r="M96" s="1">
        <v>5.03</v>
      </c>
      <c r="N96" s="1">
        <v>12</v>
      </c>
      <c r="P96" s="1" t="s">
        <v>54</v>
      </c>
      <c r="Q96" s="1" t="s">
        <v>915</v>
      </c>
      <c r="R96" s="1" t="s">
        <v>916</v>
      </c>
      <c r="S96" s="1" t="s">
        <v>917</v>
      </c>
      <c r="T96" s="1" t="s">
        <v>58</v>
      </c>
      <c r="U96" s="1">
        <v>5.0999999999999996</v>
      </c>
      <c r="V96" s="1">
        <v>5.0999999999999996</v>
      </c>
      <c r="Y96" s="3">
        <v>42485.933682372684</v>
      </c>
      <c r="Z96" s="1">
        <v>1</v>
      </c>
      <c r="AA96" s="1">
        <v>1</v>
      </c>
      <c r="AB96" s="1">
        <v>1</v>
      </c>
      <c r="AC96" s="1">
        <v>4</v>
      </c>
      <c r="AD96" s="3" t="s">
        <v>42</v>
      </c>
      <c r="AE96" s="1" t="s">
        <v>42</v>
      </c>
    </row>
    <row r="97" spans="1:31" x14ac:dyDescent="0.35">
      <c r="A97" s="1">
        <v>479</v>
      </c>
      <c r="B97" s="1" t="s">
        <v>918</v>
      </c>
      <c r="C97" s="1">
        <v>8758423</v>
      </c>
      <c r="D97" s="1" t="s">
        <v>919</v>
      </c>
      <c r="E97" s="1" t="s">
        <v>920</v>
      </c>
      <c r="F97" s="1">
        <v>0</v>
      </c>
      <c r="G97" s="3">
        <v>34291</v>
      </c>
      <c r="H97" s="1">
        <v>1</v>
      </c>
      <c r="I97" s="1" t="s">
        <v>63</v>
      </c>
      <c r="J97" s="1" t="s">
        <v>370</v>
      </c>
      <c r="K97" s="2">
        <f>91-7507911155</f>
        <v>-7507911064</v>
      </c>
      <c r="L97" s="1" t="s">
        <v>58</v>
      </c>
      <c r="M97" s="1">
        <v>5.0599999999999996</v>
      </c>
      <c r="N97" s="1">
        <v>8</v>
      </c>
      <c r="O97" s="1" t="s">
        <v>921</v>
      </c>
      <c r="P97" s="1" t="s">
        <v>54</v>
      </c>
      <c r="S97" s="1" t="s">
        <v>722</v>
      </c>
      <c r="U97" s="1">
        <v>4</v>
      </c>
      <c r="V97" s="1">
        <v>7.05</v>
      </c>
      <c r="Y97" s="3">
        <v>42495.088164618057</v>
      </c>
      <c r="Z97" s="1">
        <v>1</v>
      </c>
      <c r="AA97" s="1">
        <v>1</v>
      </c>
      <c r="AB97" s="1">
        <v>1</v>
      </c>
      <c r="AC97" s="1">
        <v>4</v>
      </c>
      <c r="AD97" s="3" t="s">
        <v>42</v>
      </c>
      <c r="AE97" s="1" t="s">
        <v>42</v>
      </c>
    </row>
    <row r="98" spans="1:31" x14ac:dyDescent="0.35">
      <c r="A98" s="1">
        <v>483</v>
      </c>
      <c r="B98" s="1" t="s">
        <v>922</v>
      </c>
      <c r="C98" s="1" t="s">
        <v>923</v>
      </c>
      <c r="D98" s="1" t="s">
        <v>924</v>
      </c>
      <c r="E98" s="1" t="s">
        <v>52</v>
      </c>
      <c r="F98" s="1">
        <v>1</v>
      </c>
      <c r="G98" s="3">
        <v>33174</v>
      </c>
      <c r="H98" s="1">
        <v>1</v>
      </c>
      <c r="I98" s="1" t="s">
        <v>63</v>
      </c>
      <c r="J98" s="1" t="s">
        <v>459</v>
      </c>
      <c r="K98" s="2">
        <f>91-9714056737</f>
        <v>-9714056646</v>
      </c>
      <c r="L98" s="1" t="s">
        <v>37</v>
      </c>
      <c r="M98" s="1">
        <v>4.05</v>
      </c>
      <c r="N98" s="1">
        <v>5</v>
      </c>
      <c r="O98" s="1" t="s">
        <v>925</v>
      </c>
      <c r="P98" s="1">
        <f>91-9427756737</f>
        <v>-9427756646</v>
      </c>
      <c r="Q98" s="1" t="s">
        <v>926</v>
      </c>
      <c r="R98" s="1" t="s">
        <v>927</v>
      </c>
      <c r="S98" s="1" t="s">
        <v>77</v>
      </c>
      <c r="T98" s="1" t="s">
        <v>37</v>
      </c>
      <c r="U98" s="1">
        <v>5.01</v>
      </c>
      <c r="V98" s="1">
        <v>5.07</v>
      </c>
      <c r="W98" s="1" t="s">
        <v>928</v>
      </c>
      <c r="X98" s="1" t="s">
        <v>929</v>
      </c>
      <c r="Y98" s="3">
        <v>42501.915011111108</v>
      </c>
      <c r="Z98" s="1">
        <v>1</v>
      </c>
      <c r="AA98" s="1">
        <v>1</v>
      </c>
      <c r="AB98" s="1">
        <v>1</v>
      </c>
      <c r="AC98" s="1">
        <v>4</v>
      </c>
      <c r="AD98" s="3" t="s">
        <v>42</v>
      </c>
      <c r="AE98" s="1" t="s">
        <v>42</v>
      </c>
    </row>
    <row r="99" spans="1:31" x14ac:dyDescent="0.35">
      <c r="A99" s="1">
        <v>484</v>
      </c>
      <c r="B99" s="1" t="s">
        <v>930</v>
      </c>
      <c r="C99" s="1" t="s">
        <v>931</v>
      </c>
      <c r="D99" s="1" t="s">
        <v>932</v>
      </c>
      <c r="E99" s="1" t="s">
        <v>262</v>
      </c>
      <c r="F99" s="1">
        <v>1</v>
      </c>
      <c r="G99" s="3">
        <v>31189</v>
      </c>
      <c r="H99" s="1">
        <v>1</v>
      </c>
      <c r="I99" s="1" t="s">
        <v>63</v>
      </c>
      <c r="J99" s="1" t="s">
        <v>459</v>
      </c>
      <c r="K99" s="2">
        <f>91-9898984682</f>
        <v>-9898984591</v>
      </c>
      <c r="L99" s="1" t="s">
        <v>58</v>
      </c>
      <c r="M99" s="1">
        <v>5.05</v>
      </c>
      <c r="N99" s="1">
        <v>42</v>
      </c>
      <c r="O99" s="1" t="s">
        <v>933</v>
      </c>
      <c r="P99" s="1">
        <f>91-9898984682</f>
        <v>-9898984591</v>
      </c>
      <c r="Q99" s="1" t="s">
        <v>934</v>
      </c>
      <c r="R99" s="1" t="s">
        <v>935</v>
      </c>
      <c r="S99" s="1" t="s">
        <v>936</v>
      </c>
      <c r="T99" s="1" t="s">
        <v>599</v>
      </c>
      <c r="U99" s="1">
        <v>5.05</v>
      </c>
      <c r="V99" s="1">
        <v>5.05</v>
      </c>
      <c r="W99" s="1" t="s">
        <v>937</v>
      </c>
      <c r="X99" s="1" t="s">
        <v>938</v>
      </c>
      <c r="Y99" s="3">
        <v>42503.112305787035</v>
      </c>
      <c r="Z99" s="1">
        <v>1</v>
      </c>
      <c r="AA99" s="1">
        <v>1</v>
      </c>
      <c r="AB99" s="1">
        <v>1</v>
      </c>
      <c r="AC99" s="1">
        <v>1</v>
      </c>
      <c r="AD99" s="3">
        <v>43882.639059803238</v>
      </c>
      <c r="AE99" s="1" t="s">
        <v>42</v>
      </c>
    </row>
    <row r="100" spans="1:31" x14ac:dyDescent="0.35">
      <c r="A100" s="1">
        <v>488</v>
      </c>
      <c r="B100" s="1" t="s">
        <v>939</v>
      </c>
      <c r="C100" s="1" t="s">
        <v>940</v>
      </c>
      <c r="D100" s="1" t="s">
        <v>643</v>
      </c>
      <c r="E100" s="1" t="s">
        <v>941</v>
      </c>
      <c r="F100" s="1">
        <v>1</v>
      </c>
      <c r="G100" s="3">
        <v>33243</v>
      </c>
      <c r="H100" s="1">
        <v>1</v>
      </c>
      <c r="I100" s="1" t="s">
        <v>35</v>
      </c>
      <c r="J100" s="1" t="s">
        <v>506</v>
      </c>
      <c r="K100" s="2">
        <f>91-9440961863</f>
        <v>-9440961772</v>
      </c>
      <c r="L100" s="1" t="s">
        <v>58</v>
      </c>
      <c r="M100" s="1">
        <v>5.09</v>
      </c>
      <c r="N100" s="1">
        <v>51</v>
      </c>
      <c r="O100" s="1" t="s">
        <v>942</v>
      </c>
      <c r="P100" s="1">
        <f>91-9096446654</f>
        <v>-9096446563</v>
      </c>
      <c r="Q100" s="1" t="s">
        <v>943</v>
      </c>
      <c r="R100" s="1" t="s">
        <v>944</v>
      </c>
      <c r="S100" s="1" t="s">
        <v>213</v>
      </c>
      <c r="T100" s="1" t="s">
        <v>58</v>
      </c>
      <c r="U100" s="1">
        <v>5</v>
      </c>
      <c r="V100" s="1">
        <v>5.0999999999999996</v>
      </c>
      <c r="W100" s="1" t="s">
        <v>945</v>
      </c>
      <c r="X100" s="1" t="s">
        <v>946</v>
      </c>
      <c r="Y100" s="3">
        <v>42511.947690856483</v>
      </c>
      <c r="Z100" s="1">
        <v>1</v>
      </c>
      <c r="AA100" s="1">
        <v>1</v>
      </c>
      <c r="AB100" s="1">
        <v>1</v>
      </c>
      <c r="AC100" s="1">
        <v>4</v>
      </c>
      <c r="AD100" s="3">
        <v>42929.214218402776</v>
      </c>
      <c r="AE100" s="1" t="s">
        <v>42</v>
      </c>
    </row>
    <row r="101" spans="1:31" x14ac:dyDescent="0.35">
      <c r="A101" s="1">
        <v>490</v>
      </c>
      <c r="B101" s="1" t="s">
        <v>947</v>
      </c>
      <c r="C101" s="1" t="s">
        <v>948</v>
      </c>
      <c r="D101" s="1" t="s">
        <v>949</v>
      </c>
      <c r="E101" s="1" t="s">
        <v>71</v>
      </c>
      <c r="F101" s="1">
        <v>1</v>
      </c>
      <c r="G101" s="3">
        <v>31384</v>
      </c>
      <c r="H101" s="1">
        <v>1</v>
      </c>
      <c r="I101" s="1" t="s">
        <v>72</v>
      </c>
      <c r="J101" s="1" t="s">
        <v>167</v>
      </c>
      <c r="K101" s="2">
        <f>91-9926022346</f>
        <v>-9926022255</v>
      </c>
      <c r="L101" s="1" t="s">
        <v>58</v>
      </c>
      <c r="M101" s="1">
        <v>5.0599999999999996</v>
      </c>
      <c r="N101" s="1">
        <v>11</v>
      </c>
      <c r="O101" s="1" t="s">
        <v>950</v>
      </c>
      <c r="P101" s="1">
        <f>91-9926022346</f>
        <v>-9926022255</v>
      </c>
      <c r="Q101" s="1" t="s">
        <v>951</v>
      </c>
      <c r="R101" s="1" t="s">
        <v>952</v>
      </c>
      <c r="S101" s="1" t="s">
        <v>222</v>
      </c>
      <c r="T101" s="1" t="s">
        <v>44</v>
      </c>
      <c r="U101" s="1">
        <v>4.09</v>
      </c>
      <c r="V101" s="1">
        <v>5.0599999999999996</v>
      </c>
      <c r="W101" s="1" t="s">
        <v>953</v>
      </c>
      <c r="X101" s="1" t="s">
        <v>954</v>
      </c>
      <c r="Y101" s="3">
        <v>42517.259324537037</v>
      </c>
      <c r="Z101" s="1">
        <v>1</v>
      </c>
      <c r="AA101" s="1">
        <v>1</v>
      </c>
      <c r="AB101" s="1">
        <v>1</v>
      </c>
      <c r="AC101" s="1">
        <v>4</v>
      </c>
      <c r="AD101" s="3" t="s">
        <v>42</v>
      </c>
      <c r="AE101" s="1" t="s">
        <v>42</v>
      </c>
    </row>
    <row r="102" spans="1:31" x14ac:dyDescent="0.35">
      <c r="A102" s="1">
        <v>492</v>
      </c>
      <c r="B102" s="1" t="s">
        <v>955</v>
      </c>
      <c r="C102" s="1" t="s">
        <v>956</v>
      </c>
      <c r="D102" s="1" t="s">
        <v>759</v>
      </c>
      <c r="E102" s="1" t="s">
        <v>775</v>
      </c>
      <c r="F102" s="1">
        <v>0</v>
      </c>
      <c r="G102" s="3">
        <v>34955</v>
      </c>
      <c r="H102" s="1">
        <v>1</v>
      </c>
      <c r="I102" s="1" t="s">
        <v>35</v>
      </c>
      <c r="K102" s="2" t="s">
        <v>54</v>
      </c>
      <c r="L102" s="1" t="s">
        <v>58</v>
      </c>
      <c r="M102" s="1">
        <v>5.03</v>
      </c>
      <c r="N102" s="1">
        <v>45</v>
      </c>
      <c r="P102" s="1" t="s">
        <v>54</v>
      </c>
      <c r="S102" s="1" t="s">
        <v>243</v>
      </c>
      <c r="T102" s="1" t="s">
        <v>58</v>
      </c>
      <c r="U102" s="1">
        <v>5.05</v>
      </c>
      <c r="V102" s="1">
        <v>5.08</v>
      </c>
      <c r="W102" s="1" t="s">
        <v>42</v>
      </c>
      <c r="X102" s="1" t="s">
        <v>42</v>
      </c>
      <c r="Y102" s="3">
        <v>42521.34591265046</v>
      </c>
      <c r="Z102" s="1">
        <v>1</v>
      </c>
      <c r="AA102" s="1">
        <v>1</v>
      </c>
      <c r="AB102" s="1">
        <v>1</v>
      </c>
      <c r="AC102" s="1">
        <v>4</v>
      </c>
      <c r="AD102" s="3" t="s">
        <v>42</v>
      </c>
      <c r="AE102" s="1" t="s">
        <v>42</v>
      </c>
    </row>
    <row r="103" spans="1:31" x14ac:dyDescent="0.35">
      <c r="A103" s="1">
        <v>494</v>
      </c>
      <c r="B103" s="1" t="s">
        <v>957</v>
      </c>
      <c r="C103" s="1" t="s">
        <v>958</v>
      </c>
      <c r="D103" s="1" t="s">
        <v>959</v>
      </c>
      <c r="E103" s="1" t="s">
        <v>960</v>
      </c>
      <c r="F103" s="1">
        <v>1</v>
      </c>
      <c r="G103" s="3">
        <v>33618</v>
      </c>
      <c r="H103" s="1">
        <v>1</v>
      </c>
      <c r="I103" s="1" t="s">
        <v>63</v>
      </c>
      <c r="J103" s="1" t="s">
        <v>94</v>
      </c>
      <c r="K103" s="2">
        <f>91-9824232383</f>
        <v>-9824232292</v>
      </c>
      <c r="L103" s="1" t="s">
        <v>58</v>
      </c>
      <c r="M103" s="1">
        <v>6.02</v>
      </c>
      <c r="N103" s="1">
        <v>10</v>
      </c>
      <c r="O103" s="1" t="s">
        <v>961</v>
      </c>
      <c r="P103" s="1">
        <f>91-8487036023</f>
        <v>-8487035932</v>
      </c>
      <c r="Q103" s="1" t="s">
        <v>962</v>
      </c>
      <c r="R103" s="1" t="s">
        <v>963</v>
      </c>
      <c r="S103" s="1" t="s">
        <v>323</v>
      </c>
      <c r="T103" s="1" t="s">
        <v>58</v>
      </c>
      <c r="U103" s="1">
        <v>5.05</v>
      </c>
      <c r="V103" s="1">
        <v>6</v>
      </c>
      <c r="W103" s="1" t="s">
        <v>964</v>
      </c>
      <c r="X103" s="1" t="s">
        <v>965</v>
      </c>
      <c r="Y103" s="3">
        <v>42522.992631909721</v>
      </c>
      <c r="Z103" s="1">
        <v>1</v>
      </c>
      <c r="AA103" s="1">
        <v>1</v>
      </c>
      <c r="AB103" s="1">
        <v>1</v>
      </c>
      <c r="AC103" s="1">
        <v>4</v>
      </c>
      <c r="AD103" s="3">
        <v>43038.460950266206</v>
      </c>
      <c r="AE103" s="1" t="s">
        <v>42</v>
      </c>
    </row>
    <row r="104" spans="1:31" x14ac:dyDescent="0.35">
      <c r="A104" s="1">
        <v>496</v>
      </c>
      <c r="B104" s="1" t="s">
        <v>966</v>
      </c>
      <c r="C104" s="1" t="s">
        <v>967</v>
      </c>
      <c r="D104" s="1" t="s">
        <v>815</v>
      </c>
      <c r="E104" s="1" t="s">
        <v>968</v>
      </c>
      <c r="F104" s="1">
        <v>1</v>
      </c>
      <c r="G104" s="3">
        <v>30649</v>
      </c>
      <c r="H104" s="1">
        <v>1</v>
      </c>
      <c r="I104" s="1" t="s">
        <v>969</v>
      </c>
      <c r="J104" s="1" t="s">
        <v>970</v>
      </c>
      <c r="K104" s="2">
        <f>91-9423820173</f>
        <v>-9423820082</v>
      </c>
      <c r="L104" s="1" t="s">
        <v>37</v>
      </c>
      <c r="M104" s="1">
        <v>5.07</v>
      </c>
      <c r="N104" s="1">
        <v>19</v>
      </c>
      <c r="O104" s="1" t="s">
        <v>971</v>
      </c>
      <c r="P104" s="1">
        <f>91-8322767788</f>
        <v>-8322767697</v>
      </c>
      <c r="Q104" s="1" t="s">
        <v>972</v>
      </c>
      <c r="R104" s="1" t="s">
        <v>973</v>
      </c>
      <c r="S104" s="1" t="s">
        <v>974</v>
      </c>
      <c r="T104" s="1" t="s">
        <v>140</v>
      </c>
      <c r="U104" s="1">
        <v>4.0599999999999996</v>
      </c>
      <c r="V104" s="1">
        <v>6</v>
      </c>
      <c r="W104" s="1" t="s">
        <v>975</v>
      </c>
      <c r="X104" s="1" t="s">
        <v>976</v>
      </c>
      <c r="Y104" s="3">
        <v>42526.159450347222</v>
      </c>
      <c r="Z104" s="1">
        <v>1</v>
      </c>
      <c r="AA104" s="1">
        <v>1</v>
      </c>
      <c r="AB104" s="1">
        <v>1</v>
      </c>
      <c r="AC104" s="1">
        <v>4</v>
      </c>
      <c r="AD104" s="3">
        <v>43099.459796840281</v>
      </c>
      <c r="AE104" s="1" t="s">
        <v>42</v>
      </c>
    </row>
    <row r="105" spans="1:31" x14ac:dyDescent="0.35">
      <c r="A105" s="1">
        <v>499</v>
      </c>
      <c r="B105" s="1" t="s">
        <v>977</v>
      </c>
      <c r="C105" s="1" t="s">
        <v>978</v>
      </c>
      <c r="D105" s="1" t="s">
        <v>979</v>
      </c>
      <c r="E105" s="1" t="s">
        <v>980</v>
      </c>
      <c r="F105" s="1">
        <v>0</v>
      </c>
      <c r="G105" s="3">
        <v>33073</v>
      </c>
      <c r="H105" s="1">
        <v>1</v>
      </c>
      <c r="I105" s="1" t="s">
        <v>35</v>
      </c>
      <c r="J105" s="1" t="s">
        <v>198</v>
      </c>
      <c r="K105" s="2">
        <f>91-9689914773</f>
        <v>-9689914682</v>
      </c>
      <c r="L105" s="1" t="s">
        <v>58</v>
      </c>
      <c r="M105" s="1">
        <v>5.01</v>
      </c>
      <c r="N105" s="1">
        <v>50</v>
      </c>
      <c r="P105" s="1">
        <f>91-7218964773</f>
        <v>-7218964682</v>
      </c>
      <c r="Q105" s="1" t="s">
        <v>981</v>
      </c>
      <c r="R105" s="1" t="s">
        <v>982</v>
      </c>
      <c r="S105" s="1" t="s">
        <v>936</v>
      </c>
      <c r="T105" s="1" t="s">
        <v>58</v>
      </c>
      <c r="U105" s="1">
        <v>5.0199999999999996</v>
      </c>
      <c r="V105" s="1">
        <v>6.03</v>
      </c>
      <c r="Y105" s="3">
        <v>42532.155626539352</v>
      </c>
      <c r="Z105" s="1">
        <v>1</v>
      </c>
      <c r="AA105" s="1">
        <v>1</v>
      </c>
      <c r="AB105" s="1">
        <v>1</v>
      </c>
      <c r="AC105" s="1">
        <v>4</v>
      </c>
      <c r="AD105" s="3" t="s">
        <v>42</v>
      </c>
      <c r="AE105" s="1" t="s">
        <v>42</v>
      </c>
    </row>
    <row r="106" spans="1:31" x14ac:dyDescent="0.35">
      <c r="A106" s="1">
        <v>503</v>
      </c>
      <c r="B106" s="1" t="s">
        <v>983</v>
      </c>
      <c r="C106" s="1" t="s">
        <v>984</v>
      </c>
      <c r="D106" s="1" t="s">
        <v>985</v>
      </c>
      <c r="E106" s="1" t="s">
        <v>986</v>
      </c>
      <c r="F106" s="1">
        <v>1</v>
      </c>
      <c r="G106" s="3">
        <v>32951</v>
      </c>
      <c r="H106" s="1">
        <v>1</v>
      </c>
      <c r="I106" s="1" t="s">
        <v>63</v>
      </c>
      <c r="J106" s="1" t="s">
        <v>287</v>
      </c>
      <c r="K106" s="2">
        <f>91-8758926240</f>
        <v>-8758926149</v>
      </c>
      <c r="L106" s="1" t="s">
        <v>58</v>
      </c>
      <c r="M106" s="1">
        <v>5.05</v>
      </c>
      <c r="N106" s="1">
        <v>10</v>
      </c>
      <c r="O106" s="1" t="s">
        <v>987</v>
      </c>
      <c r="P106" s="1">
        <f>91-7874413354</f>
        <v>-7874413263</v>
      </c>
      <c r="Q106" s="1" t="s">
        <v>986</v>
      </c>
      <c r="R106" s="1" t="s">
        <v>988</v>
      </c>
      <c r="S106" s="1" t="s">
        <v>222</v>
      </c>
      <c r="T106" s="1" t="s">
        <v>599</v>
      </c>
      <c r="U106" s="1">
        <v>4</v>
      </c>
      <c r="V106" s="1">
        <v>5.0999999999999996</v>
      </c>
      <c r="W106" s="1" t="s">
        <v>989</v>
      </c>
      <c r="X106" s="1" t="s">
        <v>990</v>
      </c>
      <c r="Y106" s="3">
        <v>42534.214183715281</v>
      </c>
      <c r="Z106" s="1">
        <v>1</v>
      </c>
      <c r="AA106" s="1">
        <v>1</v>
      </c>
      <c r="AB106" s="1">
        <v>1</v>
      </c>
      <c r="AC106" s="1">
        <v>1</v>
      </c>
      <c r="AD106" s="3">
        <v>43258.176009224539</v>
      </c>
      <c r="AE106" s="1" t="s">
        <v>42</v>
      </c>
    </row>
    <row r="107" spans="1:31" x14ac:dyDescent="0.35">
      <c r="A107" s="1">
        <v>504</v>
      </c>
      <c r="B107" s="1" t="s">
        <v>991</v>
      </c>
      <c r="C107" s="1" t="s">
        <v>992</v>
      </c>
      <c r="D107" s="1" t="s">
        <v>464</v>
      </c>
      <c r="E107" s="1" t="s">
        <v>52</v>
      </c>
      <c r="F107" s="1">
        <v>1</v>
      </c>
      <c r="G107" s="3">
        <v>33741</v>
      </c>
      <c r="H107" s="1">
        <v>1</v>
      </c>
      <c r="I107" s="1" t="s">
        <v>63</v>
      </c>
      <c r="J107" s="1" t="s">
        <v>993</v>
      </c>
      <c r="K107" s="2">
        <f>91-9429958806</f>
        <v>-9429958715</v>
      </c>
      <c r="L107" s="1" t="s">
        <v>58</v>
      </c>
      <c r="M107" s="1">
        <v>5.03</v>
      </c>
      <c r="N107" s="1">
        <v>50</v>
      </c>
      <c r="O107" s="1" t="s">
        <v>994</v>
      </c>
      <c r="P107" s="1">
        <f>91-9429958806</f>
        <v>-9429958715</v>
      </c>
      <c r="Q107" s="1" t="s">
        <v>995</v>
      </c>
      <c r="R107" s="1" t="s">
        <v>996</v>
      </c>
      <c r="S107" s="1" t="s">
        <v>130</v>
      </c>
      <c r="T107" s="1" t="s">
        <v>58</v>
      </c>
      <c r="U107" s="1">
        <v>4.1100000000000003</v>
      </c>
      <c r="V107" s="1">
        <v>5.0199999999999996</v>
      </c>
      <c r="Y107" s="3">
        <v>42534.45274922454</v>
      </c>
      <c r="Z107" s="1">
        <v>1</v>
      </c>
      <c r="AA107" s="1">
        <v>1</v>
      </c>
      <c r="AB107" s="1">
        <v>0</v>
      </c>
      <c r="AC107" s="1">
        <v>0</v>
      </c>
      <c r="AD107" s="3">
        <v>43971.462180324073</v>
      </c>
      <c r="AE107" s="1" t="s">
        <v>42</v>
      </c>
    </row>
    <row r="108" spans="1:31" x14ac:dyDescent="0.35">
      <c r="A108" s="1">
        <v>514</v>
      </c>
      <c r="B108" s="1" t="s">
        <v>997</v>
      </c>
      <c r="C108" s="1" t="s">
        <v>998</v>
      </c>
      <c r="D108" s="1" t="s">
        <v>424</v>
      </c>
      <c r="E108" s="1" t="s">
        <v>52</v>
      </c>
      <c r="F108" s="1">
        <v>1</v>
      </c>
      <c r="G108" s="3">
        <v>31835</v>
      </c>
      <c r="H108" s="1">
        <v>1</v>
      </c>
      <c r="I108" s="1" t="s">
        <v>35</v>
      </c>
      <c r="J108" s="1" t="s">
        <v>209</v>
      </c>
      <c r="K108" s="2">
        <f>91-9767526264</f>
        <v>-9767526173</v>
      </c>
      <c r="L108" s="1" t="s">
        <v>37</v>
      </c>
      <c r="M108" s="1">
        <v>5.05</v>
      </c>
      <c r="N108" s="1">
        <v>54</v>
      </c>
      <c r="O108" s="1" t="s">
        <v>999</v>
      </c>
      <c r="P108" s="1">
        <f>91-9767526264</f>
        <v>-9767526173</v>
      </c>
      <c r="Q108" s="1" t="s">
        <v>1000</v>
      </c>
      <c r="R108" s="1" t="s">
        <v>1002</v>
      </c>
      <c r="S108" s="1" t="s">
        <v>1003</v>
      </c>
      <c r="T108" s="1" t="s">
        <v>140</v>
      </c>
      <c r="U108" s="1">
        <v>4.05</v>
      </c>
      <c r="V108" s="1">
        <v>5.05</v>
      </c>
      <c r="W108" s="1" t="s">
        <v>1004</v>
      </c>
      <c r="X108" s="1" t="s">
        <v>1005</v>
      </c>
      <c r="Y108" s="3">
        <v>42540.962836076389</v>
      </c>
      <c r="Z108" s="1">
        <v>1</v>
      </c>
      <c r="AA108" s="1">
        <v>1</v>
      </c>
      <c r="AB108" s="1">
        <v>1</v>
      </c>
      <c r="AC108" s="1">
        <v>1</v>
      </c>
      <c r="AD108" s="3">
        <v>43150.722116701392</v>
      </c>
      <c r="AE108" s="1" t="s">
        <v>42</v>
      </c>
    </row>
    <row r="109" spans="1:31" x14ac:dyDescent="0.35">
      <c r="A109" s="1">
        <v>1522</v>
      </c>
      <c r="B109" s="1" t="s">
        <v>1006</v>
      </c>
      <c r="C109" s="1" t="s">
        <v>1007</v>
      </c>
      <c r="D109" s="1" t="s">
        <v>1008</v>
      </c>
      <c r="E109" s="1" t="s">
        <v>52</v>
      </c>
      <c r="F109" s="1">
        <v>1</v>
      </c>
      <c r="G109" s="3">
        <v>31941</v>
      </c>
      <c r="H109" s="1">
        <v>1</v>
      </c>
      <c r="I109" s="1" t="s">
        <v>63</v>
      </c>
      <c r="J109" s="1" t="s">
        <v>64</v>
      </c>
      <c r="K109" s="2">
        <f>91-8141481477</f>
        <v>-8141481386</v>
      </c>
      <c r="L109" s="1" t="s">
        <v>37</v>
      </c>
      <c r="M109" s="1">
        <v>6.04</v>
      </c>
      <c r="N109" s="1">
        <v>23</v>
      </c>
      <c r="O109" s="1" t="s">
        <v>1009</v>
      </c>
      <c r="P109" s="1">
        <f>91-9909738251</f>
        <v>-9909738160</v>
      </c>
      <c r="Q109" s="1" t="s">
        <v>1010</v>
      </c>
      <c r="R109" s="1" t="s">
        <v>1011</v>
      </c>
      <c r="S109" s="1" t="s">
        <v>1012</v>
      </c>
      <c r="T109" s="1" t="s">
        <v>1013</v>
      </c>
      <c r="U109" s="1">
        <v>5.0599999999999996</v>
      </c>
      <c r="V109" s="1">
        <v>5.0999999999999996</v>
      </c>
      <c r="W109" s="1" t="s">
        <v>1014</v>
      </c>
      <c r="X109" s="1" t="s">
        <v>1015</v>
      </c>
      <c r="Y109" s="3">
        <v>42546.365272488423</v>
      </c>
      <c r="Z109" s="1">
        <v>1</v>
      </c>
      <c r="AA109" s="1">
        <v>1</v>
      </c>
      <c r="AB109" s="1">
        <v>1</v>
      </c>
      <c r="AC109" s="1">
        <v>1</v>
      </c>
      <c r="AD109" s="3">
        <v>43422.609210532406</v>
      </c>
      <c r="AE109" s="1" t="s">
        <v>42</v>
      </c>
    </row>
    <row r="110" spans="1:31" x14ac:dyDescent="0.35">
      <c r="A110" s="1">
        <v>1524</v>
      </c>
      <c r="B110" s="1" t="s">
        <v>1016</v>
      </c>
      <c r="C110" s="1" t="s">
        <v>1017</v>
      </c>
      <c r="D110" s="1" t="s">
        <v>1018</v>
      </c>
      <c r="E110" s="1" t="s">
        <v>907</v>
      </c>
      <c r="F110" s="1">
        <v>0</v>
      </c>
      <c r="G110" s="3">
        <v>33968</v>
      </c>
      <c r="H110" s="1">
        <v>1</v>
      </c>
      <c r="I110" s="1" t="s">
        <v>35</v>
      </c>
      <c r="J110" s="1" t="s">
        <v>1019</v>
      </c>
      <c r="K110" s="2" t="s">
        <v>54</v>
      </c>
      <c r="L110" s="1" t="s">
        <v>58</v>
      </c>
      <c r="M110" s="1">
        <v>5.03</v>
      </c>
      <c r="N110" s="1">
        <v>27</v>
      </c>
      <c r="O110" s="1" t="s">
        <v>1020</v>
      </c>
      <c r="P110" s="1">
        <f>91-8888416991</f>
        <v>-8888416900</v>
      </c>
      <c r="Q110" s="1" t="s">
        <v>42</v>
      </c>
      <c r="R110" s="1" t="s">
        <v>42</v>
      </c>
      <c r="S110" s="1" t="s">
        <v>42</v>
      </c>
      <c r="T110" s="1" t="s">
        <v>42</v>
      </c>
      <c r="U110" s="1" t="s">
        <v>42</v>
      </c>
      <c r="V110" s="1" t="s">
        <v>42</v>
      </c>
      <c r="W110" s="1" t="s">
        <v>42</v>
      </c>
      <c r="X110" s="1" t="s">
        <v>42</v>
      </c>
      <c r="Y110" s="3">
        <v>42549.15848302083</v>
      </c>
      <c r="Z110" s="1">
        <v>1</v>
      </c>
      <c r="AA110" s="1">
        <v>1</v>
      </c>
      <c r="AB110" s="1">
        <v>1</v>
      </c>
      <c r="AC110" s="1">
        <v>4</v>
      </c>
      <c r="AD110" s="3" t="s">
        <v>42</v>
      </c>
      <c r="AE110" s="1" t="s">
        <v>42</v>
      </c>
    </row>
    <row r="111" spans="1:31" x14ac:dyDescent="0.35">
      <c r="A111" s="1">
        <v>1527</v>
      </c>
      <c r="B111" s="1" t="s">
        <v>1021</v>
      </c>
      <c r="C111" s="1" t="s">
        <v>1022</v>
      </c>
      <c r="D111" s="1" t="s">
        <v>1023</v>
      </c>
      <c r="E111" s="1" t="s">
        <v>71</v>
      </c>
      <c r="F111" s="1">
        <v>1</v>
      </c>
      <c r="G111" s="3">
        <v>32816</v>
      </c>
      <c r="H111" s="1">
        <v>1</v>
      </c>
      <c r="I111" s="1" t="s">
        <v>1024</v>
      </c>
      <c r="J111" s="1" t="s">
        <v>1025</v>
      </c>
      <c r="K111" s="2">
        <f>91-8885283997</f>
        <v>-8885283906</v>
      </c>
      <c r="L111" s="1" t="s">
        <v>58</v>
      </c>
      <c r="M111" s="1">
        <v>5.04</v>
      </c>
      <c r="N111" s="1">
        <v>54</v>
      </c>
      <c r="O111" s="1" t="s">
        <v>1026</v>
      </c>
      <c r="P111" s="1">
        <f>91-8885283998</f>
        <v>-8885283907</v>
      </c>
      <c r="Q111" s="1" t="s">
        <v>1027</v>
      </c>
      <c r="R111" s="1" t="s">
        <v>1028</v>
      </c>
      <c r="S111" s="1" t="s">
        <v>693</v>
      </c>
      <c r="T111" s="1" t="s">
        <v>58</v>
      </c>
      <c r="U111" s="1">
        <v>4.0999999999999996</v>
      </c>
      <c r="V111" s="1">
        <v>5.03</v>
      </c>
      <c r="W111" s="1" t="s">
        <v>1029</v>
      </c>
      <c r="Y111" s="3">
        <v>42552.092446724535</v>
      </c>
      <c r="Z111" s="1">
        <v>1</v>
      </c>
      <c r="AA111" s="1">
        <v>1</v>
      </c>
      <c r="AB111" s="1">
        <v>1</v>
      </c>
      <c r="AC111" s="1">
        <v>3</v>
      </c>
      <c r="AD111" s="3" t="s">
        <v>42</v>
      </c>
      <c r="AE111" s="1" t="s">
        <v>42</v>
      </c>
    </row>
    <row r="112" spans="1:31" x14ac:dyDescent="0.35">
      <c r="A112" s="1">
        <v>1531</v>
      </c>
      <c r="B112" s="1" t="s">
        <v>1030</v>
      </c>
      <c r="C112" s="1" t="s">
        <v>1031</v>
      </c>
      <c r="D112" s="1" t="s">
        <v>1032</v>
      </c>
      <c r="E112" s="1" t="s">
        <v>1033</v>
      </c>
      <c r="F112" s="1">
        <v>0</v>
      </c>
      <c r="G112" s="3">
        <v>33055</v>
      </c>
      <c r="H112" s="1">
        <v>1</v>
      </c>
      <c r="I112" s="1" t="s">
        <v>445</v>
      </c>
      <c r="J112" s="1" t="s">
        <v>1034</v>
      </c>
      <c r="K112" s="2">
        <f>91-9178518909</f>
        <v>-9178518818</v>
      </c>
      <c r="L112" s="1" t="s">
        <v>58</v>
      </c>
      <c r="M112" s="1">
        <v>5.03</v>
      </c>
      <c r="N112" s="1">
        <v>10</v>
      </c>
      <c r="O112" s="1" t="s">
        <v>1035</v>
      </c>
      <c r="P112" s="1">
        <f>91-9178518909</f>
        <v>-9178518818</v>
      </c>
      <c r="Q112" s="1" t="s">
        <v>1036</v>
      </c>
      <c r="S112" s="1" t="s">
        <v>1037</v>
      </c>
      <c r="T112" s="1" t="s">
        <v>58</v>
      </c>
      <c r="U112" s="1">
        <v>5.03</v>
      </c>
      <c r="V112" s="1">
        <v>6</v>
      </c>
      <c r="Y112" s="3">
        <v>42553.966011076387</v>
      </c>
      <c r="Z112" s="1">
        <v>1</v>
      </c>
      <c r="AA112" s="1">
        <v>1</v>
      </c>
      <c r="AB112" s="1">
        <v>1</v>
      </c>
      <c r="AC112" s="1">
        <v>4</v>
      </c>
      <c r="AD112" s="3" t="s">
        <v>42</v>
      </c>
      <c r="AE112" s="1" t="s">
        <v>42</v>
      </c>
    </row>
    <row r="113" spans="1:31" x14ac:dyDescent="0.35">
      <c r="A113" s="1">
        <v>1533</v>
      </c>
      <c r="B113" s="1" t="s">
        <v>1038</v>
      </c>
      <c r="C113" s="1">
        <v>11191983</v>
      </c>
      <c r="F113" s="1">
        <v>1</v>
      </c>
      <c r="G113" s="3">
        <v>30639</v>
      </c>
      <c r="H113" s="1">
        <v>1</v>
      </c>
      <c r="I113" s="1" t="s">
        <v>63</v>
      </c>
      <c r="J113" s="1" t="s">
        <v>405</v>
      </c>
      <c r="K113" s="2">
        <f>91-9913693590</f>
        <v>-9913693499</v>
      </c>
      <c r="L113" s="1" t="s">
        <v>58</v>
      </c>
      <c r="M113" s="1">
        <v>5.05</v>
      </c>
      <c r="N113" s="1">
        <v>11</v>
      </c>
      <c r="O113" s="1" t="s">
        <v>45</v>
      </c>
      <c r="P113" s="1">
        <f>91-9913693590</f>
        <v>-9913693499</v>
      </c>
      <c r="Q113" s="1" t="s">
        <v>1039</v>
      </c>
      <c r="R113" s="1" t="s">
        <v>1040</v>
      </c>
      <c r="S113" s="1" t="s">
        <v>909</v>
      </c>
      <c r="T113" s="1" t="s">
        <v>58</v>
      </c>
      <c r="U113" s="1">
        <v>5.04</v>
      </c>
      <c r="V113" s="1">
        <v>5.04</v>
      </c>
      <c r="W113" s="1" t="s">
        <v>1041</v>
      </c>
      <c r="X113" s="1" t="s">
        <v>1042</v>
      </c>
      <c r="Y113" s="3">
        <v>42554.910143865738</v>
      </c>
      <c r="Z113" s="1">
        <v>1</v>
      </c>
      <c r="AA113" s="1">
        <v>1</v>
      </c>
      <c r="AB113" s="1">
        <v>1</v>
      </c>
      <c r="AC113" s="1">
        <v>4</v>
      </c>
      <c r="AD113" s="3" t="s">
        <v>42</v>
      </c>
      <c r="AE113" s="1" t="s">
        <v>42</v>
      </c>
    </row>
    <row r="114" spans="1:31" x14ac:dyDescent="0.35">
      <c r="A114" s="1">
        <v>1540</v>
      </c>
      <c r="B114" s="1" t="s">
        <v>1043</v>
      </c>
      <c r="D114" s="1" t="s">
        <v>1044</v>
      </c>
      <c r="E114" s="1" t="s">
        <v>1045</v>
      </c>
      <c r="F114" s="1">
        <v>0</v>
      </c>
      <c r="G114" s="3">
        <v>33791</v>
      </c>
      <c r="H114" s="1">
        <v>1</v>
      </c>
      <c r="I114" s="1" t="s">
        <v>63</v>
      </c>
      <c r="J114" s="1" t="s">
        <v>94</v>
      </c>
      <c r="K114" s="2">
        <f>91-9408338555</f>
        <v>-9408338464</v>
      </c>
      <c r="L114" s="1" t="s">
        <v>58</v>
      </c>
      <c r="M114" s="1">
        <v>5.03</v>
      </c>
      <c r="N114" s="1">
        <v>51</v>
      </c>
      <c r="P114" s="1" t="s">
        <v>54</v>
      </c>
      <c r="R114" s="1" t="s">
        <v>94</v>
      </c>
      <c r="S114" s="1" t="s">
        <v>891</v>
      </c>
      <c r="T114" s="1" t="s">
        <v>58</v>
      </c>
      <c r="U114" s="1">
        <v>5.03</v>
      </c>
      <c r="V114" s="1">
        <v>5.09</v>
      </c>
      <c r="Y114" s="3">
        <v>42565.433878206015</v>
      </c>
      <c r="Z114" s="1">
        <v>1</v>
      </c>
      <c r="AA114" s="1">
        <v>1</v>
      </c>
      <c r="AB114" s="1">
        <v>1</v>
      </c>
      <c r="AC114" s="1">
        <v>4</v>
      </c>
      <c r="AD114" s="3" t="s">
        <v>42</v>
      </c>
      <c r="AE114" s="1" t="s">
        <v>42</v>
      </c>
    </row>
    <row r="115" spans="1:31" x14ac:dyDescent="0.35">
      <c r="A115" s="1">
        <v>1546</v>
      </c>
      <c r="B115" s="1" t="s">
        <v>1046</v>
      </c>
      <c r="C115" s="1" t="s">
        <v>1047</v>
      </c>
      <c r="D115" s="1" t="s">
        <v>187</v>
      </c>
      <c r="E115" s="1" t="s">
        <v>1048</v>
      </c>
      <c r="F115" s="1">
        <v>1</v>
      </c>
      <c r="G115" s="3">
        <v>32798</v>
      </c>
      <c r="H115" s="1">
        <v>1</v>
      </c>
      <c r="I115" s="1" t="s">
        <v>63</v>
      </c>
      <c r="J115" s="1" t="s">
        <v>94</v>
      </c>
      <c r="K115" s="2">
        <f>91-7621056897</f>
        <v>-7621056806</v>
      </c>
      <c r="L115" s="1" t="s">
        <v>58</v>
      </c>
      <c r="M115" s="1">
        <v>5.07</v>
      </c>
      <c r="N115" s="1">
        <v>46</v>
      </c>
      <c r="O115" s="1" t="s">
        <v>1049</v>
      </c>
      <c r="P115" s="1">
        <f>91-9429040081</f>
        <v>-9429039990</v>
      </c>
      <c r="Q115" s="1" t="s">
        <v>1050</v>
      </c>
      <c r="R115" s="1" t="s">
        <v>1051</v>
      </c>
      <c r="S115" s="1" t="s">
        <v>286</v>
      </c>
      <c r="T115" s="1" t="s">
        <v>140</v>
      </c>
      <c r="U115" s="1">
        <v>5</v>
      </c>
      <c r="V115" s="1">
        <v>5.0599999999999996</v>
      </c>
      <c r="W115" s="1" t="s">
        <v>1053</v>
      </c>
      <c r="X115" s="1" t="s">
        <v>1054</v>
      </c>
      <c r="Y115" s="3">
        <v>42571.059716863427</v>
      </c>
      <c r="Z115" s="1">
        <v>1</v>
      </c>
      <c r="AA115" s="1">
        <v>1</v>
      </c>
      <c r="AB115" s="1">
        <v>1</v>
      </c>
      <c r="AC115" s="1">
        <v>1</v>
      </c>
      <c r="AD115" s="3">
        <v>43541.61681550926</v>
      </c>
      <c r="AE115" s="1" t="s">
        <v>42</v>
      </c>
    </row>
    <row r="116" spans="1:31" x14ac:dyDescent="0.35">
      <c r="A116" s="1">
        <v>1548</v>
      </c>
      <c r="B116" s="1" t="s">
        <v>1055</v>
      </c>
      <c r="C116" s="1" t="s">
        <v>1056</v>
      </c>
      <c r="D116" s="1" t="s">
        <v>1057</v>
      </c>
      <c r="E116" s="1" t="s">
        <v>913</v>
      </c>
      <c r="F116" s="1">
        <v>0</v>
      </c>
      <c r="G116" s="3">
        <v>31886</v>
      </c>
      <c r="H116" s="1">
        <v>1</v>
      </c>
      <c r="I116" s="1" t="s">
        <v>63</v>
      </c>
      <c r="J116" s="1" t="s">
        <v>553</v>
      </c>
      <c r="K116" s="2">
        <f>91-9979478487</f>
        <v>-9979478396</v>
      </c>
      <c r="L116" s="1" t="s">
        <v>37</v>
      </c>
      <c r="M116" s="1">
        <v>5.1100000000000003</v>
      </c>
      <c r="N116" s="1">
        <v>0</v>
      </c>
      <c r="O116" s="1" t="s">
        <v>1058</v>
      </c>
      <c r="P116" s="1" t="s">
        <v>54</v>
      </c>
      <c r="Q116" s="1" t="s">
        <v>1059</v>
      </c>
      <c r="R116" s="1" t="s">
        <v>1060</v>
      </c>
      <c r="S116" s="1" t="s">
        <v>1061</v>
      </c>
      <c r="T116" s="1" t="s">
        <v>1062</v>
      </c>
      <c r="U116" s="1">
        <v>6</v>
      </c>
      <c r="V116" s="1">
        <v>6.03</v>
      </c>
      <c r="Y116" s="3">
        <v>42578.084557025461</v>
      </c>
      <c r="Z116" s="1">
        <v>1</v>
      </c>
      <c r="AA116" s="1">
        <v>1</v>
      </c>
      <c r="AB116" s="1">
        <v>1</v>
      </c>
      <c r="AC116" s="1">
        <v>4</v>
      </c>
      <c r="AD116" s="3" t="s">
        <v>42</v>
      </c>
      <c r="AE116" s="1" t="s">
        <v>42</v>
      </c>
    </row>
    <row r="117" spans="1:31" x14ac:dyDescent="0.35">
      <c r="A117" s="1">
        <v>1554</v>
      </c>
      <c r="B117" s="1" t="s">
        <v>1063</v>
      </c>
      <c r="C117" s="1" t="s">
        <v>1064</v>
      </c>
      <c r="D117" s="1" t="s">
        <v>1065</v>
      </c>
      <c r="E117" s="1" t="s">
        <v>1066</v>
      </c>
      <c r="F117" s="1">
        <v>0</v>
      </c>
      <c r="G117" s="3">
        <v>34157</v>
      </c>
      <c r="H117" s="1">
        <v>1</v>
      </c>
      <c r="I117" s="1" t="s">
        <v>35</v>
      </c>
      <c r="J117" s="1" t="s">
        <v>36</v>
      </c>
      <c r="K117" s="2" t="s">
        <v>54</v>
      </c>
      <c r="L117" s="1" t="s">
        <v>58</v>
      </c>
      <c r="M117" s="1">
        <v>5.05</v>
      </c>
      <c r="N117" s="1">
        <v>0</v>
      </c>
      <c r="P117" s="1" t="s">
        <v>54</v>
      </c>
      <c r="S117" s="1" t="s">
        <v>1067</v>
      </c>
      <c r="T117" s="1" t="s">
        <v>58</v>
      </c>
      <c r="U117" s="1">
        <v>5.07</v>
      </c>
      <c r="V117" s="1">
        <v>5.0999999999999996</v>
      </c>
      <c r="Y117" s="3">
        <v>42607.576727002313</v>
      </c>
      <c r="Z117" s="1">
        <v>1</v>
      </c>
      <c r="AA117" s="1">
        <v>1</v>
      </c>
      <c r="AB117" s="1">
        <v>1</v>
      </c>
      <c r="AC117" s="1">
        <v>4</v>
      </c>
      <c r="AD117" s="3" t="s">
        <v>42</v>
      </c>
      <c r="AE117" s="1" t="s">
        <v>42</v>
      </c>
    </row>
    <row r="118" spans="1:31" x14ac:dyDescent="0.35">
      <c r="A118" s="1">
        <v>1562</v>
      </c>
      <c r="B118" s="1" t="s">
        <v>1068</v>
      </c>
      <c r="C118" s="1" t="s">
        <v>1069</v>
      </c>
      <c r="D118" s="1" t="s">
        <v>1070</v>
      </c>
      <c r="E118" s="1" t="s">
        <v>262</v>
      </c>
      <c r="F118" s="1">
        <v>1</v>
      </c>
      <c r="G118" s="3">
        <v>32116</v>
      </c>
      <c r="H118" s="1">
        <v>1</v>
      </c>
      <c r="I118" s="1" t="s">
        <v>35</v>
      </c>
      <c r="J118" s="1" t="s">
        <v>209</v>
      </c>
      <c r="K118" s="2">
        <f>91-8600435825</f>
        <v>-8600435734</v>
      </c>
      <c r="L118" s="1" t="s">
        <v>58</v>
      </c>
      <c r="M118" s="1">
        <v>5.05</v>
      </c>
      <c r="N118" s="1">
        <v>19</v>
      </c>
      <c r="O118" s="1" t="s">
        <v>1071</v>
      </c>
      <c r="P118" s="1">
        <f>91-8600435825</f>
        <v>-8600435734</v>
      </c>
      <c r="Q118" s="1" t="s">
        <v>1072</v>
      </c>
      <c r="R118" s="1" t="s">
        <v>1073</v>
      </c>
      <c r="S118" s="1" t="s">
        <v>1074</v>
      </c>
      <c r="T118" s="1" t="s">
        <v>599</v>
      </c>
      <c r="U118" s="1">
        <v>4</v>
      </c>
      <c r="V118" s="1">
        <v>5.07</v>
      </c>
      <c r="W118" s="1" t="s">
        <v>1075</v>
      </c>
      <c r="X118" s="1" t="s">
        <v>1076</v>
      </c>
      <c r="Y118" s="3">
        <v>42650.991022071757</v>
      </c>
      <c r="Z118" s="1">
        <v>1</v>
      </c>
      <c r="AA118" s="1">
        <v>1</v>
      </c>
      <c r="AB118" s="1">
        <v>1</v>
      </c>
      <c r="AC118" s="1">
        <v>4</v>
      </c>
      <c r="AD118" s="3">
        <v>42892.354547951392</v>
      </c>
      <c r="AE118" s="1" t="s">
        <v>42</v>
      </c>
    </row>
    <row r="119" spans="1:31" x14ac:dyDescent="0.35">
      <c r="A119" s="1">
        <v>1565</v>
      </c>
      <c r="B119" s="1" t="s">
        <v>1077</v>
      </c>
      <c r="C119" s="1" t="s">
        <v>1078</v>
      </c>
      <c r="D119" s="1" t="s">
        <v>1079</v>
      </c>
      <c r="E119" s="1" t="s">
        <v>1080</v>
      </c>
      <c r="F119" s="1">
        <v>1</v>
      </c>
      <c r="G119" s="3">
        <v>32747</v>
      </c>
      <c r="H119" s="1">
        <v>1</v>
      </c>
      <c r="I119" s="1" t="s">
        <v>1081</v>
      </c>
      <c r="J119" s="1" t="s">
        <v>1082</v>
      </c>
      <c r="K119" s="2">
        <f>91-8889071071</f>
        <v>-8889070980</v>
      </c>
      <c r="L119" s="1" t="s">
        <v>42</v>
      </c>
      <c r="M119" s="1" t="s">
        <v>42</v>
      </c>
      <c r="N119" s="1" t="s">
        <v>42</v>
      </c>
      <c r="O119" s="1" t="s">
        <v>42</v>
      </c>
      <c r="P119" s="1" t="s">
        <v>42</v>
      </c>
      <c r="Q119" s="1" t="s">
        <v>42</v>
      </c>
      <c r="R119" s="1" t="s">
        <v>42</v>
      </c>
      <c r="S119" s="1" t="s">
        <v>42</v>
      </c>
      <c r="T119" s="1" t="s">
        <v>42</v>
      </c>
      <c r="U119" s="1" t="s">
        <v>42</v>
      </c>
      <c r="V119" s="1" t="s">
        <v>42</v>
      </c>
      <c r="W119" s="1" t="s">
        <v>1083</v>
      </c>
      <c r="X119" s="1" t="s">
        <v>1084</v>
      </c>
      <c r="Y119" s="3">
        <v>42683.174134409725</v>
      </c>
      <c r="Z119" s="1">
        <v>1</v>
      </c>
      <c r="AA119" s="1">
        <v>1</v>
      </c>
      <c r="AB119" s="1">
        <v>1</v>
      </c>
      <c r="AC119" s="1">
        <v>4</v>
      </c>
      <c r="AD119" s="3">
        <v>42760.48397577546</v>
      </c>
      <c r="AE119" s="1" t="s">
        <v>42</v>
      </c>
    </row>
    <row r="120" spans="1:31" x14ac:dyDescent="0.35">
      <c r="A120" s="1">
        <v>1567</v>
      </c>
      <c r="B120" s="1" t="s">
        <v>1085</v>
      </c>
      <c r="C120" s="1" t="s">
        <v>1086</v>
      </c>
      <c r="D120" s="1" t="s">
        <v>1087</v>
      </c>
      <c r="E120" s="1" t="s">
        <v>238</v>
      </c>
      <c r="F120" s="1">
        <v>0</v>
      </c>
      <c r="G120" s="3">
        <v>32997</v>
      </c>
      <c r="H120" s="1">
        <v>1</v>
      </c>
      <c r="I120" s="1" t="s">
        <v>63</v>
      </c>
      <c r="J120" s="1" t="s">
        <v>474</v>
      </c>
      <c r="K120" s="2">
        <f>91-8758482130</f>
        <v>-8758482039</v>
      </c>
      <c r="L120" s="1" t="s">
        <v>58</v>
      </c>
      <c r="M120" s="1">
        <v>5.03</v>
      </c>
      <c r="N120" s="1">
        <v>11</v>
      </c>
      <c r="O120" s="1" t="s">
        <v>1088</v>
      </c>
      <c r="P120" s="1" t="s">
        <v>54</v>
      </c>
      <c r="Q120" s="1" t="s">
        <v>1089</v>
      </c>
      <c r="R120" s="1" t="s">
        <v>1090</v>
      </c>
      <c r="S120" s="1" t="s">
        <v>1091</v>
      </c>
      <c r="T120" s="1" t="s">
        <v>58</v>
      </c>
      <c r="U120" s="1">
        <v>6.03</v>
      </c>
      <c r="V120" s="1">
        <v>6.03</v>
      </c>
      <c r="W120" s="1" t="s">
        <v>1092</v>
      </c>
      <c r="X120" s="1" t="s">
        <v>1093</v>
      </c>
      <c r="Y120" s="3">
        <v>42686.043619756943</v>
      </c>
      <c r="Z120" s="1">
        <v>1</v>
      </c>
      <c r="AA120" s="1">
        <v>1</v>
      </c>
      <c r="AB120" s="1">
        <v>1</v>
      </c>
      <c r="AC120" s="1">
        <v>4</v>
      </c>
      <c r="AD120" s="3">
        <v>42855.693219293978</v>
      </c>
      <c r="AE120" s="1" t="s">
        <v>42</v>
      </c>
    </row>
    <row r="121" spans="1:31" x14ac:dyDescent="0.35">
      <c r="A121" s="1">
        <v>1570</v>
      </c>
      <c r="B121" s="1" t="s">
        <v>1094</v>
      </c>
      <c r="C121" s="1" t="s">
        <v>1095</v>
      </c>
      <c r="D121" s="1" t="s">
        <v>1096</v>
      </c>
      <c r="E121" s="1" t="s">
        <v>1097</v>
      </c>
      <c r="F121" s="1">
        <v>1</v>
      </c>
      <c r="G121" s="3">
        <v>34719</v>
      </c>
      <c r="H121" s="1">
        <v>1</v>
      </c>
      <c r="I121" s="1" t="s">
        <v>63</v>
      </c>
      <c r="J121" s="1" t="s">
        <v>64</v>
      </c>
      <c r="K121" s="2">
        <f>91-9428631616</f>
        <v>-9428631525</v>
      </c>
      <c r="L121" s="1" t="s">
        <v>58</v>
      </c>
      <c r="M121" s="1">
        <v>5.04</v>
      </c>
      <c r="N121" s="1">
        <v>5</v>
      </c>
      <c r="O121" s="1" t="s">
        <v>1098</v>
      </c>
      <c r="P121" s="1" t="s">
        <v>54</v>
      </c>
      <c r="Q121" s="1" t="s">
        <v>148</v>
      </c>
      <c r="R121" s="1" t="s">
        <v>1099</v>
      </c>
      <c r="S121" s="1" t="s">
        <v>546</v>
      </c>
      <c r="T121" s="1" t="s">
        <v>58</v>
      </c>
      <c r="U121" s="1">
        <v>4.1100000000000003</v>
      </c>
      <c r="V121" s="1">
        <v>5.0599999999999996</v>
      </c>
      <c r="W121" s="1" t="s">
        <v>1100</v>
      </c>
      <c r="X121" s="1" t="s">
        <v>1101</v>
      </c>
      <c r="Y121" s="3">
        <v>42694.325022951387</v>
      </c>
      <c r="Z121" s="1">
        <v>1</v>
      </c>
      <c r="AA121" s="1">
        <v>1</v>
      </c>
      <c r="AB121" s="1">
        <v>1</v>
      </c>
      <c r="AC121" s="1">
        <v>4</v>
      </c>
      <c r="AD121" s="3">
        <v>43001.393184490742</v>
      </c>
      <c r="AE121" s="1" t="s">
        <v>42</v>
      </c>
    </row>
    <row r="122" spans="1:31" x14ac:dyDescent="0.35">
      <c r="A122" s="1">
        <v>1571</v>
      </c>
      <c r="B122" s="1" t="s">
        <v>1102</v>
      </c>
      <c r="C122" s="1" t="s">
        <v>1103</v>
      </c>
      <c r="D122" s="1" t="s">
        <v>1104</v>
      </c>
      <c r="E122" s="1" t="s">
        <v>1105</v>
      </c>
      <c r="F122" s="1">
        <v>0</v>
      </c>
      <c r="G122" s="3">
        <v>33988</v>
      </c>
      <c r="H122" s="1">
        <v>1</v>
      </c>
      <c r="I122" s="1" t="s">
        <v>63</v>
      </c>
      <c r="J122" s="1" t="s">
        <v>370</v>
      </c>
      <c r="K122" s="2">
        <f>91-9619006145</f>
        <v>-9619006054</v>
      </c>
      <c r="L122" s="1" t="s">
        <v>58</v>
      </c>
      <c r="M122" s="1">
        <v>5.01</v>
      </c>
      <c r="N122" s="1">
        <v>32</v>
      </c>
      <c r="O122" s="1" t="s">
        <v>1106</v>
      </c>
      <c r="P122" s="1">
        <f>91-9892434032</f>
        <v>-9892433941</v>
      </c>
      <c r="Q122" s="1" t="s">
        <v>1107</v>
      </c>
      <c r="R122" s="1" t="s">
        <v>1108</v>
      </c>
      <c r="S122" s="1" t="s">
        <v>150</v>
      </c>
      <c r="T122" s="1" t="s">
        <v>58</v>
      </c>
      <c r="U122" s="1">
        <v>5.03</v>
      </c>
      <c r="V122" s="1">
        <v>5.07</v>
      </c>
      <c r="W122" s="1" t="s">
        <v>1109</v>
      </c>
      <c r="X122" s="1" t="s">
        <v>1110</v>
      </c>
      <c r="Y122" s="3">
        <v>42701.990078206021</v>
      </c>
      <c r="Z122" s="1">
        <v>1</v>
      </c>
      <c r="AA122" s="1">
        <v>1</v>
      </c>
      <c r="AB122" s="1">
        <v>1</v>
      </c>
      <c r="AC122" s="1">
        <v>1</v>
      </c>
      <c r="AD122" s="3">
        <v>43240.516128738425</v>
      </c>
      <c r="AE122" s="1" t="s">
        <v>42</v>
      </c>
    </row>
    <row r="123" spans="1:31" x14ac:dyDescent="0.35">
      <c r="A123" s="1">
        <v>1572</v>
      </c>
      <c r="B123" s="1" t="s">
        <v>1111</v>
      </c>
      <c r="C123" s="1" t="s">
        <v>1112</v>
      </c>
      <c r="D123" s="1" t="s">
        <v>1113</v>
      </c>
      <c r="E123" s="1" t="s">
        <v>34</v>
      </c>
      <c r="F123" s="1">
        <v>1</v>
      </c>
      <c r="G123" s="3">
        <v>32064</v>
      </c>
      <c r="H123" s="1">
        <v>1</v>
      </c>
      <c r="I123" s="1" t="s">
        <v>35</v>
      </c>
      <c r="J123" s="1" t="s">
        <v>506</v>
      </c>
      <c r="K123" s="2">
        <f>91-8180890155</f>
        <v>-8180890064</v>
      </c>
      <c r="L123" s="1" t="s">
        <v>58</v>
      </c>
      <c r="M123" s="1">
        <v>5.08</v>
      </c>
      <c r="N123" s="1">
        <v>12</v>
      </c>
      <c r="O123" s="1" t="s">
        <v>1114</v>
      </c>
      <c r="P123" s="1">
        <f>91-9421815569</f>
        <v>-9421815478</v>
      </c>
      <c r="Q123" s="1" t="s">
        <v>1115</v>
      </c>
      <c r="R123" s="1" t="s">
        <v>1116</v>
      </c>
      <c r="S123" s="1" t="s">
        <v>1117</v>
      </c>
      <c r="T123" s="1" t="s">
        <v>58</v>
      </c>
      <c r="U123" s="1">
        <v>5.01</v>
      </c>
      <c r="V123" s="1">
        <v>5.08</v>
      </c>
      <c r="W123" s="1" t="s">
        <v>1118</v>
      </c>
      <c r="X123" s="1" t="s">
        <v>1119</v>
      </c>
      <c r="Y123" s="3">
        <v>42708.295882638886</v>
      </c>
      <c r="Z123" s="1">
        <v>1</v>
      </c>
      <c r="AA123" s="1">
        <v>1</v>
      </c>
      <c r="AB123" s="1">
        <v>1</v>
      </c>
      <c r="AC123" s="1">
        <v>1</v>
      </c>
      <c r="AD123" s="3">
        <v>43921.507791932869</v>
      </c>
      <c r="AE123" s="1" t="s">
        <v>42</v>
      </c>
    </row>
    <row r="124" spans="1:31" x14ac:dyDescent="0.35">
      <c r="A124" s="1">
        <v>1573</v>
      </c>
      <c r="B124" s="1" t="s">
        <v>1120</v>
      </c>
      <c r="C124" s="1" t="s">
        <v>1121</v>
      </c>
      <c r="D124" s="1" t="s">
        <v>1122</v>
      </c>
      <c r="E124" s="1" t="s">
        <v>1123</v>
      </c>
      <c r="F124" s="1">
        <v>1</v>
      </c>
      <c r="G124" s="3">
        <v>34261</v>
      </c>
      <c r="H124" s="1">
        <v>1</v>
      </c>
      <c r="I124" s="1" t="s">
        <v>63</v>
      </c>
      <c r="J124" s="1" t="s">
        <v>64</v>
      </c>
      <c r="K124" s="2">
        <f>91-9601587900</f>
        <v>-9601587809</v>
      </c>
      <c r="L124" s="1" t="s">
        <v>58</v>
      </c>
      <c r="M124" s="1">
        <v>5.07</v>
      </c>
      <c r="N124" s="1">
        <v>19</v>
      </c>
      <c r="O124" s="1" t="s">
        <v>1124</v>
      </c>
      <c r="P124" s="1">
        <f>91-7016586335</f>
        <v>-7016586244</v>
      </c>
      <c r="Q124" s="1" t="s">
        <v>1125</v>
      </c>
      <c r="R124" s="1" t="s">
        <v>1126</v>
      </c>
      <c r="S124" s="1" t="s">
        <v>323</v>
      </c>
      <c r="T124" s="1" t="s">
        <v>58</v>
      </c>
      <c r="U124" s="1">
        <v>5.01</v>
      </c>
      <c r="V124" s="1">
        <v>5.07</v>
      </c>
      <c r="W124" s="1" t="s">
        <v>1127</v>
      </c>
      <c r="X124" s="1" t="s">
        <v>1128</v>
      </c>
      <c r="Y124" s="3">
        <v>42710.979868206021</v>
      </c>
      <c r="Z124" s="1">
        <v>1</v>
      </c>
      <c r="AA124" s="1">
        <v>1</v>
      </c>
      <c r="AB124" s="1">
        <v>1</v>
      </c>
      <c r="AC124" s="1">
        <v>1</v>
      </c>
      <c r="AD124" s="3">
        <v>44018.493239004631</v>
      </c>
      <c r="AE124" s="1" t="s">
        <v>42</v>
      </c>
    </row>
    <row r="125" spans="1:31" x14ac:dyDescent="0.35">
      <c r="A125" s="1">
        <v>1591</v>
      </c>
      <c r="B125" s="1" t="s">
        <v>1129</v>
      </c>
      <c r="C125" s="1" t="s">
        <v>1130</v>
      </c>
      <c r="D125" s="1" t="s">
        <v>1131</v>
      </c>
      <c r="E125" s="1" t="s">
        <v>1132</v>
      </c>
      <c r="F125" s="1">
        <v>1</v>
      </c>
      <c r="G125" s="3">
        <v>33945</v>
      </c>
      <c r="H125" s="1">
        <v>1</v>
      </c>
      <c r="I125" s="1" t="s">
        <v>63</v>
      </c>
      <c r="J125" s="1" t="s">
        <v>459</v>
      </c>
      <c r="K125" s="2">
        <f>91-9428250541</f>
        <v>-9428250450</v>
      </c>
      <c r="L125" s="1" t="s">
        <v>58</v>
      </c>
      <c r="M125" s="1">
        <v>5.07</v>
      </c>
      <c r="N125" s="1">
        <v>50</v>
      </c>
      <c r="O125" s="1" t="s">
        <v>1133</v>
      </c>
      <c r="P125" s="1" t="s">
        <v>54</v>
      </c>
      <c r="Q125" s="1" t="s">
        <v>1134</v>
      </c>
      <c r="R125" s="1" t="s">
        <v>1135</v>
      </c>
      <c r="S125" s="1" t="s">
        <v>693</v>
      </c>
      <c r="T125" s="1" t="s">
        <v>58</v>
      </c>
      <c r="U125" s="1">
        <v>5.0199999999999996</v>
      </c>
      <c r="V125" s="1">
        <v>5.0599999999999996</v>
      </c>
      <c r="W125" s="1" t="s">
        <v>1136</v>
      </c>
      <c r="X125" s="1" t="s">
        <v>1137</v>
      </c>
      <c r="Y125" s="3">
        <v>42722.436285844909</v>
      </c>
      <c r="Z125" s="1">
        <v>1</v>
      </c>
      <c r="AA125" s="1">
        <v>1</v>
      </c>
      <c r="AB125" s="1">
        <v>1</v>
      </c>
      <c r="AC125" s="1">
        <v>1</v>
      </c>
      <c r="AD125" s="3">
        <v>44068.242032141206</v>
      </c>
      <c r="AE125" s="1" t="s">
        <v>42</v>
      </c>
    </row>
    <row r="126" spans="1:31" x14ac:dyDescent="0.35">
      <c r="A126" s="1">
        <v>1592</v>
      </c>
      <c r="B126" s="1" t="s">
        <v>1138</v>
      </c>
      <c r="C126" s="1" t="s">
        <v>1130</v>
      </c>
      <c r="D126" s="1" t="s">
        <v>1139</v>
      </c>
      <c r="E126" s="1" t="s">
        <v>1132</v>
      </c>
      <c r="F126" s="1">
        <v>1</v>
      </c>
      <c r="G126" s="3">
        <v>32822</v>
      </c>
      <c r="H126" s="1">
        <v>1</v>
      </c>
      <c r="I126" s="1" t="s">
        <v>63</v>
      </c>
      <c r="J126" s="1" t="s">
        <v>1140</v>
      </c>
      <c r="K126" s="2">
        <f>91-9586576368</f>
        <v>-9586576277</v>
      </c>
      <c r="L126" s="1" t="s">
        <v>58</v>
      </c>
      <c r="M126" s="1">
        <v>5.0599999999999996</v>
      </c>
      <c r="N126" s="1">
        <v>50</v>
      </c>
      <c r="O126" s="1" t="s">
        <v>1141</v>
      </c>
      <c r="P126" s="1">
        <f>91-9428250541</f>
        <v>-9428250450</v>
      </c>
      <c r="Q126" s="1" t="s">
        <v>1134</v>
      </c>
      <c r="R126" s="1" t="s">
        <v>1142</v>
      </c>
      <c r="S126" s="1" t="s">
        <v>1143</v>
      </c>
      <c r="T126" s="1" t="s">
        <v>140</v>
      </c>
      <c r="U126" s="1">
        <v>5</v>
      </c>
      <c r="V126" s="1">
        <v>5</v>
      </c>
      <c r="W126" s="1" t="s">
        <v>1144</v>
      </c>
      <c r="X126" s="1" t="s">
        <v>1145</v>
      </c>
      <c r="Y126" s="3">
        <v>42723.298603935182</v>
      </c>
      <c r="Z126" s="1">
        <v>1</v>
      </c>
      <c r="AA126" s="1">
        <v>1</v>
      </c>
      <c r="AB126" s="1">
        <v>1</v>
      </c>
      <c r="AC126" s="1">
        <v>1</v>
      </c>
      <c r="AD126" s="3">
        <v>44068.2424034375</v>
      </c>
      <c r="AE126" s="1" t="s">
        <v>42</v>
      </c>
    </row>
    <row r="127" spans="1:31" x14ac:dyDescent="0.35">
      <c r="A127" s="1">
        <v>1593</v>
      </c>
      <c r="B127" s="1" t="s">
        <v>1146</v>
      </c>
      <c r="C127" s="1" t="s">
        <v>1147</v>
      </c>
      <c r="D127" s="1" t="s">
        <v>1148</v>
      </c>
      <c r="E127" s="1" t="s">
        <v>71</v>
      </c>
      <c r="F127" s="1">
        <v>1</v>
      </c>
      <c r="G127" s="3">
        <v>33100</v>
      </c>
      <c r="H127" s="1">
        <v>189</v>
      </c>
      <c r="I127" s="1" t="s">
        <v>1149</v>
      </c>
      <c r="J127" s="1" t="s">
        <v>1149</v>
      </c>
      <c r="K127" s="2">
        <f>91-9909674798</f>
        <v>-9909674707</v>
      </c>
      <c r="L127" s="1" t="s">
        <v>58</v>
      </c>
      <c r="M127" s="1">
        <v>5.05</v>
      </c>
      <c r="N127" s="1">
        <v>10</v>
      </c>
      <c r="O127" s="1" t="s">
        <v>1150</v>
      </c>
      <c r="P127" s="1">
        <f>91-9913415206</f>
        <v>-9913415115</v>
      </c>
      <c r="Q127" s="1" t="s">
        <v>1151</v>
      </c>
      <c r="R127" s="1" t="s">
        <v>1152</v>
      </c>
      <c r="S127" s="1" t="s">
        <v>276</v>
      </c>
      <c r="T127" s="1" t="s">
        <v>58</v>
      </c>
      <c r="U127" s="1">
        <v>4</v>
      </c>
      <c r="V127" s="1">
        <v>5.0599999999999996</v>
      </c>
      <c r="W127" s="1" t="s">
        <v>1153</v>
      </c>
      <c r="X127" s="1" t="s">
        <v>1154</v>
      </c>
      <c r="Y127" s="3">
        <v>42723.306795023149</v>
      </c>
      <c r="Z127" s="1">
        <v>1</v>
      </c>
      <c r="AA127" s="1">
        <v>1</v>
      </c>
      <c r="AB127" s="1">
        <v>1</v>
      </c>
      <c r="AC127" s="1">
        <v>4</v>
      </c>
      <c r="AD127" s="3">
        <v>42890.315123692133</v>
      </c>
      <c r="AE127" s="1" t="s">
        <v>42</v>
      </c>
    </row>
    <row r="128" spans="1:31" x14ac:dyDescent="0.35">
      <c r="A128" s="1">
        <v>1598</v>
      </c>
      <c r="B128" s="1" t="s">
        <v>1155</v>
      </c>
      <c r="C128" s="1" t="s">
        <v>1156</v>
      </c>
      <c r="D128" s="1" t="s">
        <v>1157</v>
      </c>
      <c r="E128" s="1" t="s">
        <v>444</v>
      </c>
      <c r="F128" s="1">
        <v>1</v>
      </c>
      <c r="G128" s="3">
        <v>32865</v>
      </c>
      <c r="H128" s="1">
        <v>1</v>
      </c>
      <c r="I128" s="1" t="s">
        <v>63</v>
      </c>
      <c r="J128" s="1" t="s">
        <v>370</v>
      </c>
      <c r="K128" s="2">
        <f>91-9408243276</f>
        <v>-9408243185</v>
      </c>
      <c r="L128" s="1" t="s">
        <v>58</v>
      </c>
      <c r="M128" s="1">
        <v>5.08</v>
      </c>
      <c r="N128" s="1">
        <v>5</v>
      </c>
      <c r="O128" s="1" t="s">
        <v>1158</v>
      </c>
      <c r="P128" s="1">
        <f>91-9408243276</f>
        <v>-9408243185</v>
      </c>
      <c r="Q128" s="1" t="s">
        <v>1159</v>
      </c>
      <c r="R128" s="1" t="s">
        <v>1160</v>
      </c>
      <c r="S128" s="1" t="s">
        <v>1161</v>
      </c>
      <c r="T128" s="1" t="s">
        <v>58</v>
      </c>
      <c r="U128" s="1">
        <v>5</v>
      </c>
      <c r="V128" s="1">
        <v>6</v>
      </c>
      <c r="W128" s="1" t="s">
        <v>1162</v>
      </c>
      <c r="X128" s="1" t="s">
        <v>1163</v>
      </c>
      <c r="Y128" s="3">
        <v>42733.869428587961</v>
      </c>
      <c r="Z128" s="1">
        <v>1</v>
      </c>
      <c r="AA128" s="1">
        <v>1</v>
      </c>
      <c r="AB128" s="1">
        <v>1</v>
      </c>
      <c r="AC128" s="1">
        <v>4</v>
      </c>
      <c r="AD128" s="3">
        <v>42739.356792280094</v>
      </c>
      <c r="AE128" s="1" t="s">
        <v>42</v>
      </c>
    </row>
    <row r="129" spans="1:31" x14ac:dyDescent="0.35">
      <c r="A129" s="1">
        <v>1600</v>
      </c>
      <c r="B129" s="1" t="s">
        <v>1164</v>
      </c>
      <c r="C129" s="1">
        <v>9898451355</v>
      </c>
      <c r="D129" s="1" t="s">
        <v>1165</v>
      </c>
      <c r="E129" s="1" t="s">
        <v>1166</v>
      </c>
      <c r="F129" s="1">
        <v>0</v>
      </c>
      <c r="G129" s="3">
        <v>34284</v>
      </c>
      <c r="H129" s="1">
        <v>1</v>
      </c>
      <c r="K129" s="2">
        <f>91-9898451355</f>
        <v>-9898451264</v>
      </c>
      <c r="L129" s="1" t="s">
        <v>58</v>
      </c>
      <c r="M129" s="1">
        <v>5</v>
      </c>
      <c r="N129" s="1">
        <v>27</v>
      </c>
      <c r="O129" s="1" t="s">
        <v>1168</v>
      </c>
      <c r="P129" s="1">
        <f>91-9898451355</f>
        <v>-9898451264</v>
      </c>
      <c r="Q129" s="1" t="s">
        <v>42</v>
      </c>
      <c r="R129" s="1" t="s">
        <v>42</v>
      </c>
      <c r="S129" s="1" t="s">
        <v>42</v>
      </c>
      <c r="T129" s="1" t="s">
        <v>42</v>
      </c>
      <c r="U129" s="1" t="s">
        <v>42</v>
      </c>
      <c r="V129" s="1" t="s">
        <v>42</v>
      </c>
      <c r="W129" s="1" t="s">
        <v>42</v>
      </c>
      <c r="X129" s="1" t="s">
        <v>42</v>
      </c>
      <c r="Y129" s="3">
        <v>42741.17148394676</v>
      </c>
      <c r="Z129" s="1">
        <v>1</v>
      </c>
      <c r="AA129" s="1">
        <v>1</v>
      </c>
      <c r="AB129" s="1">
        <v>1</v>
      </c>
      <c r="AC129" s="1">
        <v>4</v>
      </c>
      <c r="AD129" s="3" t="s">
        <v>42</v>
      </c>
      <c r="AE129" s="1" t="s">
        <v>42</v>
      </c>
    </row>
    <row r="130" spans="1:31" x14ac:dyDescent="0.35">
      <c r="A130" s="1">
        <v>1601</v>
      </c>
      <c r="B130" s="1" t="s">
        <v>1169</v>
      </c>
      <c r="C130" s="1" t="s">
        <v>1170</v>
      </c>
      <c r="D130" s="1" t="s">
        <v>1171</v>
      </c>
      <c r="E130" s="1" t="s">
        <v>1172</v>
      </c>
      <c r="F130" s="1">
        <v>0</v>
      </c>
      <c r="G130" s="3">
        <v>33518</v>
      </c>
      <c r="H130" s="1">
        <v>1</v>
      </c>
      <c r="I130" s="1" t="s">
        <v>63</v>
      </c>
      <c r="J130" s="1" t="s">
        <v>64</v>
      </c>
      <c r="K130" s="2">
        <f>91-7698720082</f>
        <v>-7698719991</v>
      </c>
      <c r="L130" s="1" t="s">
        <v>42</v>
      </c>
      <c r="M130" s="1" t="s">
        <v>42</v>
      </c>
      <c r="N130" s="1" t="s">
        <v>42</v>
      </c>
      <c r="O130" s="1" t="s">
        <v>42</v>
      </c>
      <c r="P130" s="1" t="s">
        <v>42</v>
      </c>
      <c r="Q130" s="1" t="s">
        <v>42</v>
      </c>
      <c r="R130" s="1" t="s">
        <v>42</v>
      </c>
      <c r="S130" s="1" t="s">
        <v>42</v>
      </c>
      <c r="T130" s="1" t="s">
        <v>42</v>
      </c>
      <c r="U130" s="1" t="s">
        <v>42</v>
      </c>
      <c r="V130" s="1" t="s">
        <v>42</v>
      </c>
      <c r="W130" s="1" t="s">
        <v>42</v>
      </c>
      <c r="X130" s="1" t="s">
        <v>42</v>
      </c>
      <c r="Y130" s="3">
        <v>42742.186955821759</v>
      </c>
      <c r="Z130" s="1">
        <v>1</v>
      </c>
      <c r="AA130" s="1">
        <v>1</v>
      </c>
      <c r="AB130" s="1">
        <v>1</v>
      </c>
      <c r="AC130" s="1">
        <v>4</v>
      </c>
      <c r="AD130" s="3" t="s">
        <v>42</v>
      </c>
      <c r="AE130" s="1" t="s">
        <v>42</v>
      </c>
    </row>
    <row r="131" spans="1:31" x14ac:dyDescent="0.35">
      <c r="A131" s="1">
        <v>1604</v>
      </c>
      <c r="B131" s="1" t="s">
        <v>1173</v>
      </c>
      <c r="C131" s="1" t="s">
        <v>1174</v>
      </c>
      <c r="D131" s="1" t="s">
        <v>1175</v>
      </c>
      <c r="E131" s="1" t="s">
        <v>52</v>
      </c>
      <c r="F131" s="1">
        <v>1</v>
      </c>
      <c r="G131" s="3">
        <v>33572</v>
      </c>
      <c r="H131" s="1">
        <v>1</v>
      </c>
      <c r="I131" s="1" t="s">
        <v>63</v>
      </c>
      <c r="J131" s="1" t="s">
        <v>64</v>
      </c>
      <c r="K131" s="2">
        <f>91-9662626252</f>
        <v>-9662626161</v>
      </c>
      <c r="L131" s="1" t="s">
        <v>58</v>
      </c>
      <c r="M131" s="1">
        <v>5.03</v>
      </c>
      <c r="N131" s="1">
        <v>33</v>
      </c>
      <c r="O131" s="1" t="s">
        <v>1176</v>
      </c>
      <c r="P131" s="1" t="s">
        <v>54</v>
      </c>
      <c r="Q131" s="1" t="s">
        <v>1177</v>
      </c>
      <c r="R131" s="1" t="s">
        <v>1178</v>
      </c>
      <c r="S131" s="1" t="s">
        <v>469</v>
      </c>
      <c r="T131" s="1" t="s">
        <v>58</v>
      </c>
      <c r="U131" s="1">
        <v>4.0999999999999996</v>
      </c>
      <c r="V131" s="1">
        <v>5.01</v>
      </c>
      <c r="W131" s="1" t="s">
        <v>1179</v>
      </c>
      <c r="X131" s="1" t="s">
        <v>1180</v>
      </c>
      <c r="Y131" s="3">
        <v>42743.391181446757</v>
      </c>
      <c r="Z131" s="1">
        <v>1</v>
      </c>
      <c r="AA131" s="1">
        <v>1</v>
      </c>
      <c r="AB131" s="1">
        <v>1</v>
      </c>
      <c r="AC131" s="1">
        <v>1</v>
      </c>
      <c r="AD131" s="3">
        <v>43111.635826273145</v>
      </c>
      <c r="AE131" s="1" t="s">
        <v>42</v>
      </c>
    </row>
    <row r="132" spans="1:31" x14ac:dyDescent="0.35">
      <c r="A132" s="1">
        <v>1607</v>
      </c>
      <c r="B132" s="1" t="s">
        <v>1181</v>
      </c>
      <c r="C132" s="1" t="s">
        <v>1182</v>
      </c>
      <c r="D132" s="1" t="s">
        <v>1183</v>
      </c>
      <c r="E132" s="1" t="s">
        <v>52</v>
      </c>
      <c r="F132" s="1">
        <v>0</v>
      </c>
      <c r="G132" s="3">
        <v>34499</v>
      </c>
      <c r="H132" s="1">
        <v>1</v>
      </c>
      <c r="I132" s="1" t="s">
        <v>1024</v>
      </c>
      <c r="J132" s="1" t="s">
        <v>1025</v>
      </c>
      <c r="K132" s="2">
        <f>91-9849434236</f>
        <v>-9849434145</v>
      </c>
      <c r="L132" s="1" t="s">
        <v>58</v>
      </c>
      <c r="M132" s="1">
        <v>5.03</v>
      </c>
      <c r="N132" s="1">
        <v>11</v>
      </c>
      <c r="O132" s="1" t="s">
        <v>1184</v>
      </c>
      <c r="P132" s="1">
        <f>91-9248144567</f>
        <v>-9248144476</v>
      </c>
      <c r="Q132" s="1" t="s">
        <v>1185</v>
      </c>
      <c r="R132" s="1" t="s">
        <v>1186</v>
      </c>
      <c r="S132" s="1" t="s">
        <v>1187</v>
      </c>
      <c r="T132" s="1" t="s">
        <v>58</v>
      </c>
      <c r="U132" s="1">
        <v>5.08</v>
      </c>
      <c r="V132" s="1">
        <v>5.08</v>
      </c>
      <c r="W132" s="1" t="s">
        <v>1188</v>
      </c>
      <c r="X132" s="1" t="s">
        <v>1189</v>
      </c>
      <c r="Y132" s="3">
        <v>42749.06933445602</v>
      </c>
      <c r="Z132" s="1">
        <v>1</v>
      </c>
      <c r="AA132" s="1">
        <v>1</v>
      </c>
      <c r="AB132" s="1">
        <v>1</v>
      </c>
      <c r="AC132" s="1">
        <v>4</v>
      </c>
      <c r="AD132" s="3">
        <v>43047.678365127314</v>
      </c>
      <c r="AE132" s="1" t="s">
        <v>42</v>
      </c>
    </row>
    <row r="133" spans="1:31" x14ac:dyDescent="0.35">
      <c r="A133" s="1">
        <v>1608</v>
      </c>
      <c r="B133" s="1" t="s">
        <v>1190</v>
      </c>
      <c r="C133" s="1">
        <v>8827099319</v>
      </c>
      <c r="D133" s="1" t="s">
        <v>1191</v>
      </c>
      <c r="E133" s="1" t="s">
        <v>1192</v>
      </c>
      <c r="F133" s="1">
        <v>1</v>
      </c>
      <c r="G133" s="3">
        <v>32960</v>
      </c>
      <c r="H133" s="1">
        <v>1</v>
      </c>
      <c r="I133" s="1" t="s">
        <v>63</v>
      </c>
      <c r="J133" s="1" t="s">
        <v>115</v>
      </c>
      <c r="K133" s="2">
        <f>91-9624548128</f>
        <v>-9624548037</v>
      </c>
      <c r="L133" s="1" t="s">
        <v>58</v>
      </c>
      <c r="M133" s="1">
        <v>5.0599999999999996</v>
      </c>
      <c r="N133" s="1">
        <v>43</v>
      </c>
      <c r="O133" s="1" t="s">
        <v>1193</v>
      </c>
      <c r="P133" s="1">
        <f>91-7778856499</f>
        <v>-7778856408</v>
      </c>
      <c r="Q133" s="1" t="s">
        <v>1194</v>
      </c>
      <c r="R133" s="1" t="s">
        <v>1195</v>
      </c>
      <c r="S133" s="1" t="s">
        <v>276</v>
      </c>
      <c r="T133" s="1" t="s">
        <v>599</v>
      </c>
      <c r="U133" s="1">
        <v>5.01</v>
      </c>
      <c r="V133" s="1">
        <v>5.05</v>
      </c>
      <c r="X133" s="1" t="s">
        <v>1196</v>
      </c>
      <c r="Y133" s="3">
        <v>42750.102571678239</v>
      </c>
      <c r="Z133" s="1">
        <v>1</v>
      </c>
      <c r="AA133" s="1">
        <v>1</v>
      </c>
      <c r="AB133" s="1">
        <v>1</v>
      </c>
      <c r="AC133" s="1">
        <v>4</v>
      </c>
      <c r="AD133" s="3" t="s">
        <v>42</v>
      </c>
      <c r="AE133" s="1" t="s">
        <v>42</v>
      </c>
    </row>
    <row r="134" spans="1:31" x14ac:dyDescent="0.35">
      <c r="A134" s="1">
        <v>1611</v>
      </c>
      <c r="B134" s="1" t="s">
        <v>1197</v>
      </c>
      <c r="C134" s="1">
        <v>28101982</v>
      </c>
      <c r="D134" s="1" t="s">
        <v>836</v>
      </c>
      <c r="E134" s="1" t="s">
        <v>329</v>
      </c>
      <c r="F134" s="1">
        <v>1</v>
      </c>
      <c r="G134" s="3">
        <v>32206</v>
      </c>
      <c r="H134" s="1">
        <v>1</v>
      </c>
      <c r="I134" s="1" t="s">
        <v>35</v>
      </c>
      <c r="J134" s="1" t="s">
        <v>1198</v>
      </c>
      <c r="K134" s="2">
        <f>91-9420842160</f>
        <v>-9420842069</v>
      </c>
      <c r="L134" s="1" t="s">
        <v>58</v>
      </c>
      <c r="M134" s="1">
        <v>5.0599999999999996</v>
      </c>
      <c r="N134" s="1">
        <v>14</v>
      </c>
      <c r="O134" s="1" t="s">
        <v>1199</v>
      </c>
      <c r="P134" s="1">
        <f>91-9420842160</f>
        <v>-9420842069</v>
      </c>
      <c r="Q134" s="1" t="s">
        <v>1200</v>
      </c>
      <c r="R134" s="1" t="s">
        <v>1201</v>
      </c>
      <c r="S134" s="1" t="s">
        <v>1202</v>
      </c>
      <c r="T134" s="1" t="s">
        <v>58</v>
      </c>
      <c r="U134" s="1">
        <v>5</v>
      </c>
      <c r="V134" s="1">
        <v>5.0599999999999996</v>
      </c>
      <c r="W134" s="1" t="s">
        <v>1203</v>
      </c>
      <c r="X134" s="1" t="s">
        <v>1204</v>
      </c>
      <c r="Y134" s="3">
        <v>42752.9117934838</v>
      </c>
      <c r="Z134" s="1">
        <v>1</v>
      </c>
      <c r="AA134" s="1">
        <v>1</v>
      </c>
      <c r="AB134" s="1">
        <v>1</v>
      </c>
      <c r="AC134" s="1">
        <v>4</v>
      </c>
      <c r="AD134" s="3">
        <v>42782.179887233797</v>
      </c>
      <c r="AE134" s="1" t="s">
        <v>42</v>
      </c>
    </row>
    <row r="135" spans="1:31" x14ac:dyDescent="0.35">
      <c r="A135" s="1">
        <v>1612</v>
      </c>
      <c r="B135" s="1" t="s">
        <v>1205</v>
      </c>
      <c r="C135" s="1" t="s">
        <v>1206</v>
      </c>
      <c r="D135" s="1" t="s">
        <v>1207</v>
      </c>
      <c r="E135" s="1" t="s">
        <v>262</v>
      </c>
      <c r="F135" s="1">
        <v>1</v>
      </c>
      <c r="G135" s="3">
        <v>33124</v>
      </c>
      <c r="H135" s="1">
        <v>1</v>
      </c>
      <c r="I135" s="1" t="s">
        <v>63</v>
      </c>
      <c r="J135" s="1" t="s">
        <v>634</v>
      </c>
      <c r="K135" s="2">
        <f>91-9427271766</f>
        <v>-9427271675</v>
      </c>
      <c r="L135" s="1" t="s">
        <v>58</v>
      </c>
      <c r="M135" s="1">
        <v>5.0999999999999996</v>
      </c>
      <c r="N135" s="1">
        <v>12</v>
      </c>
      <c r="O135" s="1" t="s">
        <v>1208</v>
      </c>
      <c r="P135" s="1" t="s">
        <v>54</v>
      </c>
      <c r="Q135" s="1" t="s">
        <v>1209</v>
      </c>
      <c r="R135" s="1" t="s">
        <v>1210</v>
      </c>
      <c r="S135" s="1" t="s">
        <v>161</v>
      </c>
      <c r="T135" s="1" t="s">
        <v>58</v>
      </c>
      <c r="U135" s="1">
        <v>5</v>
      </c>
      <c r="V135" s="1">
        <v>5.0599999999999996</v>
      </c>
      <c r="W135" s="1" t="s">
        <v>1211</v>
      </c>
      <c r="X135" s="1" t="s">
        <v>1212</v>
      </c>
      <c r="Y135" s="3">
        <v>42753.102915659721</v>
      </c>
      <c r="Z135" s="1">
        <v>1</v>
      </c>
      <c r="AA135" s="1">
        <v>1</v>
      </c>
      <c r="AB135" s="1">
        <v>1</v>
      </c>
      <c r="AC135" s="1">
        <v>4</v>
      </c>
      <c r="AD135" s="3">
        <v>42754.612404131942</v>
      </c>
      <c r="AE135" s="1" t="s">
        <v>42</v>
      </c>
    </row>
    <row r="136" spans="1:31" x14ac:dyDescent="0.35">
      <c r="A136" s="1">
        <v>1613</v>
      </c>
      <c r="B136" s="1" t="s">
        <v>1213</v>
      </c>
      <c r="C136" s="1" t="s">
        <v>1214</v>
      </c>
      <c r="D136" s="1" t="s">
        <v>1215</v>
      </c>
      <c r="E136" s="1" t="s">
        <v>34</v>
      </c>
      <c r="F136" s="1">
        <v>1</v>
      </c>
      <c r="G136" s="3">
        <v>29061</v>
      </c>
      <c r="H136" s="1">
        <v>1</v>
      </c>
      <c r="I136" s="1" t="s">
        <v>35</v>
      </c>
      <c r="J136" s="1" t="s">
        <v>506</v>
      </c>
      <c r="K136" s="2">
        <f>91-9422801695</f>
        <v>-9422801604</v>
      </c>
      <c r="L136" s="1" t="s">
        <v>58</v>
      </c>
      <c r="M136" s="1">
        <v>5.07</v>
      </c>
      <c r="N136" s="1">
        <v>12</v>
      </c>
      <c r="O136" s="1" t="s">
        <v>1216</v>
      </c>
      <c r="P136" s="1">
        <f>91-8275744822</f>
        <v>-8275744731</v>
      </c>
      <c r="Q136" s="1" t="s">
        <v>497</v>
      </c>
      <c r="R136" s="1" t="s">
        <v>1217</v>
      </c>
      <c r="S136" s="1" t="s">
        <v>1218</v>
      </c>
      <c r="T136" s="1" t="s">
        <v>58</v>
      </c>
      <c r="U136" s="1">
        <v>5.0199999999999996</v>
      </c>
      <c r="V136" s="1">
        <v>5.0199999999999996</v>
      </c>
      <c r="W136" s="1" t="s">
        <v>1219</v>
      </c>
      <c r="X136" s="1" t="s">
        <v>1220</v>
      </c>
      <c r="Y136" s="3">
        <v>42753.258764849539</v>
      </c>
      <c r="Z136" s="1">
        <v>1</v>
      </c>
      <c r="AA136" s="1">
        <v>1</v>
      </c>
      <c r="AB136" s="1">
        <v>1</v>
      </c>
      <c r="AC136" s="1">
        <v>4</v>
      </c>
      <c r="AD136" s="3">
        <v>42754.614288194447</v>
      </c>
      <c r="AE136" s="1" t="s">
        <v>42</v>
      </c>
    </row>
    <row r="137" spans="1:31" x14ac:dyDescent="0.35">
      <c r="A137" s="1">
        <v>1614</v>
      </c>
      <c r="B137" s="1" t="s">
        <v>1221</v>
      </c>
      <c r="C137" s="1">
        <v>569010</v>
      </c>
      <c r="D137" s="1" t="s">
        <v>1222</v>
      </c>
      <c r="E137" s="1" t="s">
        <v>1223</v>
      </c>
      <c r="F137" s="1">
        <v>1</v>
      </c>
      <c r="G137" s="3">
        <v>32360</v>
      </c>
      <c r="H137" s="1">
        <v>1</v>
      </c>
      <c r="I137" s="1" t="s">
        <v>125</v>
      </c>
      <c r="J137" s="1" t="s">
        <v>126</v>
      </c>
      <c r="K137" s="2">
        <f>91-9844480345</f>
        <v>-9844480254</v>
      </c>
      <c r="L137" s="1" t="s">
        <v>58</v>
      </c>
      <c r="M137" s="1">
        <v>5.0599999999999996</v>
      </c>
      <c r="N137" s="1">
        <v>14</v>
      </c>
      <c r="O137" s="1" t="s">
        <v>1224</v>
      </c>
      <c r="P137" s="1">
        <f>91-9844480345</f>
        <v>-9844480254</v>
      </c>
      <c r="Q137" s="1" t="s">
        <v>1225</v>
      </c>
      <c r="R137" s="1" t="s">
        <v>1226</v>
      </c>
      <c r="S137" s="1" t="s">
        <v>1227</v>
      </c>
      <c r="T137" s="1" t="s">
        <v>58</v>
      </c>
      <c r="U137" s="1">
        <v>5.03</v>
      </c>
      <c r="V137" s="1">
        <v>5.03</v>
      </c>
      <c r="Y137" s="3">
        <v>42753.901255289355</v>
      </c>
      <c r="Z137" s="1">
        <v>1</v>
      </c>
      <c r="AA137" s="1">
        <v>1</v>
      </c>
      <c r="AB137" s="1">
        <v>1</v>
      </c>
      <c r="AC137" s="1">
        <v>3</v>
      </c>
      <c r="AD137" s="3" t="s">
        <v>42</v>
      </c>
      <c r="AE137" s="1" t="s">
        <v>42</v>
      </c>
    </row>
    <row r="138" spans="1:31" x14ac:dyDescent="0.35">
      <c r="A138" s="1">
        <v>1618</v>
      </c>
      <c r="B138" s="1" t="s">
        <v>1228</v>
      </c>
      <c r="C138" s="1" t="s">
        <v>1229</v>
      </c>
      <c r="D138" s="1" t="s">
        <v>1230</v>
      </c>
      <c r="E138" s="1" t="s">
        <v>52</v>
      </c>
      <c r="F138" s="1">
        <v>1</v>
      </c>
      <c r="G138" s="3">
        <v>33178</v>
      </c>
      <c r="H138" s="1">
        <v>1</v>
      </c>
      <c r="I138" s="1" t="s">
        <v>35</v>
      </c>
      <c r="J138" s="1" t="s">
        <v>1019</v>
      </c>
      <c r="K138" s="2">
        <f>91-7639088891</f>
        <v>-7639088800</v>
      </c>
      <c r="L138" s="1" t="s">
        <v>58</v>
      </c>
      <c r="M138" s="1">
        <v>5.08</v>
      </c>
      <c r="N138" s="1">
        <v>29</v>
      </c>
      <c r="O138" s="1" t="s">
        <v>1231</v>
      </c>
      <c r="P138" s="1" t="s">
        <v>54</v>
      </c>
      <c r="Q138" s="1" t="s">
        <v>1232</v>
      </c>
      <c r="R138" s="1" t="s">
        <v>1233</v>
      </c>
      <c r="S138" s="1" t="s">
        <v>1234</v>
      </c>
      <c r="T138" s="1" t="s">
        <v>58</v>
      </c>
      <c r="U138" s="1">
        <v>5.04</v>
      </c>
      <c r="V138" s="1">
        <v>5.04</v>
      </c>
      <c r="W138" s="1" t="s">
        <v>1235</v>
      </c>
      <c r="X138" s="1" t="s">
        <v>1236</v>
      </c>
      <c r="Y138" s="3">
        <v>42757.290412499999</v>
      </c>
      <c r="Z138" s="1">
        <v>1</v>
      </c>
      <c r="AA138" s="1">
        <v>1</v>
      </c>
      <c r="AB138" s="1">
        <v>1</v>
      </c>
      <c r="AC138" s="1">
        <v>4</v>
      </c>
      <c r="AD138" s="3">
        <v>42817.143146527778</v>
      </c>
      <c r="AE138" s="1" t="s">
        <v>42</v>
      </c>
    </row>
    <row r="139" spans="1:31" x14ac:dyDescent="0.35">
      <c r="A139" s="1">
        <v>1620</v>
      </c>
      <c r="B139" s="1" t="s">
        <v>1237</v>
      </c>
      <c r="C139" s="1" t="s">
        <v>1238</v>
      </c>
      <c r="D139" s="1" t="s">
        <v>1239</v>
      </c>
      <c r="E139" s="1" t="s">
        <v>1240</v>
      </c>
      <c r="F139" s="1">
        <v>1</v>
      </c>
      <c r="G139" s="3">
        <v>30530</v>
      </c>
      <c r="H139" s="1">
        <v>1</v>
      </c>
      <c r="I139" s="1" t="s">
        <v>1241</v>
      </c>
      <c r="K139" s="2">
        <f>91-8019568166</f>
        <v>-8019568075</v>
      </c>
      <c r="L139" s="1" t="s">
        <v>58</v>
      </c>
      <c r="M139" s="1">
        <v>5.09</v>
      </c>
      <c r="N139" s="1">
        <v>34</v>
      </c>
      <c r="O139" s="1" t="s">
        <v>1242</v>
      </c>
      <c r="P139" s="1">
        <f>91-8019568166</f>
        <v>-8019568075</v>
      </c>
      <c r="Q139" s="1" t="s">
        <v>1243</v>
      </c>
      <c r="R139" s="1" t="s">
        <v>1244</v>
      </c>
      <c r="S139" s="1" t="s">
        <v>409</v>
      </c>
      <c r="T139" s="1" t="s">
        <v>58</v>
      </c>
      <c r="U139" s="1">
        <v>4.09</v>
      </c>
      <c r="V139" s="1">
        <v>5.09</v>
      </c>
      <c r="W139" s="1" t="s">
        <v>1245</v>
      </c>
      <c r="X139" s="1" t="s">
        <v>1246</v>
      </c>
      <c r="Y139" s="3">
        <v>42758.43172364583</v>
      </c>
      <c r="Z139" s="1">
        <v>1</v>
      </c>
      <c r="AA139" s="1">
        <v>1</v>
      </c>
      <c r="AB139" s="1">
        <v>1</v>
      </c>
      <c r="AC139" s="1">
        <v>4</v>
      </c>
      <c r="AD139" s="3">
        <v>42889.737145370367</v>
      </c>
      <c r="AE139" s="1" t="s">
        <v>42</v>
      </c>
    </row>
    <row r="140" spans="1:31" x14ac:dyDescent="0.35">
      <c r="A140" s="1">
        <v>1621</v>
      </c>
      <c r="B140" s="1" t="s">
        <v>1247</v>
      </c>
      <c r="C140" s="1" t="s">
        <v>1248</v>
      </c>
      <c r="D140" s="1" t="s">
        <v>562</v>
      </c>
      <c r="E140" s="1" t="s">
        <v>52</v>
      </c>
      <c r="F140" s="1">
        <v>1</v>
      </c>
      <c r="G140" s="3">
        <v>32488</v>
      </c>
      <c r="H140" s="1">
        <v>1</v>
      </c>
      <c r="I140" s="1" t="s">
        <v>35</v>
      </c>
      <c r="J140" s="1" t="s">
        <v>506</v>
      </c>
      <c r="K140" s="2">
        <f>91-9970276827</f>
        <v>-9970276736</v>
      </c>
      <c r="L140" s="1" t="s">
        <v>58</v>
      </c>
      <c r="M140" s="1">
        <v>5.04</v>
      </c>
      <c r="N140" s="1">
        <v>10</v>
      </c>
      <c r="O140" s="1" t="s">
        <v>1249</v>
      </c>
      <c r="P140" s="1">
        <f>91-9423630271</f>
        <v>-9423630180</v>
      </c>
      <c r="Q140" s="1" t="s">
        <v>1250</v>
      </c>
      <c r="R140" s="1" t="s">
        <v>1251</v>
      </c>
      <c r="S140" s="1" t="s">
        <v>286</v>
      </c>
      <c r="T140" s="1" t="s">
        <v>58</v>
      </c>
      <c r="U140" s="1">
        <v>4.08</v>
      </c>
      <c r="V140" s="1">
        <v>5.04</v>
      </c>
      <c r="W140" s="1" t="s">
        <v>1252</v>
      </c>
      <c r="X140" s="1" t="s">
        <v>1253</v>
      </c>
      <c r="Y140" s="3">
        <v>42759.415030752316</v>
      </c>
      <c r="Z140" s="1">
        <v>1</v>
      </c>
      <c r="AA140" s="1">
        <v>1</v>
      </c>
      <c r="AB140" s="1">
        <v>1</v>
      </c>
      <c r="AC140" s="1">
        <v>4</v>
      </c>
      <c r="AD140" s="3">
        <v>42772.501415127314</v>
      </c>
      <c r="AE140" s="1" t="s">
        <v>42</v>
      </c>
    </row>
    <row r="141" spans="1:31" x14ac:dyDescent="0.35">
      <c r="A141" s="1">
        <v>1622</v>
      </c>
      <c r="B141" s="1" t="s">
        <v>1254</v>
      </c>
      <c r="C141" s="1" t="s">
        <v>1255</v>
      </c>
      <c r="D141" s="1" t="s">
        <v>1256</v>
      </c>
      <c r="E141" s="1" t="s">
        <v>52</v>
      </c>
      <c r="F141" s="1">
        <v>1</v>
      </c>
      <c r="G141" s="3">
        <v>33043</v>
      </c>
      <c r="H141" s="1">
        <v>1</v>
      </c>
      <c r="I141" s="1" t="s">
        <v>72</v>
      </c>
      <c r="J141" s="1" t="s">
        <v>1257</v>
      </c>
      <c r="K141" s="2">
        <f>91-7507154115</f>
        <v>-7507154024</v>
      </c>
      <c r="L141" s="1" t="s">
        <v>58</v>
      </c>
      <c r="M141" s="1">
        <v>5.0599999999999996</v>
      </c>
      <c r="N141" s="1">
        <v>43</v>
      </c>
      <c r="O141" s="1" t="s">
        <v>1258</v>
      </c>
      <c r="P141" s="1" t="s">
        <v>54</v>
      </c>
      <c r="Q141" s="1" t="s">
        <v>1259</v>
      </c>
      <c r="R141" s="1" t="s">
        <v>1260</v>
      </c>
      <c r="S141" s="1" t="s">
        <v>161</v>
      </c>
      <c r="T141" s="1" t="s">
        <v>58</v>
      </c>
      <c r="U141" s="1">
        <v>4.1100000000000003</v>
      </c>
      <c r="V141" s="1">
        <v>5.03</v>
      </c>
      <c r="W141" s="1" t="s">
        <v>1261</v>
      </c>
      <c r="X141" s="1" t="s">
        <v>1262</v>
      </c>
      <c r="Y141" s="3">
        <v>42759.500410381945</v>
      </c>
      <c r="Z141" s="1">
        <v>1</v>
      </c>
      <c r="AA141" s="1">
        <v>1</v>
      </c>
      <c r="AB141" s="1">
        <v>1</v>
      </c>
      <c r="AC141" s="1">
        <v>1</v>
      </c>
      <c r="AD141" s="3">
        <v>43254.601978472223</v>
      </c>
      <c r="AE141" s="1" t="s">
        <v>42</v>
      </c>
    </row>
    <row r="142" spans="1:31" x14ac:dyDescent="0.35">
      <c r="A142" s="1">
        <v>1626</v>
      </c>
      <c r="B142" s="1" t="s">
        <v>1263</v>
      </c>
      <c r="C142" s="1" t="s">
        <v>1264</v>
      </c>
      <c r="D142" s="1" t="s">
        <v>1265</v>
      </c>
      <c r="E142" s="1" t="s">
        <v>71</v>
      </c>
      <c r="F142" s="1">
        <v>1</v>
      </c>
      <c r="G142" s="3">
        <v>31872</v>
      </c>
      <c r="H142" s="1">
        <v>1</v>
      </c>
      <c r="I142" s="1" t="s">
        <v>72</v>
      </c>
      <c r="J142" s="1" t="s">
        <v>1266</v>
      </c>
      <c r="K142" s="2">
        <f>91-9826453820</f>
        <v>-9826453729</v>
      </c>
      <c r="L142" s="1" t="s">
        <v>37</v>
      </c>
      <c r="M142" s="1">
        <v>5.1100000000000003</v>
      </c>
      <c r="N142" s="1">
        <v>15</v>
      </c>
      <c r="O142" s="1" t="s">
        <v>1267</v>
      </c>
      <c r="P142" s="1">
        <f>91-7332222099</f>
        <v>-7332222008</v>
      </c>
      <c r="Q142" s="1" t="s">
        <v>1268</v>
      </c>
      <c r="R142" s="1" t="s">
        <v>1269</v>
      </c>
      <c r="S142" s="1" t="s">
        <v>139</v>
      </c>
      <c r="T142" s="1" t="s">
        <v>1270</v>
      </c>
      <c r="U142" s="1">
        <v>5.1100000000000003</v>
      </c>
      <c r="V142" s="1">
        <v>5.1100000000000003</v>
      </c>
      <c r="W142" s="1" t="s">
        <v>1271</v>
      </c>
      <c r="X142" s="1" t="s">
        <v>1272</v>
      </c>
      <c r="Y142" s="3">
        <v>42760.07942696759</v>
      </c>
      <c r="Z142" s="1">
        <v>1</v>
      </c>
      <c r="AA142" s="1">
        <v>1</v>
      </c>
      <c r="AB142" s="1">
        <v>1</v>
      </c>
      <c r="AC142" s="1">
        <v>4</v>
      </c>
      <c r="AD142" s="3">
        <v>42951.692884918979</v>
      </c>
      <c r="AE142" s="1" t="s">
        <v>42</v>
      </c>
    </row>
    <row r="143" spans="1:31" x14ac:dyDescent="0.35">
      <c r="A143" s="1">
        <v>1627</v>
      </c>
      <c r="B143" s="1" t="s">
        <v>1273</v>
      </c>
      <c r="C143" s="1" t="s">
        <v>1274</v>
      </c>
      <c r="D143" s="1" t="s">
        <v>1275</v>
      </c>
      <c r="E143" s="1" t="s">
        <v>83</v>
      </c>
      <c r="F143" s="1">
        <v>0</v>
      </c>
      <c r="G143" s="3">
        <v>34554</v>
      </c>
      <c r="H143" s="1">
        <v>1</v>
      </c>
      <c r="I143" s="1" t="s">
        <v>63</v>
      </c>
      <c r="J143" s="1" t="s">
        <v>64</v>
      </c>
      <c r="K143" s="2">
        <f>91-1234567890</f>
        <v>-1234567799</v>
      </c>
      <c r="L143" s="1" t="s">
        <v>58</v>
      </c>
      <c r="M143" s="1">
        <v>5.01</v>
      </c>
      <c r="N143" s="1">
        <v>10</v>
      </c>
      <c r="O143" s="1" t="s">
        <v>1276</v>
      </c>
      <c r="P143" s="1">
        <f>91-9512736014</f>
        <v>-9512735923</v>
      </c>
      <c r="Q143" s="1" t="s">
        <v>1277</v>
      </c>
      <c r="R143" s="1" t="s">
        <v>1278</v>
      </c>
      <c r="S143" s="1" t="s">
        <v>1091</v>
      </c>
      <c r="T143" s="1" t="s">
        <v>58</v>
      </c>
      <c r="U143" s="1">
        <v>5.05</v>
      </c>
      <c r="V143" s="1">
        <v>6</v>
      </c>
      <c r="Y143" s="3">
        <v>42760.404341782407</v>
      </c>
      <c r="Z143" s="1">
        <v>1</v>
      </c>
      <c r="AA143" s="1">
        <v>1</v>
      </c>
      <c r="AB143" s="1">
        <v>1</v>
      </c>
      <c r="AC143" s="1">
        <v>1</v>
      </c>
      <c r="AD143" s="3">
        <v>44081.325267974535</v>
      </c>
      <c r="AE143" s="1" t="s">
        <v>42</v>
      </c>
    </row>
    <row r="144" spans="1:31" x14ac:dyDescent="0.35">
      <c r="A144" s="1">
        <v>1628</v>
      </c>
      <c r="B144" s="1" t="s">
        <v>1279</v>
      </c>
      <c r="C144" s="1" t="s">
        <v>1280</v>
      </c>
      <c r="D144" s="1" t="s">
        <v>1281</v>
      </c>
      <c r="E144" s="1" t="s">
        <v>1240</v>
      </c>
      <c r="F144" s="1">
        <v>1</v>
      </c>
      <c r="G144" s="3">
        <v>29280</v>
      </c>
      <c r="H144" s="1">
        <v>1</v>
      </c>
      <c r="I144" s="1" t="s">
        <v>1241</v>
      </c>
      <c r="K144" s="2">
        <f>91-8019568155</f>
        <v>-8019568064</v>
      </c>
      <c r="L144" s="1" t="s">
        <v>58</v>
      </c>
      <c r="M144" s="1">
        <v>5.03</v>
      </c>
      <c r="N144" s="1">
        <v>34</v>
      </c>
      <c r="O144" s="1" t="s">
        <v>1282</v>
      </c>
      <c r="P144" s="1">
        <f>91-9492025805</f>
        <v>-9492025714</v>
      </c>
      <c r="Q144" s="1" t="s">
        <v>1243</v>
      </c>
      <c r="R144" s="1" t="s">
        <v>1283</v>
      </c>
      <c r="S144" s="1" t="s">
        <v>1037</v>
      </c>
      <c r="T144" s="1" t="s">
        <v>58</v>
      </c>
      <c r="U144" s="1">
        <v>4.0599999999999996</v>
      </c>
      <c r="V144" s="1">
        <v>5.0199999999999996</v>
      </c>
      <c r="W144" s="1" t="s">
        <v>1284</v>
      </c>
      <c r="X144" s="1" t="s">
        <v>1285</v>
      </c>
      <c r="Y144" s="3">
        <v>42760.889980474538</v>
      </c>
      <c r="Z144" s="1">
        <v>1</v>
      </c>
      <c r="AA144" s="1">
        <v>1</v>
      </c>
      <c r="AB144" s="1">
        <v>1</v>
      </c>
      <c r="AC144" s="1">
        <v>4</v>
      </c>
      <c r="AD144" s="3">
        <v>42778.511845717592</v>
      </c>
      <c r="AE144" s="1" t="s">
        <v>42</v>
      </c>
    </row>
    <row r="145" spans="1:31" x14ac:dyDescent="0.35">
      <c r="A145" s="1">
        <v>1631</v>
      </c>
      <c r="B145" s="1" t="s">
        <v>1286</v>
      </c>
      <c r="C145" s="1" t="s">
        <v>1287</v>
      </c>
      <c r="D145" s="1" t="s">
        <v>1288</v>
      </c>
      <c r="E145" s="1" t="s">
        <v>1289</v>
      </c>
      <c r="F145" s="1">
        <v>1</v>
      </c>
      <c r="G145" s="3">
        <v>31805</v>
      </c>
      <c r="H145" s="1">
        <v>1</v>
      </c>
      <c r="I145" s="1" t="s">
        <v>125</v>
      </c>
      <c r="J145" s="1" t="s">
        <v>1290</v>
      </c>
      <c r="K145" s="2">
        <f>91-8722046664</f>
        <v>-8722046573</v>
      </c>
      <c r="L145" s="1" t="s">
        <v>37</v>
      </c>
      <c r="M145" s="1">
        <v>5.09</v>
      </c>
      <c r="N145" s="1">
        <v>14</v>
      </c>
      <c r="O145" s="1" t="s">
        <v>1291</v>
      </c>
      <c r="P145" s="1">
        <f>91-8277615901</f>
        <v>-8277615810</v>
      </c>
      <c r="Q145" s="1" t="s">
        <v>1292</v>
      </c>
      <c r="R145" s="1" t="s">
        <v>1293</v>
      </c>
      <c r="S145" s="1" t="s">
        <v>510</v>
      </c>
      <c r="T145" s="1" t="s">
        <v>37</v>
      </c>
      <c r="U145" s="1">
        <v>5</v>
      </c>
      <c r="V145" s="1">
        <v>5.09</v>
      </c>
      <c r="W145" s="1" t="s">
        <v>1295</v>
      </c>
      <c r="X145" s="1" t="s">
        <v>1296</v>
      </c>
      <c r="Y145" s="3">
        <v>42763.300653969905</v>
      </c>
      <c r="Z145" s="1">
        <v>1</v>
      </c>
      <c r="AA145" s="1">
        <v>1</v>
      </c>
      <c r="AB145" s="1">
        <v>1</v>
      </c>
      <c r="AC145" s="1">
        <v>4</v>
      </c>
      <c r="AD145" s="3">
        <v>42767.286015428239</v>
      </c>
      <c r="AE145" s="1" t="s">
        <v>42</v>
      </c>
    </row>
    <row r="146" spans="1:31" x14ac:dyDescent="0.35">
      <c r="A146" s="1">
        <v>1632</v>
      </c>
      <c r="B146" s="1" t="s">
        <v>1297</v>
      </c>
      <c r="C146" s="1" t="s">
        <v>1298</v>
      </c>
      <c r="D146" s="1" t="s">
        <v>52</v>
      </c>
      <c r="E146" s="1" t="s">
        <v>742</v>
      </c>
      <c r="F146" s="1">
        <v>1</v>
      </c>
      <c r="G146" s="3">
        <v>33948</v>
      </c>
      <c r="H146" s="1">
        <v>1</v>
      </c>
      <c r="I146" s="1" t="s">
        <v>63</v>
      </c>
      <c r="J146" s="1" t="s">
        <v>64</v>
      </c>
      <c r="K146" s="2">
        <f>91-9824996631</f>
        <v>-9824996540</v>
      </c>
      <c r="L146" s="1" t="s">
        <v>58</v>
      </c>
      <c r="M146" s="1">
        <v>5.09</v>
      </c>
      <c r="N146" s="1">
        <v>42</v>
      </c>
      <c r="O146" s="1" t="s">
        <v>1299</v>
      </c>
      <c r="P146" s="1">
        <f>91-9714836393</f>
        <v>-9714836302</v>
      </c>
      <c r="Q146" s="1" t="s">
        <v>809</v>
      </c>
      <c r="R146" s="1" t="s">
        <v>1300</v>
      </c>
      <c r="S146" s="1" t="s">
        <v>323</v>
      </c>
      <c r="T146" s="1" t="s">
        <v>58</v>
      </c>
      <c r="U146" s="1">
        <v>5.05</v>
      </c>
      <c r="V146" s="1">
        <v>5.07</v>
      </c>
      <c r="W146" s="1" t="s">
        <v>1301</v>
      </c>
      <c r="X146" s="1" t="s">
        <v>1302</v>
      </c>
      <c r="Y146" s="3">
        <v>42764.223641585646</v>
      </c>
      <c r="Z146" s="1">
        <v>1</v>
      </c>
      <c r="AA146" s="1">
        <v>1</v>
      </c>
      <c r="AB146" s="1">
        <v>1</v>
      </c>
      <c r="AC146" s="1">
        <v>4</v>
      </c>
      <c r="AD146" s="3">
        <v>42764.536615358797</v>
      </c>
      <c r="AE146" s="1" t="s">
        <v>42</v>
      </c>
    </row>
    <row r="147" spans="1:31" x14ac:dyDescent="0.35">
      <c r="A147" s="1">
        <v>1634</v>
      </c>
      <c r="B147" s="1" t="s">
        <v>1303</v>
      </c>
      <c r="C147" s="1" t="s">
        <v>1304</v>
      </c>
      <c r="D147" s="1" t="s">
        <v>1305</v>
      </c>
      <c r="E147" s="1" t="s">
        <v>52</v>
      </c>
      <c r="F147" s="1">
        <v>1</v>
      </c>
      <c r="G147" s="3">
        <v>31847</v>
      </c>
      <c r="H147" s="1">
        <v>1</v>
      </c>
      <c r="I147" s="1" t="s">
        <v>35</v>
      </c>
      <c r="J147" s="1" t="s">
        <v>36</v>
      </c>
      <c r="K147" s="2">
        <f>91-9619531534</f>
        <v>-9619531443</v>
      </c>
      <c r="L147" s="1" t="s">
        <v>58</v>
      </c>
      <c r="M147" s="1">
        <v>5.07</v>
      </c>
      <c r="N147" s="1">
        <v>43</v>
      </c>
      <c r="O147" s="1" t="s">
        <v>1306</v>
      </c>
      <c r="P147" s="1">
        <f>91-9867876345</f>
        <v>-9867876254</v>
      </c>
      <c r="Q147" s="1" t="s">
        <v>1307</v>
      </c>
      <c r="R147" s="1" t="s">
        <v>1308</v>
      </c>
      <c r="S147" s="1" t="s">
        <v>1309</v>
      </c>
      <c r="T147" s="1" t="s">
        <v>58</v>
      </c>
      <c r="U147" s="1">
        <v>4.0599999999999996</v>
      </c>
      <c r="V147" s="1">
        <v>5.04</v>
      </c>
      <c r="W147" s="1" t="s">
        <v>1310</v>
      </c>
      <c r="X147" s="1" t="s">
        <v>1311</v>
      </c>
      <c r="Y147" s="3">
        <v>42765.309454085647</v>
      </c>
      <c r="Z147" s="1">
        <v>1</v>
      </c>
      <c r="AA147" s="1">
        <v>1</v>
      </c>
      <c r="AB147" s="1">
        <v>1</v>
      </c>
      <c r="AC147" s="1">
        <v>4</v>
      </c>
      <c r="AD147" s="3">
        <v>43053.414589386572</v>
      </c>
      <c r="AE147" s="1" t="s">
        <v>42</v>
      </c>
    </row>
    <row r="148" spans="1:31" x14ac:dyDescent="0.35">
      <c r="A148" s="1">
        <v>1636</v>
      </c>
      <c r="B148" s="1" t="s">
        <v>1312</v>
      </c>
      <c r="C148" s="1" t="s">
        <v>1313</v>
      </c>
      <c r="D148" s="1" t="s">
        <v>454</v>
      </c>
      <c r="E148" s="1" t="s">
        <v>83</v>
      </c>
      <c r="F148" s="1">
        <v>1</v>
      </c>
      <c r="G148" s="3">
        <v>34275</v>
      </c>
      <c r="H148" s="1">
        <v>1</v>
      </c>
      <c r="I148" s="1" t="s">
        <v>35</v>
      </c>
      <c r="J148" s="1" t="s">
        <v>465</v>
      </c>
      <c r="K148" s="2">
        <f>91-9423285156</f>
        <v>-9423285065</v>
      </c>
      <c r="L148" s="1" t="s">
        <v>58</v>
      </c>
      <c r="M148" s="1">
        <v>5.0599999999999996</v>
      </c>
      <c r="N148" s="1">
        <v>10</v>
      </c>
      <c r="O148" s="1" t="s">
        <v>1314</v>
      </c>
      <c r="P148" s="1">
        <f>91-9423285156</f>
        <v>-9423285065</v>
      </c>
      <c r="Q148" s="1" t="s">
        <v>1315</v>
      </c>
      <c r="R148" s="1" t="s">
        <v>1316</v>
      </c>
      <c r="S148" s="1" t="s">
        <v>488</v>
      </c>
      <c r="T148" s="1" t="s">
        <v>58</v>
      </c>
      <c r="U148" s="1">
        <v>5.04</v>
      </c>
      <c r="V148" s="1">
        <v>5.0599999999999996</v>
      </c>
      <c r="W148" s="1" t="s">
        <v>1317</v>
      </c>
      <c r="X148" s="1" t="s">
        <v>1318</v>
      </c>
      <c r="Y148" s="3">
        <v>42767.243243090277</v>
      </c>
      <c r="Z148" s="1">
        <v>1</v>
      </c>
      <c r="AA148" s="1">
        <v>1</v>
      </c>
      <c r="AB148" s="1">
        <v>1</v>
      </c>
      <c r="AC148" s="1">
        <v>4</v>
      </c>
      <c r="AD148" s="3" t="s">
        <v>42</v>
      </c>
      <c r="AE148" s="1" t="s">
        <v>42</v>
      </c>
    </row>
    <row r="149" spans="1:31" x14ac:dyDescent="0.35">
      <c r="A149" s="1">
        <v>1637</v>
      </c>
      <c r="B149" s="1" t="s">
        <v>1319</v>
      </c>
      <c r="C149" s="1" t="s">
        <v>1320</v>
      </c>
      <c r="D149" s="1" t="s">
        <v>1321</v>
      </c>
      <c r="E149" s="1" t="s">
        <v>52</v>
      </c>
      <c r="F149" s="1">
        <v>1</v>
      </c>
      <c r="G149" s="3">
        <v>29818</v>
      </c>
      <c r="H149" s="1">
        <v>1</v>
      </c>
      <c r="I149" s="1" t="s">
        <v>35</v>
      </c>
      <c r="J149" s="1" t="s">
        <v>871</v>
      </c>
      <c r="K149" s="2">
        <f>91-9881154854</f>
        <v>-9881154763</v>
      </c>
      <c r="L149" s="1" t="s">
        <v>37</v>
      </c>
      <c r="M149" s="1">
        <v>5.04</v>
      </c>
      <c r="N149" s="1">
        <v>10</v>
      </c>
      <c r="O149" s="1" t="s">
        <v>1322</v>
      </c>
      <c r="P149" s="1" t="s">
        <v>54</v>
      </c>
      <c r="Q149" s="1" t="s">
        <v>1323</v>
      </c>
      <c r="R149" s="1" t="s">
        <v>1324</v>
      </c>
      <c r="S149" s="1" t="s">
        <v>1325</v>
      </c>
      <c r="T149" s="1" t="s">
        <v>99</v>
      </c>
      <c r="U149" s="1">
        <v>4.1100000000000003</v>
      </c>
      <c r="V149" s="1">
        <v>5.04</v>
      </c>
      <c r="W149" s="1" t="s">
        <v>1326</v>
      </c>
      <c r="X149" s="1" t="s">
        <v>1327</v>
      </c>
      <c r="Y149" s="3">
        <v>42767.280142592594</v>
      </c>
      <c r="Z149" s="1">
        <v>1</v>
      </c>
      <c r="AA149" s="1">
        <v>1</v>
      </c>
      <c r="AB149" s="1">
        <v>1</v>
      </c>
      <c r="AC149" s="1">
        <v>4</v>
      </c>
      <c r="AD149" s="3">
        <v>43019.739904594906</v>
      </c>
      <c r="AE149" s="1" t="s">
        <v>42</v>
      </c>
    </row>
    <row r="150" spans="1:31" x14ac:dyDescent="0.35">
      <c r="A150" s="1">
        <v>1639</v>
      </c>
      <c r="B150" s="1" t="s">
        <v>1328</v>
      </c>
      <c r="C150" s="1" t="s">
        <v>1329</v>
      </c>
      <c r="D150" s="1" t="s">
        <v>1330</v>
      </c>
      <c r="E150" s="1" t="s">
        <v>907</v>
      </c>
      <c r="F150" s="1">
        <v>0</v>
      </c>
      <c r="G150" s="3">
        <v>34658</v>
      </c>
      <c r="H150" s="1">
        <v>1</v>
      </c>
      <c r="I150" s="1" t="s">
        <v>1024</v>
      </c>
      <c r="J150" s="1" t="s">
        <v>1025</v>
      </c>
      <c r="K150" s="2">
        <f>91-7093149542</f>
        <v>-7093149451</v>
      </c>
      <c r="L150" s="1" t="s">
        <v>58</v>
      </c>
      <c r="M150" s="1">
        <v>4</v>
      </c>
      <c r="N150" s="1">
        <v>19</v>
      </c>
      <c r="O150" s="1" t="s">
        <v>1331</v>
      </c>
      <c r="P150" s="1">
        <f>91-9032648662</f>
        <v>-9032648571</v>
      </c>
      <c r="Q150" s="1" t="s">
        <v>1332</v>
      </c>
      <c r="R150" s="1" t="s">
        <v>1333</v>
      </c>
      <c r="S150" s="1" t="s">
        <v>42</v>
      </c>
      <c r="T150" s="1" t="s">
        <v>42</v>
      </c>
      <c r="U150" s="1" t="s">
        <v>42</v>
      </c>
      <c r="V150" s="1" t="s">
        <v>42</v>
      </c>
      <c r="W150" s="1" t="s">
        <v>42</v>
      </c>
      <c r="X150" s="1" t="s">
        <v>42</v>
      </c>
      <c r="Y150" s="3">
        <v>42768.301089699075</v>
      </c>
      <c r="Z150" s="1">
        <v>1</v>
      </c>
      <c r="AA150" s="1">
        <v>1</v>
      </c>
      <c r="AB150" s="1">
        <v>1</v>
      </c>
      <c r="AC150" s="1">
        <v>4</v>
      </c>
      <c r="AD150" s="3">
        <v>42791.701113043979</v>
      </c>
      <c r="AE150" s="1" t="s">
        <v>42</v>
      </c>
    </row>
    <row r="151" spans="1:31" x14ac:dyDescent="0.35">
      <c r="A151" s="1">
        <v>1640</v>
      </c>
      <c r="B151" s="1" t="s">
        <v>1334</v>
      </c>
      <c r="C151" s="1" t="s">
        <v>1335</v>
      </c>
      <c r="D151" s="1" t="s">
        <v>1336</v>
      </c>
      <c r="E151" s="1" t="s">
        <v>238</v>
      </c>
      <c r="F151" s="1">
        <v>1</v>
      </c>
      <c r="G151" s="3">
        <v>32763</v>
      </c>
      <c r="H151" s="1">
        <v>1</v>
      </c>
      <c r="I151" s="1" t="s">
        <v>63</v>
      </c>
      <c r="J151" s="1" t="s">
        <v>370</v>
      </c>
      <c r="K151" s="2">
        <f>91-9429808836</f>
        <v>-9429808745</v>
      </c>
      <c r="L151" s="1" t="s">
        <v>58</v>
      </c>
      <c r="M151" s="1">
        <v>5.04</v>
      </c>
      <c r="N151" s="1">
        <v>11</v>
      </c>
      <c r="O151" s="1" t="s">
        <v>1337</v>
      </c>
      <c r="P151" s="1">
        <f>91-9429808836</f>
        <v>-9429808745</v>
      </c>
      <c r="Q151" s="1" t="s">
        <v>1338</v>
      </c>
      <c r="R151" s="1" t="s">
        <v>1339</v>
      </c>
      <c r="S151" s="1" t="s">
        <v>286</v>
      </c>
      <c r="T151" s="1" t="s">
        <v>58</v>
      </c>
      <c r="U151" s="1">
        <v>4.09</v>
      </c>
      <c r="V151" s="1">
        <v>4.09</v>
      </c>
      <c r="W151" s="1" t="s">
        <v>1340</v>
      </c>
      <c r="X151" s="1" t="s">
        <v>1341</v>
      </c>
      <c r="Y151" s="3">
        <v>42768.362766516206</v>
      </c>
      <c r="Z151" s="1">
        <v>1</v>
      </c>
      <c r="AA151" s="1">
        <v>1</v>
      </c>
      <c r="AB151" s="1">
        <v>1</v>
      </c>
      <c r="AC151" s="1">
        <v>4</v>
      </c>
      <c r="AD151" s="3">
        <v>42857.98294047454</v>
      </c>
      <c r="AE151" s="1" t="s">
        <v>42</v>
      </c>
    </row>
    <row r="152" spans="1:31" x14ac:dyDescent="0.35">
      <c r="A152" s="1">
        <v>1641</v>
      </c>
      <c r="B152" s="1" t="s">
        <v>1342</v>
      </c>
      <c r="C152" s="1" t="s">
        <v>1329</v>
      </c>
      <c r="D152" s="1" t="s">
        <v>1330</v>
      </c>
      <c r="E152" s="1" t="s">
        <v>52</v>
      </c>
      <c r="F152" s="1">
        <v>0</v>
      </c>
      <c r="G152" s="3">
        <v>34658</v>
      </c>
      <c r="H152" s="1">
        <v>1</v>
      </c>
      <c r="I152" s="1" t="s">
        <v>1024</v>
      </c>
      <c r="J152" s="1" t="s">
        <v>1025</v>
      </c>
      <c r="K152" s="2">
        <f>91-7093149542</f>
        <v>-7093149451</v>
      </c>
      <c r="L152" s="1" t="s">
        <v>58</v>
      </c>
      <c r="M152" s="1">
        <v>4</v>
      </c>
      <c r="N152" s="1">
        <v>19</v>
      </c>
      <c r="O152" s="1" t="s">
        <v>1343</v>
      </c>
      <c r="P152" s="1">
        <f>91-9441054304</f>
        <v>-9441054213</v>
      </c>
      <c r="Q152" s="1" t="s">
        <v>1332</v>
      </c>
      <c r="R152" s="1" t="s">
        <v>1344</v>
      </c>
      <c r="S152" s="1" t="s">
        <v>323</v>
      </c>
      <c r="T152" s="1" t="s">
        <v>58</v>
      </c>
      <c r="U152" s="1">
        <v>4</v>
      </c>
      <c r="V152" s="1">
        <v>5.05</v>
      </c>
      <c r="W152" s="1" t="s">
        <v>42</v>
      </c>
      <c r="X152" s="1" t="s">
        <v>42</v>
      </c>
      <c r="Y152" s="3">
        <v>42769.425368483797</v>
      </c>
      <c r="Z152" s="1">
        <v>1</v>
      </c>
      <c r="AA152" s="1">
        <v>1</v>
      </c>
      <c r="AB152" s="1">
        <v>1</v>
      </c>
      <c r="AC152" s="1">
        <v>4</v>
      </c>
      <c r="AD152" s="3">
        <v>42818.346861805556</v>
      </c>
      <c r="AE152" s="1" t="s">
        <v>42</v>
      </c>
    </row>
    <row r="153" spans="1:31" x14ac:dyDescent="0.35">
      <c r="A153" s="1">
        <v>1642</v>
      </c>
      <c r="B153" s="1" t="s">
        <v>1345</v>
      </c>
      <c r="C153" s="1" t="s">
        <v>1346</v>
      </c>
      <c r="D153" s="1" t="s">
        <v>1347</v>
      </c>
      <c r="E153" s="1" t="s">
        <v>83</v>
      </c>
      <c r="F153" s="1">
        <v>1</v>
      </c>
      <c r="G153" s="3">
        <v>33569</v>
      </c>
      <c r="H153" s="1">
        <v>1</v>
      </c>
      <c r="I153" s="1" t="s">
        <v>125</v>
      </c>
      <c r="J153" s="1" t="s">
        <v>1348</v>
      </c>
      <c r="K153" s="2">
        <f>91-9845430720</f>
        <v>-9845430629</v>
      </c>
      <c r="L153" s="1" t="s">
        <v>58</v>
      </c>
      <c r="M153" s="1">
        <v>5.1100000000000003</v>
      </c>
      <c r="N153" s="1">
        <v>10</v>
      </c>
      <c r="O153" s="1" t="s">
        <v>1349</v>
      </c>
      <c r="P153" s="1">
        <f>91-9845430720</f>
        <v>-9845430629</v>
      </c>
      <c r="Q153" s="1" t="s">
        <v>1350</v>
      </c>
      <c r="R153" s="1" t="s">
        <v>1351</v>
      </c>
      <c r="S153" s="1" t="s">
        <v>130</v>
      </c>
      <c r="T153" s="1" t="s">
        <v>58</v>
      </c>
      <c r="U153" s="1">
        <v>5</v>
      </c>
      <c r="V153" s="1">
        <v>5.08</v>
      </c>
      <c r="W153" s="1" t="s">
        <v>1352</v>
      </c>
      <c r="X153" s="1" t="s">
        <v>1353</v>
      </c>
      <c r="Y153" s="3">
        <v>42770.994354479168</v>
      </c>
      <c r="Z153" s="1">
        <v>1</v>
      </c>
      <c r="AA153" s="1">
        <v>1</v>
      </c>
      <c r="AB153" s="1">
        <v>1</v>
      </c>
      <c r="AC153" s="1">
        <v>4</v>
      </c>
      <c r="AD153" s="3">
        <v>42772.235267974538</v>
      </c>
      <c r="AE153" s="1" t="s">
        <v>42</v>
      </c>
    </row>
    <row r="154" spans="1:31" x14ac:dyDescent="0.35">
      <c r="A154" s="1">
        <v>1647</v>
      </c>
      <c r="B154" s="1" t="s">
        <v>1354</v>
      </c>
      <c r="C154" s="1" t="s">
        <v>1355</v>
      </c>
      <c r="D154" s="1" t="s">
        <v>1356</v>
      </c>
      <c r="E154" s="1" t="s">
        <v>1357</v>
      </c>
      <c r="F154" s="1">
        <v>0</v>
      </c>
      <c r="G154" s="3">
        <v>34301</v>
      </c>
      <c r="H154" s="1">
        <v>1</v>
      </c>
      <c r="I154" s="1" t="s">
        <v>35</v>
      </c>
      <c r="J154" s="1" t="s">
        <v>506</v>
      </c>
      <c r="K154" s="2">
        <f>91-9823258162</f>
        <v>-9823258071</v>
      </c>
      <c r="L154" s="1" t="s">
        <v>58</v>
      </c>
      <c r="M154" s="1">
        <v>5.05</v>
      </c>
      <c r="N154" s="1">
        <v>40</v>
      </c>
      <c r="P154" s="1">
        <f>91-8149448075</f>
        <v>-8149447984</v>
      </c>
      <c r="Q154" s="1" t="s">
        <v>1358</v>
      </c>
      <c r="R154" s="1" t="s">
        <v>1359</v>
      </c>
      <c r="S154" s="1" t="s">
        <v>499</v>
      </c>
      <c r="T154" s="1" t="s">
        <v>58</v>
      </c>
      <c r="U154" s="1">
        <v>5.05</v>
      </c>
      <c r="V154" s="1">
        <v>6</v>
      </c>
      <c r="W154" s="1" t="s">
        <v>42</v>
      </c>
      <c r="X154" s="1" t="s">
        <v>42</v>
      </c>
      <c r="Y154" s="3">
        <v>42774.927196793979</v>
      </c>
      <c r="Z154" s="1">
        <v>1</v>
      </c>
      <c r="AA154" s="1">
        <v>1</v>
      </c>
      <c r="AB154" s="1">
        <v>1</v>
      </c>
      <c r="AC154" s="1">
        <v>4</v>
      </c>
      <c r="AD154" s="3">
        <v>43014.305311724536</v>
      </c>
      <c r="AE154" s="1" t="s">
        <v>42</v>
      </c>
    </row>
    <row r="155" spans="1:31" x14ac:dyDescent="0.35">
      <c r="A155" s="1">
        <v>1649</v>
      </c>
      <c r="B155" s="1" t="s">
        <v>1360</v>
      </c>
      <c r="C155" s="1" t="s">
        <v>1361</v>
      </c>
      <c r="D155" s="1" t="s">
        <v>1362</v>
      </c>
      <c r="E155" s="1" t="s">
        <v>249</v>
      </c>
      <c r="F155" s="1">
        <v>1</v>
      </c>
      <c r="G155" s="3">
        <v>32839</v>
      </c>
      <c r="H155" s="1">
        <v>1</v>
      </c>
      <c r="I155" s="1" t="s">
        <v>63</v>
      </c>
      <c r="J155" s="1" t="s">
        <v>634</v>
      </c>
      <c r="K155" s="2">
        <f>91-9924168439</f>
        <v>-9924168348</v>
      </c>
      <c r="L155" s="1" t="s">
        <v>58</v>
      </c>
      <c r="M155" s="1">
        <v>5.1100000000000003</v>
      </c>
      <c r="N155" s="1">
        <v>43</v>
      </c>
      <c r="O155" s="1" t="s">
        <v>1363</v>
      </c>
      <c r="P155" s="1">
        <f>91-9033255929</f>
        <v>-9033255838</v>
      </c>
      <c r="Q155" s="1" t="s">
        <v>1364</v>
      </c>
      <c r="R155" s="1" t="s">
        <v>1365</v>
      </c>
      <c r="S155" s="1" t="s">
        <v>43</v>
      </c>
      <c r="T155" s="1" t="s">
        <v>140</v>
      </c>
      <c r="U155" s="1">
        <v>5.01</v>
      </c>
      <c r="V155" s="1">
        <v>6</v>
      </c>
      <c r="W155" s="1" t="s">
        <v>1366</v>
      </c>
      <c r="X155" s="1" t="s">
        <v>1367</v>
      </c>
      <c r="Y155" s="3">
        <v>42777.404243831021</v>
      </c>
      <c r="Z155" s="1">
        <v>1</v>
      </c>
      <c r="AA155" s="1">
        <v>1</v>
      </c>
      <c r="AB155" s="1">
        <v>1</v>
      </c>
      <c r="AC155" s="1">
        <v>1</v>
      </c>
      <c r="AD155" s="3">
        <v>44017.166099456015</v>
      </c>
      <c r="AE155" s="1" t="s">
        <v>42</v>
      </c>
    </row>
    <row r="156" spans="1:31" x14ac:dyDescent="0.35">
      <c r="A156" s="1">
        <v>1650</v>
      </c>
      <c r="B156" s="1" t="s">
        <v>1368</v>
      </c>
      <c r="C156" s="1" t="s">
        <v>1369</v>
      </c>
      <c r="D156" s="1" t="s">
        <v>1370</v>
      </c>
      <c r="E156" s="1" t="s">
        <v>71</v>
      </c>
      <c r="F156" s="1">
        <v>1</v>
      </c>
      <c r="G156" s="3">
        <v>33375</v>
      </c>
      <c r="H156" s="1">
        <v>1</v>
      </c>
      <c r="I156" s="1" t="s">
        <v>1024</v>
      </c>
      <c r="J156" s="1" t="s">
        <v>1371</v>
      </c>
      <c r="K156" s="2">
        <f>91-9700813982</f>
        <v>-9700813891</v>
      </c>
      <c r="L156" s="1" t="s">
        <v>58</v>
      </c>
      <c r="M156" s="1">
        <v>5.08</v>
      </c>
      <c r="N156" s="1">
        <v>54</v>
      </c>
      <c r="O156" s="1" t="s">
        <v>1372</v>
      </c>
      <c r="P156" s="1">
        <f>91-9700813982</f>
        <v>-9700813891</v>
      </c>
      <c r="Q156" s="1" t="s">
        <v>1373</v>
      </c>
      <c r="R156" s="1" t="s">
        <v>1374</v>
      </c>
      <c r="S156" s="1" t="s">
        <v>1067</v>
      </c>
      <c r="T156" s="1" t="s">
        <v>58</v>
      </c>
      <c r="U156" s="1">
        <v>5.01</v>
      </c>
      <c r="V156" s="1">
        <v>5.01</v>
      </c>
      <c r="W156" s="1" t="s">
        <v>1375</v>
      </c>
      <c r="X156" s="1" t="s">
        <v>1376</v>
      </c>
      <c r="Y156" s="3">
        <v>42779.995097916668</v>
      </c>
      <c r="Z156" s="1">
        <v>1</v>
      </c>
      <c r="AA156" s="1">
        <v>1</v>
      </c>
      <c r="AB156" s="1">
        <v>1</v>
      </c>
      <c r="AC156" s="1">
        <v>1</v>
      </c>
      <c r="AD156" s="3">
        <v>43165.285554201386</v>
      </c>
      <c r="AE156" s="1" t="s">
        <v>42</v>
      </c>
    </row>
    <row r="157" spans="1:31" x14ac:dyDescent="0.35">
      <c r="A157" s="1">
        <v>1655</v>
      </c>
      <c r="B157" s="1" t="s">
        <v>1377</v>
      </c>
      <c r="C157" s="1" t="s">
        <v>1378</v>
      </c>
      <c r="D157" s="1" t="s">
        <v>1379</v>
      </c>
      <c r="E157" s="1" t="s">
        <v>34</v>
      </c>
      <c r="F157" s="1">
        <v>1</v>
      </c>
      <c r="G157" s="3">
        <v>33469</v>
      </c>
      <c r="H157" s="1">
        <v>1</v>
      </c>
      <c r="I157" s="1" t="s">
        <v>35</v>
      </c>
      <c r="J157" s="1" t="s">
        <v>1380</v>
      </c>
      <c r="K157" s="2">
        <f>91-9545692522</f>
        <v>-9545692431</v>
      </c>
      <c r="L157" s="1" t="s">
        <v>58</v>
      </c>
      <c r="M157" s="1">
        <v>5.04</v>
      </c>
      <c r="N157" s="1">
        <v>12</v>
      </c>
      <c r="O157" s="1" t="s">
        <v>1381</v>
      </c>
      <c r="P157" s="1">
        <f>91-8055204841</f>
        <v>-8055204750</v>
      </c>
      <c r="Q157" s="1" t="s">
        <v>1382</v>
      </c>
      <c r="R157" s="1" t="s">
        <v>1383</v>
      </c>
      <c r="S157" s="1" t="s">
        <v>57</v>
      </c>
      <c r="T157" s="1" t="s">
        <v>58</v>
      </c>
      <c r="U157" s="1">
        <v>4.0599999999999996</v>
      </c>
      <c r="V157" s="1">
        <v>5.03</v>
      </c>
      <c r="W157" s="1" t="s">
        <v>1384</v>
      </c>
      <c r="X157" s="1" t="s">
        <v>1385</v>
      </c>
      <c r="Y157" s="3">
        <v>42786.068783831019</v>
      </c>
      <c r="Z157" s="1">
        <v>1</v>
      </c>
      <c r="AA157" s="1">
        <v>1</v>
      </c>
      <c r="AB157" s="1">
        <v>1</v>
      </c>
      <c r="AC157" s="1">
        <v>4</v>
      </c>
      <c r="AD157" s="3">
        <v>42940.178668749999</v>
      </c>
      <c r="AE157" s="1" t="s">
        <v>42</v>
      </c>
    </row>
    <row r="158" spans="1:31" x14ac:dyDescent="0.35">
      <c r="A158" s="1">
        <v>1657</v>
      </c>
      <c r="B158" s="1" t="s">
        <v>1386</v>
      </c>
      <c r="C158" s="1" t="s">
        <v>1387</v>
      </c>
      <c r="D158" s="1" t="s">
        <v>725</v>
      </c>
      <c r="E158" s="1" t="s">
        <v>1105</v>
      </c>
      <c r="F158" s="1">
        <v>1</v>
      </c>
      <c r="G158" s="3">
        <v>33570</v>
      </c>
      <c r="H158" s="1">
        <v>1</v>
      </c>
      <c r="I158" s="1" t="s">
        <v>35</v>
      </c>
      <c r="J158" s="1" t="s">
        <v>36</v>
      </c>
      <c r="K158" s="2">
        <f>91-9920027265</f>
        <v>-9920027174</v>
      </c>
      <c r="L158" s="1" t="s">
        <v>58</v>
      </c>
      <c r="M158" s="1">
        <v>5.09</v>
      </c>
      <c r="N158" s="1">
        <v>32</v>
      </c>
      <c r="O158" s="1" t="s">
        <v>1388</v>
      </c>
      <c r="P158" s="1">
        <f>91-9920027265</f>
        <v>-9920027174</v>
      </c>
      <c r="Q158" s="1" t="s">
        <v>1389</v>
      </c>
      <c r="R158" s="1" t="s">
        <v>1390</v>
      </c>
      <c r="S158" s="1" t="s">
        <v>276</v>
      </c>
      <c r="T158" s="1" t="s">
        <v>58</v>
      </c>
      <c r="U158" s="1">
        <v>5.04</v>
      </c>
      <c r="V158" s="1">
        <v>6</v>
      </c>
      <c r="W158" s="1" t="s">
        <v>1391</v>
      </c>
      <c r="X158" s="1" t="s">
        <v>1392</v>
      </c>
      <c r="Y158" s="3">
        <v>42787.410233877315</v>
      </c>
      <c r="Z158" s="1">
        <v>1</v>
      </c>
      <c r="AA158" s="1">
        <v>1</v>
      </c>
      <c r="AB158" s="1">
        <v>1</v>
      </c>
      <c r="AC158" s="1">
        <v>1</v>
      </c>
      <c r="AD158" s="3">
        <v>43105.33708892361</v>
      </c>
      <c r="AE158" s="1" t="s">
        <v>42</v>
      </c>
    </row>
    <row r="159" spans="1:31" x14ac:dyDescent="0.35">
      <c r="A159" s="1">
        <v>1660</v>
      </c>
      <c r="B159" s="1" t="s">
        <v>1393</v>
      </c>
      <c r="C159" s="1" t="s">
        <v>1394</v>
      </c>
      <c r="D159" s="1" t="s">
        <v>33</v>
      </c>
      <c r="E159" s="1" t="s">
        <v>52</v>
      </c>
      <c r="F159" s="1">
        <v>1</v>
      </c>
      <c r="G159" s="3">
        <v>32190</v>
      </c>
      <c r="H159" s="1">
        <v>1</v>
      </c>
      <c r="I159" s="1" t="s">
        <v>35</v>
      </c>
      <c r="J159" s="1" t="s">
        <v>36</v>
      </c>
      <c r="K159" s="2">
        <f>91-9323595962</f>
        <v>-9323595871</v>
      </c>
      <c r="L159" s="1" t="s">
        <v>58</v>
      </c>
      <c r="M159" s="1">
        <v>5.0599999999999996</v>
      </c>
      <c r="N159" s="1">
        <v>32</v>
      </c>
      <c r="O159" s="1" t="s">
        <v>1395</v>
      </c>
      <c r="P159" s="1">
        <f>91-9022427728</f>
        <v>-9022427637</v>
      </c>
      <c r="Q159" s="1" t="s">
        <v>1396</v>
      </c>
      <c r="R159" s="1" t="s">
        <v>1397</v>
      </c>
      <c r="S159" s="1" t="s">
        <v>139</v>
      </c>
      <c r="T159" s="1" t="s">
        <v>58</v>
      </c>
      <c r="U159" s="1">
        <v>5.0599999999999996</v>
      </c>
      <c r="V159" s="1">
        <v>5.0599999999999996</v>
      </c>
      <c r="W159" s="1" t="s">
        <v>1398</v>
      </c>
      <c r="X159" s="1" t="s">
        <v>1399</v>
      </c>
      <c r="Y159" s="3">
        <v>42788.415132789349</v>
      </c>
      <c r="Z159" s="1">
        <v>1</v>
      </c>
      <c r="AA159" s="1">
        <v>1</v>
      </c>
      <c r="AB159" s="1">
        <v>1</v>
      </c>
      <c r="AC159" s="1">
        <v>4</v>
      </c>
      <c r="AD159" s="3" t="s">
        <v>42</v>
      </c>
      <c r="AE159" s="1" t="s">
        <v>42</v>
      </c>
    </row>
    <row r="160" spans="1:31" x14ac:dyDescent="0.35">
      <c r="A160" s="1">
        <v>1662</v>
      </c>
      <c r="B160" s="1" t="s">
        <v>1400</v>
      </c>
      <c r="C160" s="1">
        <v>8866338970</v>
      </c>
      <c r="D160" s="1" t="s">
        <v>799</v>
      </c>
      <c r="E160" s="1" t="s">
        <v>878</v>
      </c>
      <c r="F160" s="1">
        <v>1</v>
      </c>
      <c r="G160" s="3">
        <v>33789</v>
      </c>
      <c r="H160" s="1">
        <v>1</v>
      </c>
      <c r="I160" s="1" t="s">
        <v>63</v>
      </c>
      <c r="J160" s="1" t="s">
        <v>426</v>
      </c>
      <c r="K160" s="2">
        <f>91-9879809729</f>
        <v>-9879809638</v>
      </c>
      <c r="L160" s="1" t="s">
        <v>58</v>
      </c>
      <c r="M160" s="1">
        <v>5.0999999999999996</v>
      </c>
      <c r="N160" s="1">
        <v>38</v>
      </c>
      <c r="O160" s="1" t="s">
        <v>824</v>
      </c>
      <c r="P160" s="1">
        <f>91-9687908977</f>
        <v>-9687908886</v>
      </c>
      <c r="Q160" s="1" t="s">
        <v>1401</v>
      </c>
      <c r="R160" s="1" t="s">
        <v>1402</v>
      </c>
      <c r="S160" s="1" t="s">
        <v>1234</v>
      </c>
      <c r="T160" s="1" t="s">
        <v>58</v>
      </c>
      <c r="U160" s="1">
        <v>5.0999999999999996</v>
      </c>
      <c r="V160" s="1">
        <v>5.0999999999999996</v>
      </c>
      <c r="W160" s="1" t="s">
        <v>1403</v>
      </c>
      <c r="X160" s="1" t="s">
        <v>1404</v>
      </c>
      <c r="Y160" s="3">
        <v>42789.964648263885</v>
      </c>
      <c r="Z160" s="1">
        <v>1</v>
      </c>
      <c r="AA160" s="1">
        <v>1</v>
      </c>
      <c r="AB160" s="1">
        <v>1</v>
      </c>
      <c r="AC160" s="1">
        <v>4</v>
      </c>
      <c r="AD160" s="3" t="s">
        <v>42</v>
      </c>
      <c r="AE160" s="1" t="s">
        <v>42</v>
      </c>
    </row>
    <row r="161" spans="1:31" x14ac:dyDescent="0.35">
      <c r="A161" s="1">
        <v>1663</v>
      </c>
      <c r="B161" s="1" t="s">
        <v>1405</v>
      </c>
      <c r="C161" s="1" t="s">
        <v>1406</v>
      </c>
      <c r="D161" s="1" t="s">
        <v>1275</v>
      </c>
      <c r="E161" s="1" t="s">
        <v>1407</v>
      </c>
      <c r="F161" s="1">
        <v>0</v>
      </c>
      <c r="G161" s="3">
        <v>33732</v>
      </c>
      <c r="H161" s="1">
        <v>1</v>
      </c>
      <c r="I161" s="1" t="s">
        <v>35</v>
      </c>
      <c r="J161" s="1" t="s">
        <v>506</v>
      </c>
      <c r="K161" s="2">
        <f>91-9370977497</f>
        <v>-9370977406</v>
      </c>
      <c r="L161" s="1" t="s">
        <v>58</v>
      </c>
      <c r="M161" s="1">
        <v>5.04</v>
      </c>
      <c r="N161" s="1">
        <v>15</v>
      </c>
      <c r="O161" s="1" t="s">
        <v>1408</v>
      </c>
      <c r="P161" s="1">
        <f>91-9595277497</f>
        <v>-9595277406</v>
      </c>
      <c r="Q161" s="1" t="s">
        <v>1409</v>
      </c>
      <c r="R161" s="1" t="s">
        <v>1410</v>
      </c>
      <c r="S161" s="1" t="s">
        <v>1202</v>
      </c>
      <c r="T161" s="1" t="s">
        <v>58</v>
      </c>
      <c r="U161" s="1">
        <v>5.09</v>
      </c>
      <c r="V161" s="1">
        <v>5.1100000000000003</v>
      </c>
      <c r="W161" s="1" t="s">
        <v>1411</v>
      </c>
      <c r="X161" s="1" t="s">
        <v>1412</v>
      </c>
      <c r="Y161" s="3">
        <v>42790.031636030093</v>
      </c>
      <c r="Z161" s="1">
        <v>1</v>
      </c>
      <c r="AA161" s="1">
        <v>1</v>
      </c>
      <c r="AB161" s="1">
        <v>1</v>
      </c>
      <c r="AC161" s="1">
        <v>4</v>
      </c>
      <c r="AD161" s="3">
        <v>42808.299771874998</v>
      </c>
      <c r="AE161" s="1" t="s">
        <v>42</v>
      </c>
    </row>
    <row r="162" spans="1:31" x14ac:dyDescent="0.35">
      <c r="A162" s="1">
        <v>1666</v>
      </c>
      <c r="B162" s="1" t="s">
        <v>1413</v>
      </c>
      <c r="C162" s="1" t="s">
        <v>1414</v>
      </c>
      <c r="D162" s="1" t="s">
        <v>1415</v>
      </c>
      <c r="E162" s="1" t="s">
        <v>83</v>
      </c>
      <c r="F162" s="1">
        <v>0</v>
      </c>
      <c r="G162" s="3">
        <v>33536</v>
      </c>
      <c r="H162" s="1">
        <v>1</v>
      </c>
      <c r="I162" s="1" t="s">
        <v>63</v>
      </c>
      <c r="J162" s="1" t="s">
        <v>459</v>
      </c>
      <c r="K162" s="2">
        <f>91-9662493270</f>
        <v>-9662493179</v>
      </c>
      <c r="L162" s="1" t="s">
        <v>58</v>
      </c>
      <c r="M162" s="1">
        <v>5.01</v>
      </c>
      <c r="N162" s="1">
        <v>10</v>
      </c>
      <c r="O162" s="1" t="s">
        <v>1416</v>
      </c>
      <c r="P162" s="1">
        <f>91-9662493270</f>
        <v>-9662493179</v>
      </c>
      <c r="Q162" s="1" t="s">
        <v>1417</v>
      </c>
      <c r="R162" s="1" t="s">
        <v>1418</v>
      </c>
      <c r="S162" s="1" t="s">
        <v>647</v>
      </c>
      <c r="T162" s="1" t="s">
        <v>58</v>
      </c>
      <c r="U162" s="1">
        <v>5.05</v>
      </c>
      <c r="V162" s="1">
        <v>6</v>
      </c>
      <c r="W162" s="1" t="s">
        <v>1419</v>
      </c>
      <c r="Y162" s="3">
        <v>42792.029000428243</v>
      </c>
      <c r="Z162" s="1">
        <v>1</v>
      </c>
      <c r="AA162" s="1">
        <v>1</v>
      </c>
      <c r="AB162" s="1">
        <v>1</v>
      </c>
      <c r="AC162" s="1">
        <v>4</v>
      </c>
      <c r="AD162" s="3">
        <v>42804.334331863429</v>
      </c>
      <c r="AE162" s="1" t="s">
        <v>42</v>
      </c>
    </row>
    <row r="163" spans="1:31" x14ac:dyDescent="0.35">
      <c r="A163" s="1">
        <v>1667</v>
      </c>
      <c r="B163" s="1" t="s">
        <v>1420</v>
      </c>
      <c r="C163" s="1" t="s">
        <v>1421</v>
      </c>
      <c r="D163" s="1" t="s">
        <v>1422</v>
      </c>
      <c r="E163" s="1" t="s">
        <v>1423</v>
      </c>
      <c r="F163" s="1">
        <v>1</v>
      </c>
      <c r="G163" s="3">
        <v>35103</v>
      </c>
      <c r="H163" s="1">
        <v>1</v>
      </c>
      <c r="I163" s="1" t="s">
        <v>63</v>
      </c>
      <c r="J163" s="1" t="s">
        <v>459</v>
      </c>
      <c r="K163" s="2">
        <f>91-9727082825</f>
        <v>-9727082734</v>
      </c>
      <c r="L163" s="1" t="s">
        <v>58</v>
      </c>
      <c r="M163" s="1">
        <v>5.03</v>
      </c>
      <c r="N163" s="1">
        <v>15</v>
      </c>
      <c r="O163" s="1" t="s">
        <v>1424</v>
      </c>
      <c r="P163" s="1">
        <f>91-9727082825</f>
        <v>-9727082734</v>
      </c>
      <c r="Q163" s="1" t="s">
        <v>1425</v>
      </c>
      <c r="R163" s="1" t="s">
        <v>1426</v>
      </c>
      <c r="S163" s="1" t="s">
        <v>546</v>
      </c>
      <c r="T163" s="1" t="s">
        <v>58</v>
      </c>
      <c r="U163" s="1">
        <v>4.1100000000000003</v>
      </c>
      <c r="V163" s="1">
        <v>5.05</v>
      </c>
      <c r="W163" s="1" t="s">
        <v>1427</v>
      </c>
      <c r="X163" s="1" t="s">
        <v>1428</v>
      </c>
      <c r="Y163" s="3">
        <v>42793.839067905094</v>
      </c>
      <c r="Z163" s="1">
        <v>1</v>
      </c>
      <c r="AA163" s="1">
        <v>1</v>
      </c>
      <c r="AB163" s="1">
        <v>1</v>
      </c>
      <c r="AC163" s="1">
        <v>4</v>
      </c>
      <c r="AD163" s="3" t="s">
        <v>42</v>
      </c>
      <c r="AE163" s="1" t="s">
        <v>42</v>
      </c>
    </row>
    <row r="164" spans="1:31" x14ac:dyDescent="0.35">
      <c r="A164" s="1">
        <v>1670</v>
      </c>
      <c r="B164" s="1" t="s">
        <v>1429</v>
      </c>
      <c r="C164" s="1" t="s">
        <v>1430</v>
      </c>
      <c r="D164" s="1" t="s">
        <v>1431</v>
      </c>
      <c r="E164" s="1" t="s">
        <v>1432</v>
      </c>
      <c r="F164" s="1">
        <v>1</v>
      </c>
      <c r="G164" s="3">
        <v>32346</v>
      </c>
      <c r="H164" s="1">
        <v>1</v>
      </c>
      <c r="I164" s="1" t="s">
        <v>125</v>
      </c>
      <c r="J164" s="1" t="s">
        <v>126</v>
      </c>
      <c r="K164" s="2">
        <f>91-9901046477</f>
        <v>-9901046386</v>
      </c>
      <c r="L164" s="1" t="s">
        <v>58</v>
      </c>
      <c r="M164" s="1">
        <v>5.03</v>
      </c>
      <c r="N164" s="1">
        <v>42</v>
      </c>
      <c r="O164" s="1" t="s">
        <v>1433</v>
      </c>
      <c r="P164" s="1">
        <f>91-9663992999</f>
        <v>-9663992908</v>
      </c>
      <c r="Q164" s="1" t="s">
        <v>1434</v>
      </c>
      <c r="R164" s="1" t="s">
        <v>1435</v>
      </c>
      <c r="S164" s="1" t="s">
        <v>267</v>
      </c>
      <c r="T164" s="1" t="s">
        <v>58</v>
      </c>
      <c r="U164" s="1">
        <v>4.0999999999999996</v>
      </c>
      <c r="V164" s="1">
        <v>5.05</v>
      </c>
      <c r="W164" s="1" t="s">
        <v>1436</v>
      </c>
      <c r="X164" s="1" t="s">
        <v>1437</v>
      </c>
      <c r="Y164" s="3">
        <v>42795.956590312497</v>
      </c>
      <c r="Z164" s="1">
        <v>1</v>
      </c>
      <c r="AA164" s="1">
        <v>1</v>
      </c>
      <c r="AB164" s="1">
        <v>1</v>
      </c>
      <c r="AC164" s="1">
        <v>4</v>
      </c>
      <c r="AD164" s="3">
        <v>42803.6722252662</v>
      </c>
      <c r="AE164" s="1" t="s">
        <v>42</v>
      </c>
    </row>
    <row r="165" spans="1:31" x14ac:dyDescent="0.35">
      <c r="A165" s="1">
        <v>1675</v>
      </c>
      <c r="B165" s="1" t="s">
        <v>1438</v>
      </c>
      <c r="C165" s="1" t="s">
        <v>1439</v>
      </c>
      <c r="D165" s="1" t="s">
        <v>1440</v>
      </c>
      <c r="E165" s="1" t="s">
        <v>1441</v>
      </c>
      <c r="F165" s="1">
        <v>1</v>
      </c>
      <c r="G165" s="3">
        <v>34686</v>
      </c>
      <c r="H165" s="1">
        <v>1</v>
      </c>
      <c r="I165" s="1" t="s">
        <v>700</v>
      </c>
      <c r="J165" s="1" t="s">
        <v>1442</v>
      </c>
      <c r="K165" s="2">
        <f>91-9826119911</f>
        <v>-9826119820</v>
      </c>
      <c r="L165" s="1" t="s">
        <v>58</v>
      </c>
      <c r="M165" s="1">
        <v>5.0999999999999996</v>
      </c>
      <c r="N165" s="1">
        <v>14</v>
      </c>
      <c r="O165" s="1" t="s">
        <v>1443</v>
      </c>
      <c r="P165" s="1">
        <f>91-9425559225</f>
        <v>-9425559134</v>
      </c>
      <c r="Q165" s="1" t="s">
        <v>1444</v>
      </c>
      <c r="R165" s="1" t="s">
        <v>1445</v>
      </c>
      <c r="S165" s="1" t="s">
        <v>1446</v>
      </c>
      <c r="T165" s="1" t="s">
        <v>58</v>
      </c>
      <c r="U165" s="1">
        <v>5</v>
      </c>
      <c r="V165" s="1">
        <v>5.08</v>
      </c>
      <c r="W165" s="1" t="s">
        <v>1447</v>
      </c>
      <c r="X165" s="1" t="s">
        <v>1448</v>
      </c>
      <c r="Y165" s="3">
        <v>42803.244010150462</v>
      </c>
      <c r="Z165" s="1">
        <v>1</v>
      </c>
      <c r="AA165" s="1">
        <v>1</v>
      </c>
      <c r="AB165" s="1">
        <v>1</v>
      </c>
      <c r="AC165" s="1">
        <v>1</v>
      </c>
      <c r="AD165" s="3">
        <v>44095.315849999999</v>
      </c>
      <c r="AE165" s="1" t="s">
        <v>42</v>
      </c>
    </row>
    <row r="166" spans="1:31" x14ac:dyDescent="0.35">
      <c r="A166" s="1">
        <v>1676</v>
      </c>
      <c r="B166" s="1" t="s">
        <v>1449</v>
      </c>
      <c r="C166" s="1" t="s">
        <v>1450</v>
      </c>
      <c r="D166" s="1" t="s">
        <v>1451</v>
      </c>
      <c r="E166" s="1" t="s">
        <v>1033</v>
      </c>
      <c r="F166" s="1">
        <v>0</v>
      </c>
      <c r="G166" s="3">
        <v>33452</v>
      </c>
      <c r="H166" s="1">
        <v>1</v>
      </c>
      <c r="I166" s="1" t="s">
        <v>63</v>
      </c>
      <c r="J166" s="1" t="s">
        <v>370</v>
      </c>
      <c r="K166" s="2">
        <f>91-9099334931</f>
        <v>-9099334840</v>
      </c>
      <c r="L166" s="1" t="s">
        <v>58</v>
      </c>
      <c r="M166" s="1">
        <v>5.0199999999999996</v>
      </c>
      <c r="N166" s="1">
        <v>10</v>
      </c>
      <c r="P166" s="1" t="s">
        <v>54</v>
      </c>
      <c r="Q166" s="1" t="s">
        <v>1453</v>
      </c>
      <c r="R166" s="1" t="s">
        <v>1454</v>
      </c>
      <c r="S166" s="1" t="s">
        <v>722</v>
      </c>
      <c r="T166" s="1" t="s">
        <v>58</v>
      </c>
      <c r="U166" s="1">
        <v>4</v>
      </c>
      <c r="V166" s="1">
        <v>7.05</v>
      </c>
      <c r="W166" s="1" t="s">
        <v>1455</v>
      </c>
      <c r="Y166" s="3">
        <v>42803.472073263889</v>
      </c>
      <c r="Z166" s="1">
        <v>1</v>
      </c>
      <c r="AA166" s="1">
        <v>1</v>
      </c>
      <c r="AB166" s="1">
        <v>1</v>
      </c>
      <c r="AC166" s="1">
        <v>4</v>
      </c>
      <c r="AD166" s="3">
        <v>42805.257713043982</v>
      </c>
      <c r="AE166" s="1" t="s">
        <v>42</v>
      </c>
    </row>
    <row r="167" spans="1:31" x14ac:dyDescent="0.35">
      <c r="A167" s="1">
        <v>1677</v>
      </c>
      <c r="B167" s="1" t="s">
        <v>1456</v>
      </c>
      <c r="C167" s="1" t="s">
        <v>1457</v>
      </c>
      <c r="D167" s="1" t="s">
        <v>1458</v>
      </c>
      <c r="E167" s="1" t="s">
        <v>1459</v>
      </c>
      <c r="F167" s="1">
        <v>0</v>
      </c>
      <c r="G167" s="3">
        <v>34501</v>
      </c>
      <c r="H167" s="1">
        <v>1</v>
      </c>
      <c r="I167" s="1" t="s">
        <v>63</v>
      </c>
      <c r="J167" s="1" t="s">
        <v>115</v>
      </c>
      <c r="K167" s="2">
        <f>91-9429832734</f>
        <v>-9429832643</v>
      </c>
      <c r="L167" s="1" t="s">
        <v>42</v>
      </c>
      <c r="M167" s="1" t="s">
        <v>42</v>
      </c>
      <c r="N167" s="1" t="s">
        <v>42</v>
      </c>
      <c r="O167" s="1" t="s">
        <v>42</v>
      </c>
      <c r="P167" s="1" t="s">
        <v>42</v>
      </c>
      <c r="Q167" s="1" t="s">
        <v>42</v>
      </c>
      <c r="R167" s="1" t="s">
        <v>42</v>
      </c>
      <c r="S167" s="1" t="s">
        <v>42</v>
      </c>
      <c r="T167" s="1" t="s">
        <v>42</v>
      </c>
      <c r="U167" s="1" t="s">
        <v>42</v>
      </c>
      <c r="V167" s="1" t="s">
        <v>42</v>
      </c>
      <c r="W167" s="1" t="s">
        <v>42</v>
      </c>
      <c r="X167" s="1" t="s">
        <v>42</v>
      </c>
      <c r="Y167" s="3">
        <v>42804.23045667824</v>
      </c>
      <c r="Z167" s="1">
        <v>1</v>
      </c>
      <c r="AA167" s="1">
        <v>1</v>
      </c>
      <c r="AB167" s="1">
        <v>1</v>
      </c>
      <c r="AC167" s="1">
        <v>4</v>
      </c>
      <c r="AD167" s="3" t="s">
        <v>42</v>
      </c>
      <c r="AE167" s="1" t="s">
        <v>42</v>
      </c>
    </row>
    <row r="168" spans="1:31" x14ac:dyDescent="0.35">
      <c r="A168" s="1">
        <v>1678</v>
      </c>
      <c r="B168" s="1" t="s">
        <v>1460</v>
      </c>
      <c r="C168" s="1" t="s">
        <v>1461</v>
      </c>
      <c r="D168" s="1" t="s">
        <v>1462</v>
      </c>
      <c r="E168" s="1" t="s">
        <v>1463</v>
      </c>
      <c r="F168" s="1">
        <v>0</v>
      </c>
      <c r="G168" s="3">
        <v>34501</v>
      </c>
      <c r="H168" s="1">
        <v>1</v>
      </c>
      <c r="I168" s="1" t="s">
        <v>63</v>
      </c>
      <c r="J168" s="1" t="s">
        <v>115</v>
      </c>
      <c r="K168" s="2">
        <f>91-9429832734</f>
        <v>-9429832643</v>
      </c>
      <c r="L168" s="1" t="s">
        <v>58</v>
      </c>
      <c r="M168" s="1">
        <v>5.08</v>
      </c>
      <c r="N168" s="1">
        <v>38</v>
      </c>
      <c r="O168" s="1" t="s">
        <v>1464</v>
      </c>
      <c r="P168" s="1">
        <f>91-9429832734</f>
        <v>-9429832643</v>
      </c>
      <c r="Q168" s="1" t="s">
        <v>1465</v>
      </c>
      <c r="R168" s="1" t="s">
        <v>1466</v>
      </c>
      <c r="S168" s="1" t="s">
        <v>1067</v>
      </c>
      <c r="T168" s="1" t="s">
        <v>58</v>
      </c>
      <c r="U168" s="1">
        <v>5.09</v>
      </c>
      <c r="V168" s="1">
        <v>6.02</v>
      </c>
      <c r="W168" s="1" t="s">
        <v>1467</v>
      </c>
      <c r="X168" s="1" t="s">
        <v>1468</v>
      </c>
      <c r="Y168" s="3">
        <v>42804.965184803237</v>
      </c>
      <c r="Z168" s="1">
        <v>1</v>
      </c>
      <c r="AA168" s="1">
        <v>1</v>
      </c>
      <c r="AB168" s="1">
        <v>1</v>
      </c>
      <c r="AC168" s="1">
        <v>1</v>
      </c>
      <c r="AD168" s="3">
        <v>44090.49109181713</v>
      </c>
      <c r="AE168" s="1" t="s">
        <v>42</v>
      </c>
    </row>
    <row r="169" spans="1:31" x14ac:dyDescent="0.35">
      <c r="A169" s="1">
        <v>1679</v>
      </c>
      <c r="B169" s="1" t="s">
        <v>1469</v>
      </c>
      <c r="C169" s="1" t="s">
        <v>1470</v>
      </c>
      <c r="D169" s="1" t="s">
        <v>1471</v>
      </c>
      <c r="E169" s="1" t="s">
        <v>878</v>
      </c>
      <c r="F169" s="1">
        <v>1</v>
      </c>
      <c r="G169" s="3">
        <v>33503</v>
      </c>
      <c r="H169" s="1">
        <v>1</v>
      </c>
      <c r="I169" s="1" t="s">
        <v>63</v>
      </c>
      <c r="J169" s="1" t="s">
        <v>115</v>
      </c>
      <c r="K169" s="2">
        <f>91-9374824696</f>
        <v>-9374824605</v>
      </c>
      <c r="L169" s="1" t="s">
        <v>58</v>
      </c>
      <c r="M169" s="1">
        <v>5.05</v>
      </c>
      <c r="N169" s="1">
        <v>38</v>
      </c>
      <c r="O169" s="1" t="s">
        <v>1472</v>
      </c>
      <c r="P169" s="1">
        <f>91-9601940808</f>
        <v>-9601940717</v>
      </c>
      <c r="Q169" s="1" t="s">
        <v>312</v>
      </c>
      <c r="R169" s="1" t="s">
        <v>1473</v>
      </c>
      <c r="S169" s="1" t="s">
        <v>171</v>
      </c>
      <c r="T169" s="1" t="s">
        <v>58</v>
      </c>
      <c r="U169" s="1">
        <v>5</v>
      </c>
      <c r="V169" s="1">
        <v>5.04</v>
      </c>
      <c r="W169" s="1" t="s">
        <v>1474</v>
      </c>
      <c r="X169" s="1" t="s">
        <v>1475</v>
      </c>
      <c r="Y169" s="3">
        <v>42805.880717974534</v>
      </c>
      <c r="Z169" s="1">
        <v>1</v>
      </c>
      <c r="AA169" s="1">
        <v>1</v>
      </c>
      <c r="AB169" s="1">
        <v>1</v>
      </c>
      <c r="AC169" s="1">
        <v>4</v>
      </c>
      <c r="AD169" s="3">
        <v>43053.490442048613</v>
      </c>
      <c r="AE169" s="1" t="s">
        <v>42</v>
      </c>
    </row>
    <row r="170" spans="1:31" x14ac:dyDescent="0.35">
      <c r="A170" s="1">
        <v>1681</v>
      </c>
      <c r="B170" s="1" t="s">
        <v>1476</v>
      </c>
      <c r="C170" s="1">
        <v>7709125536</v>
      </c>
      <c r="D170" s="1" t="s">
        <v>1477</v>
      </c>
      <c r="E170" s="1" t="s">
        <v>1478</v>
      </c>
      <c r="F170" s="1">
        <v>0</v>
      </c>
      <c r="G170" s="3">
        <v>33338</v>
      </c>
      <c r="H170" s="1">
        <v>1</v>
      </c>
      <c r="I170" s="1" t="s">
        <v>35</v>
      </c>
      <c r="J170" s="1" t="s">
        <v>871</v>
      </c>
      <c r="K170" s="2">
        <f>91-9823077280</f>
        <v>-9823077189</v>
      </c>
      <c r="L170" s="1" t="s">
        <v>58</v>
      </c>
      <c r="M170" s="1">
        <v>5.0199999999999996</v>
      </c>
      <c r="N170" s="1">
        <v>19</v>
      </c>
      <c r="O170" s="1" t="s">
        <v>1479</v>
      </c>
      <c r="P170" s="1">
        <f>91-7709125536</f>
        <v>-7709125445</v>
      </c>
      <c r="Q170" s="1" t="s">
        <v>1480</v>
      </c>
      <c r="R170" s="1" t="s">
        <v>1481</v>
      </c>
      <c r="S170" s="1" t="s">
        <v>1202</v>
      </c>
      <c r="T170" s="1" t="s">
        <v>58</v>
      </c>
      <c r="U170" s="1">
        <v>5.05</v>
      </c>
      <c r="V170" s="1">
        <v>6.01</v>
      </c>
      <c r="W170" s="1" t="s">
        <v>42</v>
      </c>
      <c r="X170" s="1" t="s">
        <v>42</v>
      </c>
      <c r="Y170" s="3">
        <v>42807.45033954861</v>
      </c>
      <c r="Z170" s="1">
        <v>1</v>
      </c>
      <c r="AA170" s="1">
        <v>1</v>
      </c>
      <c r="AB170" s="1">
        <v>1</v>
      </c>
      <c r="AC170" s="1">
        <v>4</v>
      </c>
      <c r="AD170" s="3">
        <v>42976.33824571759</v>
      </c>
      <c r="AE170" s="1" t="s">
        <v>42</v>
      </c>
    </row>
    <row r="171" spans="1:31" x14ac:dyDescent="0.35">
      <c r="A171" s="1">
        <v>1683</v>
      </c>
      <c r="B171" s="1" t="s">
        <v>1483</v>
      </c>
      <c r="C171" s="1" t="s">
        <v>1484</v>
      </c>
      <c r="D171" s="1" t="s">
        <v>1485</v>
      </c>
      <c r="E171" s="1" t="s">
        <v>52</v>
      </c>
      <c r="F171" s="1">
        <v>1</v>
      </c>
      <c r="G171" s="3">
        <v>33545</v>
      </c>
      <c r="H171" s="1">
        <v>1</v>
      </c>
      <c r="I171" s="1" t="s">
        <v>63</v>
      </c>
      <c r="J171" s="1" t="s">
        <v>474</v>
      </c>
      <c r="K171" s="2">
        <f>91-9429759946</f>
        <v>-9429759855</v>
      </c>
      <c r="L171" s="1" t="s">
        <v>58</v>
      </c>
      <c r="M171" s="1">
        <v>5.07</v>
      </c>
      <c r="N171" s="1">
        <v>32</v>
      </c>
      <c r="O171" s="1" t="s">
        <v>1486</v>
      </c>
      <c r="P171" s="1">
        <f>91-9909762904</f>
        <v>-9909762813</v>
      </c>
      <c r="Q171" s="1" t="s">
        <v>1487</v>
      </c>
      <c r="R171" s="1" t="s">
        <v>1488</v>
      </c>
      <c r="S171" s="1" t="s">
        <v>323</v>
      </c>
      <c r="T171" s="1" t="s">
        <v>58</v>
      </c>
      <c r="U171" s="1">
        <v>5.01</v>
      </c>
      <c r="V171" s="1">
        <v>5.05</v>
      </c>
      <c r="W171" s="1" t="s">
        <v>1489</v>
      </c>
      <c r="X171" s="1" t="s">
        <v>1490</v>
      </c>
      <c r="Y171" s="3">
        <v>42809.073608368053</v>
      </c>
      <c r="Z171" s="1">
        <v>1</v>
      </c>
      <c r="AA171" s="1">
        <v>1</v>
      </c>
      <c r="AB171" s="1">
        <v>1</v>
      </c>
      <c r="AC171" s="1">
        <v>1</v>
      </c>
      <c r="AD171" s="3">
        <v>43282.690335497682</v>
      </c>
      <c r="AE171" s="1" t="s">
        <v>42</v>
      </c>
    </row>
    <row r="172" spans="1:31" x14ac:dyDescent="0.35">
      <c r="A172" s="1">
        <v>1686</v>
      </c>
      <c r="B172" s="1" t="s">
        <v>1491</v>
      </c>
      <c r="C172" s="1" t="s">
        <v>1492</v>
      </c>
      <c r="D172" s="1" t="s">
        <v>1493</v>
      </c>
      <c r="E172" s="1" t="s">
        <v>1123</v>
      </c>
      <c r="F172" s="1">
        <v>1</v>
      </c>
      <c r="G172" s="3">
        <v>34286</v>
      </c>
      <c r="H172" s="1">
        <v>1</v>
      </c>
      <c r="I172" s="1" t="s">
        <v>63</v>
      </c>
      <c r="J172" s="1" t="s">
        <v>64</v>
      </c>
      <c r="K172" s="2">
        <f>91-8000008461</f>
        <v>-8000008370</v>
      </c>
      <c r="L172" s="1" t="s">
        <v>58</v>
      </c>
      <c r="M172" s="1">
        <v>5.08</v>
      </c>
      <c r="N172" s="1">
        <v>19</v>
      </c>
      <c r="O172" s="1" t="s">
        <v>1494</v>
      </c>
      <c r="P172" s="1">
        <f>91-9998844110</f>
        <v>-9998844019</v>
      </c>
      <c r="Q172" s="1" t="s">
        <v>1495</v>
      </c>
      <c r="R172" s="1" t="s">
        <v>1496</v>
      </c>
      <c r="S172" s="1" t="s">
        <v>469</v>
      </c>
      <c r="T172" s="1" t="s">
        <v>58</v>
      </c>
      <c r="U172" s="1">
        <v>4.07</v>
      </c>
      <c r="V172" s="1">
        <v>5.09</v>
      </c>
      <c r="W172" s="1" t="s">
        <v>1497</v>
      </c>
      <c r="X172" s="1" t="s">
        <v>1498</v>
      </c>
      <c r="Y172" s="3">
        <v>42810.352094988426</v>
      </c>
      <c r="Z172" s="1">
        <v>1</v>
      </c>
      <c r="AA172" s="1">
        <v>1</v>
      </c>
      <c r="AB172" s="1">
        <v>1</v>
      </c>
      <c r="AC172" s="1">
        <v>4</v>
      </c>
      <c r="AD172" s="3">
        <v>42815.152891469908</v>
      </c>
      <c r="AE172" s="1" t="s">
        <v>42</v>
      </c>
    </row>
    <row r="173" spans="1:31" x14ac:dyDescent="0.35">
      <c r="A173" s="1">
        <v>1690</v>
      </c>
      <c r="B173" s="1" t="s">
        <v>1499</v>
      </c>
      <c r="C173" s="1" t="s">
        <v>1500</v>
      </c>
      <c r="D173" s="1" t="s">
        <v>248</v>
      </c>
      <c r="E173" s="1" t="s">
        <v>238</v>
      </c>
      <c r="F173" s="1">
        <v>1</v>
      </c>
      <c r="G173" s="3">
        <v>31568</v>
      </c>
      <c r="H173" s="1">
        <v>1</v>
      </c>
      <c r="I173" s="1" t="s">
        <v>63</v>
      </c>
      <c r="J173" s="1" t="s">
        <v>459</v>
      </c>
      <c r="K173" s="2">
        <f>91-9537641178</f>
        <v>-9537641087</v>
      </c>
      <c r="L173" s="1" t="s">
        <v>58</v>
      </c>
      <c r="M173" s="1">
        <v>5.08</v>
      </c>
      <c r="N173" s="1">
        <v>11</v>
      </c>
      <c r="O173" s="1" t="s">
        <v>1501</v>
      </c>
      <c r="P173" s="1">
        <f>91-9422264099</f>
        <v>-9422264008</v>
      </c>
      <c r="Q173" s="1" t="s">
        <v>1502</v>
      </c>
      <c r="R173" s="1" t="s">
        <v>1503</v>
      </c>
      <c r="S173" s="1" t="s">
        <v>1504</v>
      </c>
      <c r="T173" s="1" t="s">
        <v>58</v>
      </c>
      <c r="U173" s="1">
        <v>5</v>
      </c>
      <c r="V173" s="1">
        <v>5.07</v>
      </c>
      <c r="W173" s="1" t="s">
        <v>1505</v>
      </c>
      <c r="X173" s="1" t="s">
        <v>1506</v>
      </c>
      <c r="Y173" s="3">
        <v>42811.830149571761</v>
      </c>
      <c r="Z173" s="1">
        <v>1</v>
      </c>
      <c r="AA173" s="1">
        <v>1</v>
      </c>
      <c r="AB173" s="1">
        <v>1</v>
      </c>
      <c r="AC173" s="1">
        <v>4</v>
      </c>
      <c r="AD173" s="3">
        <v>42946.145826770837</v>
      </c>
      <c r="AE173" s="1" t="s">
        <v>42</v>
      </c>
    </row>
    <row r="174" spans="1:31" x14ac:dyDescent="0.35">
      <c r="A174" s="1">
        <v>1692</v>
      </c>
      <c r="B174" s="1" t="s">
        <v>1507</v>
      </c>
      <c r="C174" s="1" t="s">
        <v>1508</v>
      </c>
      <c r="D174" s="1" t="s">
        <v>1509</v>
      </c>
      <c r="E174" s="1" t="s">
        <v>625</v>
      </c>
      <c r="F174" s="1">
        <v>1</v>
      </c>
      <c r="G174" s="3">
        <v>27463</v>
      </c>
      <c r="H174" s="1">
        <v>1</v>
      </c>
      <c r="I174" s="1" t="s">
        <v>125</v>
      </c>
      <c r="J174" s="1" t="s">
        <v>914</v>
      </c>
      <c r="K174" s="2">
        <f>91-9740194024</f>
        <v>-9740193933</v>
      </c>
      <c r="L174" s="1" t="s">
        <v>37</v>
      </c>
      <c r="M174" s="1">
        <v>5.08</v>
      </c>
      <c r="N174" s="1">
        <v>45</v>
      </c>
      <c r="O174" s="1" t="s">
        <v>1510</v>
      </c>
      <c r="P174" s="1" t="s">
        <v>54</v>
      </c>
      <c r="Q174" s="1" t="s">
        <v>42</v>
      </c>
      <c r="R174" s="1" t="s">
        <v>42</v>
      </c>
      <c r="S174" s="1" t="s">
        <v>42</v>
      </c>
      <c r="T174" s="1" t="s">
        <v>42</v>
      </c>
      <c r="U174" s="1" t="s">
        <v>42</v>
      </c>
      <c r="V174" s="1" t="s">
        <v>42</v>
      </c>
      <c r="W174" s="1" t="s">
        <v>1511</v>
      </c>
      <c r="X174" s="1" t="s">
        <v>42</v>
      </c>
      <c r="Y174" s="3">
        <v>42812.243329942132</v>
      </c>
      <c r="Z174" s="1">
        <v>1</v>
      </c>
      <c r="AA174" s="1">
        <v>1</v>
      </c>
      <c r="AB174" s="1">
        <v>1</v>
      </c>
      <c r="AC174" s="1">
        <v>4</v>
      </c>
      <c r="AD174" s="3">
        <v>42819.222073067132</v>
      </c>
      <c r="AE174" s="1" t="s">
        <v>42</v>
      </c>
    </row>
    <row r="175" spans="1:31" x14ac:dyDescent="0.35">
      <c r="A175" s="1">
        <v>1694</v>
      </c>
      <c r="B175" s="1" t="s">
        <v>1512</v>
      </c>
      <c r="C175" s="1" t="s">
        <v>1513</v>
      </c>
      <c r="D175" s="1" t="s">
        <v>1514</v>
      </c>
      <c r="E175" s="1" t="s">
        <v>516</v>
      </c>
      <c r="F175" s="1">
        <v>1</v>
      </c>
      <c r="G175" s="3">
        <v>31262</v>
      </c>
      <c r="H175" s="1">
        <v>1</v>
      </c>
      <c r="I175" s="1" t="s">
        <v>63</v>
      </c>
      <c r="J175" s="1" t="s">
        <v>94</v>
      </c>
      <c r="K175" s="2">
        <f>91-9824800219</f>
        <v>-9824800128</v>
      </c>
      <c r="L175" s="1" t="s">
        <v>37</v>
      </c>
      <c r="M175" s="1">
        <v>6.02</v>
      </c>
      <c r="N175" s="1">
        <v>38</v>
      </c>
      <c r="O175" s="1" t="s">
        <v>1515</v>
      </c>
      <c r="P175" s="1">
        <f>91-9979910172</f>
        <v>-9979910081</v>
      </c>
      <c r="Q175" s="1" t="s">
        <v>1516</v>
      </c>
      <c r="R175" s="1" t="s">
        <v>1517</v>
      </c>
      <c r="S175" s="1" t="s">
        <v>1518</v>
      </c>
      <c r="T175" s="1" t="s">
        <v>140</v>
      </c>
      <c r="U175" s="1">
        <v>5.05</v>
      </c>
      <c r="V175" s="1">
        <v>6.08</v>
      </c>
      <c r="W175" s="1" t="s">
        <v>1519</v>
      </c>
      <c r="X175" s="1" t="s">
        <v>1520</v>
      </c>
      <c r="Y175" s="3">
        <v>42813.257494131947</v>
      </c>
      <c r="Z175" s="1">
        <v>1</v>
      </c>
      <c r="AA175" s="1">
        <v>1</v>
      </c>
      <c r="AB175" s="1">
        <v>1</v>
      </c>
      <c r="AC175" s="1">
        <v>4</v>
      </c>
      <c r="AD175" s="3">
        <v>42826.194056712964</v>
      </c>
      <c r="AE175" s="1" t="s">
        <v>42</v>
      </c>
    </row>
    <row r="176" spans="1:31" x14ac:dyDescent="0.35">
      <c r="A176" s="1">
        <v>1695</v>
      </c>
      <c r="B176" s="1" t="s">
        <v>1521</v>
      </c>
      <c r="C176" s="1" t="s">
        <v>1522</v>
      </c>
      <c r="D176" s="1" t="s">
        <v>1523</v>
      </c>
      <c r="E176" s="1" t="s">
        <v>71</v>
      </c>
      <c r="F176" s="1">
        <v>1</v>
      </c>
      <c r="G176" s="3">
        <v>33936</v>
      </c>
      <c r="H176" s="1">
        <v>1</v>
      </c>
      <c r="I176" s="1" t="s">
        <v>63</v>
      </c>
      <c r="J176" s="1" t="s">
        <v>405</v>
      </c>
      <c r="K176" s="2">
        <f>91-9427961579</f>
        <v>-9427961488</v>
      </c>
      <c r="L176" s="1" t="s">
        <v>58</v>
      </c>
      <c r="M176" s="1">
        <v>5.08</v>
      </c>
      <c r="N176" s="1">
        <v>49</v>
      </c>
      <c r="O176" s="1" t="s">
        <v>1524</v>
      </c>
      <c r="P176" s="1">
        <f>91-9067847761</f>
        <v>-9067847670</v>
      </c>
      <c r="Q176" s="1" t="s">
        <v>1525</v>
      </c>
      <c r="R176" s="1" t="s">
        <v>1526</v>
      </c>
      <c r="S176" s="1" t="s">
        <v>171</v>
      </c>
      <c r="T176" s="1" t="s">
        <v>58</v>
      </c>
      <c r="U176" s="1">
        <v>5</v>
      </c>
      <c r="V176" s="1">
        <v>5.05</v>
      </c>
      <c r="Y176" s="3">
        <v>42813.378355474539</v>
      </c>
      <c r="Z176" s="1">
        <v>1</v>
      </c>
      <c r="AA176" s="1">
        <v>1</v>
      </c>
      <c r="AB176" s="1">
        <v>0</v>
      </c>
      <c r="AC176" s="1">
        <v>0</v>
      </c>
      <c r="AD176" s="3" t="s">
        <v>42</v>
      </c>
      <c r="AE176" s="1" t="s">
        <v>42</v>
      </c>
    </row>
    <row r="177" spans="1:31" x14ac:dyDescent="0.35">
      <c r="A177" s="1">
        <v>1697</v>
      </c>
      <c r="B177" s="1" t="s">
        <v>1527</v>
      </c>
      <c r="C177" s="1">
        <v>90288858</v>
      </c>
      <c r="D177" s="1" t="s">
        <v>1528</v>
      </c>
      <c r="E177" s="1" t="s">
        <v>1123</v>
      </c>
      <c r="F177" s="1">
        <v>1</v>
      </c>
      <c r="G177" s="3">
        <v>33075</v>
      </c>
      <c r="H177" s="1">
        <v>1</v>
      </c>
      <c r="I177" s="1" t="s">
        <v>35</v>
      </c>
      <c r="J177" s="1" t="s">
        <v>871</v>
      </c>
      <c r="K177" s="2">
        <f>91-9923868183</f>
        <v>-9923868092</v>
      </c>
      <c r="L177" s="1" t="s">
        <v>58</v>
      </c>
      <c r="M177" s="1">
        <v>5.04</v>
      </c>
      <c r="N177" s="1">
        <v>19</v>
      </c>
      <c r="O177" s="1" t="s">
        <v>1529</v>
      </c>
      <c r="P177" s="1">
        <f>91-9923868183</f>
        <v>-9923868092</v>
      </c>
      <c r="Q177" s="1" t="s">
        <v>1530</v>
      </c>
      <c r="R177" s="1" t="s">
        <v>1531</v>
      </c>
      <c r="S177" s="1" t="s">
        <v>901</v>
      </c>
      <c r="T177" s="1" t="s">
        <v>58</v>
      </c>
      <c r="U177" s="1">
        <v>5.01</v>
      </c>
      <c r="V177" s="1">
        <v>5.01</v>
      </c>
      <c r="W177" s="1" t="s">
        <v>1532</v>
      </c>
      <c r="X177" s="1" t="s">
        <v>1533</v>
      </c>
      <c r="Y177" s="3">
        <v>42813.988276655095</v>
      </c>
      <c r="Z177" s="1">
        <v>1</v>
      </c>
      <c r="AA177" s="1">
        <v>1</v>
      </c>
      <c r="AB177" s="1">
        <v>1</v>
      </c>
      <c r="AC177" s="1">
        <v>4</v>
      </c>
      <c r="AD177" s="3">
        <v>42823.328417476849</v>
      </c>
      <c r="AE177" s="1" t="s">
        <v>42</v>
      </c>
    </row>
    <row r="178" spans="1:31" x14ac:dyDescent="0.35">
      <c r="A178" s="1">
        <v>1699</v>
      </c>
      <c r="B178" s="1" t="s">
        <v>1534</v>
      </c>
      <c r="C178" s="1" t="s">
        <v>1535</v>
      </c>
      <c r="D178" s="1" t="s">
        <v>1536</v>
      </c>
      <c r="E178" s="1" t="s">
        <v>262</v>
      </c>
      <c r="F178" s="1">
        <v>1</v>
      </c>
      <c r="G178" s="3">
        <v>32860</v>
      </c>
      <c r="H178" s="1">
        <v>1</v>
      </c>
      <c r="I178" s="1" t="s">
        <v>63</v>
      </c>
      <c r="J178" s="1" t="s">
        <v>64</v>
      </c>
      <c r="K178" s="2">
        <f>91-9574755747</f>
        <v>-9574755656</v>
      </c>
      <c r="L178" s="1" t="s">
        <v>58</v>
      </c>
      <c r="M178" s="1">
        <v>5.07</v>
      </c>
      <c r="N178" s="1">
        <v>38</v>
      </c>
      <c r="O178" s="1" t="s">
        <v>1537</v>
      </c>
      <c r="P178" s="1">
        <f>91-9428832066</f>
        <v>-9428831975</v>
      </c>
      <c r="Q178" s="1" t="s">
        <v>1538</v>
      </c>
      <c r="R178" s="1" t="s">
        <v>1539</v>
      </c>
      <c r="S178" s="1" t="s">
        <v>693</v>
      </c>
      <c r="T178" s="1" t="s">
        <v>58</v>
      </c>
      <c r="U178" s="1">
        <v>5</v>
      </c>
      <c r="V178" s="1">
        <v>5.08</v>
      </c>
      <c r="W178" s="1" t="s">
        <v>1540</v>
      </c>
      <c r="X178" s="1" t="s">
        <v>1541</v>
      </c>
      <c r="Y178" s="3">
        <v>42817.961065393516</v>
      </c>
      <c r="Z178" s="1">
        <v>1</v>
      </c>
      <c r="AA178" s="1">
        <v>1</v>
      </c>
      <c r="AB178" s="1">
        <v>1</v>
      </c>
      <c r="AC178" s="1">
        <v>4</v>
      </c>
      <c r="AD178" s="3">
        <v>42819.281314733795</v>
      </c>
      <c r="AE178" s="1" t="s">
        <v>42</v>
      </c>
    </row>
    <row r="179" spans="1:31" x14ac:dyDescent="0.35">
      <c r="A179" s="1">
        <v>1702</v>
      </c>
      <c r="B179" s="1" t="s">
        <v>1542</v>
      </c>
      <c r="C179" s="1" t="s">
        <v>1543</v>
      </c>
      <c r="D179" s="1" t="s">
        <v>1544</v>
      </c>
      <c r="E179" s="1" t="s">
        <v>52</v>
      </c>
      <c r="F179" s="1">
        <v>1</v>
      </c>
      <c r="G179" s="3">
        <v>33870</v>
      </c>
      <c r="H179" s="1">
        <v>1</v>
      </c>
      <c r="I179" s="1" t="s">
        <v>700</v>
      </c>
      <c r="J179" s="1" t="s">
        <v>1442</v>
      </c>
      <c r="K179" s="2">
        <f>91-9424129407</f>
        <v>-9424129316</v>
      </c>
      <c r="L179" s="1" t="s">
        <v>58</v>
      </c>
      <c r="M179" s="1">
        <v>5.03</v>
      </c>
      <c r="N179" s="1">
        <v>43</v>
      </c>
      <c r="O179" s="1" t="s">
        <v>1545</v>
      </c>
      <c r="P179" s="1" t="s">
        <v>54</v>
      </c>
      <c r="Q179" s="1" t="s">
        <v>1546</v>
      </c>
      <c r="R179" s="1" t="s">
        <v>1547</v>
      </c>
      <c r="S179" s="1" t="s">
        <v>488</v>
      </c>
      <c r="T179" s="1" t="s">
        <v>58</v>
      </c>
      <c r="U179" s="1">
        <v>4.08</v>
      </c>
      <c r="V179" s="1">
        <v>5.0199999999999996</v>
      </c>
      <c r="W179" s="1" t="s">
        <v>1548</v>
      </c>
      <c r="X179" s="1" t="s">
        <v>1549</v>
      </c>
      <c r="Y179" s="3">
        <v>42819.13079505787</v>
      </c>
      <c r="Z179" s="1">
        <v>1</v>
      </c>
      <c r="AA179" s="1">
        <v>1</v>
      </c>
      <c r="AB179" s="1">
        <v>1</v>
      </c>
      <c r="AC179" s="1">
        <v>4</v>
      </c>
      <c r="AD179" s="3">
        <v>42821.127613622688</v>
      </c>
      <c r="AE179" s="1" t="s">
        <v>42</v>
      </c>
    </row>
    <row r="180" spans="1:31" x14ac:dyDescent="0.35">
      <c r="A180" s="1">
        <v>1705</v>
      </c>
      <c r="B180" s="1" t="s">
        <v>1550</v>
      </c>
      <c r="C180" s="1">
        <v>9983790026</v>
      </c>
      <c r="D180" s="1" t="s">
        <v>1551</v>
      </c>
      <c r="E180" s="1" t="s">
        <v>52</v>
      </c>
      <c r="F180" s="1">
        <v>1</v>
      </c>
      <c r="G180" s="3">
        <v>33527</v>
      </c>
      <c r="H180" s="1">
        <v>1</v>
      </c>
      <c r="I180" s="1" t="s">
        <v>1552</v>
      </c>
      <c r="J180" s="1" t="s">
        <v>1553</v>
      </c>
      <c r="K180" s="2">
        <f>91-9983790026</f>
        <v>-9983789935</v>
      </c>
      <c r="L180" s="1" t="s">
        <v>58</v>
      </c>
      <c r="M180" s="1">
        <v>5.07</v>
      </c>
      <c r="N180" s="1">
        <v>48</v>
      </c>
      <c r="O180" s="1" t="s">
        <v>1554</v>
      </c>
      <c r="P180" s="1">
        <f>91-9983790026</f>
        <v>-9983789935</v>
      </c>
      <c r="Q180" s="1" t="s">
        <v>1555</v>
      </c>
      <c r="R180" s="1" t="s">
        <v>1556</v>
      </c>
      <c r="S180" s="1" t="s">
        <v>171</v>
      </c>
      <c r="T180" s="1" t="s">
        <v>58</v>
      </c>
      <c r="U180" s="1">
        <v>5</v>
      </c>
      <c r="V180" s="1">
        <v>5</v>
      </c>
      <c r="W180" s="1" t="s">
        <v>1557</v>
      </c>
      <c r="X180" s="1" t="s">
        <v>1558</v>
      </c>
      <c r="Y180" s="3">
        <v>42820.429912071762</v>
      </c>
      <c r="Z180" s="1">
        <v>1</v>
      </c>
      <c r="AA180" s="1">
        <v>1</v>
      </c>
      <c r="AB180" s="1">
        <v>1</v>
      </c>
      <c r="AC180" s="1">
        <v>4</v>
      </c>
      <c r="AD180" s="3">
        <v>42820.743204282408</v>
      </c>
      <c r="AE180" s="1" t="s">
        <v>42</v>
      </c>
    </row>
    <row r="181" spans="1:31" x14ac:dyDescent="0.35">
      <c r="A181" s="1">
        <v>1708</v>
      </c>
      <c r="B181" s="1" t="s">
        <v>1559</v>
      </c>
      <c r="C181" s="1" t="s">
        <v>1560</v>
      </c>
      <c r="D181" s="1" t="s">
        <v>633</v>
      </c>
      <c r="E181" s="1" t="s">
        <v>625</v>
      </c>
      <c r="F181" s="1">
        <v>1</v>
      </c>
      <c r="G181" s="3">
        <v>34382</v>
      </c>
      <c r="H181" s="1">
        <v>1</v>
      </c>
      <c r="I181" s="1" t="s">
        <v>35</v>
      </c>
      <c r="J181" s="1" t="s">
        <v>36</v>
      </c>
      <c r="K181" s="2">
        <f>91-9967441194</f>
        <v>-9967441103</v>
      </c>
      <c r="L181" s="1" t="s">
        <v>58</v>
      </c>
      <c r="M181" s="1">
        <v>5.1100000000000003</v>
      </c>
      <c r="N181" s="1">
        <v>45</v>
      </c>
      <c r="O181" s="1" t="s">
        <v>1561</v>
      </c>
      <c r="P181" s="1">
        <f>91-9920026890</f>
        <v>-9920026799</v>
      </c>
      <c r="Q181" s="1" t="s">
        <v>1562</v>
      </c>
      <c r="R181" s="1" t="s">
        <v>1563</v>
      </c>
      <c r="S181" s="1" t="s">
        <v>243</v>
      </c>
      <c r="T181" s="1" t="s">
        <v>58</v>
      </c>
      <c r="U181" s="1">
        <v>5</v>
      </c>
      <c r="V181" s="1">
        <v>5.1100000000000003</v>
      </c>
      <c r="X181" s="1" t="s">
        <v>1564</v>
      </c>
      <c r="Y181" s="3">
        <v>42825.496453159722</v>
      </c>
      <c r="Z181" s="1">
        <v>1</v>
      </c>
      <c r="AA181" s="1">
        <v>1</v>
      </c>
      <c r="AB181" s="1">
        <v>1</v>
      </c>
      <c r="AC181" s="1">
        <v>4</v>
      </c>
      <c r="AD181" s="3">
        <v>42835.533869791667</v>
      </c>
      <c r="AE181" s="1" t="s">
        <v>42</v>
      </c>
    </row>
    <row r="182" spans="1:31" x14ac:dyDescent="0.35">
      <c r="A182" s="1">
        <v>1709</v>
      </c>
      <c r="B182" s="1" t="s">
        <v>1565</v>
      </c>
      <c r="C182" s="1" t="s">
        <v>1566</v>
      </c>
      <c r="D182" s="1" t="s">
        <v>1139</v>
      </c>
      <c r="E182" s="1" t="s">
        <v>208</v>
      </c>
      <c r="F182" s="1">
        <v>1</v>
      </c>
      <c r="G182" s="3">
        <v>33123</v>
      </c>
      <c r="H182" s="1">
        <v>1</v>
      </c>
      <c r="I182" s="1" t="s">
        <v>63</v>
      </c>
      <c r="J182" s="1" t="s">
        <v>115</v>
      </c>
      <c r="K182" s="2">
        <f>91-8530002323</f>
        <v>-8530002232</v>
      </c>
      <c r="L182" s="1" t="s">
        <v>58</v>
      </c>
      <c r="M182" s="1">
        <v>5.08</v>
      </c>
      <c r="N182" s="1">
        <v>14</v>
      </c>
      <c r="O182" s="1" t="s">
        <v>1567</v>
      </c>
      <c r="P182" s="1">
        <f>91-9824253240</f>
        <v>-9824253149</v>
      </c>
      <c r="Q182" s="1" t="s">
        <v>1568</v>
      </c>
      <c r="R182" s="1" t="s">
        <v>1569</v>
      </c>
      <c r="S182" s="1" t="s">
        <v>286</v>
      </c>
      <c r="T182" s="1" t="s">
        <v>58</v>
      </c>
      <c r="U182" s="1">
        <v>5.0199999999999996</v>
      </c>
      <c r="V182" s="1">
        <v>5.08</v>
      </c>
      <c r="W182" s="1" t="s">
        <v>1570</v>
      </c>
      <c r="X182" s="1" t="s">
        <v>1571</v>
      </c>
      <c r="Y182" s="3">
        <v>42826.502757210648</v>
      </c>
      <c r="Z182" s="1">
        <v>1</v>
      </c>
      <c r="AA182" s="1">
        <v>1</v>
      </c>
      <c r="AB182" s="1">
        <v>1</v>
      </c>
      <c r="AC182" s="1">
        <v>1</v>
      </c>
      <c r="AD182" s="3">
        <v>43533.677424803238</v>
      </c>
      <c r="AE182" s="1" t="s">
        <v>42</v>
      </c>
    </row>
    <row r="183" spans="1:31" x14ac:dyDescent="0.35">
      <c r="A183" s="1">
        <v>1710</v>
      </c>
      <c r="B183" s="1" t="s">
        <v>1572</v>
      </c>
      <c r="C183" s="1" t="s">
        <v>1573</v>
      </c>
      <c r="D183" s="1" t="s">
        <v>1175</v>
      </c>
      <c r="E183" s="1" t="s">
        <v>1574</v>
      </c>
      <c r="F183" s="1">
        <v>1</v>
      </c>
      <c r="G183" s="3">
        <v>34443</v>
      </c>
      <c r="H183" s="1">
        <v>1</v>
      </c>
      <c r="I183" s="1" t="s">
        <v>63</v>
      </c>
      <c r="J183" s="1" t="s">
        <v>634</v>
      </c>
      <c r="K183" s="2">
        <f>91-9727566941</f>
        <v>-9727566850</v>
      </c>
      <c r="L183" s="1" t="s">
        <v>58</v>
      </c>
      <c r="M183" s="1">
        <v>5.08</v>
      </c>
      <c r="N183" s="1">
        <v>16</v>
      </c>
      <c r="O183" s="1" t="s">
        <v>1575</v>
      </c>
      <c r="P183" s="1">
        <f>91-9879949212</f>
        <v>-9879949121</v>
      </c>
      <c r="Q183" s="1" t="s">
        <v>1576</v>
      </c>
      <c r="R183" s="1" t="s">
        <v>1577</v>
      </c>
      <c r="S183" s="1" t="s">
        <v>488</v>
      </c>
      <c r="T183" s="1" t="s">
        <v>58</v>
      </c>
      <c r="U183" s="1">
        <v>4.08</v>
      </c>
      <c r="V183" s="1">
        <v>5.08</v>
      </c>
      <c r="W183" s="1" t="s">
        <v>1578</v>
      </c>
      <c r="X183" s="1" t="s">
        <v>1579</v>
      </c>
      <c r="Y183" s="3">
        <v>42828.372458530095</v>
      </c>
      <c r="Z183" s="1">
        <v>1</v>
      </c>
      <c r="AA183" s="1">
        <v>1</v>
      </c>
      <c r="AB183" s="1">
        <v>1</v>
      </c>
      <c r="AC183" s="1">
        <v>1</v>
      </c>
      <c r="AD183" s="3">
        <v>43932.246261423614</v>
      </c>
      <c r="AE183" s="1" t="s">
        <v>42</v>
      </c>
    </row>
    <row r="184" spans="1:31" x14ac:dyDescent="0.35">
      <c r="A184" s="1">
        <v>1711</v>
      </c>
      <c r="B184" s="1" t="s">
        <v>1580</v>
      </c>
      <c r="C184" s="1" t="s">
        <v>1581</v>
      </c>
      <c r="D184" s="1" t="s">
        <v>1582</v>
      </c>
      <c r="E184" s="1" t="s">
        <v>1583</v>
      </c>
      <c r="F184" s="1">
        <v>0</v>
      </c>
      <c r="G184" s="3">
        <v>34041</v>
      </c>
      <c r="H184" s="1">
        <v>38</v>
      </c>
      <c r="I184" s="1" t="s">
        <v>1584</v>
      </c>
      <c r="J184" s="1" t="s">
        <v>1585</v>
      </c>
      <c r="K184" s="2">
        <f>1-437-991-9063</f>
        <v>-10490</v>
      </c>
      <c r="L184" s="1" t="s">
        <v>42</v>
      </c>
      <c r="M184" s="1" t="s">
        <v>42</v>
      </c>
      <c r="N184" s="1" t="s">
        <v>42</v>
      </c>
      <c r="O184" s="1" t="s">
        <v>42</v>
      </c>
      <c r="P184" s="1" t="s">
        <v>42</v>
      </c>
      <c r="Q184" s="1" t="s">
        <v>42</v>
      </c>
      <c r="R184" s="1" t="s">
        <v>42</v>
      </c>
      <c r="S184" s="1" t="s">
        <v>42</v>
      </c>
      <c r="T184" s="1" t="s">
        <v>42</v>
      </c>
      <c r="U184" s="1" t="s">
        <v>42</v>
      </c>
      <c r="V184" s="1" t="s">
        <v>42</v>
      </c>
      <c r="W184" s="1" t="s">
        <v>42</v>
      </c>
      <c r="X184" s="1" t="s">
        <v>42</v>
      </c>
      <c r="Y184" s="3">
        <v>42828.8612278125</v>
      </c>
      <c r="Z184" s="1">
        <v>1</v>
      </c>
      <c r="AA184" s="1">
        <v>1</v>
      </c>
      <c r="AB184" s="1">
        <v>1</v>
      </c>
      <c r="AC184" s="1">
        <v>4</v>
      </c>
      <c r="AD184" s="3" t="s">
        <v>42</v>
      </c>
      <c r="AE184" s="1" t="s">
        <v>42</v>
      </c>
    </row>
    <row r="185" spans="1:31" x14ac:dyDescent="0.35">
      <c r="A185" s="1">
        <v>1714</v>
      </c>
      <c r="B185" s="1" t="s">
        <v>1586</v>
      </c>
      <c r="C185" s="1" t="s">
        <v>1587</v>
      </c>
      <c r="D185" s="1" t="s">
        <v>1588</v>
      </c>
      <c r="E185" s="1" t="s">
        <v>913</v>
      </c>
      <c r="F185" s="1">
        <v>0</v>
      </c>
      <c r="G185" s="3">
        <v>32286</v>
      </c>
      <c r="H185" s="1">
        <v>1</v>
      </c>
      <c r="I185" s="1" t="s">
        <v>1589</v>
      </c>
      <c r="J185" s="1" t="s">
        <v>1590</v>
      </c>
      <c r="K185" s="2">
        <f>91-9431214677</f>
        <v>-9431214586</v>
      </c>
      <c r="L185" s="1" t="s">
        <v>58</v>
      </c>
      <c r="M185" s="1">
        <v>5.05</v>
      </c>
      <c r="N185" s="1">
        <v>50</v>
      </c>
      <c r="O185" s="1" t="s">
        <v>1591</v>
      </c>
      <c r="P185" s="1">
        <f>91-9431214677</f>
        <v>-9431214586</v>
      </c>
      <c r="Q185" s="1" t="s">
        <v>1592</v>
      </c>
      <c r="R185" s="1" t="s">
        <v>1593</v>
      </c>
      <c r="S185" s="1" t="s">
        <v>527</v>
      </c>
      <c r="T185" s="1" t="s">
        <v>58</v>
      </c>
      <c r="U185" s="1">
        <v>5.08</v>
      </c>
      <c r="V185" s="1">
        <v>6</v>
      </c>
      <c r="W185" s="1" t="s">
        <v>42</v>
      </c>
      <c r="X185" s="1" t="s">
        <v>42</v>
      </c>
      <c r="Y185" s="3">
        <v>42833.130307210646</v>
      </c>
      <c r="Z185" s="1">
        <v>1</v>
      </c>
      <c r="AA185" s="1">
        <v>1</v>
      </c>
      <c r="AB185" s="1">
        <v>1</v>
      </c>
      <c r="AC185" s="1">
        <v>4</v>
      </c>
      <c r="AD185" s="3" t="s">
        <v>42</v>
      </c>
      <c r="AE185" s="1" t="s">
        <v>42</v>
      </c>
    </row>
    <row r="186" spans="1:31" x14ac:dyDescent="0.35">
      <c r="A186" s="1">
        <v>1715</v>
      </c>
      <c r="B186" s="1" t="s">
        <v>1594</v>
      </c>
      <c r="C186" s="1" t="s">
        <v>1595</v>
      </c>
      <c r="D186" s="1" t="s">
        <v>1596</v>
      </c>
      <c r="E186" s="1" t="s">
        <v>71</v>
      </c>
      <c r="F186" s="1">
        <v>1</v>
      </c>
      <c r="G186" s="3">
        <v>31734</v>
      </c>
      <c r="H186" s="1">
        <v>1</v>
      </c>
      <c r="I186" s="1" t="s">
        <v>1597</v>
      </c>
      <c r="J186" s="1" t="s">
        <v>1598</v>
      </c>
      <c r="K186" s="2">
        <f>91-9830016847</f>
        <v>-9830016756</v>
      </c>
      <c r="L186" s="1" t="s">
        <v>58</v>
      </c>
      <c r="M186" s="1">
        <v>5.0999999999999996</v>
      </c>
      <c r="N186" s="1">
        <v>10</v>
      </c>
      <c r="O186" s="1" t="s">
        <v>1599</v>
      </c>
      <c r="P186" s="1">
        <f>91-7044682646</f>
        <v>-7044682555</v>
      </c>
      <c r="Q186" s="1" t="s">
        <v>1600</v>
      </c>
      <c r="R186" s="1" t="s">
        <v>1601</v>
      </c>
      <c r="S186" s="1" t="s">
        <v>1504</v>
      </c>
      <c r="T186" s="1" t="s">
        <v>58</v>
      </c>
      <c r="U186" s="1">
        <v>5.05</v>
      </c>
      <c r="V186" s="1">
        <v>5.0999999999999996</v>
      </c>
      <c r="W186" s="1" t="s">
        <v>1602</v>
      </c>
      <c r="X186" s="1" t="s">
        <v>1603</v>
      </c>
      <c r="Y186" s="3">
        <v>42835.919839201386</v>
      </c>
      <c r="Z186" s="1">
        <v>1</v>
      </c>
      <c r="AA186" s="1">
        <v>1</v>
      </c>
      <c r="AB186" s="1">
        <v>1</v>
      </c>
      <c r="AC186" s="1">
        <v>1</v>
      </c>
      <c r="AD186" s="3">
        <v>43984.654664270834</v>
      </c>
      <c r="AE186" s="1" t="s">
        <v>42</v>
      </c>
    </row>
    <row r="187" spans="1:31" x14ac:dyDescent="0.35">
      <c r="A187" s="1">
        <v>1717</v>
      </c>
      <c r="B187" s="1" t="s">
        <v>1604</v>
      </c>
      <c r="C187" s="1" t="s">
        <v>1605</v>
      </c>
      <c r="D187" s="1" t="s">
        <v>1606</v>
      </c>
      <c r="E187" s="1" t="s">
        <v>52</v>
      </c>
      <c r="F187" s="1">
        <v>1</v>
      </c>
      <c r="G187" s="3">
        <v>31719</v>
      </c>
      <c r="H187" s="1">
        <v>1</v>
      </c>
      <c r="I187" s="1" t="s">
        <v>1607</v>
      </c>
      <c r="J187" s="1" t="s">
        <v>1482</v>
      </c>
      <c r="K187" s="2">
        <f>91-9860636555</f>
        <v>-9860636464</v>
      </c>
      <c r="L187" s="1" t="s">
        <v>58</v>
      </c>
      <c r="M187" s="1">
        <v>5.0599999999999996</v>
      </c>
      <c r="N187" s="1">
        <v>10</v>
      </c>
      <c r="O187" s="1" t="s">
        <v>1608</v>
      </c>
      <c r="P187" s="1">
        <f>91-9763668834</f>
        <v>-9763668743</v>
      </c>
      <c r="Q187" s="1" t="s">
        <v>1609</v>
      </c>
      <c r="R187" s="1" t="s">
        <v>1610</v>
      </c>
      <c r="S187" s="1" t="s">
        <v>222</v>
      </c>
      <c r="T187" s="1" t="s">
        <v>58</v>
      </c>
      <c r="U187" s="1">
        <v>4.1100000000000003</v>
      </c>
      <c r="V187" s="1">
        <v>5.05</v>
      </c>
      <c r="W187" s="1" t="s">
        <v>1611</v>
      </c>
      <c r="X187" s="1" t="s">
        <v>1612</v>
      </c>
      <c r="Y187" s="3">
        <v>42837.182017094907</v>
      </c>
      <c r="Z187" s="1">
        <v>1</v>
      </c>
      <c r="AA187" s="1">
        <v>1</v>
      </c>
      <c r="AB187" s="1">
        <v>1</v>
      </c>
      <c r="AC187" s="1">
        <v>4</v>
      </c>
      <c r="AD187" s="3">
        <v>42870.242028125002</v>
      </c>
      <c r="AE187" s="1" t="s">
        <v>42</v>
      </c>
    </row>
    <row r="188" spans="1:31" x14ac:dyDescent="0.35">
      <c r="A188" s="1">
        <v>1719</v>
      </c>
      <c r="B188" s="1" t="s">
        <v>1613</v>
      </c>
      <c r="D188" s="1" t="s">
        <v>1614</v>
      </c>
      <c r="E188" s="1" t="s">
        <v>878</v>
      </c>
      <c r="F188" s="1">
        <v>1</v>
      </c>
      <c r="G188" s="3">
        <v>32303</v>
      </c>
      <c r="H188" s="1">
        <v>1</v>
      </c>
      <c r="I188" s="1" t="s">
        <v>35</v>
      </c>
      <c r="J188" s="1" t="s">
        <v>465</v>
      </c>
      <c r="K188" s="2">
        <f>91-9850212676</f>
        <v>-9850212585</v>
      </c>
      <c r="L188" s="1" t="s">
        <v>58</v>
      </c>
      <c r="M188" s="1">
        <v>5.0599999999999996</v>
      </c>
      <c r="N188" s="1">
        <v>38</v>
      </c>
      <c r="O188" s="1" t="s">
        <v>1615</v>
      </c>
      <c r="P188" s="1">
        <f>91-8149709002</f>
        <v>-8149708911</v>
      </c>
      <c r="Q188" s="1" t="s">
        <v>848</v>
      </c>
      <c r="R188" s="1" t="s">
        <v>1616</v>
      </c>
      <c r="S188" s="1" t="s">
        <v>77</v>
      </c>
      <c r="T188" s="1" t="s">
        <v>58</v>
      </c>
      <c r="U188" s="1">
        <v>5.05</v>
      </c>
      <c r="V188" s="1">
        <v>5.05</v>
      </c>
      <c r="W188" s="1" t="s">
        <v>1617</v>
      </c>
      <c r="Y188" s="3">
        <v>42840.173367824071</v>
      </c>
      <c r="Z188" s="1">
        <v>1</v>
      </c>
      <c r="AA188" s="1">
        <v>1</v>
      </c>
      <c r="AB188" s="1">
        <v>1</v>
      </c>
      <c r="AC188" s="1">
        <v>3</v>
      </c>
      <c r="AD188" s="3" t="s">
        <v>42</v>
      </c>
      <c r="AE188" s="1" t="s">
        <v>42</v>
      </c>
    </row>
    <row r="189" spans="1:31" x14ac:dyDescent="0.35">
      <c r="A189" s="1">
        <v>1721</v>
      </c>
      <c r="B189" s="1" t="s">
        <v>1618</v>
      </c>
      <c r="C189" s="1" t="s">
        <v>1619</v>
      </c>
      <c r="D189" s="1" t="s">
        <v>1620</v>
      </c>
      <c r="E189" s="1" t="s">
        <v>1621</v>
      </c>
      <c r="F189" s="1">
        <v>1</v>
      </c>
      <c r="G189" s="3">
        <v>34171</v>
      </c>
      <c r="H189" s="1">
        <v>1</v>
      </c>
      <c r="I189" s="1" t="s">
        <v>35</v>
      </c>
      <c r="J189" s="1" t="s">
        <v>106</v>
      </c>
      <c r="K189" s="2">
        <f>91-7709994407</f>
        <v>-7709994316</v>
      </c>
      <c r="L189" s="1" t="s">
        <v>58</v>
      </c>
      <c r="M189" s="1">
        <v>5.0599999999999996</v>
      </c>
      <c r="N189" s="1">
        <v>54</v>
      </c>
      <c r="O189" s="1" t="s">
        <v>1622</v>
      </c>
      <c r="P189" s="1">
        <f>91-7709994407</f>
        <v>-7709994316</v>
      </c>
      <c r="Q189" s="1" t="s">
        <v>1623</v>
      </c>
      <c r="R189" s="1" t="s">
        <v>1624</v>
      </c>
      <c r="S189" s="1" t="s">
        <v>1625</v>
      </c>
      <c r="T189" s="1" t="s">
        <v>58</v>
      </c>
      <c r="U189" s="1">
        <v>5.05</v>
      </c>
      <c r="V189" s="1">
        <v>5.05</v>
      </c>
      <c r="W189" s="1" t="s">
        <v>1626</v>
      </c>
      <c r="X189" s="1" t="s">
        <v>1627</v>
      </c>
      <c r="Y189" s="3">
        <v>42841.207005902776</v>
      </c>
      <c r="Z189" s="1">
        <v>1</v>
      </c>
      <c r="AA189" s="1">
        <v>1</v>
      </c>
      <c r="AB189" s="1">
        <v>1</v>
      </c>
      <c r="AC189" s="1">
        <v>4</v>
      </c>
      <c r="AD189" s="3">
        <v>43056.440981631946</v>
      </c>
      <c r="AE189" s="1" t="s">
        <v>42</v>
      </c>
    </row>
    <row r="190" spans="1:31" x14ac:dyDescent="0.35">
      <c r="A190" s="1">
        <v>1722</v>
      </c>
      <c r="B190" s="1" t="s">
        <v>1628</v>
      </c>
      <c r="C190" s="1" t="s">
        <v>1629</v>
      </c>
      <c r="D190" s="1" t="s">
        <v>799</v>
      </c>
      <c r="E190" s="1" t="s">
        <v>1630</v>
      </c>
      <c r="F190" s="1">
        <v>1</v>
      </c>
      <c r="G190" s="3">
        <v>30840</v>
      </c>
      <c r="H190" s="1">
        <v>1</v>
      </c>
      <c r="I190" s="1" t="s">
        <v>35</v>
      </c>
      <c r="J190" s="1" t="s">
        <v>465</v>
      </c>
      <c r="K190" s="2">
        <f>91-9890685728</f>
        <v>-9890685637</v>
      </c>
      <c r="L190" s="1" t="s">
        <v>37</v>
      </c>
      <c r="M190" s="1">
        <v>5.1100000000000003</v>
      </c>
      <c r="N190" s="1">
        <v>16</v>
      </c>
      <c r="O190" s="1" t="s">
        <v>1631</v>
      </c>
      <c r="P190" s="1">
        <f>91-9890685728</f>
        <v>-9890685637</v>
      </c>
      <c r="Q190" s="1" t="s">
        <v>1632</v>
      </c>
      <c r="R190" s="1" t="s">
        <v>1633</v>
      </c>
      <c r="S190" s="1" t="s">
        <v>510</v>
      </c>
      <c r="T190" s="1" t="s">
        <v>140</v>
      </c>
      <c r="U190" s="1">
        <v>5.03</v>
      </c>
      <c r="V190" s="1">
        <v>5.0999999999999996</v>
      </c>
      <c r="W190" s="1" t="s">
        <v>1634</v>
      </c>
      <c r="X190" s="1" t="s">
        <v>1635</v>
      </c>
      <c r="Y190" s="3">
        <v>42841.939917557873</v>
      </c>
      <c r="Z190" s="1">
        <v>1</v>
      </c>
      <c r="AA190" s="1">
        <v>1</v>
      </c>
      <c r="AB190" s="1">
        <v>1</v>
      </c>
      <c r="AC190" s="1">
        <v>1</v>
      </c>
      <c r="AD190" s="3">
        <v>43607.426484374999</v>
      </c>
      <c r="AE190" s="1" t="s">
        <v>42</v>
      </c>
    </row>
    <row r="191" spans="1:31" x14ac:dyDescent="0.35">
      <c r="A191" s="1">
        <v>1723</v>
      </c>
      <c r="B191" s="1" t="s">
        <v>1636</v>
      </c>
      <c r="C191" s="1" t="s">
        <v>1637</v>
      </c>
      <c r="D191" s="1" t="s">
        <v>1008</v>
      </c>
      <c r="E191" s="1" t="s">
        <v>52</v>
      </c>
      <c r="F191" s="1">
        <v>1</v>
      </c>
      <c r="G191" s="3">
        <v>32896</v>
      </c>
      <c r="H191" s="1">
        <v>1</v>
      </c>
      <c r="I191" s="1" t="s">
        <v>1167</v>
      </c>
      <c r="J191" s="1" t="s">
        <v>1638</v>
      </c>
      <c r="K191" s="2">
        <f>91-9426040060</f>
        <v>-9426039969</v>
      </c>
      <c r="L191" s="1" t="s">
        <v>58</v>
      </c>
      <c r="M191" s="1">
        <v>5.0599999999999996</v>
      </c>
      <c r="N191" s="1">
        <v>5</v>
      </c>
      <c r="O191" s="1" t="s">
        <v>1639</v>
      </c>
      <c r="P191" s="1">
        <f>91-9426040060</f>
        <v>-9426039969</v>
      </c>
      <c r="Q191" s="1" t="s">
        <v>1640</v>
      </c>
      <c r="R191" s="1" t="s">
        <v>1641</v>
      </c>
      <c r="S191" s="1" t="s">
        <v>581</v>
      </c>
      <c r="T191" s="1" t="s">
        <v>58</v>
      </c>
      <c r="U191" s="1">
        <v>5</v>
      </c>
      <c r="V191" s="1">
        <v>5.0599999999999996</v>
      </c>
      <c r="W191" s="1" t="s">
        <v>1642</v>
      </c>
      <c r="X191" s="1" t="s">
        <v>1643</v>
      </c>
      <c r="Y191" s="3">
        <v>42842.151139004629</v>
      </c>
      <c r="Z191" s="1">
        <v>1</v>
      </c>
      <c r="AA191" s="1">
        <v>1</v>
      </c>
      <c r="AB191" s="1">
        <v>1</v>
      </c>
      <c r="AC191" s="1">
        <v>4</v>
      </c>
      <c r="AD191" s="3">
        <v>42858.357932175924</v>
      </c>
      <c r="AE191" s="1" t="s">
        <v>42</v>
      </c>
    </row>
    <row r="192" spans="1:31" x14ac:dyDescent="0.35">
      <c r="A192" s="1">
        <v>1724</v>
      </c>
      <c r="B192" s="1" t="s">
        <v>1644</v>
      </c>
      <c r="C192" s="1" t="s">
        <v>1645</v>
      </c>
      <c r="D192" s="1" t="s">
        <v>1646</v>
      </c>
      <c r="E192" s="1" t="s">
        <v>1289</v>
      </c>
      <c r="F192" s="1">
        <v>1</v>
      </c>
      <c r="G192" s="3">
        <v>33795</v>
      </c>
      <c r="H192" s="1">
        <v>1</v>
      </c>
      <c r="I192" s="1" t="s">
        <v>35</v>
      </c>
      <c r="J192" s="1" t="s">
        <v>209</v>
      </c>
      <c r="K192" s="2">
        <f>91-8149593793</f>
        <v>-8149593702</v>
      </c>
      <c r="L192" s="1" t="s">
        <v>58</v>
      </c>
      <c r="M192" s="1">
        <v>5.09</v>
      </c>
      <c r="N192" s="1">
        <v>11</v>
      </c>
      <c r="O192" s="1" t="s">
        <v>1647</v>
      </c>
      <c r="P192" s="1" t="s">
        <v>54</v>
      </c>
      <c r="Q192" s="1" t="s">
        <v>1648</v>
      </c>
      <c r="R192" s="1" t="s">
        <v>1649</v>
      </c>
      <c r="S192" s="1" t="s">
        <v>488</v>
      </c>
      <c r="T192" s="1" t="s">
        <v>58</v>
      </c>
      <c r="U192" s="1">
        <v>5</v>
      </c>
      <c r="V192" s="1">
        <v>5.07</v>
      </c>
      <c r="X192" s="1" t="s">
        <v>1650</v>
      </c>
      <c r="Y192" s="3">
        <v>42842.931441817127</v>
      </c>
      <c r="Z192" s="1">
        <v>1</v>
      </c>
      <c r="AA192" s="1">
        <v>1</v>
      </c>
      <c r="AB192" s="1">
        <v>1</v>
      </c>
      <c r="AC192" s="1">
        <v>1</v>
      </c>
      <c r="AD192" s="3">
        <v>43590.744989664352</v>
      </c>
      <c r="AE192" s="1" t="s">
        <v>42</v>
      </c>
    </row>
    <row r="193" spans="1:31" x14ac:dyDescent="0.35">
      <c r="A193" s="1">
        <v>1727</v>
      </c>
      <c r="B193" s="1" t="s">
        <v>1651</v>
      </c>
      <c r="C193" s="1" t="s">
        <v>1652</v>
      </c>
      <c r="D193" s="1" t="s">
        <v>1653</v>
      </c>
      <c r="E193" s="1" t="s">
        <v>52</v>
      </c>
      <c r="F193" s="1">
        <v>0</v>
      </c>
      <c r="G193" s="3">
        <v>33187</v>
      </c>
      <c r="H193" s="1">
        <v>1</v>
      </c>
      <c r="I193" s="1" t="s">
        <v>72</v>
      </c>
      <c r="J193" s="1" t="s">
        <v>410</v>
      </c>
      <c r="K193" s="2">
        <f>91-9425388600</f>
        <v>-9425388509</v>
      </c>
      <c r="L193" s="1" t="s">
        <v>58</v>
      </c>
      <c r="M193" s="1">
        <v>5.05</v>
      </c>
      <c r="N193" s="1">
        <v>10</v>
      </c>
      <c r="O193" s="1" t="s">
        <v>1654</v>
      </c>
      <c r="P193" s="1">
        <f>91-9425864073</f>
        <v>-9425863982</v>
      </c>
      <c r="Q193" s="1" t="s">
        <v>1655</v>
      </c>
      <c r="R193" s="1" t="s">
        <v>1656</v>
      </c>
      <c r="S193" s="1" t="s">
        <v>1202</v>
      </c>
      <c r="T193" s="1" t="s">
        <v>58</v>
      </c>
      <c r="U193" s="1">
        <v>5.05</v>
      </c>
      <c r="V193" s="1">
        <v>6</v>
      </c>
      <c r="W193" s="1" t="s">
        <v>1657</v>
      </c>
      <c r="X193" s="1" t="s">
        <v>1658</v>
      </c>
      <c r="Y193" s="3">
        <v>42847.299928587963</v>
      </c>
      <c r="Z193" s="1">
        <v>1</v>
      </c>
      <c r="AA193" s="1">
        <v>1</v>
      </c>
      <c r="AB193" s="1">
        <v>1</v>
      </c>
      <c r="AC193" s="1">
        <v>1</v>
      </c>
      <c r="AD193" s="3">
        <v>44004.330486493054</v>
      </c>
      <c r="AE193" s="1" t="s">
        <v>42</v>
      </c>
    </row>
    <row r="194" spans="1:31" x14ac:dyDescent="0.35">
      <c r="A194" s="1">
        <v>1731</v>
      </c>
      <c r="B194" s="1" t="s">
        <v>1659</v>
      </c>
      <c r="C194" s="1" t="s">
        <v>1660</v>
      </c>
      <c r="D194" s="1" t="s">
        <v>1661</v>
      </c>
      <c r="E194" s="1" t="s">
        <v>775</v>
      </c>
      <c r="F194" s="1">
        <v>0</v>
      </c>
      <c r="G194" s="3">
        <v>35193</v>
      </c>
      <c r="H194" s="1">
        <v>1</v>
      </c>
      <c r="I194" s="1" t="s">
        <v>63</v>
      </c>
      <c r="J194" s="1" t="s">
        <v>64</v>
      </c>
      <c r="K194" s="2" t="s">
        <v>54</v>
      </c>
      <c r="L194" s="1" t="s">
        <v>58</v>
      </c>
      <c r="M194" s="1">
        <v>5.0199999999999996</v>
      </c>
      <c r="N194" s="1">
        <v>14</v>
      </c>
      <c r="O194" s="1" t="s">
        <v>1662</v>
      </c>
      <c r="P194" s="1">
        <f>91-9825355961</f>
        <v>-9825355870</v>
      </c>
      <c r="Q194" s="1" t="s">
        <v>1663</v>
      </c>
      <c r="R194" s="1" t="s">
        <v>1664</v>
      </c>
      <c r="S194" s="1" t="s">
        <v>1665</v>
      </c>
      <c r="T194" s="1" t="s">
        <v>58</v>
      </c>
      <c r="U194" s="1">
        <v>5.05</v>
      </c>
      <c r="V194" s="1">
        <v>5.09</v>
      </c>
      <c r="Y194" s="3">
        <v>42851.342304247686</v>
      </c>
      <c r="Z194" s="1">
        <v>1</v>
      </c>
      <c r="AA194" s="1">
        <v>1</v>
      </c>
      <c r="AB194" s="1">
        <v>1</v>
      </c>
      <c r="AC194" s="1">
        <v>4</v>
      </c>
      <c r="AD194" s="3">
        <v>43046.646680405094</v>
      </c>
      <c r="AE194" s="1" t="s">
        <v>42</v>
      </c>
    </row>
    <row r="195" spans="1:31" x14ac:dyDescent="0.35">
      <c r="A195" s="1">
        <v>1732</v>
      </c>
      <c r="B195" s="1" t="s">
        <v>1666</v>
      </c>
      <c r="C195" s="1" t="s">
        <v>1667</v>
      </c>
      <c r="D195" s="1" t="s">
        <v>1171</v>
      </c>
      <c r="E195" s="1" t="s">
        <v>71</v>
      </c>
      <c r="F195" s="1">
        <v>1</v>
      </c>
      <c r="G195" s="3">
        <v>33343</v>
      </c>
      <c r="H195" s="1">
        <v>1</v>
      </c>
      <c r="I195" s="1" t="s">
        <v>63</v>
      </c>
      <c r="J195" s="1" t="s">
        <v>115</v>
      </c>
      <c r="K195" s="2">
        <f>91-9725255457</f>
        <v>-9725255366</v>
      </c>
      <c r="L195" s="1" t="s">
        <v>58</v>
      </c>
      <c r="M195" s="1">
        <v>5.07</v>
      </c>
      <c r="N195" s="1">
        <v>29</v>
      </c>
      <c r="O195" s="1" t="s">
        <v>1668</v>
      </c>
      <c r="P195" s="1" t="s">
        <v>54</v>
      </c>
      <c r="Q195" s="1" t="s">
        <v>1669</v>
      </c>
      <c r="R195" s="1" t="s">
        <v>1670</v>
      </c>
      <c r="S195" s="1" t="s">
        <v>213</v>
      </c>
      <c r="T195" s="1" t="s">
        <v>58</v>
      </c>
      <c r="U195" s="1">
        <v>5</v>
      </c>
      <c r="V195" s="1">
        <v>5.03</v>
      </c>
      <c r="W195" s="1" t="s">
        <v>1671</v>
      </c>
      <c r="X195" s="1" t="s">
        <v>1672</v>
      </c>
      <c r="Y195" s="3">
        <v>42854.378136886575</v>
      </c>
      <c r="Z195" s="1">
        <v>1</v>
      </c>
      <c r="AA195" s="1">
        <v>1</v>
      </c>
      <c r="AB195" s="1">
        <v>1</v>
      </c>
      <c r="AC195" s="1">
        <v>4</v>
      </c>
      <c r="AD195" s="3">
        <v>42863.736900115742</v>
      </c>
      <c r="AE195" s="1" t="s">
        <v>42</v>
      </c>
    </row>
    <row r="196" spans="1:31" x14ac:dyDescent="0.35">
      <c r="A196" s="1">
        <v>1734</v>
      </c>
      <c r="B196" s="1" t="s">
        <v>1673</v>
      </c>
      <c r="C196" s="1" t="s">
        <v>1674</v>
      </c>
      <c r="D196" s="1" t="s">
        <v>1675</v>
      </c>
      <c r="E196" s="1" t="s">
        <v>444</v>
      </c>
      <c r="F196" s="1">
        <v>1</v>
      </c>
      <c r="G196" s="3">
        <v>32614</v>
      </c>
      <c r="H196" s="1">
        <v>1</v>
      </c>
      <c r="I196" s="1" t="s">
        <v>63</v>
      </c>
      <c r="J196" s="1" t="s">
        <v>1052</v>
      </c>
      <c r="K196" s="2">
        <f>91-9624284727</f>
        <v>-9624284636</v>
      </c>
      <c r="L196" s="1" t="s">
        <v>58</v>
      </c>
      <c r="M196" s="1">
        <v>6</v>
      </c>
      <c r="N196" s="1">
        <v>5</v>
      </c>
      <c r="O196" s="1" t="s">
        <v>1676</v>
      </c>
      <c r="P196" s="1">
        <f>91-9408240323</f>
        <v>-9408240232</v>
      </c>
      <c r="Q196" s="1" t="s">
        <v>1677</v>
      </c>
      <c r="R196" s="1" t="s">
        <v>1678</v>
      </c>
      <c r="S196" s="1" t="s">
        <v>255</v>
      </c>
      <c r="T196" s="1" t="s">
        <v>58</v>
      </c>
      <c r="U196" s="1">
        <v>4.1100000000000003</v>
      </c>
      <c r="V196" s="1">
        <v>6</v>
      </c>
      <c r="W196" s="1" t="s">
        <v>1679</v>
      </c>
      <c r="X196" s="1" t="s">
        <v>1680</v>
      </c>
      <c r="Y196" s="3">
        <v>42857.206655358794</v>
      </c>
      <c r="Z196" s="1">
        <v>1</v>
      </c>
      <c r="AA196" s="1">
        <v>1</v>
      </c>
      <c r="AB196" s="1">
        <v>1</v>
      </c>
      <c r="AC196" s="1">
        <v>4</v>
      </c>
      <c r="AD196" s="3">
        <v>42923.515526967596</v>
      </c>
      <c r="AE196" s="1" t="s">
        <v>42</v>
      </c>
    </row>
    <row r="197" spans="1:31" x14ac:dyDescent="0.35">
      <c r="A197" s="1">
        <v>1735</v>
      </c>
      <c r="B197" s="1" t="s">
        <v>1681</v>
      </c>
      <c r="C197" s="1">
        <v>9725548935</v>
      </c>
      <c r="D197" s="1" t="s">
        <v>1682</v>
      </c>
      <c r="E197" s="1" t="s">
        <v>920</v>
      </c>
      <c r="F197" s="1">
        <v>0</v>
      </c>
      <c r="G197" s="3">
        <v>35284</v>
      </c>
      <c r="H197" s="1">
        <v>1</v>
      </c>
      <c r="I197" s="1" t="s">
        <v>63</v>
      </c>
      <c r="J197" s="1" t="s">
        <v>474</v>
      </c>
      <c r="K197" s="2">
        <f>91-9898187298</f>
        <v>-9898187207</v>
      </c>
      <c r="L197" s="1" t="s">
        <v>58</v>
      </c>
      <c r="M197" s="1">
        <v>5.01</v>
      </c>
      <c r="N197" s="1">
        <v>33</v>
      </c>
      <c r="P197" s="1" t="s">
        <v>54</v>
      </c>
      <c r="S197" s="1" t="s">
        <v>42</v>
      </c>
      <c r="T197" s="1" t="s">
        <v>42</v>
      </c>
      <c r="U197" s="1" t="s">
        <v>42</v>
      </c>
      <c r="V197" s="1" t="s">
        <v>42</v>
      </c>
      <c r="W197" s="1" t="s">
        <v>42</v>
      </c>
      <c r="X197" s="1" t="s">
        <v>42</v>
      </c>
      <c r="Y197" s="3">
        <v>42858.159990312502</v>
      </c>
      <c r="Z197" s="1">
        <v>1</v>
      </c>
      <c r="AA197" s="1">
        <v>1</v>
      </c>
      <c r="AB197" s="1">
        <v>1</v>
      </c>
      <c r="AC197" s="1">
        <v>4</v>
      </c>
      <c r="AD197" s="3" t="s">
        <v>42</v>
      </c>
      <c r="AE197" s="1" t="s">
        <v>42</v>
      </c>
    </row>
    <row r="198" spans="1:31" x14ac:dyDescent="0.35">
      <c r="A198" s="1">
        <v>1738</v>
      </c>
      <c r="B198" s="1" t="s">
        <v>1683</v>
      </c>
      <c r="C198" s="1" t="s">
        <v>1684</v>
      </c>
      <c r="D198" s="1" t="s">
        <v>1685</v>
      </c>
      <c r="E198" s="1" t="s">
        <v>552</v>
      </c>
      <c r="F198" s="1">
        <v>1</v>
      </c>
      <c r="G198" s="3">
        <v>35341</v>
      </c>
      <c r="H198" s="1">
        <v>1</v>
      </c>
      <c r="I198" s="1" t="s">
        <v>35</v>
      </c>
      <c r="J198" s="1" t="s">
        <v>1686</v>
      </c>
      <c r="K198" s="2">
        <f>91-9096251187</f>
        <v>-9096251096</v>
      </c>
      <c r="L198" s="1" t="s">
        <v>58</v>
      </c>
      <c r="M198" s="1">
        <v>5.0999999999999996</v>
      </c>
      <c r="N198" s="1">
        <v>16</v>
      </c>
      <c r="O198" s="1" t="s">
        <v>1687</v>
      </c>
      <c r="P198" s="1">
        <f>91-9096251187</f>
        <v>-9096251096</v>
      </c>
      <c r="Q198" s="1" t="s">
        <v>1688</v>
      </c>
      <c r="R198" s="1" t="s">
        <v>1689</v>
      </c>
      <c r="S198" s="1" t="s">
        <v>232</v>
      </c>
      <c r="T198" s="1" t="s">
        <v>58</v>
      </c>
      <c r="U198" s="1">
        <v>5.0599999999999996</v>
      </c>
      <c r="V198" s="1">
        <v>5.0599999999999996</v>
      </c>
      <c r="W198" s="1" t="s">
        <v>1690</v>
      </c>
      <c r="X198" s="1" t="s">
        <v>1691</v>
      </c>
      <c r="Y198" s="3">
        <v>42862.093011724537</v>
      </c>
      <c r="Z198" s="1">
        <v>1</v>
      </c>
      <c r="AA198" s="1">
        <v>1</v>
      </c>
      <c r="AB198" s="1">
        <v>1</v>
      </c>
      <c r="AC198" s="1">
        <v>4</v>
      </c>
      <c r="AD198" s="3">
        <v>42862.685376157409</v>
      </c>
      <c r="AE198" s="1" t="s">
        <v>42</v>
      </c>
    </row>
    <row r="199" spans="1:31" x14ac:dyDescent="0.35">
      <c r="A199" s="1">
        <v>1739</v>
      </c>
      <c r="B199" s="1" t="s">
        <v>1692</v>
      </c>
      <c r="C199" s="1">
        <v>23031984</v>
      </c>
      <c r="D199" s="1" t="s">
        <v>1693</v>
      </c>
      <c r="E199" s="1" t="s">
        <v>71</v>
      </c>
      <c r="F199" s="1">
        <v>1</v>
      </c>
      <c r="G199" s="3">
        <v>30764</v>
      </c>
      <c r="H199" s="1">
        <v>1</v>
      </c>
      <c r="I199" s="1" t="s">
        <v>63</v>
      </c>
      <c r="J199" s="1" t="s">
        <v>426</v>
      </c>
      <c r="K199" s="2">
        <f>91-7069329190</f>
        <v>-7069329099</v>
      </c>
      <c r="L199" s="1" t="s">
        <v>37</v>
      </c>
      <c r="M199" s="1">
        <v>5.07</v>
      </c>
      <c r="N199" s="1">
        <v>46</v>
      </c>
      <c r="O199" s="1" t="s">
        <v>1694</v>
      </c>
      <c r="P199" s="1">
        <f>91-9429187073</f>
        <v>-9429186982</v>
      </c>
      <c r="Q199" s="1" t="s">
        <v>1695</v>
      </c>
      <c r="R199" s="1" t="s">
        <v>1696</v>
      </c>
      <c r="S199" s="1" t="s">
        <v>1143</v>
      </c>
      <c r="T199" s="1" t="s">
        <v>99</v>
      </c>
      <c r="U199" s="1">
        <v>5</v>
      </c>
      <c r="V199" s="1">
        <v>5.05</v>
      </c>
      <c r="W199" s="1" t="s">
        <v>1697</v>
      </c>
      <c r="X199" s="1" t="s">
        <v>1698</v>
      </c>
      <c r="Y199" s="3">
        <v>42863.074784490738</v>
      </c>
      <c r="Z199" s="1">
        <v>1</v>
      </c>
      <c r="AA199" s="1">
        <v>1</v>
      </c>
      <c r="AB199" s="1">
        <v>1</v>
      </c>
      <c r="AC199" s="1">
        <v>4</v>
      </c>
      <c r="AD199" s="3">
        <v>42863.563565937497</v>
      </c>
      <c r="AE199" s="1" t="s">
        <v>42</v>
      </c>
    </row>
    <row r="200" spans="1:31" x14ac:dyDescent="0.35">
      <c r="A200" s="1">
        <v>1741</v>
      </c>
      <c r="B200" s="1" t="s">
        <v>1699</v>
      </c>
      <c r="C200" s="1" t="s">
        <v>1700</v>
      </c>
      <c r="D200" s="1" t="s">
        <v>1701</v>
      </c>
      <c r="E200" s="1" t="s">
        <v>1702</v>
      </c>
      <c r="F200" s="1">
        <v>1</v>
      </c>
      <c r="G200" s="3">
        <v>34426</v>
      </c>
      <c r="H200" s="1">
        <v>1</v>
      </c>
      <c r="I200" s="1" t="s">
        <v>35</v>
      </c>
      <c r="J200" s="1" t="s">
        <v>106</v>
      </c>
      <c r="K200" s="2">
        <f>91-9730691686</f>
        <v>-9730691595</v>
      </c>
      <c r="L200" s="1" t="s">
        <v>58</v>
      </c>
      <c r="M200" s="1">
        <v>5.09</v>
      </c>
      <c r="N200" s="1">
        <v>27</v>
      </c>
      <c r="O200" s="1" t="s">
        <v>1703</v>
      </c>
      <c r="P200" s="1">
        <f>91-9423261758</f>
        <v>-9423261667</v>
      </c>
      <c r="Q200" s="1" t="s">
        <v>1704</v>
      </c>
      <c r="R200" s="1" t="s">
        <v>1705</v>
      </c>
      <c r="S200" s="1" t="s">
        <v>1706</v>
      </c>
      <c r="T200" s="1" t="s">
        <v>58</v>
      </c>
      <c r="U200" s="1">
        <v>5.01</v>
      </c>
      <c r="V200" s="1">
        <v>5.0599999999999996</v>
      </c>
      <c r="W200" s="1" t="s">
        <v>1707</v>
      </c>
      <c r="X200" s="1" t="s">
        <v>1708</v>
      </c>
      <c r="Y200" s="3">
        <v>42868.09771519676</v>
      </c>
      <c r="Z200" s="1">
        <v>1</v>
      </c>
      <c r="AA200" s="1">
        <v>1</v>
      </c>
      <c r="AB200" s="1">
        <v>1</v>
      </c>
      <c r="AC200" s="1">
        <v>1</v>
      </c>
      <c r="AD200" s="3">
        <v>43486.033235069444</v>
      </c>
      <c r="AE200" s="1" t="s">
        <v>42</v>
      </c>
    </row>
    <row r="201" spans="1:31" x14ac:dyDescent="0.35">
      <c r="A201" s="1">
        <v>1749</v>
      </c>
      <c r="B201" s="1" t="s">
        <v>1709</v>
      </c>
      <c r="C201" s="1" t="s">
        <v>1710</v>
      </c>
      <c r="D201" s="1" t="s">
        <v>1711</v>
      </c>
      <c r="E201" s="1" t="s">
        <v>1712</v>
      </c>
      <c r="F201" s="1">
        <v>1</v>
      </c>
      <c r="G201" s="3">
        <v>33261</v>
      </c>
      <c r="H201" s="1">
        <v>1</v>
      </c>
      <c r="I201" s="1" t="s">
        <v>35</v>
      </c>
      <c r="J201" s="1" t="s">
        <v>36</v>
      </c>
      <c r="K201" s="2">
        <f>91-9820820202</f>
        <v>-9820820111</v>
      </c>
      <c r="L201" s="1" t="s">
        <v>58</v>
      </c>
      <c r="M201" s="1">
        <v>5.05</v>
      </c>
      <c r="N201" s="1">
        <v>27</v>
      </c>
      <c r="O201" s="1" t="s">
        <v>1713</v>
      </c>
      <c r="P201" s="1">
        <f>91-9420572603</f>
        <v>-9420572512</v>
      </c>
      <c r="Q201" s="1" t="s">
        <v>1714</v>
      </c>
      <c r="R201" s="1" t="s">
        <v>1715</v>
      </c>
      <c r="S201" s="1" t="s">
        <v>213</v>
      </c>
      <c r="T201" s="1" t="s">
        <v>58</v>
      </c>
      <c r="U201" s="1">
        <v>5</v>
      </c>
      <c r="V201" s="1">
        <v>5.05</v>
      </c>
      <c r="W201" s="1" t="s">
        <v>1716</v>
      </c>
      <c r="X201" s="1" t="s">
        <v>42</v>
      </c>
      <c r="Y201" s="3">
        <v>42871.156833333334</v>
      </c>
      <c r="Z201" s="1">
        <v>1</v>
      </c>
      <c r="AA201" s="1">
        <v>1</v>
      </c>
      <c r="AB201" s="1">
        <v>1</v>
      </c>
      <c r="AC201" s="1">
        <v>1</v>
      </c>
      <c r="AD201" s="3">
        <v>43944.272608414351</v>
      </c>
      <c r="AE201" s="1" t="s">
        <v>42</v>
      </c>
    </row>
    <row r="202" spans="1:31" x14ac:dyDescent="0.35">
      <c r="A202" s="1">
        <v>1750</v>
      </c>
      <c r="B202" s="1" t="s">
        <v>1717</v>
      </c>
      <c r="C202" s="1" t="s">
        <v>1718</v>
      </c>
      <c r="D202" s="1" t="s">
        <v>643</v>
      </c>
      <c r="E202" s="1" t="s">
        <v>1719</v>
      </c>
      <c r="F202" s="1">
        <v>1</v>
      </c>
      <c r="G202" s="3">
        <v>31931</v>
      </c>
      <c r="H202" s="1">
        <v>1</v>
      </c>
      <c r="I202" s="1" t="s">
        <v>35</v>
      </c>
      <c r="J202" s="1" t="s">
        <v>506</v>
      </c>
      <c r="K202" s="2">
        <f>91-9422123930</f>
        <v>-9422123839</v>
      </c>
      <c r="L202" s="1" t="s">
        <v>58</v>
      </c>
      <c r="M202" s="1">
        <v>5.07</v>
      </c>
      <c r="N202" s="1">
        <v>48</v>
      </c>
      <c r="O202" s="1" t="s">
        <v>1720</v>
      </c>
      <c r="P202" s="1">
        <f>91-7122765478</f>
        <v>-7122765387</v>
      </c>
      <c r="Q202" s="1" t="s">
        <v>1721</v>
      </c>
      <c r="R202" s="1" t="s">
        <v>1722</v>
      </c>
      <c r="S202" s="1" t="s">
        <v>333</v>
      </c>
      <c r="T202" s="1" t="s">
        <v>58</v>
      </c>
      <c r="U202" s="1">
        <v>4.0999999999999996</v>
      </c>
      <c r="V202" s="1">
        <v>5.0599999999999996</v>
      </c>
      <c r="W202" s="1" t="s">
        <v>1723</v>
      </c>
      <c r="X202" s="1" t="s">
        <v>1724</v>
      </c>
      <c r="Y202" s="3">
        <v>42871.204731597223</v>
      </c>
      <c r="Z202" s="1">
        <v>1</v>
      </c>
      <c r="AA202" s="1">
        <v>1</v>
      </c>
      <c r="AB202" s="1">
        <v>1</v>
      </c>
      <c r="AC202" s="1">
        <v>1</v>
      </c>
      <c r="AD202" s="3">
        <v>43859.656316782406</v>
      </c>
      <c r="AE202" s="1" t="s">
        <v>42</v>
      </c>
    </row>
    <row r="203" spans="1:31" x14ac:dyDescent="0.35">
      <c r="A203" s="1">
        <v>1751</v>
      </c>
      <c r="B203" s="1" t="s">
        <v>1725</v>
      </c>
      <c r="C203" s="1" t="s">
        <v>1726</v>
      </c>
      <c r="D203" s="1" t="s">
        <v>1175</v>
      </c>
      <c r="E203" s="1" t="s">
        <v>52</v>
      </c>
      <c r="F203" s="1">
        <v>1</v>
      </c>
      <c r="G203" s="3">
        <v>33951</v>
      </c>
      <c r="H203" s="1">
        <v>16</v>
      </c>
      <c r="I203" s="1" t="s">
        <v>1727</v>
      </c>
      <c r="J203" s="1" t="s">
        <v>1728</v>
      </c>
      <c r="K203" s="2">
        <f>61-475234803</f>
        <v>-475234742</v>
      </c>
      <c r="L203" s="1" t="s">
        <v>58</v>
      </c>
      <c r="M203" s="1">
        <v>5.0599999999999996</v>
      </c>
      <c r="N203" s="1">
        <v>1</v>
      </c>
      <c r="O203" s="1" t="s">
        <v>1729</v>
      </c>
      <c r="P203" s="1" t="s">
        <v>54</v>
      </c>
      <c r="Q203" s="1" t="s">
        <v>1730</v>
      </c>
      <c r="R203" s="1" t="s">
        <v>1729</v>
      </c>
      <c r="S203" s="1" t="s">
        <v>333</v>
      </c>
      <c r="T203" s="1" t="s">
        <v>256</v>
      </c>
      <c r="U203" s="1">
        <v>5</v>
      </c>
      <c r="V203" s="1">
        <v>6</v>
      </c>
      <c r="W203" s="1" t="s">
        <v>1731</v>
      </c>
      <c r="X203" s="1" t="s">
        <v>1732</v>
      </c>
      <c r="Y203" s="3">
        <v>42872.178064849541</v>
      </c>
      <c r="Z203" s="1">
        <v>1</v>
      </c>
      <c r="AA203" s="1">
        <v>1</v>
      </c>
      <c r="AB203" s="1">
        <v>1</v>
      </c>
      <c r="AC203" s="1">
        <v>4</v>
      </c>
      <c r="AD203" s="3">
        <v>43011.489424965279</v>
      </c>
      <c r="AE203" s="1" t="s">
        <v>42</v>
      </c>
    </row>
    <row r="204" spans="1:31" x14ac:dyDescent="0.35">
      <c r="A204" s="1">
        <v>1756</v>
      </c>
      <c r="B204" s="1" t="s">
        <v>1733</v>
      </c>
      <c r="C204" s="1">
        <v>4050104725</v>
      </c>
      <c r="D204" s="1" t="s">
        <v>1734</v>
      </c>
      <c r="E204" s="1" t="s">
        <v>1735</v>
      </c>
      <c r="F204" s="1">
        <v>1</v>
      </c>
      <c r="G204" s="3">
        <v>32234</v>
      </c>
      <c r="H204" s="1">
        <v>1</v>
      </c>
      <c r="I204" s="1" t="s">
        <v>35</v>
      </c>
      <c r="J204" s="1" t="s">
        <v>209</v>
      </c>
      <c r="K204" s="2">
        <f>91-9028766200</f>
        <v>-9028766109</v>
      </c>
      <c r="L204" s="1" t="s">
        <v>58</v>
      </c>
      <c r="M204" s="1">
        <v>5.03</v>
      </c>
      <c r="N204" s="1">
        <v>9</v>
      </c>
      <c r="O204" s="1" t="s">
        <v>1736</v>
      </c>
      <c r="P204" s="1">
        <f>91-9822891015</f>
        <v>-9822890924</v>
      </c>
      <c r="Q204" s="1" t="s">
        <v>312</v>
      </c>
      <c r="R204" s="1" t="s">
        <v>1737</v>
      </c>
      <c r="S204" s="1" t="s">
        <v>693</v>
      </c>
      <c r="T204" s="1" t="s">
        <v>58</v>
      </c>
      <c r="U204" s="1">
        <v>5.03</v>
      </c>
      <c r="V204" s="1">
        <v>5.03</v>
      </c>
      <c r="W204" s="1" t="s">
        <v>1738</v>
      </c>
      <c r="X204" s="1" t="s">
        <v>1739</v>
      </c>
      <c r="Y204" s="3">
        <v>42874.41223927083</v>
      </c>
      <c r="Z204" s="1">
        <v>1</v>
      </c>
      <c r="AA204" s="1">
        <v>1</v>
      </c>
      <c r="AB204" s="1">
        <v>1</v>
      </c>
      <c r="AC204" s="1">
        <v>4</v>
      </c>
      <c r="AD204" s="3">
        <v>42876.314288923611</v>
      </c>
      <c r="AE204" s="1" t="s">
        <v>42</v>
      </c>
    </row>
    <row r="205" spans="1:31" x14ac:dyDescent="0.35">
      <c r="A205" s="1">
        <v>1761</v>
      </c>
      <c r="B205" s="1" t="s">
        <v>1740</v>
      </c>
      <c r="C205" s="1" t="s">
        <v>1741</v>
      </c>
      <c r="D205" s="1" t="s">
        <v>1742</v>
      </c>
      <c r="E205" s="1" t="s">
        <v>663</v>
      </c>
      <c r="F205" s="1">
        <v>1</v>
      </c>
      <c r="G205" s="3">
        <v>33551</v>
      </c>
      <c r="H205" s="1">
        <v>1</v>
      </c>
      <c r="I205" s="1" t="s">
        <v>35</v>
      </c>
      <c r="J205" s="1" t="s">
        <v>871</v>
      </c>
      <c r="K205" s="2">
        <f>91-9158691136</f>
        <v>-9158691045</v>
      </c>
      <c r="L205" s="1" t="s">
        <v>37</v>
      </c>
      <c r="M205" s="1">
        <v>5.0199999999999996</v>
      </c>
      <c r="N205" s="1">
        <v>54</v>
      </c>
      <c r="O205" s="1" t="s">
        <v>1743</v>
      </c>
      <c r="P205" s="1">
        <f>91-9158691136</f>
        <v>-9158691045</v>
      </c>
      <c r="Q205" s="1" t="s">
        <v>1744</v>
      </c>
      <c r="R205" s="1" t="s">
        <v>1745</v>
      </c>
      <c r="S205" s="1" t="s">
        <v>850</v>
      </c>
      <c r="T205" s="1" t="s">
        <v>599</v>
      </c>
      <c r="U205" s="1">
        <v>5.01</v>
      </c>
      <c r="V205" s="1">
        <v>5.01</v>
      </c>
      <c r="W205" s="1" t="s">
        <v>1746</v>
      </c>
      <c r="X205" s="1" t="s">
        <v>1747</v>
      </c>
      <c r="Y205" s="3">
        <v>42878.502090312497</v>
      </c>
      <c r="Z205" s="1">
        <v>1</v>
      </c>
      <c r="AA205" s="1">
        <v>1</v>
      </c>
      <c r="AB205" s="1">
        <v>1</v>
      </c>
      <c r="AC205" s="1">
        <v>1</v>
      </c>
      <c r="AD205" s="3">
        <v>43913.515858877312</v>
      </c>
      <c r="AE205" s="1" t="s">
        <v>42</v>
      </c>
    </row>
    <row r="206" spans="1:31" x14ac:dyDescent="0.35">
      <c r="A206" s="1">
        <v>1763</v>
      </c>
      <c r="B206" s="1" t="s">
        <v>1748</v>
      </c>
      <c r="C206" s="1" t="s">
        <v>1749</v>
      </c>
      <c r="D206" s="1" t="s">
        <v>750</v>
      </c>
      <c r="E206" s="1" t="s">
        <v>52</v>
      </c>
      <c r="F206" s="1">
        <v>1</v>
      </c>
      <c r="G206" s="3">
        <v>33639</v>
      </c>
      <c r="H206" s="1">
        <v>1</v>
      </c>
      <c r="I206" s="1" t="s">
        <v>63</v>
      </c>
      <c r="J206" s="1" t="s">
        <v>64</v>
      </c>
      <c r="K206" s="2">
        <f>91-9574761007</f>
        <v>-9574760916</v>
      </c>
      <c r="L206" s="1" t="s">
        <v>58</v>
      </c>
      <c r="M206" s="1">
        <v>5.09</v>
      </c>
      <c r="N206" s="1">
        <v>5</v>
      </c>
      <c r="O206" s="1" t="s">
        <v>1750</v>
      </c>
      <c r="P206" s="1" t="s">
        <v>54</v>
      </c>
      <c r="Q206" s="1" t="s">
        <v>544</v>
      </c>
      <c r="R206" s="1" t="s">
        <v>64</v>
      </c>
      <c r="S206" s="1" t="s">
        <v>438</v>
      </c>
      <c r="T206" s="1" t="s">
        <v>58</v>
      </c>
      <c r="U206" s="1">
        <v>4.05</v>
      </c>
      <c r="V206" s="1">
        <v>5.08</v>
      </c>
      <c r="W206" s="1" t="s">
        <v>1751</v>
      </c>
      <c r="X206" s="1" t="s">
        <v>1752</v>
      </c>
      <c r="Y206" s="3">
        <v>42881.008908993055</v>
      </c>
      <c r="Z206" s="1">
        <v>1</v>
      </c>
      <c r="AA206" s="1">
        <v>1</v>
      </c>
      <c r="AB206" s="1">
        <v>1</v>
      </c>
      <c r="AC206" s="1">
        <v>1</v>
      </c>
      <c r="AD206" s="3">
        <v>43883.637976736114</v>
      </c>
      <c r="AE206" s="1" t="s">
        <v>42</v>
      </c>
    </row>
    <row r="207" spans="1:31" x14ac:dyDescent="0.35">
      <c r="A207" s="1">
        <v>1765</v>
      </c>
      <c r="B207" s="1" t="s">
        <v>1753</v>
      </c>
      <c r="C207" s="1" t="s">
        <v>1754</v>
      </c>
      <c r="D207" s="1" t="s">
        <v>464</v>
      </c>
      <c r="E207" s="1" t="s">
        <v>1755</v>
      </c>
      <c r="F207" s="1">
        <v>1</v>
      </c>
      <c r="G207" s="3">
        <v>33741</v>
      </c>
      <c r="H207" s="1">
        <v>1</v>
      </c>
      <c r="I207" s="1" t="s">
        <v>63</v>
      </c>
      <c r="J207" s="1" t="s">
        <v>993</v>
      </c>
      <c r="K207" s="2">
        <f>91-9427857612</f>
        <v>-9427857521</v>
      </c>
      <c r="L207" s="1" t="s">
        <v>58</v>
      </c>
      <c r="M207" s="1">
        <v>5.03</v>
      </c>
      <c r="N207" s="1">
        <v>50</v>
      </c>
      <c r="O207" s="1" t="s">
        <v>1756</v>
      </c>
      <c r="P207" s="1">
        <f>91-2692261178</f>
        <v>-2692261087</v>
      </c>
      <c r="Q207" s="1" t="s">
        <v>995</v>
      </c>
      <c r="R207" s="1" t="s">
        <v>1757</v>
      </c>
      <c r="S207" s="1" t="s">
        <v>171</v>
      </c>
      <c r="T207" s="1" t="s">
        <v>58</v>
      </c>
      <c r="U207" s="1">
        <v>4.1100000000000003</v>
      </c>
      <c r="V207" s="1">
        <v>5.0199999999999996</v>
      </c>
      <c r="W207" s="1" t="s">
        <v>1758</v>
      </c>
      <c r="X207" s="1" t="s">
        <v>1759</v>
      </c>
      <c r="Y207" s="3">
        <v>42883.113432905091</v>
      </c>
      <c r="Z207" s="1">
        <v>1</v>
      </c>
      <c r="AA207" s="1">
        <v>1</v>
      </c>
      <c r="AB207" s="1">
        <v>1</v>
      </c>
      <c r="AC207" s="1">
        <v>1</v>
      </c>
      <c r="AD207" s="3">
        <v>43115.499252465277</v>
      </c>
      <c r="AE207" s="1" t="s">
        <v>42</v>
      </c>
    </row>
    <row r="208" spans="1:31" x14ac:dyDescent="0.35">
      <c r="A208" s="1">
        <v>1767</v>
      </c>
      <c r="B208" s="1" t="s">
        <v>1760</v>
      </c>
      <c r="C208" s="1">
        <v>2759021191</v>
      </c>
      <c r="D208" s="1" t="s">
        <v>1761</v>
      </c>
      <c r="E208" s="1" t="s">
        <v>497</v>
      </c>
      <c r="F208" s="1">
        <v>1</v>
      </c>
      <c r="G208" s="3">
        <v>33259</v>
      </c>
      <c r="H208" s="1">
        <v>1</v>
      </c>
      <c r="I208" s="1" t="s">
        <v>63</v>
      </c>
      <c r="J208" s="1" t="s">
        <v>993</v>
      </c>
      <c r="K208" s="2">
        <f>91-9601668978</f>
        <v>-9601668887</v>
      </c>
      <c r="L208" s="1" t="s">
        <v>58</v>
      </c>
      <c r="M208" s="1">
        <v>5.0999999999999996</v>
      </c>
      <c r="N208" s="1">
        <v>16</v>
      </c>
      <c r="O208" s="1" t="s">
        <v>1762</v>
      </c>
      <c r="P208" s="1">
        <f>91-9601668978</f>
        <v>-9601668887</v>
      </c>
      <c r="Q208" s="1" t="s">
        <v>497</v>
      </c>
      <c r="R208" s="1" t="s">
        <v>1763</v>
      </c>
      <c r="S208" s="1" t="s">
        <v>350</v>
      </c>
      <c r="T208" s="1" t="s">
        <v>58</v>
      </c>
      <c r="U208" s="1">
        <v>4</v>
      </c>
      <c r="V208" s="1">
        <v>5.0999999999999996</v>
      </c>
      <c r="W208" s="1" t="s">
        <v>1764</v>
      </c>
      <c r="X208" s="1" t="s">
        <v>1765</v>
      </c>
      <c r="Y208" s="3">
        <v>42887.395910069441</v>
      </c>
      <c r="Z208" s="1">
        <v>1</v>
      </c>
      <c r="AA208" s="1">
        <v>1</v>
      </c>
      <c r="AB208" s="1">
        <v>1</v>
      </c>
      <c r="AC208" s="1">
        <v>4</v>
      </c>
      <c r="AD208" s="3">
        <v>42888.720540243055</v>
      </c>
      <c r="AE208" s="1" t="s">
        <v>42</v>
      </c>
    </row>
    <row r="209" spans="1:31" x14ac:dyDescent="0.35">
      <c r="A209" s="1">
        <v>1769</v>
      </c>
      <c r="B209" s="1" t="s">
        <v>1766</v>
      </c>
      <c r="C209" s="1" t="s">
        <v>1767</v>
      </c>
      <c r="D209" s="1" t="s">
        <v>1768</v>
      </c>
      <c r="E209" s="1" t="s">
        <v>1769</v>
      </c>
      <c r="F209" s="1">
        <v>1</v>
      </c>
      <c r="G209" s="3">
        <v>34716</v>
      </c>
      <c r="H209" s="1">
        <v>1</v>
      </c>
      <c r="I209" s="1" t="s">
        <v>35</v>
      </c>
      <c r="J209" s="1" t="s">
        <v>209</v>
      </c>
      <c r="K209" s="2">
        <f>91-9766669406</f>
        <v>-9766669315</v>
      </c>
      <c r="L209" s="1" t="s">
        <v>58</v>
      </c>
      <c r="M209" s="1">
        <v>5.09</v>
      </c>
      <c r="N209" s="1">
        <v>46</v>
      </c>
      <c r="O209" s="1" t="s">
        <v>1770</v>
      </c>
      <c r="P209" s="1">
        <f>91-9890609842</f>
        <v>-9890609751</v>
      </c>
      <c r="Q209" s="1" t="s">
        <v>1771</v>
      </c>
      <c r="R209" s="1" t="s">
        <v>1772</v>
      </c>
      <c r="S209" s="1" t="s">
        <v>1773</v>
      </c>
      <c r="T209" s="1" t="s">
        <v>58</v>
      </c>
      <c r="U209" s="1">
        <v>5</v>
      </c>
      <c r="V209" s="1">
        <v>5.09</v>
      </c>
      <c r="W209" s="1" t="s">
        <v>1774</v>
      </c>
      <c r="X209" s="1" t="s">
        <v>1775</v>
      </c>
      <c r="Y209" s="3">
        <v>42892.229261145832</v>
      </c>
      <c r="Z209" s="1">
        <v>1</v>
      </c>
      <c r="AA209" s="1">
        <v>1</v>
      </c>
      <c r="AB209" s="1">
        <v>1</v>
      </c>
      <c r="AC209" s="1">
        <v>4</v>
      </c>
      <c r="AD209" s="3">
        <v>43026.704591435184</v>
      </c>
      <c r="AE209" s="1" t="s">
        <v>42</v>
      </c>
    </row>
    <row r="210" spans="1:31" x14ac:dyDescent="0.35">
      <c r="A210" s="1">
        <v>1771</v>
      </c>
      <c r="B210" s="1" t="s">
        <v>1776</v>
      </c>
      <c r="C210" s="1" t="s">
        <v>1777</v>
      </c>
      <c r="D210" s="1" t="s">
        <v>1778</v>
      </c>
      <c r="E210" s="1" t="s">
        <v>1779</v>
      </c>
      <c r="F210" s="1">
        <v>0</v>
      </c>
      <c r="G210" s="3">
        <v>34485</v>
      </c>
      <c r="H210" s="1">
        <v>1</v>
      </c>
      <c r="I210" s="1" t="s">
        <v>35</v>
      </c>
      <c r="J210" s="1" t="s">
        <v>871</v>
      </c>
      <c r="K210" s="2">
        <f>91-9503515333</f>
        <v>-9503515242</v>
      </c>
      <c r="L210" s="1" t="s">
        <v>58</v>
      </c>
      <c r="M210" s="1">
        <v>5.03</v>
      </c>
      <c r="N210" s="1">
        <v>27</v>
      </c>
      <c r="O210" s="1" t="s">
        <v>1780</v>
      </c>
      <c r="P210" s="1">
        <f>91-9503515333</f>
        <v>-9503515242</v>
      </c>
      <c r="Q210" s="1" t="s">
        <v>1781</v>
      </c>
      <c r="R210" s="1" t="s">
        <v>1782</v>
      </c>
      <c r="S210" s="1" t="s">
        <v>1202</v>
      </c>
      <c r="T210" s="1" t="s">
        <v>58</v>
      </c>
      <c r="U210" s="1">
        <v>5.08</v>
      </c>
      <c r="V210" s="1">
        <v>6.01</v>
      </c>
      <c r="W210" s="1" t="s">
        <v>1783</v>
      </c>
      <c r="X210" s="1" t="s">
        <v>1784</v>
      </c>
      <c r="Y210" s="3">
        <v>42893.42324556713</v>
      </c>
      <c r="Z210" s="1">
        <v>1</v>
      </c>
      <c r="AA210" s="1">
        <v>1</v>
      </c>
      <c r="AB210" s="1">
        <v>1</v>
      </c>
      <c r="AC210" s="1">
        <v>1</v>
      </c>
      <c r="AD210" s="3">
        <v>43828.46205613426</v>
      </c>
      <c r="AE210" s="1" t="s">
        <v>42</v>
      </c>
    </row>
    <row r="211" spans="1:31" x14ac:dyDescent="0.35">
      <c r="A211" s="1">
        <v>1774</v>
      </c>
      <c r="B211" s="1" t="s">
        <v>1785</v>
      </c>
      <c r="C211" s="1" t="s">
        <v>1786</v>
      </c>
      <c r="D211" s="1" t="s">
        <v>1787</v>
      </c>
      <c r="E211" s="1" t="s">
        <v>83</v>
      </c>
      <c r="F211" s="1">
        <v>1</v>
      </c>
      <c r="G211" s="3">
        <v>33834</v>
      </c>
      <c r="H211" s="1">
        <v>1</v>
      </c>
      <c r="I211" s="1" t="s">
        <v>63</v>
      </c>
      <c r="J211" s="1" t="s">
        <v>908</v>
      </c>
      <c r="K211" s="2">
        <f>91-9725914617</f>
        <v>-9725914526</v>
      </c>
      <c r="L211" s="1" t="s">
        <v>58</v>
      </c>
      <c r="M211" s="1">
        <v>5.08</v>
      </c>
      <c r="N211" s="1">
        <v>10</v>
      </c>
      <c r="O211" s="1" t="s">
        <v>1788</v>
      </c>
      <c r="P211" s="1" t="s">
        <v>54</v>
      </c>
      <c r="Q211" s="1" t="s">
        <v>1789</v>
      </c>
      <c r="R211" s="1" t="s">
        <v>1790</v>
      </c>
      <c r="S211" s="1" t="s">
        <v>850</v>
      </c>
      <c r="T211" s="1" t="s">
        <v>58</v>
      </c>
      <c r="U211" s="1">
        <v>5</v>
      </c>
      <c r="V211" s="1">
        <v>5.0599999999999996</v>
      </c>
      <c r="W211" s="1" t="s">
        <v>1791</v>
      </c>
      <c r="X211" s="1" t="s">
        <v>1792</v>
      </c>
      <c r="Y211" s="3">
        <v>42898.32936142361</v>
      </c>
      <c r="Z211" s="1">
        <v>1</v>
      </c>
      <c r="AA211" s="1">
        <v>1</v>
      </c>
      <c r="AB211" s="1">
        <v>1</v>
      </c>
      <c r="AC211" s="1">
        <v>4</v>
      </c>
      <c r="AD211" s="3">
        <v>42900.652031331017</v>
      </c>
      <c r="AE211" s="1" t="s">
        <v>42</v>
      </c>
    </row>
    <row r="212" spans="1:31" x14ac:dyDescent="0.35">
      <c r="A212" s="1">
        <v>1775</v>
      </c>
      <c r="B212" s="1" t="s">
        <v>1793</v>
      </c>
      <c r="C212" s="1" t="s">
        <v>1794</v>
      </c>
      <c r="D212" s="1" t="s">
        <v>1795</v>
      </c>
      <c r="E212" s="1" t="s">
        <v>52</v>
      </c>
      <c r="F212" s="1">
        <v>1</v>
      </c>
      <c r="G212" s="3">
        <v>33070</v>
      </c>
      <c r="H212" s="1">
        <v>1</v>
      </c>
      <c r="I212" s="1" t="s">
        <v>63</v>
      </c>
      <c r="J212" s="1" t="s">
        <v>459</v>
      </c>
      <c r="K212" s="2">
        <f>91-9429253550</f>
        <v>-9429253459</v>
      </c>
      <c r="L212" s="1" t="s">
        <v>37</v>
      </c>
      <c r="M212" s="1">
        <v>5.08</v>
      </c>
      <c r="N212" s="1">
        <v>15</v>
      </c>
      <c r="O212" s="1" t="s">
        <v>1796</v>
      </c>
      <c r="P212" s="1">
        <f>91-9925970234</f>
        <v>-9925970143</v>
      </c>
      <c r="Q212" s="1" t="s">
        <v>508</v>
      </c>
      <c r="R212" s="1" t="s">
        <v>1797</v>
      </c>
      <c r="S212" s="1" t="s">
        <v>581</v>
      </c>
      <c r="T212" s="1" t="s">
        <v>599</v>
      </c>
      <c r="U212" s="1">
        <v>5.0199999999999996</v>
      </c>
      <c r="V212" s="1">
        <v>5.05</v>
      </c>
      <c r="W212" s="1" t="s">
        <v>1798</v>
      </c>
      <c r="X212" s="1" t="s">
        <v>1799</v>
      </c>
      <c r="Y212" s="3">
        <v>42899.394570868055</v>
      </c>
      <c r="Z212" s="1">
        <v>1</v>
      </c>
      <c r="AA212" s="1">
        <v>1</v>
      </c>
      <c r="AB212" s="1">
        <v>1</v>
      </c>
      <c r="AC212" s="1">
        <v>4</v>
      </c>
      <c r="AD212" s="3">
        <v>42905.129603125002</v>
      </c>
      <c r="AE212" s="1" t="s">
        <v>42</v>
      </c>
    </row>
    <row r="213" spans="1:31" x14ac:dyDescent="0.35">
      <c r="A213" s="1">
        <v>1776</v>
      </c>
      <c r="B213" s="1" t="s">
        <v>1800</v>
      </c>
      <c r="C213" s="1" t="s">
        <v>1801</v>
      </c>
      <c r="D213" s="1" t="s">
        <v>1802</v>
      </c>
      <c r="E213" s="1" t="s">
        <v>1803</v>
      </c>
      <c r="F213" s="1">
        <v>1</v>
      </c>
      <c r="G213" s="3">
        <v>33424</v>
      </c>
      <c r="H213" s="1">
        <v>1</v>
      </c>
      <c r="I213" s="1" t="s">
        <v>63</v>
      </c>
      <c r="J213" s="1" t="s">
        <v>370</v>
      </c>
      <c r="K213" s="2">
        <f>91-9825225358</f>
        <v>-9825225267</v>
      </c>
      <c r="L213" s="1" t="s">
        <v>58</v>
      </c>
      <c r="M213" s="1">
        <v>6</v>
      </c>
      <c r="N213" s="1">
        <v>14</v>
      </c>
      <c r="O213" s="1" t="s">
        <v>1804</v>
      </c>
      <c r="P213" s="1">
        <f>91-9925607730</f>
        <v>-9925607639</v>
      </c>
      <c r="Q213" s="1" t="s">
        <v>1805</v>
      </c>
      <c r="R213" s="1" t="s">
        <v>1806</v>
      </c>
      <c r="S213" s="1" t="s">
        <v>1807</v>
      </c>
      <c r="T213" s="1" t="s">
        <v>58</v>
      </c>
      <c r="U213" s="1">
        <v>5.0599999999999996</v>
      </c>
      <c r="V213" s="1">
        <v>5.0999999999999996</v>
      </c>
      <c r="W213" s="1" t="s">
        <v>1808</v>
      </c>
      <c r="X213" s="1" t="s">
        <v>1809</v>
      </c>
      <c r="Y213" s="3">
        <v>42900.201232789354</v>
      </c>
      <c r="Z213" s="1">
        <v>1</v>
      </c>
      <c r="AA213" s="1">
        <v>1</v>
      </c>
      <c r="AB213" s="1">
        <v>1</v>
      </c>
      <c r="AC213" s="1">
        <v>4</v>
      </c>
      <c r="AD213" s="3">
        <v>42907.252222650466</v>
      </c>
      <c r="AE213" s="1" t="s">
        <v>42</v>
      </c>
    </row>
    <row r="214" spans="1:31" x14ac:dyDescent="0.35">
      <c r="A214" s="1">
        <v>1784</v>
      </c>
      <c r="B214" s="1" t="s">
        <v>1810</v>
      </c>
      <c r="C214" s="1" t="s">
        <v>1811</v>
      </c>
      <c r="D214" s="1" t="s">
        <v>1812</v>
      </c>
      <c r="E214" s="1" t="s">
        <v>1813</v>
      </c>
      <c r="F214" s="1">
        <v>1</v>
      </c>
      <c r="G214" s="3">
        <v>33205</v>
      </c>
      <c r="H214" s="1">
        <v>1</v>
      </c>
      <c r="I214" s="1" t="s">
        <v>63</v>
      </c>
      <c r="J214" s="1" t="s">
        <v>1814</v>
      </c>
      <c r="K214" s="2">
        <f>91-9429266515</f>
        <v>-9429266424</v>
      </c>
      <c r="L214" s="1" t="s">
        <v>58</v>
      </c>
      <c r="M214" s="1">
        <v>5.05</v>
      </c>
      <c r="N214" s="1">
        <v>12</v>
      </c>
      <c r="O214" s="1" t="s">
        <v>1815</v>
      </c>
      <c r="P214" s="1">
        <f>91-7777914488</f>
        <v>-7777914397</v>
      </c>
      <c r="Q214" s="1" t="s">
        <v>1816</v>
      </c>
      <c r="R214" s="1" t="s">
        <v>1817</v>
      </c>
      <c r="S214" s="1" t="s">
        <v>1818</v>
      </c>
      <c r="T214" s="1" t="s">
        <v>1819</v>
      </c>
      <c r="U214" s="1">
        <v>5.05</v>
      </c>
      <c r="V214" s="1">
        <v>5.05</v>
      </c>
      <c r="W214" s="1" t="s">
        <v>1820</v>
      </c>
      <c r="X214" s="1" t="s">
        <v>1821</v>
      </c>
      <c r="Y214" s="3">
        <v>42908.057991550922</v>
      </c>
      <c r="Z214" s="1">
        <v>1</v>
      </c>
      <c r="AA214" s="1">
        <v>1</v>
      </c>
      <c r="AB214" s="1">
        <v>1</v>
      </c>
      <c r="AC214" s="1">
        <v>4</v>
      </c>
      <c r="AD214" s="3">
        <v>42908.057991550922</v>
      </c>
      <c r="AE214" s="1" t="s">
        <v>42</v>
      </c>
    </row>
    <row r="215" spans="1:31" x14ac:dyDescent="0.35">
      <c r="A215" s="1">
        <v>1791</v>
      </c>
      <c r="B215" s="1" t="s">
        <v>1822</v>
      </c>
      <c r="C215" s="1" t="s">
        <v>1823</v>
      </c>
      <c r="D215" s="1" t="s">
        <v>83</v>
      </c>
      <c r="E215" s="1" t="s">
        <v>1008</v>
      </c>
      <c r="F215" s="1">
        <v>1</v>
      </c>
      <c r="G215" s="3">
        <v>34372</v>
      </c>
      <c r="H215" s="1">
        <v>209</v>
      </c>
      <c r="I215" s="1" t="s">
        <v>1824</v>
      </c>
      <c r="J215" s="1" t="s">
        <v>1824</v>
      </c>
      <c r="K215" s="2">
        <f>256-771855420</f>
        <v>-771855164</v>
      </c>
      <c r="L215" s="1" t="s">
        <v>58</v>
      </c>
      <c r="M215" s="1">
        <v>5.0599999999999996</v>
      </c>
      <c r="N215" s="1">
        <v>10</v>
      </c>
      <c r="O215" s="1" t="s">
        <v>1825</v>
      </c>
      <c r="P215" s="1">
        <f>256-776622625</f>
        <v>-776622369</v>
      </c>
      <c r="Q215" s="1" t="s">
        <v>1364</v>
      </c>
      <c r="R215" s="1" t="s">
        <v>1826</v>
      </c>
      <c r="S215" s="1" t="s">
        <v>243</v>
      </c>
      <c r="T215" s="1" t="s">
        <v>58</v>
      </c>
      <c r="U215" s="1">
        <v>5.0199999999999996</v>
      </c>
      <c r="V215" s="1">
        <v>5.05</v>
      </c>
      <c r="W215" s="1" t="s">
        <v>1827</v>
      </c>
      <c r="X215" s="1" t="s">
        <v>1828</v>
      </c>
      <c r="Y215" s="3">
        <v>42917.378530243055</v>
      </c>
      <c r="Z215" s="1">
        <v>1</v>
      </c>
      <c r="AA215" s="1">
        <v>1</v>
      </c>
      <c r="AB215" s="1">
        <v>1</v>
      </c>
      <c r="AC215" s="1">
        <v>4</v>
      </c>
      <c r="AD215" s="3">
        <v>42926.537205474538</v>
      </c>
      <c r="AE215" s="1" t="s">
        <v>42</v>
      </c>
    </row>
    <row r="216" spans="1:31" x14ac:dyDescent="0.35">
      <c r="A216" s="1">
        <v>1794</v>
      </c>
      <c r="B216" s="1" t="s">
        <v>1829</v>
      </c>
      <c r="C216" s="1" t="s">
        <v>1830</v>
      </c>
      <c r="D216" s="1" t="s">
        <v>1831</v>
      </c>
      <c r="E216" s="1" t="s">
        <v>83</v>
      </c>
      <c r="F216" s="1">
        <v>1</v>
      </c>
      <c r="G216" s="3">
        <v>33920</v>
      </c>
      <c r="H216" s="1">
        <v>1</v>
      </c>
      <c r="I216" s="1" t="s">
        <v>63</v>
      </c>
      <c r="J216" s="1" t="s">
        <v>64</v>
      </c>
      <c r="K216" s="2">
        <f>91-8460638183</f>
        <v>-8460638092</v>
      </c>
      <c r="L216" s="1" t="s">
        <v>58</v>
      </c>
      <c r="M216" s="1">
        <v>5.09</v>
      </c>
      <c r="N216" s="1">
        <v>10</v>
      </c>
      <c r="O216" s="1" t="s">
        <v>1832</v>
      </c>
      <c r="P216" s="1" t="s">
        <v>54</v>
      </c>
      <c r="Q216" s="1" t="s">
        <v>1833</v>
      </c>
      <c r="R216" s="1" t="s">
        <v>1834</v>
      </c>
      <c r="S216" s="1" t="s">
        <v>161</v>
      </c>
      <c r="T216" s="1" t="s">
        <v>58</v>
      </c>
      <c r="U216" s="1">
        <v>5</v>
      </c>
      <c r="V216" s="1">
        <v>5</v>
      </c>
      <c r="W216" s="1" t="s">
        <v>1835</v>
      </c>
      <c r="X216" s="1" t="s">
        <v>1836</v>
      </c>
      <c r="Y216" s="3">
        <v>42920.37836130787</v>
      </c>
      <c r="Z216" s="1">
        <v>1</v>
      </c>
      <c r="AA216" s="1">
        <v>1</v>
      </c>
      <c r="AB216" s="1">
        <v>1</v>
      </c>
      <c r="AC216" s="1">
        <v>1</v>
      </c>
      <c r="AD216" s="3">
        <v>44067.449421030091</v>
      </c>
      <c r="AE216" s="1" t="s">
        <v>42</v>
      </c>
    </row>
    <row r="217" spans="1:31" x14ac:dyDescent="0.35">
      <c r="A217" s="1">
        <v>1796</v>
      </c>
      <c r="B217" s="1" t="s">
        <v>1837</v>
      </c>
      <c r="C217" s="1" t="s">
        <v>1838</v>
      </c>
      <c r="D217" s="1" t="s">
        <v>1839</v>
      </c>
      <c r="E217" s="1" t="s">
        <v>1840</v>
      </c>
      <c r="F217" s="1">
        <v>1</v>
      </c>
      <c r="G217" s="3">
        <v>34802</v>
      </c>
      <c r="H217" s="1">
        <v>1</v>
      </c>
      <c r="I217" s="1" t="s">
        <v>35</v>
      </c>
      <c r="J217" s="1" t="s">
        <v>1841</v>
      </c>
      <c r="K217" s="2">
        <f>91-7276562891</f>
        <v>-7276562800</v>
      </c>
      <c r="L217" s="1" t="s">
        <v>58</v>
      </c>
      <c r="M217" s="1">
        <v>5.08</v>
      </c>
      <c r="N217" s="1">
        <v>46</v>
      </c>
      <c r="O217" s="1" t="s">
        <v>1842</v>
      </c>
      <c r="P217" s="1">
        <f>91-9422547640</f>
        <v>-9422547549</v>
      </c>
      <c r="Q217" s="1" t="s">
        <v>1843</v>
      </c>
      <c r="R217" s="1" t="s">
        <v>1844</v>
      </c>
      <c r="S217" s="1" t="s">
        <v>1845</v>
      </c>
      <c r="T217" s="1" t="s">
        <v>58</v>
      </c>
      <c r="U217" s="1">
        <v>5</v>
      </c>
      <c r="V217" s="1">
        <v>5.08</v>
      </c>
      <c r="W217" s="1" t="s">
        <v>1846</v>
      </c>
      <c r="X217" s="1" t="s">
        <v>1847</v>
      </c>
      <c r="Y217" s="3">
        <v>42925.117212997684</v>
      </c>
      <c r="Z217" s="1">
        <v>1</v>
      </c>
      <c r="AA217" s="1">
        <v>1</v>
      </c>
      <c r="AB217" s="1">
        <v>1</v>
      </c>
      <c r="AC217" s="1">
        <v>1</v>
      </c>
      <c r="AD217" s="3">
        <v>43283.324215624998</v>
      </c>
      <c r="AE217" s="1" t="s">
        <v>42</v>
      </c>
    </row>
    <row r="218" spans="1:31" x14ac:dyDescent="0.35">
      <c r="A218" s="1">
        <v>1798</v>
      </c>
      <c r="B218" s="1" t="s">
        <v>1848</v>
      </c>
      <c r="C218" s="1" t="s">
        <v>1849</v>
      </c>
      <c r="D218" s="1" t="s">
        <v>1850</v>
      </c>
      <c r="E218" s="1" t="s">
        <v>878</v>
      </c>
      <c r="F218" s="1">
        <v>1</v>
      </c>
      <c r="G218" s="3">
        <v>33627</v>
      </c>
      <c r="H218" s="1">
        <v>1</v>
      </c>
      <c r="I218" s="1" t="s">
        <v>63</v>
      </c>
      <c r="J218" s="1" t="s">
        <v>459</v>
      </c>
      <c r="K218" s="2">
        <f>91-9427038938</f>
        <v>-9427038847</v>
      </c>
      <c r="L218" s="1" t="s">
        <v>58</v>
      </c>
      <c r="M218" s="1">
        <v>5.08</v>
      </c>
      <c r="N218" s="1">
        <v>38</v>
      </c>
      <c r="O218" s="1" t="s">
        <v>1851</v>
      </c>
      <c r="P218" s="1">
        <f>91-9247038938</f>
        <v>-9247038847</v>
      </c>
      <c r="Q218" s="1" t="s">
        <v>1852</v>
      </c>
      <c r="R218" s="1" t="s">
        <v>1853</v>
      </c>
      <c r="S218" s="1" t="s">
        <v>171</v>
      </c>
      <c r="T218" s="1" t="s">
        <v>58</v>
      </c>
      <c r="U218" s="1">
        <v>5</v>
      </c>
      <c r="V218" s="1">
        <v>5.05</v>
      </c>
      <c r="W218" s="1" t="s">
        <v>1854</v>
      </c>
      <c r="X218" s="1" t="s">
        <v>1855</v>
      </c>
      <c r="Y218" s="3">
        <v>42925.334263657409</v>
      </c>
      <c r="Z218" s="1">
        <v>1</v>
      </c>
      <c r="AA218" s="1">
        <v>1</v>
      </c>
      <c r="AB218" s="1">
        <v>1</v>
      </c>
      <c r="AC218" s="1">
        <v>4</v>
      </c>
      <c r="AD218" s="3">
        <v>42947.617191817131</v>
      </c>
      <c r="AE218" s="1" t="s">
        <v>42</v>
      </c>
    </row>
    <row r="219" spans="1:31" x14ac:dyDescent="0.35">
      <c r="A219" s="1">
        <v>1799</v>
      </c>
      <c r="B219" s="1" t="s">
        <v>1856</v>
      </c>
      <c r="C219" s="1" t="s">
        <v>1857</v>
      </c>
      <c r="D219" s="1" t="s">
        <v>1858</v>
      </c>
      <c r="E219" s="1" t="s">
        <v>1859</v>
      </c>
      <c r="F219" s="1">
        <v>1</v>
      </c>
      <c r="G219" s="3">
        <v>31679</v>
      </c>
      <c r="H219" s="1">
        <v>1</v>
      </c>
      <c r="I219" s="1" t="s">
        <v>35</v>
      </c>
      <c r="J219" s="1" t="s">
        <v>506</v>
      </c>
      <c r="K219" s="2">
        <f>91-8446614765</f>
        <v>-8446614674</v>
      </c>
      <c r="L219" s="1" t="s">
        <v>58</v>
      </c>
      <c r="M219" s="1">
        <v>5.08</v>
      </c>
      <c r="N219" s="1">
        <v>10</v>
      </c>
      <c r="O219" s="1" t="s">
        <v>1860</v>
      </c>
      <c r="P219" s="1">
        <f>91-9326088309</f>
        <v>-9326088218</v>
      </c>
      <c r="Q219" s="1" t="s">
        <v>42</v>
      </c>
      <c r="R219" s="1" t="s">
        <v>42</v>
      </c>
      <c r="S219" s="1" t="s">
        <v>42</v>
      </c>
      <c r="T219" s="1" t="s">
        <v>42</v>
      </c>
      <c r="U219" s="1" t="s">
        <v>42</v>
      </c>
      <c r="V219" s="1" t="s">
        <v>42</v>
      </c>
      <c r="W219" s="1" t="s">
        <v>1861</v>
      </c>
      <c r="X219" s="1" t="s">
        <v>1862</v>
      </c>
      <c r="Y219" s="3">
        <v>42926.875439039351</v>
      </c>
      <c r="Z219" s="1">
        <v>1</v>
      </c>
      <c r="AA219" s="1">
        <v>1</v>
      </c>
      <c r="AB219" s="1">
        <v>1</v>
      </c>
      <c r="AC219" s="1">
        <v>1</v>
      </c>
      <c r="AD219" s="3">
        <v>43967.817017557871</v>
      </c>
      <c r="AE219" s="1" t="s">
        <v>42</v>
      </c>
    </row>
    <row r="220" spans="1:31" x14ac:dyDescent="0.35">
      <c r="A220" s="1">
        <v>1800</v>
      </c>
      <c r="B220" s="1" t="s">
        <v>1863</v>
      </c>
      <c r="C220" s="1" t="s">
        <v>1864</v>
      </c>
      <c r="D220" s="1" t="s">
        <v>1865</v>
      </c>
      <c r="E220" s="1" t="s">
        <v>52</v>
      </c>
      <c r="F220" s="1">
        <v>1</v>
      </c>
      <c r="G220" s="3">
        <v>30293</v>
      </c>
      <c r="H220" s="1">
        <v>1</v>
      </c>
      <c r="I220" s="1" t="s">
        <v>35</v>
      </c>
      <c r="J220" s="1" t="s">
        <v>1866</v>
      </c>
      <c r="K220" s="2">
        <f>91-9420123585</f>
        <v>-9420123494</v>
      </c>
      <c r="L220" s="1" t="s">
        <v>37</v>
      </c>
      <c r="M220" s="1">
        <v>5.0599999999999996</v>
      </c>
      <c r="N220" s="1">
        <v>43</v>
      </c>
      <c r="O220" s="1" t="s">
        <v>1867</v>
      </c>
      <c r="P220" s="1">
        <f>91-9767429579</f>
        <v>-9767429488</v>
      </c>
      <c r="Q220" s="1" t="s">
        <v>1868</v>
      </c>
      <c r="R220" s="1" t="s">
        <v>1869</v>
      </c>
      <c r="S220" s="1" t="s">
        <v>880</v>
      </c>
      <c r="T220" s="1" t="s">
        <v>99</v>
      </c>
      <c r="U220" s="1">
        <v>4.1100000000000003</v>
      </c>
      <c r="V220" s="1">
        <v>5.03</v>
      </c>
      <c r="W220" s="1" t="s">
        <v>1870</v>
      </c>
      <c r="X220" s="1" t="s">
        <v>1871</v>
      </c>
      <c r="Y220" s="3">
        <v>42929.436313391205</v>
      </c>
      <c r="Z220" s="1">
        <v>1</v>
      </c>
      <c r="AA220" s="1">
        <v>1</v>
      </c>
      <c r="AB220" s="1">
        <v>1</v>
      </c>
      <c r="AC220" s="1">
        <v>4</v>
      </c>
      <c r="AD220" s="3">
        <v>42989.935385763885</v>
      </c>
      <c r="AE220" s="1" t="s">
        <v>42</v>
      </c>
    </row>
    <row r="221" spans="1:31" x14ac:dyDescent="0.35">
      <c r="A221" s="1">
        <v>1801</v>
      </c>
      <c r="B221" s="1" t="s">
        <v>1872</v>
      </c>
      <c r="C221" s="1" t="s">
        <v>1873</v>
      </c>
      <c r="D221" s="1" t="s">
        <v>1485</v>
      </c>
      <c r="E221" s="1" t="s">
        <v>83</v>
      </c>
      <c r="F221" s="1">
        <v>1</v>
      </c>
      <c r="G221" s="3">
        <v>34004</v>
      </c>
      <c r="H221" s="1">
        <v>1</v>
      </c>
      <c r="I221" s="1" t="s">
        <v>63</v>
      </c>
      <c r="J221" s="1" t="s">
        <v>993</v>
      </c>
      <c r="K221" s="2">
        <f>91-9033702404</f>
        <v>-9033702313</v>
      </c>
      <c r="L221" s="1" t="s">
        <v>58</v>
      </c>
      <c r="M221" s="1">
        <v>5.03</v>
      </c>
      <c r="N221" s="1">
        <v>10</v>
      </c>
      <c r="O221" s="1" t="s">
        <v>1874</v>
      </c>
      <c r="P221" s="1" t="s">
        <v>54</v>
      </c>
      <c r="Q221" s="1" t="s">
        <v>1875</v>
      </c>
      <c r="R221" s="1" t="s">
        <v>1876</v>
      </c>
      <c r="S221" s="1" t="s">
        <v>1234</v>
      </c>
      <c r="T221" s="1" t="s">
        <v>58</v>
      </c>
      <c r="U221" s="1">
        <v>5.03</v>
      </c>
      <c r="V221" s="1">
        <v>5.03</v>
      </c>
      <c r="W221" s="1" t="s">
        <v>1877</v>
      </c>
      <c r="X221" s="1" t="s">
        <v>1878</v>
      </c>
      <c r="Y221" s="3">
        <v>42931.978504247687</v>
      </c>
      <c r="Z221" s="1">
        <v>1</v>
      </c>
      <c r="AA221" s="1">
        <v>1</v>
      </c>
      <c r="AB221" s="1">
        <v>1</v>
      </c>
      <c r="AC221" s="1">
        <v>4</v>
      </c>
      <c r="AD221" s="3">
        <v>42933.378702314818</v>
      </c>
      <c r="AE221" s="1" t="s">
        <v>42</v>
      </c>
    </row>
    <row r="222" spans="1:31" x14ac:dyDescent="0.35">
      <c r="A222" s="1">
        <v>2803</v>
      </c>
      <c r="B222" s="1" t="s">
        <v>1879</v>
      </c>
      <c r="C222" s="1" t="s">
        <v>1880</v>
      </c>
      <c r="D222" s="1" t="s">
        <v>1881</v>
      </c>
      <c r="E222" s="1" t="s">
        <v>71</v>
      </c>
      <c r="F222" s="1">
        <v>0</v>
      </c>
      <c r="G222" s="3">
        <v>28915</v>
      </c>
      <c r="H222" s="1">
        <v>1</v>
      </c>
      <c r="I222" s="1" t="s">
        <v>35</v>
      </c>
      <c r="J222" s="1" t="s">
        <v>465</v>
      </c>
      <c r="K222" s="2">
        <f>91-9561957217</f>
        <v>-9561957126</v>
      </c>
      <c r="L222" s="1" t="s">
        <v>42</v>
      </c>
      <c r="M222" s="1" t="s">
        <v>42</v>
      </c>
      <c r="N222" s="1" t="s">
        <v>42</v>
      </c>
      <c r="O222" s="1" t="s">
        <v>42</v>
      </c>
      <c r="P222" s="1" t="s">
        <v>42</v>
      </c>
      <c r="Q222" s="1" t="s">
        <v>42</v>
      </c>
      <c r="R222" s="1" t="s">
        <v>42</v>
      </c>
      <c r="S222" s="1" t="s">
        <v>42</v>
      </c>
      <c r="T222" s="1" t="s">
        <v>42</v>
      </c>
      <c r="U222" s="1" t="s">
        <v>42</v>
      </c>
      <c r="V222" s="1" t="s">
        <v>42</v>
      </c>
      <c r="W222" s="1" t="s">
        <v>1882</v>
      </c>
      <c r="X222" s="1" t="s">
        <v>1883</v>
      </c>
      <c r="Y222" s="3">
        <v>42934.164419444445</v>
      </c>
      <c r="Z222" s="1">
        <v>1</v>
      </c>
      <c r="AA222" s="1">
        <v>1</v>
      </c>
      <c r="AB222" s="1">
        <v>1</v>
      </c>
      <c r="AC222" s="1">
        <v>1</v>
      </c>
      <c r="AD222" s="3">
        <v>43141.271893750003</v>
      </c>
      <c r="AE222" s="1" t="s">
        <v>42</v>
      </c>
    </row>
    <row r="223" spans="1:31" x14ac:dyDescent="0.35">
      <c r="A223" s="1">
        <v>2808</v>
      </c>
      <c r="B223" s="1" t="s">
        <v>1884</v>
      </c>
      <c r="C223" s="1" t="s">
        <v>1885</v>
      </c>
      <c r="D223" s="1" t="s">
        <v>1886</v>
      </c>
      <c r="E223" s="1" t="s">
        <v>1887</v>
      </c>
      <c r="F223" s="1">
        <v>0</v>
      </c>
      <c r="G223" s="3">
        <v>34036</v>
      </c>
      <c r="H223" s="1">
        <v>1</v>
      </c>
      <c r="I223" s="1" t="s">
        <v>63</v>
      </c>
      <c r="J223" s="1" t="s">
        <v>64</v>
      </c>
      <c r="K223" s="2">
        <f>91-9879615615</f>
        <v>-9879615524</v>
      </c>
      <c r="L223" s="1" t="s">
        <v>58</v>
      </c>
      <c r="M223" s="1">
        <v>5.07</v>
      </c>
      <c r="N223" s="1">
        <v>46</v>
      </c>
      <c r="O223" s="1" t="s">
        <v>1888</v>
      </c>
      <c r="P223" s="1">
        <f>91-9979778986</f>
        <v>-9979778895</v>
      </c>
      <c r="Q223" s="1" t="s">
        <v>1889</v>
      </c>
      <c r="R223" s="1" t="s">
        <v>1890</v>
      </c>
      <c r="S223" s="1" t="s">
        <v>499</v>
      </c>
      <c r="T223" s="1" t="s">
        <v>58</v>
      </c>
      <c r="U223" s="1">
        <v>5.08</v>
      </c>
      <c r="V223" s="1">
        <v>6.02</v>
      </c>
      <c r="W223" s="1" t="s">
        <v>1891</v>
      </c>
      <c r="X223" s="1" t="s">
        <v>1892</v>
      </c>
      <c r="Y223" s="3">
        <v>42939.280719062503</v>
      </c>
      <c r="Z223" s="1">
        <v>1</v>
      </c>
      <c r="AA223" s="1">
        <v>1</v>
      </c>
      <c r="AB223" s="1">
        <v>1</v>
      </c>
      <c r="AC223" s="1">
        <v>4</v>
      </c>
      <c r="AD223" s="3">
        <v>43009.647667592595</v>
      </c>
      <c r="AE223" s="1" t="s">
        <v>42</v>
      </c>
    </row>
    <row r="224" spans="1:31" x14ac:dyDescent="0.35">
      <c r="A224" s="1">
        <v>2810</v>
      </c>
      <c r="B224" s="1" t="s">
        <v>1893</v>
      </c>
      <c r="C224" s="1" t="s">
        <v>1894</v>
      </c>
      <c r="D224" s="1" t="s">
        <v>662</v>
      </c>
      <c r="E224" s="1" t="s">
        <v>1895</v>
      </c>
      <c r="F224" s="1">
        <v>1</v>
      </c>
      <c r="G224" s="3">
        <v>31034</v>
      </c>
      <c r="H224" s="1">
        <v>1</v>
      </c>
      <c r="I224" s="1" t="s">
        <v>35</v>
      </c>
      <c r="J224" s="1" t="s">
        <v>36</v>
      </c>
      <c r="K224" s="2">
        <f>91-9819386216</f>
        <v>-9819386125</v>
      </c>
      <c r="L224" s="1" t="s">
        <v>58</v>
      </c>
      <c r="M224" s="1">
        <v>5.05</v>
      </c>
      <c r="N224" s="1">
        <v>3</v>
      </c>
      <c r="O224" s="1" t="s">
        <v>1896</v>
      </c>
      <c r="P224" s="1" t="s">
        <v>54</v>
      </c>
      <c r="Q224" s="1" t="s">
        <v>981</v>
      </c>
      <c r="R224" s="1" t="s">
        <v>1897</v>
      </c>
      <c r="S224" s="1" t="s">
        <v>1309</v>
      </c>
      <c r="T224" s="1" t="s">
        <v>1898</v>
      </c>
      <c r="U224" s="1">
        <v>4.1100000000000003</v>
      </c>
      <c r="V224" s="1">
        <v>5.0599999999999996</v>
      </c>
      <c r="W224" s="1" t="s">
        <v>1899</v>
      </c>
      <c r="X224" s="1" t="s">
        <v>1900</v>
      </c>
      <c r="Y224" s="3">
        <v>42942.138109803243</v>
      </c>
      <c r="Z224" s="1">
        <v>1</v>
      </c>
      <c r="AA224" s="1">
        <v>1</v>
      </c>
      <c r="AB224" s="1">
        <v>1</v>
      </c>
      <c r="AC224" s="1">
        <v>4</v>
      </c>
      <c r="AD224" s="3">
        <v>42942.138109803243</v>
      </c>
      <c r="AE224" s="1" t="s">
        <v>42</v>
      </c>
    </row>
    <row r="225" spans="1:31" x14ac:dyDescent="0.35">
      <c r="A225" s="1">
        <v>2812</v>
      </c>
      <c r="B225" s="1" t="s">
        <v>1901</v>
      </c>
      <c r="C225" s="1" t="s">
        <v>1902</v>
      </c>
      <c r="D225" s="1" t="s">
        <v>1903</v>
      </c>
      <c r="E225" s="1" t="s">
        <v>52</v>
      </c>
      <c r="F225" s="1">
        <v>1</v>
      </c>
      <c r="G225" s="3">
        <v>32687</v>
      </c>
      <c r="H225" s="1">
        <v>1</v>
      </c>
      <c r="I225" s="1" t="s">
        <v>72</v>
      </c>
      <c r="J225" s="1" t="s">
        <v>1904</v>
      </c>
      <c r="K225" s="2">
        <f>91-9425375157</f>
        <v>-9425375066</v>
      </c>
      <c r="L225" s="1" t="s">
        <v>58</v>
      </c>
      <c r="M225" s="1">
        <v>5.1100000000000003</v>
      </c>
      <c r="N225" s="1">
        <v>11</v>
      </c>
      <c r="O225" s="1" t="s">
        <v>1905</v>
      </c>
      <c r="P225" s="1" t="s">
        <v>54</v>
      </c>
      <c r="Q225" s="1" t="s">
        <v>1906</v>
      </c>
      <c r="R225" s="1" t="s">
        <v>1907</v>
      </c>
      <c r="S225" s="1" t="s">
        <v>286</v>
      </c>
      <c r="T225" s="1" t="s">
        <v>58</v>
      </c>
      <c r="U225" s="1">
        <v>5.0199999999999996</v>
      </c>
      <c r="V225" s="1">
        <v>5.08</v>
      </c>
      <c r="W225" s="1" t="s">
        <v>1908</v>
      </c>
      <c r="X225" s="1" t="s">
        <v>1909</v>
      </c>
      <c r="Y225" s="3">
        <v>42945.978048842589</v>
      </c>
      <c r="Z225" s="1">
        <v>1</v>
      </c>
      <c r="AA225" s="1">
        <v>1</v>
      </c>
      <c r="AB225" s="1">
        <v>1</v>
      </c>
      <c r="AC225" s="1">
        <v>4</v>
      </c>
      <c r="AD225" s="3">
        <v>42946.345168287036</v>
      </c>
      <c r="AE225" s="1" t="s">
        <v>42</v>
      </c>
    </row>
    <row r="226" spans="1:31" x14ac:dyDescent="0.35">
      <c r="A226" s="1">
        <v>2813</v>
      </c>
      <c r="B226" s="1" t="s">
        <v>1910</v>
      </c>
      <c r="C226" s="1">
        <v>8296915132</v>
      </c>
      <c r="D226" s="1" t="s">
        <v>1911</v>
      </c>
      <c r="E226" s="1" t="s">
        <v>505</v>
      </c>
      <c r="F226" s="1">
        <v>1</v>
      </c>
      <c r="G226" s="3">
        <v>33181</v>
      </c>
      <c r="H226" s="1">
        <v>1</v>
      </c>
      <c r="I226" s="1" t="s">
        <v>125</v>
      </c>
      <c r="J226" s="1" t="s">
        <v>1912</v>
      </c>
      <c r="K226" s="2">
        <f>91-8123929109</f>
        <v>-8123929018</v>
      </c>
      <c r="L226" s="1" t="s">
        <v>58</v>
      </c>
      <c r="M226" s="1">
        <v>5.0599999999999996</v>
      </c>
      <c r="N226" s="1">
        <v>54</v>
      </c>
      <c r="O226" s="1" t="s">
        <v>1913</v>
      </c>
      <c r="P226" s="1">
        <f>91-9448356820</f>
        <v>-9448356729</v>
      </c>
      <c r="Q226" s="1" t="s">
        <v>1914</v>
      </c>
      <c r="R226" s="1" t="s">
        <v>1915</v>
      </c>
      <c r="S226" s="1" t="s">
        <v>891</v>
      </c>
      <c r="T226" s="1" t="s">
        <v>58</v>
      </c>
      <c r="U226" s="1">
        <v>4.0599999999999996</v>
      </c>
      <c r="V226" s="1">
        <v>5.0199999999999996</v>
      </c>
      <c r="W226" s="1" t="s">
        <v>1916</v>
      </c>
      <c r="X226" s="1" t="s">
        <v>1917</v>
      </c>
      <c r="Y226" s="3">
        <v>42949.140433217595</v>
      </c>
      <c r="Z226" s="1">
        <v>1</v>
      </c>
      <c r="AA226" s="1">
        <v>1</v>
      </c>
      <c r="AB226" s="1">
        <v>1</v>
      </c>
      <c r="AC226" s="1">
        <v>1</v>
      </c>
      <c r="AD226" s="3">
        <v>43897.589628321759</v>
      </c>
      <c r="AE226" s="1" t="s">
        <v>42</v>
      </c>
    </row>
    <row r="227" spans="1:31" x14ac:dyDescent="0.35">
      <c r="A227" s="1">
        <v>2815</v>
      </c>
      <c r="B227" s="1" t="s">
        <v>1918</v>
      </c>
      <c r="C227" s="1" t="s">
        <v>1919</v>
      </c>
      <c r="D227" s="1" t="s">
        <v>1920</v>
      </c>
      <c r="E227" s="1" t="s">
        <v>238</v>
      </c>
      <c r="F227" s="1">
        <v>1</v>
      </c>
      <c r="G227" s="3">
        <v>32972</v>
      </c>
      <c r="H227" s="1">
        <v>1</v>
      </c>
      <c r="I227" s="1" t="s">
        <v>63</v>
      </c>
      <c r="J227" s="1" t="s">
        <v>881</v>
      </c>
      <c r="K227" s="2">
        <f>91-9426248987</f>
        <v>-9426248896</v>
      </c>
      <c r="L227" s="1" t="s">
        <v>58</v>
      </c>
      <c r="M227" s="1">
        <v>5.0599999999999996</v>
      </c>
      <c r="N227" s="1">
        <v>11</v>
      </c>
      <c r="O227" s="1" t="s">
        <v>1921</v>
      </c>
      <c r="P227" s="1">
        <f>91-9265590829</f>
        <v>-9265590738</v>
      </c>
      <c r="Q227" s="1" t="s">
        <v>274</v>
      </c>
      <c r="R227" s="1" t="s">
        <v>1922</v>
      </c>
      <c r="S227" s="1" t="s">
        <v>647</v>
      </c>
      <c r="T227" s="1" t="s">
        <v>58</v>
      </c>
      <c r="U227" s="1">
        <v>4</v>
      </c>
      <c r="V227" s="1">
        <v>5.05</v>
      </c>
      <c r="W227" s="1" t="s">
        <v>1923</v>
      </c>
      <c r="X227" s="1" t="s">
        <v>1924</v>
      </c>
      <c r="Y227" s="3">
        <v>42950.020925810182</v>
      </c>
      <c r="Z227" s="1">
        <v>1</v>
      </c>
      <c r="AA227" s="1">
        <v>1</v>
      </c>
      <c r="AB227" s="1">
        <v>1</v>
      </c>
      <c r="AC227" s="1">
        <v>1</v>
      </c>
      <c r="AD227" s="3">
        <v>44008.145643865741</v>
      </c>
      <c r="AE227" s="1" t="s">
        <v>42</v>
      </c>
    </row>
    <row r="228" spans="1:31" x14ac:dyDescent="0.35">
      <c r="A228" s="1">
        <v>2816</v>
      </c>
      <c r="B228" s="1" t="s">
        <v>1925</v>
      </c>
      <c r="C228" s="1" t="s">
        <v>1926</v>
      </c>
      <c r="D228" s="1" t="s">
        <v>1927</v>
      </c>
      <c r="E228" s="1" t="s">
        <v>34</v>
      </c>
      <c r="F228" s="1">
        <v>1</v>
      </c>
      <c r="G228" s="3">
        <v>33293</v>
      </c>
      <c r="H228" s="1">
        <v>1</v>
      </c>
      <c r="I228" s="1" t="s">
        <v>63</v>
      </c>
      <c r="J228" s="1" t="s">
        <v>370</v>
      </c>
      <c r="K228" s="2">
        <f>91-9429467060</f>
        <v>-9429466969</v>
      </c>
      <c r="L228" s="1" t="s">
        <v>58</v>
      </c>
      <c r="M228" s="1">
        <v>5.08</v>
      </c>
      <c r="N228" s="1">
        <v>12</v>
      </c>
      <c r="O228" s="1" t="s">
        <v>1928</v>
      </c>
      <c r="P228" s="1">
        <f>91-9909884857</f>
        <v>-9909884766</v>
      </c>
      <c r="Q228" s="1" t="s">
        <v>1929</v>
      </c>
      <c r="R228" s="1" t="s">
        <v>1930</v>
      </c>
      <c r="S228" s="1" t="s">
        <v>638</v>
      </c>
      <c r="T228" s="1" t="s">
        <v>58</v>
      </c>
      <c r="U228" s="1">
        <v>5.03</v>
      </c>
      <c r="V228" s="1">
        <v>5.08</v>
      </c>
      <c r="W228" s="1" t="s">
        <v>1931</v>
      </c>
      <c r="X228" s="1" t="s">
        <v>1932</v>
      </c>
      <c r="Y228" s="3">
        <v>42950.314724687501</v>
      </c>
      <c r="Z228" s="1">
        <v>1</v>
      </c>
      <c r="AA228" s="1">
        <v>1</v>
      </c>
      <c r="AB228" s="1">
        <v>1</v>
      </c>
      <c r="AC228" s="1">
        <v>4</v>
      </c>
      <c r="AD228" s="3">
        <v>42978.646891400465</v>
      </c>
      <c r="AE228" s="1" t="s">
        <v>42</v>
      </c>
    </row>
    <row r="229" spans="1:31" x14ac:dyDescent="0.35">
      <c r="A229" s="1">
        <v>2818</v>
      </c>
      <c r="B229" s="1" t="s">
        <v>1933</v>
      </c>
      <c r="C229" s="1" t="s">
        <v>1934</v>
      </c>
      <c r="D229" s="1" t="s">
        <v>1935</v>
      </c>
      <c r="E229" s="1" t="s">
        <v>238</v>
      </c>
      <c r="F229" s="1">
        <v>1</v>
      </c>
      <c r="G229" s="3">
        <v>32895</v>
      </c>
      <c r="H229" s="1">
        <v>1</v>
      </c>
      <c r="I229" s="1" t="s">
        <v>1024</v>
      </c>
      <c r="J229" s="1" t="s">
        <v>1025</v>
      </c>
      <c r="K229" s="2">
        <f>91-9966598107</f>
        <v>-9966598016</v>
      </c>
      <c r="L229" s="1" t="s">
        <v>58</v>
      </c>
      <c r="M229" s="1">
        <v>5.08</v>
      </c>
      <c r="N229" s="1">
        <v>11</v>
      </c>
      <c r="O229" s="1" t="s">
        <v>1936</v>
      </c>
      <c r="P229" s="1">
        <f>91-9000584157</f>
        <v>-9000584066</v>
      </c>
      <c r="Q229" s="1" t="s">
        <v>1937</v>
      </c>
      <c r="R229" s="1" t="s">
        <v>1938</v>
      </c>
      <c r="S229" s="1" t="s">
        <v>581</v>
      </c>
      <c r="T229" s="1" t="s">
        <v>599</v>
      </c>
      <c r="U229" s="1">
        <v>5.05</v>
      </c>
      <c r="V229" s="1">
        <v>5.0999999999999996</v>
      </c>
      <c r="W229" s="1" t="s">
        <v>1939</v>
      </c>
      <c r="X229" s="1" t="s">
        <v>1940</v>
      </c>
      <c r="Y229" s="3">
        <v>42951.21177037037</v>
      </c>
      <c r="Z229" s="1">
        <v>1</v>
      </c>
      <c r="AA229" s="1">
        <v>1</v>
      </c>
      <c r="AB229" s="1">
        <v>1</v>
      </c>
      <c r="AC229" s="1">
        <v>4</v>
      </c>
      <c r="AD229" s="3">
        <v>42951.21177037037</v>
      </c>
      <c r="AE229" s="1" t="s">
        <v>42</v>
      </c>
    </row>
    <row r="230" spans="1:31" x14ac:dyDescent="0.35">
      <c r="A230" s="1">
        <v>2819</v>
      </c>
      <c r="B230" s="1" t="s">
        <v>1941</v>
      </c>
      <c r="C230" s="1" t="s">
        <v>1942</v>
      </c>
      <c r="D230" s="1" t="s">
        <v>1943</v>
      </c>
      <c r="E230" s="1" t="s">
        <v>1123</v>
      </c>
      <c r="F230" s="1">
        <v>1</v>
      </c>
      <c r="G230" s="3">
        <v>34079</v>
      </c>
      <c r="H230" s="1">
        <v>1</v>
      </c>
      <c r="I230" s="1" t="s">
        <v>35</v>
      </c>
      <c r="J230" s="1" t="s">
        <v>157</v>
      </c>
      <c r="K230" s="2">
        <f>91-9325645841</f>
        <v>-9325645750</v>
      </c>
      <c r="L230" s="1" t="s">
        <v>58</v>
      </c>
      <c r="M230" s="1">
        <v>5.04</v>
      </c>
      <c r="N230" s="1">
        <v>19</v>
      </c>
      <c r="O230" s="1" t="s">
        <v>1944</v>
      </c>
      <c r="P230" s="1">
        <f>91-8087314533</f>
        <v>-8087314442</v>
      </c>
      <c r="Q230" s="1" t="s">
        <v>1945</v>
      </c>
      <c r="R230" s="1" t="s">
        <v>1946</v>
      </c>
      <c r="S230" s="1" t="s">
        <v>1067</v>
      </c>
      <c r="T230" s="1" t="s">
        <v>58</v>
      </c>
      <c r="U230" s="1">
        <v>4.07</v>
      </c>
      <c r="V230" s="1">
        <v>5.05</v>
      </c>
      <c r="W230" s="1" t="s">
        <v>1947</v>
      </c>
      <c r="X230" s="1" t="s">
        <v>42</v>
      </c>
      <c r="Y230" s="3">
        <v>42953.217731828707</v>
      </c>
      <c r="Z230" s="1">
        <v>1</v>
      </c>
      <c r="AA230" s="1">
        <v>1</v>
      </c>
      <c r="AB230" s="1">
        <v>1</v>
      </c>
      <c r="AC230" s="1">
        <v>4</v>
      </c>
      <c r="AD230" s="3">
        <v>42985.548230173612</v>
      </c>
      <c r="AE230" s="1" t="s">
        <v>42</v>
      </c>
    </row>
    <row r="231" spans="1:31" x14ac:dyDescent="0.35">
      <c r="A231" s="1">
        <v>2820</v>
      </c>
      <c r="B231" s="1" t="s">
        <v>1948</v>
      </c>
      <c r="C231" s="1" t="s">
        <v>1949</v>
      </c>
      <c r="D231" s="1" t="s">
        <v>1620</v>
      </c>
      <c r="E231" s="1" t="s">
        <v>249</v>
      </c>
      <c r="F231" s="1">
        <v>1</v>
      </c>
      <c r="G231" s="3">
        <v>34025</v>
      </c>
      <c r="H231" s="1">
        <v>1</v>
      </c>
      <c r="I231" s="1" t="s">
        <v>72</v>
      </c>
      <c r="J231" s="1" t="s">
        <v>73</v>
      </c>
      <c r="K231" s="2">
        <f>91-8827621883</f>
        <v>-8827621792</v>
      </c>
      <c r="L231" s="1" t="s">
        <v>58</v>
      </c>
      <c r="M231" s="1">
        <v>5.0599999999999996</v>
      </c>
      <c r="N231" s="1">
        <v>43</v>
      </c>
      <c r="O231" s="1" t="s">
        <v>1950</v>
      </c>
      <c r="P231" s="1">
        <f>91-8818883903</f>
        <v>-8818883812</v>
      </c>
      <c r="Q231" s="1" t="s">
        <v>1089</v>
      </c>
      <c r="R231" s="1" t="s">
        <v>73</v>
      </c>
      <c r="S231" s="1" t="s">
        <v>647</v>
      </c>
      <c r="T231" s="1" t="s">
        <v>58</v>
      </c>
      <c r="U231" s="1">
        <v>4.1100000000000003</v>
      </c>
      <c r="V231" s="1">
        <v>5.1100000000000003</v>
      </c>
      <c r="W231" s="1" t="s">
        <v>1951</v>
      </c>
      <c r="X231" s="1" t="s">
        <v>1952</v>
      </c>
      <c r="Y231" s="3">
        <v>42955.037877696763</v>
      </c>
      <c r="Z231" s="1">
        <v>1</v>
      </c>
      <c r="AA231" s="1">
        <v>1</v>
      </c>
      <c r="AB231" s="1">
        <v>1</v>
      </c>
      <c r="AC231" s="1">
        <v>1</v>
      </c>
      <c r="AD231" s="3">
        <v>43281.750916469908</v>
      </c>
      <c r="AE231" s="1" t="s">
        <v>42</v>
      </c>
    </row>
    <row r="232" spans="1:31" x14ac:dyDescent="0.35">
      <c r="A232" s="1">
        <v>2821</v>
      </c>
      <c r="B232" s="1" t="s">
        <v>1953</v>
      </c>
      <c r="C232" s="1">
        <v>9724204704</v>
      </c>
      <c r="D232" s="1" t="s">
        <v>1954</v>
      </c>
      <c r="E232" s="1" t="s">
        <v>249</v>
      </c>
      <c r="F232" s="1">
        <v>1</v>
      </c>
      <c r="G232" s="3">
        <v>33209</v>
      </c>
      <c r="H232" s="1">
        <v>1</v>
      </c>
      <c r="I232" s="1" t="s">
        <v>63</v>
      </c>
      <c r="J232" s="1" t="s">
        <v>1955</v>
      </c>
      <c r="K232" s="2">
        <f>91-9426637303</f>
        <v>-9426637212</v>
      </c>
      <c r="L232" s="1" t="s">
        <v>58</v>
      </c>
      <c r="M232" s="1">
        <v>5.05</v>
      </c>
      <c r="N232" s="1">
        <v>43</v>
      </c>
      <c r="O232" s="1" t="s">
        <v>1956</v>
      </c>
      <c r="P232" s="1">
        <f>91-9724204704</f>
        <v>-9724204613</v>
      </c>
      <c r="Q232" s="1" t="s">
        <v>1957</v>
      </c>
      <c r="R232" s="1" t="s">
        <v>1958</v>
      </c>
      <c r="S232" s="1" t="s">
        <v>57</v>
      </c>
      <c r="T232" s="1" t="s">
        <v>599</v>
      </c>
      <c r="U232" s="1">
        <v>5.01</v>
      </c>
      <c r="V232" s="1">
        <v>5.05</v>
      </c>
      <c r="W232" s="1" t="s">
        <v>1959</v>
      </c>
      <c r="X232" s="1" t="s">
        <v>1960</v>
      </c>
      <c r="Y232" s="3">
        <v>42955.354595486111</v>
      </c>
      <c r="Z232" s="1">
        <v>1</v>
      </c>
      <c r="AA232" s="1">
        <v>1</v>
      </c>
      <c r="AB232" s="1">
        <v>1</v>
      </c>
      <c r="AC232" s="1">
        <v>4</v>
      </c>
      <c r="AD232" s="3">
        <v>43072.691906863423</v>
      </c>
      <c r="AE232" s="1" t="s">
        <v>42</v>
      </c>
    </row>
    <row r="233" spans="1:31" x14ac:dyDescent="0.35">
      <c r="A233" s="1">
        <v>2823</v>
      </c>
      <c r="B233" s="1" t="s">
        <v>1961</v>
      </c>
      <c r="C233" s="1" t="s">
        <v>1962</v>
      </c>
      <c r="D233" s="1" t="s">
        <v>1963</v>
      </c>
      <c r="E233" s="1" t="s">
        <v>52</v>
      </c>
      <c r="F233" s="1">
        <v>1</v>
      </c>
      <c r="G233" s="3">
        <v>33183</v>
      </c>
      <c r="H233" s="1">
        <v>1</v>
      </c>
      <c r="I233" s="1" t="s">
        <v>1024</v>
      </c>
      <c r="J233" s="1" t="s">
        <v>1025</v>
      </c>
      <c r="K233" s="2">
        <f>91-9849164246</f>
        <v>-9849164155</v>
      </c>
      <c r="L233" s="1" t="s">
        <v>58</v>
      </c>
      <c r="M233" s="1">
        <v>5.09</v>
      </c>
      <c r="N233" s="1">
        <v>16</v>
      </c>
      <c r="O233" s="1" t="s">
        <v>1964</v>
      </c>
      <c r="P233" s="1">
        <f>91-9908937727</f>
        <v>-9908937636</v>
      </c>
      <c r="Q233" s="1" t="s">
        <v>1965</v>
      </c>
      <c r="R233" s="1" t="s">
        <v>1966</v>
      </c>
      <c r="S233" s="1" t="s">
        <v>171</v>
      </c>
      <c r="T233" s="1" t="s">
        <v>58</v>
      </c>
      <c r="U233" s="1">
        <v>5.01</v>
      </c>
      <c r="V233" s="1">
        <v>5.05</v>
      </c>
      <c r="W233" s="1" t="s">
        <v>1967</v>
      </c>
      <c r="X233" s="1" t="s">
        <v>1968</v>
      </c>
      <c r="Y233" s="3">
        <v>42961.937919178243</v>
      </c>
      <c r="Z233" s="1">
        <v>1</v>
      </c>
      <c r="AA233" s="1">
        <v>1</v>
      </c>
      <c r="AB233" s="1">
        <v>1</v>
      </c>
      <c r="AC233" s="1">
        <v>4</v>
      </c>
      <c r="AD233" s="3">
        <v>42978.669695138888</v>
      </c>
      <c r="AE233" s="1" t="s">
        <v>42</v>
      </c>
    </row>
    <row r="234" spans="1:31" x14ac:dyDescent="0.35">
      <c r="A234" s="1">
        <v>2825</v>
      </c>
      <c r="B234" s="1" t="s">
        <v>1969</v>
      </c>
      <c r="C234" s="1" t="s">
        <v>1970</v>
      </c>
      <c r="D234" s="1" t="s">
        <v>1971</v>
      </c>
      <c r="E234" s="1" t="s">
        <v>83</v>
      </c>
      <c r="F234" s="1">
        <v>1</v>
      </c>
      <c r="G234" s="3">
        <v>32490</v>
      </c>
      <c r="H234" s="1">
        <v>1</v>
      </c>
      <c r="I234" s="1" t="s">
        <v>700</v>
      </c>
      <c r="J234" s="1" t="s">
        <v>701</v>
      </c>
      <c r="K234" s="2">
        <f>91-8598034600</f>
        <v>-8598034509</v>
      </c>
      <c r="L234" s="1" t="s">
        <v>58</v>
      </c>
      <c r="M234" s="1">
        <v>5.05</v>
      </c>
      <c r="N234" s="1">
        <v>10</v>
      </c>
      <c r="O234" s="1" t="s">
        <v>1972</v>
      </c>
      <c r="P234" s="1">
        <f>91-9685123336</f>
        <v>-9685123245</v>
      </c>
      <c r="Q234" s="1" t="s">
        <v>1973</v>
      </c>
      <c r="R234" s="1" t="s">
        <v>1974</v>
      </c>
      <c r="S234" s="1" t="s">
        <v>409</v>
      </c>
      <c r="T234" s="1" t="s">
        <v>599</v>
      </c>
      <c r="U234" s="1">
        <v>4.04</v>
      </c>
      <c r="V234" s="1">
        <v>5.0199999999999996</v>
      </c>
      <c r="W234" s="1" t="s">
        <v>1975</v>
      </c>
      <c r="X234" s="1" t="s">
        <v>1976</v>
      </c>
      <c r="Y234" s="3">
        <v>42962.912900497686</v>
      </c>
      <c r="Z234" s="1">
        <v>1</v>
      </c>
      <c r="AA234" s="1">
        <v>1</v>
      </c>
      <c r="AB234" s="1">
        <v>1</v>
      </c>
      <c r="AC234" s="1">
        <v>1</v>
      </c>
      <c r="AD234" s="3">
        <v>43924.51858452546</v>
      </c>
      <c r="AE234" s="1" t="s">
        <v>42</v>
      </c>
    </row>
    <row r="235" spans="1:31" x14ac:dyDescent="0.35">
      <c r="A235" s="1">
        <v>2826</v>
      </c>
      <c r="B235" s="1" t="s">
        <v>1977</v>
      </c>
      <c r="C235" s="1" t="s">
        <v>1978</v>
      </c>
      <c r="D235" s="1" t="s">
        <v>1485</v>
      </c>
      <c r="E235" s="1" t="s">
        <v>52</v>
      </c>
      <c r="F235" s="1">
        <v>1</v>
      </c>
      <c r="G235" s="3">
        <v>33867</v>
      </c>
      <c r="H235" s="1">
        <v>1</v>
      </c>
      <c r="I235" s="1" t="s">
        <v>1024</v>
      </c>
      <c r="J235" s="1" t="s">
        <v>1025</v>
      </c>
      <c r="K235" s="2">
        <f>91-9885900086</f>
        <v>-9885899995</v>
      </c>
      <c r="L235" s="1" t="s">
        <v>58</v>
      </c>
      <c r="M235" s="1">
        <v>5.0199999999999996</v>
      </c>
      <c r="N235" s="1">
        <v>12</v>
      </c>
      <c r="O235" s="1" t="s">
        <v>1979</v>
      </c>
      <c r="P235" s="1" t="s">
        <v>54</v>
      </c>
      <c r="Q235" s="1" t="s">
        <v>1980</v>
      </c>
      <c r="R235" s="1" t="s">
        <v>1025</v>
      </c>
      <c r="S235" s="1" t="s">
        <v>1665</v>
      </c>
      <c r="T235" s="1" t="s">
        <v>58</v>
      </c>
      <c r="U235" s="1">
        <v>5</v>
      </c>
      <c r="V235" s="1">
        <v>5.0199999999999996</v>
      </c>
      <c r="W235" s="1" t="s">
        <v>1981</v>
      </c>
      <c r="X235" s="1" t="s">
        <v>1982</v>
      </c>
      <c r="Y235" s="3">
        <v>42964.416991932871</v>
      </c>
      <c r="Z235" s="1">
        <v>1</v>
      </c>
      <c r="AA235" s="1">
        <v>1</v>
      </c>
      <c r="AB235" s="1">
        <v>1</v>
      </c>
      <c r="AC235" s="1">
        <v>4</v>
      </c>
      <c r="AD235" s="3">
        <v>43045.547891168979</v>
      </c>
      <c r="AE235" s="1" t="s">
        <v>42</v>
      </c>
    </row>
    <row r="236" spans="1:31" x14ac:dyDescent="0.35">
      <c r="A236" s="1">
        <v>2827</v>
      </c>
      <c r="B236" s="1" t="s">
        <v>1983</v>
      </c>
      <c r="C236" s="1" t="s">
        <v>1984</v>
      </c>
      <c r="D236" s="1" t="s">
        <v>1985</v>
      </c>
      <c r="E236" s="1" t="s">
        <v>1986</v>
      </c>
      <c r="F236" s="1">
        <v>1</v>
      </c>
      <c r="G236" s="3">
        <v>33924</v>
      </c>
      <c r="H236" s="1">
        <v>1</v>
      </c>
      <c r="I236" s="1" t="s">
        <v>63</v>
      </c>
      <c r="J236" s="1" t="s">
        <v>64</v>
      </c>
      <c r="K236" s="2">
        <f>91-9033427775</f>
        <v>-9033427684</v>
      </c>
      <c r="L236" s="1" t="s">
        <v>58</v>
      </c>
      <c r="M236" s="1">
        <v>5.08</v>
      </c>
      <c r="N236" s="1">
        <v>5</v>
      </c>
      <c r="O236" s="1" t="s">
        <v>1987</v>
      </c>
      <c r="P236" s="1">
        <f>91-9429332867</f>
        <v>-9429332776</v>
      </c>
      <c r="Q236" s="1" t="s">
        <v>1988</v>
      </c>
      <c r="R236" s="1" t="s">
        <v>1989</v>
      </c>
      <c r="S236" s="1" t="s">
        <v>1807</v>
      </c>
      <c r="T236" s="1" t="s">
        <v>58</v>
      </c>
      <c r="U236" s="1">
        <v>4.08</v>
      </c>
      <c r="V236" s="1">
        <v>6</v>
      </c>
      <c r="W236" s="1" t="s">
        <v>1990</v>
      </c>
      <c r="X236" s="1" t="s">
        <v>1991</v>
      </c>
      <c r="Y236" s="3">
        <v>42968.078245520832</v>
      </c>
      <c r="Z236" s="1">
        <v>1</v>
      </c>
      <c r="AA236" s="1">
        <v>1</v>
      </c>
      <c r="AB236" s="1">
        <v>1</v>
      </c>
      <c r="AC236" s="1">
        <v>4</v>
      </c>
      <c r="AD236" s="3">
        <v>42975.228670682867</v>
      </c>
      <c r="AE236" s="1" t="s">
        <v>42</v>
      </c>
    </row>
    <row r="237" spans="1:31" x14ac:dyDescent="0.35">
      <c r="A237" s="1">
        <v>2830</v>
      </c>
      <c r="B237" s="1" t="s">
        <v>1992</v>
      </c>
      <c r="C237" s="1" t="s">
        <v>1993</v>
      </c>
      <c r="D237" s="1" t="s">
        <v>1994</v>
      </c>
      <c r="E237" s="1" t="s">
        <v>1995</v>
      </c>
      <c r="F237" s="1">
        <v>0</v>
      </c>
      <c r="G237" s="3">
        <v>34331</v>
      </c>
      <c r="H237" s="1">
        <v>1</v>
      </c>
      <c r="I237" s="1" t="s">
        <v>35</v>
      </c>
      <c r="J237" s="1" t="s">
        <v>1996</v>
      </c>
      <c r="K237" s="2">
        <f>91-7875893434</f>
        <v>-7875893343</v>
      </c>
      <c r="L237" s="1" t="s">
        <v>58</v>
      </c>
      <c r="M237" s="1">
        <v>5.05</v>
      </c>
      <c r="N237" s="1">
        <v>19</v>
      </c>
      <c r="O237" s="1" t="s">
        <v>1997</v>
      </c>
      <c r="P237" s="1">
        <f>91-9422893434</f>
        <v>-9422893343</v>
      </c>
      <c r="Q237" s="1" t="s">
        <v>1998</v>
      </c>
      <c r="R237" s="1" t="s">
        <v>1999</v>
      </c>
      <c r="S237" s="1" t="s">
        <v>499</v>
      </c>
      <c r="T237" s="1" t="s">
        <v>58</v>
      </c>
      <c r="U237" s="1">
        <v>5.05</v>
      </c>
      <c r="V237" s="1">
        <v>6</v>
      </c>
      <c r="W237" s="1" t="s">
        <v>2000</v>
      </c>
      <c r="X237" s="1" t="s">
        <v>2001</v>
      </c>
      <c r="Y237" s="3">
        <v>42973.192682442132</v>
      </c>
      <c r="Z237" s="1">
        <v>1</v>
      </c>
      <c r="AA237" s="1">
        <v>1</v>
      </c>
      <c r="AB237" s="1">
        <v>1</v>
      </c>
      <c r="AC237" s="1">
        <v>1</v>
      </c>
      <c r="AD237" s="3">
        <v>43104.682174421294</v>
      </c>
      <c r="AE237" s="1" t="s">
        <v>42</v>
      </c>
    </row>
    <row r="238" spans="1:31" x14ac:dyDescent="0.35">
      <c r="A238" s="1">
        <v>2834</v>
      </c>
      <c r="B238" s="1" t="s">
        <v>2002</v>
      </c>
      <c r="C238" s="1" t="s">
        <v>2003</v>
      </c>
      <c r="D238" s="1" t="s">
        <v>2004</v>
      </c>
      <c r="E238" s="1" t="s">
        <v>34</v>
      </c>
      <c r="F238" s="1">
        <v>1</v>
      </c>
      <c r="G238" s="3">
        <v>34121</v>
      </c>
      <c r="H238" s="1">
        <v>1</v>
      </c>
      <c r="I238" s="1" t="s">
        <v>63</v>
      </c>
      <c r="J238" s="1" t="s">
        <v>94</v>
      </c>
      <c r="K238" s="2">
        <f>91-9909180101</f>
        <v>-9909180010</v>
      </c>
      <c r="L238" s="1" t="s">
        <v>37</v>
      </c>
      <c r="M238" s="1">
        <v>5.08</v>
      </c>
      <c r="N238" s="1">
        <v>12</v>
      </c>
      <c r="O238" s="1" t="s">
        <v>2005</v>
      </c>
      <c r="P238" s="1" t="s">
        <v>54</v>
      </c>
      <c r="Q238" s="1" t="s">
        <v>2006</v>
      </c>
      <c r="R238" s="1" t="s">
        <v>2007</v>
      </c>
      <c r="S238" s="1" t="s">
        <v>1665</v>
      </c>
      <c r="T238" s="1" t="s">
        <v>2008</v>
      </c>
      <c r="U238" s="1">
        <v>5</v>
      </c>
      <c r="V238" s="1">
        <v>5.08</v>
      </c>
      <c r="W238" s="1" t="s">
        <v>2009</v>
      </c>
      <c r="X238" s="1" t="s">
        <v>2010</v>
      </c>
      <c r="Y238" s="3">
        <v>42986.34619783565</v>
      </c>
      <c r="Z238" s="1">
        <v>1</v>
      </c>
      <c r="AA238" s="1">
        <v>1</v>
      </c>
      <c r="AB238" s="1">
        <v>1</v>
      </c>
      <c r="AC238" s="1">
        <v>1</v>
      </c>
      <c r="AD238" s="3">
        <v>43898.37567465278</v>
      </c>
      <c r="AE238" s="1" t="s">
        <v>42</v>
      </c>
    </row>
    <row r="239" spans="1:31" x14ac:dyDescent="0.35">
      <c r="A239" s="1">
        <v>2835</v>
      </c>
      <c r="B239" s="1" t="s">
        <v>2011</v>
      </c>
      <c r="C239" s="1" t="s">
        <v>2012</v>
      </c>
      <c r="D239" s="1" t="s">
        <v>2013</v>
      </c>
      <c r="E239" s="1" t="s">
        <v>52</v>
      </c>
      <c r="F239" s="1">
        <v>0</v>
      </c>
      <c r="G239" s="3">
        <v>32327</v>
      </c>
      <c r="H239" s="1">
        <v>1</v>
      </c>
      <c r="I239" s="1" t="s">
        <v>63</v>
      </c>
      <c r="J239" s="1" t="s">
        <v>64</v>
      </c>
      <c r="K239" s="2">
        <f>91-9925249502</f>
        <v>-9925249411</v>
      </c>
      <c r="L239" s="1" t="s">
        <v>37</v>
      </c>
      <c r="M239" s="1">
        <v>5.05</v>
      </c>
      <c r="N239" s="1">
        <v>3</v>
      </c>
      <c r="O239" s="1" t="s">
        <v>2014</v>
      </c>
      <c r="P239" s="1" t="s">
        <v>54</v>
      </c>
      <c r="Q239" s="1" t="s">
        <v>2015</v>
      </c>
      <c r="R239" s="1" t="s">
        <v>2016</v>
      </c>
      <c r="S239" s="1" t="s">
        <v>360</v>
      </c>
      <c r="T239" s="1" t="s">
        <v>140</v>
      </c>
      <c r="U239" s="1">
        <v>5.04</v>
      </c>
      <c r="V239" s="1">
        <v>5.04</v>
      </c>
      <c r="W239" s="1" t="s">
        <v>2017</v>
      </c>
      <c r="X239" s="1" t="s">
        <v>2018</v>
      </c>
      <c r="Y239" s="3">
        <v>42991.192525775463</v>
      </c>
      <c r="Z239" s="1">
        <v>1</v>
      </c>
      <c r="AA239" s="1">
        <v>1</v>
      </c>
      <c r="AB239" s="1">
        <v>1</v>
      </c>
      <c r="AC239" s="1">
        <v>1</v>
      </c>
      <c r="AD239" s="3">
        <v>43450.685936655093</v>
      </c>
      <c r="AE239" s="1" t="s">
        <v>42</v>
      </c>
    </row>
    <row r="240" spans="1:31" x14ac:dyDescent="0.35">
      <c r="A240" s="1">
        <v>2836</v>
      </c>
      <c r="B240" s="1" t="s">
        <v>2019</v>
      </c>
      <c r="C240" s="1" t="s">
        <v>2020</v>
      </c>
      <c r="D240" s="1" t="s">
        <v>2021</v>
      </c>
      <c r="E240" s="1" t="s">
        <v>83</v>
      </c>
      <c r="F240" s="1">
        <v>1</v>
      </c>
      <c r="G240" s="3">
        <v>31477</v>
      </c>
      <c r="H240" s="1">
        <v>1</v>
      </c>
      <c r="I240" s="1" t="s">
        <v>63</v>
      </c>
      <c r="J240" s="1" t="s">
        <v>64</v>
      </c>
      <c r="K240" s="2">
        <f>91-9409621217</f>
        <v>-9409621126</v>
      </c>
      <c r="L240" s="1" t="s">
        <v>37</v>
      </c>
      <c r="M240" s="1">
        <v>6.02</v>
      </c>
      <c r="N240" s="1">
        <v>10</v>
      </c>
      <c r="O240" s="1" t="s">
        <v>2022</v>
      </c>
      <c r="P240" s="1">
        <f>91-9426015667</f>
        <v>-9426015576</v>
      </c>
      <c r="Q240" s="1" t="s">
        <v>2023</v>
      </c>
      <c r="R240" s="1" t="s">
        <v>2024</v>
      </c>
      <c r="S240" s="1" t="s">
        <v>2025</v>
      </c>
      <c r="T240" s="1" t="s">
        <v>44</v>
      </c>
      <c r="U240" s="1">
        <v>5</v>
      </c>
      <c r="V240" s="1">
        <v>6.02</v>
      </c>
      <c r="W240" s="1" t="s">
        <v>2026</v>
      </c>
      <c r="X240" s="1" t="s">
        <v>2027</v>
      </c>
      <c r="Y240" s="3">
        <v>42993.010313194442</v>
      </c>
      <c r="Z240" s="1">
        <v>1</v>
      </c>
      <c r="AA240" s="1">
        <v>1</v>
      </c>
      <c r="AB240" s="1">
        <v>1</v>
      </c>
      <c r="AC240" s="1">
        <v>4</v>
      </c>
      <c r="AD240" s="3">
        <v>42993.444452743053</v>
      </c>
      <c r="AE240" s="1" t="s">
        <v>42</v>
      </c>
    </row>
    <row r="241" spans="1:31" x14ac:dyDescent="0.35">
      <c r="A241" s="1">
        <v>2837</v>
      </c>
      <c r="B241" s="1" t="s">
        <v>2028</v>
      </c>
      <c r="C241" s="1" t="s">
        <v>2029</v>
      </c>
      <c r="D241" s="1" t="s">
        <v>2030</v>
      </c>
      <c r="E241" s="1" t="s">
        <v>52</v>
      </c>
      <c r="F241" s="1">
        <v>1</v>
      </c>
      <c r="G241" s="3">
        <v>33886</v>
      </c>
      <c r="H241" s="1">
        <v>1</v>
      </c>
      <c r="I241" s="1" t="s">
        <v>63</v>
      </c>
      <c r="J241" s="1" t="s">
        <v>115</v>
      </c>
      <c r="K241" s="2">
        <f>91-9714644706</f>
        <v>-9714644615</v>
      </c>
      <c r="L241" s="1" t="s">
        <v>58</v>
      </c>
      <c r="M241" s="1">
        <v>5.08</v>
      </c>
      <c r="N241" s="1">
        <v>9</v>
      </c>
      <c r="O241" s="1" t="s">
        <v>2031</v>
      </c>
      <c r="P241" s="1">
        <f>91-7228992443</f>
        <v>-7228992352</v>
      </c>
      <c r="Q241" s="1" t="s">
        <v>2032</v>
      </c>
      <c r="R241" s="1" t="s">
        <v>2033</v>
      </c>
      <c r="S241" s="1" t="s">
        <v>488</v>
      </c>
      <c r="T241" s="1" t="s">
        <v>58</v>
      </c>
      <c r="U241" s="1">
        <v>4.08</v>
      </c>
      <c r="V241" s="1">
        <v>5.08</v>
      </c>
      <c r="W241" s="1" t="s">
        <v>2034</v>
      </c>
      <c r="X241" s="1" t="s">
        <v>2035</v>
      </c>
      <c r="Y241" s="3">
        <v>42993.119303437503</v>
      </c>
      <c r="Z241" s="1">
        <v>1</v>
      </c>
      <c r="AA241" s="1">
        <v>1</v>
      </c>
      <c r="AB241" s="1">
        <v>1</v>
      </c>
      <c r="AC241" s="1">
        <v>1</v>
      </c>
      <c r="AD241" s="3">
        <v>43180.084088275464</v>
      </c>
      <c r="AE241" s="1" t="s">
        <v>42</v>
      </c>
    </row>
    <row r="242" spans="1:31" x14ac:dyDescent="0.35">
      <c r="A242" s="1">
        <v>2840</v>
      </c>
      <c r="B242" s="1" t="s">
        <v>2036</v>
      </c>
      <c r="C242" s="1" t="s">
        <v>2037</v>
      </c>
      <c r="D242" s="1" t="s">
        <v>2038</v>
      </c>
      <c r="E242" s="1" t="s">
        <v>2039</v>
      </c>
      <c r="F242" s="1">
        <v>0</v>
      </c>
      <c r="G242" s="3">
        <v>34301</v>
      </c>
      <c r="H242" s="1">
        <v>1</v>
      </c>
      <c r="I242" s="1" t="s">
        <v>35</v>
      </c>
      <c r="J242" s="1" t="s">
        <v>506</v>
      </c>
      <c r="K242" s="2">
        <f>91-9823258162</f>
        <v>-9823258071</v>
      </c>
      <c r="L242" s="1" t="s">
        <v>58</v>
      </c>
      <c r="M242" s="1">
        <v>5.05</v>
      </c>
      <c r="N242" s="1">
        <v>40</v>
      </c>
      <c r="O242" s="1" t="s">
        <v>2040</v>
      </c>
      <c r="P242" s="1">
        <f>91-9823258162</f>
        <v>-9823258071</v>
      </c>
      <c r="Q242" s="1" t="s">
        <v>2041</v>
      </c>
      <c r="R242" s="1" t="s">
        <v>1359</v>
      </c>
      <c r="S242" s="1" t="s">
        <v>222</v>
      </c>
      <c r="T242" s="1" t="s">
        <v>58</v>
      </c>
      <c r="U242" s="1">
        <v>5.05</v>
      </c>
      <c r="V242" s="1">
        <v>5.0999999999999996</v>
      </c>
      <c r="W242" s="1" t="s">
        <v>2042</v>
      </c>
      <c r="X242" s="1" t="s">
        <v>2043</v>
      </c>
      <c r="Y242" s="3">
        <v>42998.32598321759</v>
      </c>
      <c r="Z242" s="1">
        <v>1</v>
      </c>
      <c r="AA242" s="1">
        <v>1</v>
      </c>
      <c r="AB242" s="1">
        <v>1</v>
      </c>
      <c r="AC242" s="1">
        <v>1</v>
      </c>
      <c r="AD242" s="3">
        <v>43852.310610532404</v>
      </c>
      <c r="AE242" s="1" t="s">
        <v>42</v>
      </c>
    </row>
    <row r="243" spans="1:31" x14ac:dyDescent="0.35">
      <c r="A243" s="1">
        <v>2844</v>
      </c>
      <c r="B243" s="1" t="s">
        <v>2044</v>
      </c>
      <c r="C243" s="1" t="s">
        <v>2045</v>
      </c>
      <c r="D243" s="1" t="s">
        <v>2046</v>
      </c>
      <c r="E243" s="1" t="s">
        <v>83</v>
      </c>
      <c r="F243" s="1">
        <v>1</v>
      </c>
      <c r="G243" s="3">
        <v>34347</v>
      </c>
      <c r="H243" s="1">
        <v>1</v>
      </c>
      <c r="I243" s="1" t="s">
        <v>63</v>
      </c>
      <c r="J243" s="1" t="s">
        <v>459</v>
      </c>
      <c r="K243" s="2">
        <f>91-9978428765</f>
        <v>-9978428674</v>
      </c>
      <c r="L243" s="1" t="s">
        <v>58</v>
      </c>
      <c r="M243" s="1">
        <v>5.03</v>
      </c>
      <c r="N243" s="1">
        <v>10</v>
      </c>
      <c r="O243" s="1" t="s">
        <v>2047</v>
      </c>
      <c r="P243" s="1" t="s">
        <v>54</v>
      </c>
      <c r="Q243" s="1" t="s">
        <v>2048</v>
      </c>
      <c r="R243" s="1" t="s">
        <v>2049</v>
      </c>
      <c r="S243" s="1" t="s">
        <v>171</v>
      </c>
      <c r="T243" s="1" t="s">
        <v>58</v>
      </c>
      <c r="U243" s="1">
        <v>4.05</v>
      </c>
      <c r="V243" s="1">
        <v>5.0199999999999996</v>
      </c>
      <c r="W243" s="1" t="s">
        <v>2050</v>
      </c>
      <c r="X243" s="1" t="s">
        <v>2051</v>
      </c>
      <c r="Y243" s="3">
        <v>43024.900923611109</v>
      </c>
      <c r="Z243" s="1">
        <v>1</v>
      </c>
      <c r="AA243" s="1">
        <v>1</v>
      </c>
      <c r="AB243" s="1">
        <v>1</v>
      </c>
      <c r="AC243" s="1">
        <v>4</v>
      </c>
      <c r="AD243" s="3">
        <v>43036.732919178241</v>
      </c>
      <c r="AE243" s="1" t="s">
        <v>42</v>
      </c>
    </row>
    <row r="244" spans="1:31" x14ac:dyDescent="0.35">
      <c r="A244" s="1">
        <v>3847</v>
      </c>
      <c r="B244" s="1" t="s">
        <v>2052</v>
      </c>
      <c r="C244" s="1" t="s">
        <v>2053</v>
      </c>
      <c r="D244" s="1" t="s">
        <v>2046</v>
      </c>
      <c r="E244" s="1" t="s">
        <v>2054</v>
      </c>
      <c r="F244" s="1">
        <v>1</v>
      </c>
      <c r="G244" s="3">
        <v>30959</v>
      </c>
      <c r="H244" s="1">
        <v>1</v>
      </c>
      <c r="I244" s="1" t="s">
        <v>63</v>
      </c>
      <c r="J244" s="1" t="s">
        <v>2055</v>
      </c>
      <c r="K244" s="2">
        <f>91-7758989199</f>
        <v>-7758989108</v>
      </c>
      <c r="L244" s="1" t="s">
        <v>37</v>
      </c>
      <c r="M244" s="1">
        <v>5.1100000000000003</v>
      </c>
      <c r="N244" s="1">
        <v>5</v>
      </c>
      <c r="O244" s="1" t="s">
        <v>2056</v>
      </c>
      <c r="P244" s="1">
        <f>91-7218311341</f>
        <v>-7218311250</v>
      </c>
      <c r="Q244" s="1" t="s">
        <v>2057</v>
      </c>
      <c r="R244" s="1" t="s">
        <v>2058</v>
      </c>
      <c r="S244" s="1" t="s">
        <v>2059</v>
      </c>
      <c r="T244" s="1" t="s">
        <v>37</v>
      </c>
      <c r="U244" s="1">
        <v>5</v>
      </c>
      <c r="V244" s="1">
        <v>5.1100000000000003</v>
      </c>
      <c r="W244" s="1" t="s">
        <v>2060</v>
      </c>
      <c r="X244" s="1" t="s">
        <v>2061</v>
      </c>
      <c r="Y244" s="3">
        <v>43043.1473778125</v>
      </c>
      <c r="Z244" s="1">
        <v>1</v>
      </c>
      <c r="AA244" s="1">
        <v>1</v>
      </c>
      <c r="AB244" s="1">
        <v>1</v>
      </c>
      <c r="AC244" s="1">
        <v>1</v>
      </c>
      <c r="AD244" s="3">
        <v>44036.17769340278</v>
      </c>
      <c r="AE244" s="1" t="s">
        <v>42</v>
      </c>
    </row>
    <row r="245" spans="1:31" x14ac:dyDescent="0.35">
      <c r="A245" s="1">
        <v>3848</v>
      </c>
      <c r="B245" s="1" t="s">
        <v>2062</v>
      </c>
      <c r="C245" s="1" t="s">
        <v>2063</v>
      </c>
      <c r="D245" s="1" t="s">
        <v>799</v>
      </c>
      <c r="E245" s="1" t="s">
        <v>2064</v>
      </c>
      <c r="F245" s="1">
        <v>1</v>
      </c>
      <c r="G245" s="3">
        <v>32834</v>
      </c>
      <c r="H245" s="1">
        <v>1</v>
      </c>
      <c r="I245" s="1" t="s">
        <v>63</v>
      </c>
      <c r="J245" s="1" t="s">
        <v>64</v>
      </c>
      <c r="K245" s="2">
        <f>91-9978778119</f>
        <v>-9978778028</v>
      </c>
      <c r="L245" s="1" t="s">
        <v>58</v>
      </c>
      <c r="M245" s="1">
        <v>5.04</v>
      </c>
      <c r="N245" s="1">
        <v>50</v>
      </c>
      <c r="O245" s="1" t="s">
        <v>2065</v>
      </c>
      <c r="P245" s="1">
        <f>91-9978778119</f>
        <v>-9978778028</v>
      </c>
      <c r="Q245" s="1" t="s">
        <v>2066</v>
      </c>
      <c r="R245" s="1" t="s">
        <v>2067</v>
      </c>
      <c r="S245" s="1" t="s">
        <v>286</v>
      </c>
      <c r="T245" s="1" t="s">
        <v>58</v>
      </c>
      <c r="U245" s="1">
        <v>4.0999999999999996</v>
      </c>
      <c r="V245" s="1">
        <v>5.05</v>
      </c>
      <c r="W245" s="1" t="s">
        <v>2068</v>
      </c>
      <c r="X245" s="1" t="s">
        <v>2069</v>
      </c>
      <c r="Y245" s="3">
        <v>43044.253519907405</v>
      </c>
      <c r="Z245" s="1">
        <v>1</v>
      </c>
      <c r="AA245" s="1">
        <v>1</v>
      </c>
      <c r="AB245" s="1">
        <v>1</v>
      </c>
      <c r="AC245" s="1">
        <v>1</v>
      </c>
      <c r="AD245" s="3">
        <v>43333.65024505787</v>
      </c>
      <c r="AE245" s="1" t="s">
        <v>42</v>
      </c>
    </row>
    <row r="246" spans="1:31" x14ac:dyDescent="0.35">
      <c r="A246" s="1">
        <v>3850</v>
      </c>
      <c r="B246" s="1" t="s">
        <v>2070</v>
      </c>
      <c r="C246" s="1" t="s">
        <v>2071</v>
      </c>
      <c r="D246" s="1" t="s">
        <v>2072</v>
      </c>
      <c r="E246" s="1" t="s">
        <v>262</v>
      </c>
      <c r="F246" s="1">
        <v>1</v>
      </c>
      <c r="G246" s="3">
        <v>33199</v>
      </c>
      <c r="H246" s="1">
        <v>1</v>
      </c>
      <c r="I246" s="1" t="s">
        <v>63</v>
      </c>
      <c r="J246" s="1" t="s">
        <v>459</v>
      </c>
      <c r="K246" s="2">
        <f>91-9426820144</f>
        <v>-9426820053</v>
      </c>
      <c r="L246" s="1" t="s">
        <v>58</v>
      </c>
      <c r="M246" s="1">
        <v>6.07</v>
      </c>
      <c r="N246" s="1">
        <v>10</v>
      </c>
      <c r="O246" s="1" t="s">
        <v>2073</v>
      </c>
      <c r="P246" s="1">
        <f>91-9726081292</f>
        <v>-9726081201</v>
      </c>
      <c r="Q246" s="1" t="s">
        <v>2074</v>
      </c>
      <c r="R246" s="1" t="s">
        <v>2075</v>
      </c>
      <c r="S246" s="1" t="s">
        <v>1446</v>
      </c>
      <c r="T246" s="1" t="s">
        <v>58</v>
      </c>
      <c r="U246" s="1">
        <v>5</v>
      </c>
      <c r="V246" s="1">
        <v>5</v>
      </c>
      <c r="W246" s="1" t="s">
        <v>2076</v>
      </c>
      <c r="X246" s="1" t="s">
        <v>2077</v>
      </c>
      <c r="Y246" s="3">
        <v>43053.281898842593</v>
      </c>
      <c r="Z246" s="1">
        <v>1</v>
      </c>
      <c r="AA246" s="1">
        <v>1</v>
      </c>
      <c r="AB246" s="1">
        <v>1</v>
      </c>
      <c r="AC246" s="1">
        <v>1</v>
      </c>
      <c r="AD246" s="3">
        <v>43420.27863306713</v>
      </c>
      <c r="AE246" s="1" t="s">
        <v>42</v>
      </c>
    </row>
    <row r="247" spans="1:31" x14ac:dyDescent="0.35">
      <c r="A247" s="1">
        <v>3856</v>
      </c>
      <c r="B247" s="1" t="s">
        <v>2078</v>
      </c>
      <c r="C247" s="1" t="s">
        <v>2079</v>
      </c>
      <c r="D247" s="1" t="s">
        <v>2080</v>
      </c>
      <c r="E247" s="1" t="s">
        <v>673</v>
      </c>
      <c r="F247" s="1">
        <v>1</v>
      </c>
      <c r="G247" s="3">
        <v>33090</v>
      </c>
      <c r="H247" s="1">
        <v>38</v>
      </c>
      <c r="I247" s="1" t="s">
        <v>2081</v>
      </c>
      <c r="J247" s="1" t="s">
        <v>2082</v>
      </c>
      <c r="K247" s="2">
        <f>91-9427384438</f>
        <v>-9427384347</v>
      </c>
      <c r="L247" s="1" t="s">
        <v>58</v>
      </c>
      <c r="M247" s="1">
        <v>6.01</v>
      </c>
      <c r="N247" s="1">
        <v>46</v>
      </c>
      <c r="O247" s="1" t="s">
        <v>2083</v>
      </c>
      <c r="P247" s="1">
        <f>91-9427384438</f>
        <v>-9427384347</v>
      </c>
      <c r="Q247" s="1" t="s">
        <v>2084</v>
      </c>
      <c r="R247" s="1" t="s">
        <v>2085</v>
      </c>
      <c r="S247" s="1" t="s">
        <v>693</v>
      </c>
      <c r="T247" s="1" t="s">
        <v>58</v>
      </c>
      <c r="U247" s="1">
        <v>5.05</v>
      </c>
      <c r="V247" s="1">
        <v>6</v>
      </c>
      <c r="W247" s="1" t="s">
        <v>2086</v>
      </c>
      <c r="X247" s="1" t="s">
        <v>2087</v>
      </c>
      <c r="Y247" s="3">
        <v>43060.37588359954</v>
      </c>
      <c r="Z247" s="1">
        <v>1</v>
      </c>
      <c r="AA247" s="1">
        <v>1</v>
      </c>
      <c r="AB247" s="1">
        <v>1</v>
      </c>
      <c r="AC247" s="1">
        <v>1</v>
      </c>
      <c r="AD247" s="3">
        <v>43120.396831053244</v>
      </c>
      <c r="AE247" s="1" t="s">
        <v>42</v>
      </c>
    </row>
    <row r="248" spans="1:31" x14ac:dyDescent="0.35">
      <c r="A248" s="1">
        <v>3857</v>
      </c>
      <c r="B248" s="1" t="s">
        <v>2088</v>
      </c>
      <c r="C248" s="1" t="s">
        <v>2089</v>
      </c>
      <c r="D248" s="1" t="s">
        <v>2090</v>
      </c>
      <c r="E248" s="1" t="s">
        <v>71</v>
      </c>
      <c r="F248" s="1">
        <v>1</v>
      </c>
      <c r="G248" s="3">
        <v>33343</v>
      </c>
      <c r="H248" s="1">
        <v>1</v>
      </c>
      <c r="I248" s="1" t="s">
        <v>63</v>
      </c>
      <c r="J248" s="1" t="s">
        <v>115</v>
      </c>
      <c r="K248" s="2">
        <f>91-9725255457</f>
        <v>-9725255366</v>
      </c>
      <c r="L248" s="1" t="s">
        <v>58</v>
      </c>
      <c r="M248" s="1">
        <v>5.09</v>
      </c>
      <c r="N248" s="1">
        <v>29</v>
      </c>
      <c r="O248" s="1" t="s">
        <v>2091</v>
      </c>
      <c r="P248" s="1">
        <f>91-9725255457</f>
        <v>-9725255366</v>
      </c>
      <c r="Q248" s="1" t="s">
        <v>1730</v>
      </c>
      <c r="R248" s="1" t="s">
        <v>2092</v>
      </c>
      <c r="S248" s="1" t="s">
        <v>1067</v>
      </c>
      <c r="T248" s="1" t="s">
        <v>58</v>
      </c>
      <c r="U248" s="1">
        <v>5.07</v>
      </c>
      <c r="V248" s="1">
        <v>5.07</v>
      </c>
      <c r="W248" s="1" t="s">
        <v>2093</v>
      </c>
      <c r="X248" s="1" t="s">
        <v>2094</v>
      </c>
      <c r="Y248" s="3">
        <v>43060.399722256945</v>
      </c>
      <c r="Z248" s="1">
        <v>1</v>
      </c>
      <c r="AA248" s="1">
        <v>1</v>
      </c>
      <c r="AB248" s="1">
        <v>1</v>
      </c>
      <c r="AC248" s="1">
        <v>1</v>
      </c>
      <c r="AD248" s="3">
        <v>43186.768713344907</v>
      </c>
      <c r="AE248" s="1" t="s">
        <v>42</v>
      </c>
    </row>
    <row r="249" spans="1:31" x14ac:dyDescent="0.35">
      <c r="A249" s="1">
        <v>3858</v>
      </c>
      <c r="B249" s="1" t="s">
        <v>2095</v>
      </c>
      <c r="C249" s="1" t="s">
        <v>2096</v>
      </c>
      <c r="D249" s="1" t="s">
        <v>2097</v>
      </c>
      <c r="E249" s="1" t="s">
        <v>2098</v>
      </c>
      <c r="F249" s="1">
        <v>0</v>
      </c>
      <c r="G249" s="3">
        <v>32530</v>
      </c>
      <c r="H249" s="1">
        <v>1</v>
      </c>
      <c r="I249" s="1" t="s">
        <v>35</v>
      </c>
      <c r="J249" s="1" t="s">
        <v>36</v>
      </c>
      <c r="K249" s="2">
        <f>91-8879138137</f>
        <v>-8879138046</v>
      </c>
      <c r="L249" s="1" t="s">
        <v>37</v>
      </c>
      <c r="M249" s="1">
        <v>5.01</v>
      </c>
      <c r="N249" s="1">
        <v>45</v>
      </c>
      <c r="O249" s="1" t="s">
        <v>1452</v>
      </c>
      <c r="P249" s="1">
        <f>91-9426961824</f>
        <v>-9426961733</v>
      </c>
      <c r="Q249" s="1" t="s">
        <v>2099</v>
      </c>
      <c r="R249" s="1" t="s">
        <v>2100</v>
      </c>
      <c r="S249" s="1" t="s">
        <v>296</v>
      </c>
      <c r="T249" s="1" t="s">
        <v>44</v>
      </c>
      <c r="U249" s="1">
        <v>5.03</v>
      </c>
      <c r="V249" s="1">
        <v>5.08</v>
      </c>
      <c r="W249" s="1" t="s">
        <v>2101</v>
      </c>
      <c r="X249" s="1" t="s">
        <v>2102</v>
      </c>
      <c r="Y249" s="3">
        <v>43065.216369641203</v>
      </c>
      <c r="Z249" s="1">
        <v>1</v>
      </c>
      <c r="AA249" s="1">
        <v>1</v>
      </c>
      <c r="AB249" s="1">
        <v>1</v>
      </c>
      <c r="AC249" s="1">
        <v>1</v>
      </c>
      <c r="AD249" s="3">
        <v>43141.278664432873</v>
      </c>
      <c r="AE249" s="1" t="s">
        <v>42</v>
      </c>
    </row>
    <row r="250" spans="1:31" x14ac:dyDescent="0.35">
      <c r="A250" s="1">
        <v>3862</v>
      </c>
      <c r="B250" s="1" t="s">
        <v>2103</v>
      </c>
      <c r="C250" s="1" t="s">
        <v>2104</v>
      </c>
      <c r="D250" s="1" t="s">
        <v>562</v>
      </c>
      <c r="E250" s="1" t="s">
        <v>1123</v>
      </c>
      <c r="F250" s="1">
        <v>1</v>
      </c>
      <c r="G250" s="3">
        <v>33553</v>
      </c>
      <c r="H250" s="1">
        <v>1</v>
      </c>
      <c r="I250" s="1" t="s">
        <v>35</v>
      </c>
      <c r="J250" s="1" t="s">
        <v>465</v>
      </c>
      <c r="K250" s="2">
        <f>91-8308411406</f>
        <v>-8308411315</v>
      </c>
      <c r="L250" s="1" t="s">
        <v>58</v>
      </c>
      <c r="M250" s="1">
        <v>5.09</v>
      </c>
      <c r="N250" s="1">
        <v>19</v>
      </c>
      <c r="O250" s="1" t="s">
        <v>2105</v>
      </c>
      <c r="P250" s="1" t="s">
        <v>54</v>
      </c>
      <c r="Q250" s="1" t="s">
        <v>777</v>
      </c>
      <c r="R250" s="1" t="s">
        <v>2106</v>
      </c>
      <c r="S250" s="1" t="s">
        <v>1187</v>
      </c>
      <c r="T250" s="1" t="s">
        <v>58</v>
      </c>
      <c r="U250" s="1">
        <v>5.0599999999999996</v>
      </c>
      <c r="V250" s="1">
        <v>5.09</v>
      </c>
      <c r="W250" s="1" t="s">
        <v>2107</v>
      </c>
      <c r="X250" s="1" t="s">
        <v>2108</v>
      </c>
      <c r="Y250" s="3">
        <v>43071.201701585647</v>
      </c>
      <c r="Z250" s="1">
        <v>1</v>
      </c>
      <c r="AA250" s="1">
        <v>1</v>
      </c>
      <c r="AB250" s="1">
        <v>1</v>
      </c>
      <c r="AC250" s="1">
        <v>1</v>
      </c>
      <c r="AD250" s="3">
        <v>43426.586840706019</v>
      </c>
      <c r="AE250" s="1" t="s">
        <v>42</v>
      </c>
    </row>
    <row r="251" spans="1:31" x14ac:dyDescent="0.35">
      <c r="A251" s="1">
        <v>3864</v>
      </c>
      <c r="B251" s="1" t="s">
        <v>2109</v>
      </c>
      <c r="C251" s="1" t="s">
        <v>2110</v>
      </c>
      <c r="D251" s="1" t="s">
        <v>346</v>
      </c>
      <c r="E251" s="1" t="s">
        <v>52</v>
      </c>
      <c r="F251" s="1">
        <v>1</v>
      </c>
      <c r="G251" s="3">
        <v>32837</v>
      </c>
      <c r="H251" s="1">
        <v>1</v>
      </c>
      <c r="I251" s="1" t="s">
        <v>63</v>
      </c>
      <c r="J251" s="1" t="s">
        <v>64</v>
      </c>
      <c r="K251" s="2">
        <f>91-9510123454</f>
        <v>-9510123363</v>
      </c>
      <c r="L251" s="1" t="s">
        <v>1898</v>
      </c>
      <c r="M251" s="1">
        <v>5.07</v>
      </c>
      <c r="N251" s="1">
        <v>11</v>
      </c>
      <c r="O251" s="1" t="s">
        <v>2111</v>
      </c>
      <c r="P251" s="1">
        <f>91-9898173050</f>
        <v>-9898172959</v>
      </c>
      <c r="Q251" s="1" t="s">
        <v>2112</v>
      </c>
      <c r="R251" s="1" t="s">
        <v>2113</v>
      </c>
      <c r="S251" s="1" t="s">
        <v>590</v>
      </c>
      <c r="T251" s="1" t="s">
        <v>140</v>
      </c>
      <c r="U251" s="1">
        <v>5</v>
      </c>
      <c r="V251" s="1">
        <v>5.07</v>
      </c>
      <c r="W251" s="1" t="s">
        <v>2114</v>
      </c>
      <c r="X251" s="1" t="s">
        <v>2115</v>
      </c>
      <c r="Y251" s="3">
        <v>43073.958011886571</v>
      </c>
      <c r="Z251" s="1">
        <v>1</v>
      </c>
      <c r="AA251" s="1">
        <v>1</v>
      </c>
      <c r="AB251" s="1">
        <v>1</v>
      </c>
      <c r="AC251" s="1">
        <v>1</v>
      </c>
      <c r="AD251" s="3">
        <v>43523.757509108793</v>
      </c>
      <c r="AE251" s="1" t="s">
        <v>42</v>
      </c>
    </row>
    <row r="252" spans="1:31" x14ac:dyDescent="0.35">
      <c r="A252" s="1">
        <v>3865</v>
      </c>
      <c r="B252" s="1" t="s">
        <v>2116</v>
      </c>
      <c r="C252" s="1" t="s">
        <v>2117</v>
      </c>
      <c r="D252" s="1" t="s">
        <v>2118</v>
      </c>
      <c r="E252" s="1" t="s">
        <v>878</v>
      </c>
      <c r="F252" s="1">
        <v>1</v>
      </c>
      <c r="G252" s="3">
        <v>33976</v>
      </c>
      <c r="H252" s="1">
        <v>1</v>
      </c>
      <c r="I252" s="1" t="s">
        <v>72</v>
      </c>
      <c r="J252" s="1" t="s">
        <v>167</v>
      </c>
      <c r="K252" s="2">
        <f>91-7773877742</f>
        <v>-7773877651</v>
      </c>
      <c r="L252" s="1" t="s">
        <v>58</v>
      </c>
      <c r="M252" s="1">
        <v>5.0999999999999996</v>
      </c>
      <c r="N252" s="1">
        <v>38</v>
      </c>
      <c r="O252" s="1" t="s">
        <v>2119</v>
      </c>
      <c r="P252" s="1">
        <f>91-7773837770</f>
        <v>-7773837679</v>
      </c>
      <c r="Q252" s="1" t="s">
        <v>2120</v>
      </c>
      <c r="R252" s="1" t="s">
        <v>2121</v>
      </c>
      <c r="S252" s="1" t="s">
        <v>488</v>
      </c>
      <c r="T252" s="1" t="s">
        <v>58</v>
      </c>
      <c r="U252" s="1">
        <v>5</v>
      </c>
      <c r="V252" s="1">
        <v>5.0599999999999996</v>
      </c>
      <c r="W252" s="1" t="s">
        <v>2122</v>
      </c>
      <c r="X252" s="1" t="s">
        <v>2123</v>
      </c>
      <c r="Y252" s="3">
        <v>43083.41840628472</v>
      </c>
      <c r="Z252" s="1">
        <v>1</v>
      </c>
      <c r="AA252" s="1">
        <v>1</v>
      </c>
      <c r="AB252" s="1">
        <v>1</v>
      </c>
      <c r="AC252" s="1">
        <v>4</v>
      </c>
      <c r="AD252" s="3">
        <v>43083.41840628472</v>
      </c>
      <c r="AE252" s="1" t="s">
        <v>42</v>
      </c>
    </row>
    <row r="253" spans="1:31" x14ac:dyDescent="0.35">
      <c r="A253" s="1">
        <v>3866</v>
      </c>
      <c r="B253" s="1" t="s">
        <v>2124</v>
      </c>
      <c r="C253" s="1" t="s">
        <v>2125</v>
      </c>
      <c r="D253" s="1" t="s">
        <v>2126</v>
      </c>
      <c r="E253" s="1" t="s">
        <v>52</v>
      </c>
      <c r="F253" s="1">
        <v>0</v>
      </c>
      <c r="G253" s="3">
        <v>32471</v>
      </c>
      <c r="H253" s="1">
        <v>1</v>
      </c>
      <c r="I253" s="1" t="s">
        <v>2127</v>
      </c>
      <c r="J253" s="1" t="s">
        <v>2128</v>
      </c>
      <c r="K253" s="2">
        <f>91-8800846964</f>
        <v>-8800846873</v>
      </c>
      <c r="L253" s="1" t="s">
        <v>58</v>
      </c>
      <c r="M253" s="1">
        <v>5.0199999999999996</v>
      </c>
      <c r="N253" s="1">
        <v>27</v>
      </c>
      <c r="O253" s="1" t="s">
        <v>2129</v>
      </c>
      <c r="P253" s="1" t="s">
        <v>54</v>
      </c>
      <c r="Q253" s="1" t="s">
        <v>2130</v>
      </c>
      <c r="R253" s="1" t="s">
        <v>2131</v>
      </c>
      <c r="S253" s="1" t="s">
        <v>1061</v>
      </c>
      <c r="T253" s="1" t="s">
        <v>58</v>
      </c>
      <c r="U253" s="1">
        <v>5.05</v>
      </c>
      <c r="V253" s="1">
        <v>5.1100000000000003</v>
      </c>
      <c r="W253" s="1" t="s">
        <v>2132</v>
      </c>
      <c r="X253" s="1" t="s">
        <v>2133</v>
      </c>
      <c r="Y253" s="3">
        <v>43087.355800659723</v>
      </c>
      <c r="Z253" s="1">
        <v>1</v>
      </c>
      <c r="AA253" s="1">
        <v>1</v>
      </c>
      <c r="AB253" s="1">
        <v>1</v>
      </c>
      <c r="AC253" s="1">
        <v>4</v>
      </c>
      <c r="AD253" s="3">
        <v>43093.710274537036</v>
      </c>
      <c r="AE253" s="1" t="s">
        <v>42</v>
      </c>
    </row>
    <row r="254" spans="1:31" x14ac:dyDescent="0.35">
      <c r="A254" s="1">
        <v>3873</v>
      </c>
      <c r="B254" s="1" t="s">
        <v>2135</v>
      </c>
      <c r="C254" s="1">
        <v>8318021371</v>
      </c>
      <c r="D254" s="1" t="s">
        <v>1079</v>
      </c>
      <c r="E254" s="1" t="s">
        <v>52</v>
      </c>
      <c r="F254" s="1">
        <v>1</v>
      </c>
      <c r="G254" s="3">
        <v>28866</v>
      </c>
      <c r="H254" s="1">
        <v>1</v>
      </c>
      <c r="I254" s="1" t="s">
        <v>35</v>
      </c>
      <c r="J254" s="1" t="s">
        <v>484</v>
      </c>
      <c r="K254" s="2">
        <f>91-8318021371</f>
        <v>-8318021280</v>
      </c>
      <c r="L254" s="1" t="s">
        <v>37</v>
      </c>
      <c r="M254" s="1">
        <v>5.0599999999999996</v>
      </c>
      <c r="N254" s="1">
        <v>43</v>
      </c>
      <c r="O254" s="1" t="s">
        <v>45</v>
      </c>
      <c r="P254" s="1">
        <f>91-9921459884</f>
        <v>-9921459793</v>
      </c>
      <c r="Q254" s="1" t="s">
        <v>2136</v>
      </c>
      <c r="R254" s="1" t="s">
        <v>2137</v>
      </c>
      <c r="S254" s="1" t="s">
        <v>2138</v>
      </c>
      <c r="T254" s="1" t="s">
        <v>2139</v>
      </c>
      <c r="U254" s="1">
        <v>5.0199999999999996</v>
      </c>
      <c r="V254" s="1">
        <v>5.0199999999999996</v>
      </c>
      <c r="W254" s="1" t="s">
        <v>2140</v>
      </c>
      <c r="X254" s="1" t="s">
        <v>2141</v>
      </c>
      <c r="Y254" s="3">
        <v>43102.214785185184</v>
      </c>
      <c r="Z254" s="1">
        <v>1</v>
      </c>
      <c r="AA254" s="1">
        <v>1</v>
      </c>
      <c r="AB254" s="1">
        <v>1</v>
      </c>
      <c r="AC254" s="1">
        <v>1</v>
      </c>
      <c r="AD254" s="3">
        <v>43102.214785185184</v>
      </c>
      <c r="AE254" s="1" t="s">
        <v>42</v>
      </c>
    </row>
    <row r="255" spans="1:31" x14ac:dyDescent="0.35">
      <c r="A255" s="1">
        <v>3874</v>
      </c>
      <c r="B255" s="1" t="s">
        <v>2142</v>
      </c>
      <c r="C255" s="1" t="s">
        <v>2143</v>
      </c>
      <c r="D255" s="1" t="s">
        <v>2144</v>
      </c>
      <c r="E255" s="1" t="s">
        <v>2145</v>
      </c>
      <c r="F255" s="1">
        <v>0</v>
      </c>
      <c r="G255" s="3">
        <v>33969</v>
      </c>
      <c r="H255" s="1">
        <v>1</v>
      </c>
      <c r="I255" s="1" t="s">
        <v>63</v>
      </c>
      <c r="J255" s="1" t="s">
        <v>2134</v>
      </c>
      <c r="K255" s="2">
        <f>91-9825516865</f>
        <v>-9825516774</v>
      </c>
      <c r="L255" s="1" t="s">
        <v>58</v>
      </c>
      <c r="M255" s="1">
        <v>5.03</v>
      </c>
      <c r="N255" s="1">
        <v>11</v>
      </c>
      <c r="O255" s="1" t="s">
        <v>2146</v>
      </c>
      <c r="P255" s="1" t="s">
        <v>54</v>
      </c>
      <c r="Q255" s="1" t="s">
        <v>2147</v>
      </c>
      <c r="R255" s="1" t="s">
        <v>2148</v>
      </c>
      <c r="S255" s="1" t="s">
        <v>222</v>
      </c>
      <c r="T255" s="1" t="s">
        <v>58</v>
      </c>
      <c r="U255" s="1">
        <v>5.07</v>
      </c>
      <c r="V255" s="1">
        <v>6.02</v>
      </c>
      <c r="W255" s="1" t="s">
        <v>2149</v>
      </c>
      <c r="X255" s="1" t="s">
        <v>2150</v>
      </c>
      <c r="Y255" s="3">
        <v>43102.324582754627</v>
      </c>
      <c r="Z255" s="1">
        <v>1</v>
      </c>
      <c r="AA255" s="1">
        <v>1</v>
      </c>
      <c r="AB255" s="1">
        <v>1</v>
      </c>
      <c r="AC255" s="1">
        <v>1</v>
      </c>
      <c r="AD255" s="3">
        <v>43749.635600428242</v>
      </c>
      <c r="AE255" s="1" t="s">
        <v>42</v>
      </c>
    </row>
    <row r="256" spans="1:31" x14ac:dyDescent="0.35">
      <c r="A256" s="1">
        <v>3878</v>
      </c>
      <c r="B256" s="1" t="s">
        <v>2151</v>
      </c>
      <c r="C256" s="1" t="s">
        <v>2152</v>
      </c>
      <c r="D256" s="1" t="s">
        <v>2153</v>
      </c>
      <c r="E256" s="1" t="s">
        <v>83</v>
      </c>
      <c r="F256" s="1">
        <v>1</v>
      </c>
      <c r="G256" s="3">
        <v>32975</v>
      </c>
      <c r="H256" s="1">
        <v>1</v>
      </c>
      <c r="I256" s="1" t="s">
        <v>125</v>
      </c>
      <c r="J256" s="1" t="s">
        <v>2154</v>
      </c>
      <c r="K256" s="2">
        <f>91-9886139910</f>
        <v>-9886139819</v>
      </c>
      <c r="L256" s="1" t="s">
        <v>58</v>
      </c>
      <c r="M256" s="1">
        <v>5.0599999999999996</v>
      </c>
      <c r="N256" s="1">
        <v>10</v>
      </c>
      <c r="O256" s="1" t="s">
        <v>2155</v>
      </c>
      <c r="P256" s="1" t="s">
        <v>54</v>
      </c>
      <c r="Q256" s="1" t="s">
        <v>2156</v>
      </c>
      <c r="R256" s="1" t="s">
        <v>2157</v>
      </c>
      <c r="S256" s="1" t="s">
        <v>590</v>
      </c>
      <c r="T256" s="1" t="s">
        <v>58</v>
      </c>
      <c r="U256" s="1">
        <v>4.08</v>
      </c>
      <c r="V256" s="1">
        <v>5.07</v>
      </c>
      <c r="W256" s="1" t="s">
        <v>2158</v>
      </c>
      <c r="X256" s="1" t="s">
        <v>42</v>
      </c>
      <c r="Y256" s="3">
        <v>43108.939754664352</v>
      </c>
      <c r="Z256" s="1">
        <v>1</v>
      </c>
      <c r="AA256" s="1">
        <v>1</v>
      </c>
      <c r="AB256" s="1">
        <v>1</v>
      </c>
      <c r="AC256" s="1">
        <v>1</v>
      </c>
      <c r="AD256" s="3">
        <v>43249.655781400463</v>
      </c>
      <c r="AE256" s="1" t="s">
        <v>42</v>
      </c>
    </row>
    <row r="257" spans="1:31" x14ac:dyDescent="0.35">
      <c r="A257" s="1">
        <v>3879</v>
      </c>
      <c r="B257" s="1" t="s">
        <v>2159</v>
      </c>
      <c r="C257" s="1" t="s">
        <v>2160</v>
      </c>
      <c r="D257" s="1" t="s">
        <v>2161</v>
      </c>
      <c r="E257" s="1" t="s">
        <v>52</v>
      </c>
      <c r="F257" s="1">
        <v>1</v>
      </c>
      <c r="G257" s="3">
        <v>34460</v>
      </c>
      <c r="H257" s="1">
        <v>1</v>
      </c>
      <c r="I257" s="1" t="s">
        <v>63</v>
      </c>
      <c r="J257" s="1" t="s">
        <v>115</v>
      </c>
      <c r="K257" s="2">
        <f>91-9426167507</f>
        <v>-9426167416</v>
      </c>
      <c r="L257" s="1" t="s">
        <v>58</v>
      </c>
      <c r="M257" s="1">
        <v>5.09</v>
      </c>
      <c r="N257" s="1">
        <v>14</v>
      </c>
      <c r="O257" s="1" t="s">
        <v>2162</v>
      </c>
      <c r="P257" s="1" t="s">
        <v>54</v>
      </c>
      <c r="Q257" s="1" t="s">
        <v>1677</v>
      </c>
      <c r="R257" s="1" t="s">
        <v>2163</v>
      </c>
      <c r="S257" s="1" t="s">
        <v>1706</v>
      </c>
      <c r="T257" s="1" t="s">
        <v>58</v>
      </c>
      <c r="U257" s="1">
        <v>5.03</v>
      </c>
      <c r="V257" s="1">
        <v>5.03</v>
      </c>
      <c r="W257" s="1" t="s">
        <v>2164</v>
      </c>
      <c r="X257" s="1" t="s">
        <v>2165</v>
      </c>
      <c r="Y257" s="3">
        <v>43110.871494178238</v>
      </c>
      <c r="Z257" s="1">
        <v>1</v>
      </c>
      <c r="AA257" s="1">
        <v>1</v>
      </c>
      <c r="AB257" s="1">
        <v>1</v>
      </c>
      <c r="AC257" s="1">
        <v>1</v>
      </c>
      <c r="AD257" s="3">
        <v>43130.558984143521</v>
      </c>
      <c r="AE257" s="1" t="s">
        <v>42</v>
      </c>
    </row>
    <row r="258" spans="1:31" x14ac:dyDescent="0.35">
      <c r="A258" s="1">
        <v>3880</v>
      </c>
      <c r="B258" s="1" t="s">
        <v>2166</v>
      </c>
      <c r="C258" s="1" t="s">
        <v>2167</v>
      </c>
      <c r="D258" s="1" t="s">
        <v>924</v>
      </c>
      <c r="E258" s="1" t="s">
        <v>83</v>
      </c>
      <c r="F258" s="1">
        <v>1</v>
      </c>
      <c r="G258" s="3">
        <v>33938</v>
      </c>
      <c r="H258" s="1">
        <v>1</v>
      </c>
      <c r="I258" s="1" t="s">
        <v>63</v>
      </c>
      <c r="J258" s="1" t="s">
        <v>370</v>
      </c>
      <c r="K258" s="2">
        <f>91-9737200463</f>
        <v>-9737200372</v>
      </c>
      <c r="L258" s="1" t="s">
        <v>58</v>
      </c>
      <c r="M258" s="1">
        <v>5.0599999999999996</v>
      </c>
      <c r="N258" s="1">
        <v>10</v>
      </c>
      <c r="O258" s="1" t="s">
        <v>2168</v>
      </c>
      <c r="P258" s="1">
        <f>91-9426429263</f>
        <v>-9426429172</v>
      </c>
      <c r="Q258" s="1" t="s">
        <v>2169</v>
      </c>
      <c r="R258" s="1" t="s">
        <v>2170</v>
      </c>
      <c r="S258" s="1" t="s">
        <v>488</v>
      </c>
      <c r="T258" s="1" t="s">
        <v>58</v>
      </c>
      <c r="U258" s="1">
        <v>5</v>
      </c>
      <c r="V258" s="1">
        <v>5.05</v>
      </c>
      <c r="W258" s="1" t="s">
        <v>2171</v>
      </c>
      <c r="X258" s="1" t="s">
        <v>2172</v>
      </c>
      <c r="Y258" s="3">
        <v>43112.171268634258</v>
      </c>
      <c r="Z258" s="1">
        <v>1</v>
      </c>
      <c r="AA258" s="1">
        <v>1</v>
      </c>
      <c r="AB258" s="1">
        <v>1</v>
      </c>
      <c r="AC258" s="1">
        <v>1</v>
      </c>
      <c r="AD258" s="3">
        <v>43229.244122453703</v>
      </c>
      <c r="AE258" s="1" t="s">
        <v>42</v>
      </c>
    </row>
    <row r="259" spans="1:31" x14ac:dyDescent="0.35">
      <c r="A259" s="1">
        <v>3883</v>
      </c>
      <c r="B259" s="1" t="s">
        <v>2173</v>
      </c>
      <c r="C259" s="1" t="s">
        <v>2174</v>
      </c>
      <c r="D259" s="1" t="s">
        <v>2175</v>
      </c>
      <c r="E259" s="1" t="s">
        <v>52</v>
      </c>
      <c r="F259" s="1">
        <v>0</v>
      </c>
      <c r="G259" s="3">
        <v>33275</v>
      </c>
      <c r="H259" s="1">
        <v>1</v>
      </c>
      <c r="I259" s="1" t="s">
        <v>700</v>
      </c>
      <c r="J259" s="1" t="s">
        <v>2176</v>
      </c>
      <c r="K259" s="2">
        <f>91-9630130103</f>
        <v>-9630130012</v>
      </c>
      <c r="L259" s="1" t="s">
        <v>58</v>
      </c>
      <c r="M259" s="1">
        <v>5</v>
      </c>
      <c r="N259" s="1">
        <v>14</v>
      </c>
      <c r="O259" s="1" t="s">
        <v>2177</v>
      </c>
      <c r="P259" s="1" t="s">
        <v>54</v>
      </c>
      <c r="Q259" s="1" t="s">
        <v>2178</v>
      </c>
      <c r="R259" s="1" t="s">
        <v>2179</v>
      </c>
      <c r="S259" s="1" t="s">
        <v>1309</v>
      </c>
      <c r="T259" s="1" t="s">
        <v>58</v>
      </c>
      <c r="U259" s="1">
        <v>5</v>
      </c>
      <c r="V259" s="1">
        <v>5.0599999999999996</v>
      </c>
      <c r="W259" s="1" t="s">
        <v>2180</v>
      </c>
      <c r="X259" s="1" t="s">
        <v>2181</v>
      </c>
      <c r="Y259" s="3">
        <v>43117.233038043982</v>
      </c>
      <c r="Z259" s="1">
        <v>1</v>
      </c>
      <c r="AA259" s="1">
        <v>1</v>
      </c>
      <c r="AB259" s="1">
        <v>1</v>
      </c>
      <c r="AC259" s="1">
        <v>1</v>
      </c>
      <c r="AD259" s="3">
        <v>43123.553324189816</v>
      </c>
      <c r="AE259" s="1" t="s">
        <v>42</v>
      </c>
    </row>
    <row r="260" spans="1:31" x14ac:dyDescent="0.35">
      <c r="A260" s="1">
        <v>3884</v>
      </c>
      <c r="B260" s="1" t="s">
        <v>2182</v>
      </c>
      <c r="C260" s="1" t="s">
        <v>2183</v>
      </c>
      <c r="D260" s="1" t="s">
        <v>1079</v>
      </c>
      <c r="E260" s="1" t="s">
        <v>52</v>
      </c>
      <c r="F260" s="1">
        <v>1</v>
      </c>
      <c r="G260" s="3">
        <v>28866</v>
      </c>
      <c r="H260" s="1">
        <v>1</v>
      </c>
      <c r="I260" s="1" t="s">
        <v>35</v>
      </c>
      <c r="J260" s="1" t="s">
        <v>484</v>
      </c>
      <c r="K260" s="2">
        <f>91-9921459884</f>
        <v>-9921459793</v>
      </c>
      <c r="L260" s="1" t="s">
        <v>37</v>
      </c>
      <c r="M260" s="1">
        <v>5.0599999999999996</v>
      </c>
      <c r="N260" s="1">
        <v>43</v>
      </c>
      <c r="O260" s="1" t="s">
        <v>2184</v>
      </c>
      <c r="P260" s="1">
        <f>91-8318021371</f>
        <v>-8318021280</v>
      </c>
      <c r="Q260" s="1" t="s">
        <v>2185</v>
      </c>
      <c r="R260" s="1" t="s">
        <v>2186</v>
      </c>
      <c r="S260" s="1" t="s">
        <v>2187</v>
      </c>
      <c r="T260" s="1" t="s">
        <v>37</v>
      </c>
      <c r="U260" s="1">
        <v>5.03</v>
      </c>
      <c r="V260" s="1">
        <v>5.0599999999999996</v>
      </c>
      <c r="W260" s="1" t="s">
        <v>2188</v>
      </c>
      <c r="X260" s="1" t="s">
        <v>2189</v>
      </c>
      <c r="Y260" s="3">
        <v>43117.909472372688</v>
      </c>
      <c r="Z260" s="1">
        <v>1</v>
      </c>
      <c r="AA260" s="1">
        <v>1</v>
      </c>
      <c r="AB260" s="1">
        <v>1</v>
      </c>
      <c r="AC260" s="1">
        <v>1</v>
      </c>
      <c r="AD260" s="3">
        <v>43117.909472372688</v>
      </c>
      <c r="AE260" s="1" t="s">
        <v>42</v>
      </c>
    </row>
    <row r="261" spans="1:31" x14ac:dyDescent="0.35">
      <c r="A261" s="1">
        <v>3885</v>
      </c>
      <c r="B261" s="1" t="s">
        <v>2190</v>
      </c>
      <c r="C261" s="1" t="s">
        <v>2191</v>
      </c>
      <c r="D261" s="1" t="s">
        <v>924</v>
      </c>
      <c r="E261" s="1" t="s">
        <v>249</v>
      </c>
      <c r="F261" s="1">
        <v>1</v>
      </c>
      <c r="G261" s="3">
        <v>34237</v>
      </c>
      <c r="H261" s="1">
        <v>1</v>
      </c>
      <c r="I261" s="1" t="s">
        <v>35</v>
      </c>
      <c r="J261" s="1" t="s">
        <v>2192</v>
      </c>
      <c r="K261" s="2">
        <f>91-8446580053</f>
        <v>-8446579962</v>
      </c>
      <c r="L261" s="1" t="s">
        <v>58</v>
      </c>
      <c r="M261" s="1">
        <v>5.09</v>
      </c>
      <c r="N261" s="1">
        <v>43</v>
      </c>
      <c r="O261" s="1" t="s">
        <v>2193</v>
      </c>
      <c r="P261" s="1">
        <f>91-8446580053</f>
        <v>-8446579962</v>
      </c>
      <c r="Q261" s="1" t="s">
        <v>2194</v>
      </c>
      <c r="R261" s="1" t="s">
        <v>2195</v>
      </c>
      <c r="S261" s="1" t="s">
        <v>1234</v>
      </c>
      <c r="T261" s="1" t="s">
        <v>58</v>
      </c>
      <c r="U261" s="1">
        <v>5.09</v>
      </c>
      <c r="V261" s="1">
        <v>5.09</v>
      </c>
      <c r="W261" s="1" t="s">
        <v>2196</v>
      </c>
      <c r="X261" s="1" t="s">
        <v>2197</v>
      </c>
      <c r="Y261" s="3">
        <v>43118.032259571759</v>
      </c>
      <c r="Z261" s="1">
        <v>1</v>
      </c>
      <c r="AA261" s="1">
        <v>1</v>
      </c>
      <c r="AB261" s="1">
        <v>1</v>
      </c>
      <c r="AC261" s="1">
        <v>1</v>
      </c>
      <c r="AD261" s="3">
        <v>43461.355298842594</v>
      </c>
      <c r="AE261" s="1" t="s">
        <v>42</v>
      </c>
    </row>
    <row r="262" spans="1:31" x14ac:dyDescent="0.35">
      <c r="A262" s="1">
        <v>3889</v>
      </c>
      <c r="B262" s="1" t="s">
        <v>2198</v>
      </c>
      <c r="C262" s="1" t="s">
        <v>2199</v>
      </c>
      <c r="D262" s="1" t="s">
        <v>2200</v>
      </c>
      <c r="E262" s="1" t="s">
        <v>2201</v>
      </c>
      <c r="F262" s="1">
        <v>1</v>
      </c>
      <c r="G262" s="3">
        <v>32882</v>
      </c>
      <c r="H262" s="1">
        <v>1</v>
      </c>
      <c r="I262" s="1" t="s">
        <v>35</v>
      </c>
      <c r="J262" s="1" t="s">
        <v>209</v>
      </c>
      <c r="K262" s="2">
        <f>91-9921775161</f>
        <v>-9921775070</v>
      </c>
      <c r="L262" s="1" t="s">
        <v>58</v>
      </c>
      <c r="M262" s="1">
        <v>5.1100000000000003</v>
      </c>
      <c r="N262" s="1">
        <v>10</v>
      </c>
      <c r="O262" s="1" t="s">
        <v>2202</v>
      </c>
      <c r="P262" s="1">
        <f>91-9921775161</f>
        <v>-9921775070</v>
      </c>
      <c r="Q262" s="1" t="s">
        <v>2203</v>
      </c>
      <c r="R262" s="1" t="s">
        <v>209</v>
      </c>
      <c r="S262" s="1" t="s">
        <v>2204</v>
      </c>
      <c r="T262" s="1" t="s">
        <v>58</v>
      </c>
      <c r="U262" s="1">
        <v>5</v>
      </c>
      <c r="V262" s="1">
        <v>5.1100000000000003</v>
      </c>
      <c r="W262" s="1" t="s">
        <v>2205</v>
      </c>
      <c r="X262" s="1" t="s">
        <v>2206</v>
      </c>
      <c r="Y262" s="3">
        <v>43119.974944247682</v>
      </c>
      <c r="Z262" s="1">
        <v>1</v>
      </c>
      <c r="AA262" s="1">
        <v>1</v>
      </c>
      <c r="AB262" s="1">
        <v>1</v>
      </c>
      <c r="AC262" s="1">
        <v>1</v>
      </c>
      <c r="AD262" s="3">
        <v>43122.30064065972</v>
      </c>
      <c r="AE262" s="1" t="s">
        <v>42</v>
      </c>
    </row>
    <row r="263" spans="1:31" x14ac:dyDescent="0.35">
      <c r="A263" s="1">
        <v>3890</v>
      </c>
      <c r="B263" s="1" t="s">
        <v>2207</v>
      </c>
      <c r="C263" s="1" t="s">
        <v>2208</v>
      </c>
      <c r="D263" s="1" t="s">
        <v>2209</v>
      </c>
      <c r="E263" s="1" t="s">
        <v>249</v>
      </c>
      <c r="F263" s="1">
        <v>1</v>
      </c>
      <c r="G263" s="3">
        <v>34697</v>
      </c>
      <c r="H263" s="1">
        <v>1</v>
      </c>
      <c r="I263" s="1" t="s">
        <v>35</v>
      </c>
      <c r="J263" s="1" t="s">
        <v>209</v>
      </c>
      <c r="K263" s="2">
        <f>91-8956288666</f>
        <v>-8956288575</v>
      </c>
      <c r="L263" s="1" t="s">
        <v>58</v>
      </c>
      <c r="M263" s="1">
        <v>5.04</v>
      </c>
      <c r="N263" s="1">
        <v>43</v>
      </c>
      <c r="O263" s="1" t="s">
        <v>2210</v>
      </c>
      <c r="P263" s="1">
        <f>91-7843022766</f>
        <v>-7843022675</v>
      </c>
      <c r="Q263" s="1" t="s">
        <v>2211</v>
      </c>
      <c r="R263" s="1" t="s">
        <v>2212</v>
      </c>
      <c r="S263" s="1" t="s">
        <v>243</v>
      </c>
      <c r="T263" s="1" t="s">
        <v>58</v>
      </c>
      <c r="U263" s="1">
        <v>5</v>
      </c>
      <c r="V263" s="1">
        <v>5.0199999999999996</v>
      </c>
      <c r="W263" s="1" t="s">
        <v>2213</v>
      </c>
      <c r="X263" s="1" t="s">
        <v>2214</v>
      </c>
      <c r="Y263" s="3">
        <v>43120.248022418979</v>
      </c>
      <c r="Z263" s="1">
        <v>1</v>
      </c>
      <c r="AA263" s="1">
        <v>1</v>
      </c>
      <c r="AB263" s="1">
        <v>1</v>
      </c>
      <c r="AC263" s="1">
        <v>1</v>
      </c>
      <c r="AD263" s="3">
        <v>43289.364065162037</v>
      </c>
      <c r="AE263" s="1" t="s">
        <v>42</v>
      </c>
    </row>
    <row r="264" spans="1:31" x14ac:dyDescent="0.35">
      <c r="A264" s="1">
        <v>3895</v>
      </c>
      <c r="B264" s="1" t="s">
        <v>2215</v>
      </c>
      <c r="C264" s="1" t="s">
        <v>2216</v>
      </c>
      <c r="D264" s="1" t="s">
        <v>2217</v>
      </c>
      <c r="E264" s="1" t="s">
        <v>1779</v>
      </c>
      <c r="F264" s="1">
        <v>1</v>
      </c>
      <c r="G264" s="3">
        <v>34784</v>
      </c>
      <c r="H264" s="1">
        <v>1</v>
      </c>
      <c r="I264" s="1" t="s">
        <v>700</v>
      </c>
      <c r="J264" s="1" t="s">
        <v>701</v>
      </c>
      <c r="K264" s="2">
        <f>91-8085251795</f>
        <v>-8085251704</v>
      </c>
      <c r="L264" s="1" t="s">
        <v>58</v>
      </c>
      <c r="M264" s="1">
        <v>5.07</v>
      </c>
      <c r="N264" s="1">
        <v>27</v>
      </c>
      <c r="O264" s="1" t="s">
        <v>2218</v>
      </c>
      <c r="P264" s="1" t="s">
        <v>54</v>
      </c>
      <c r="Q264" s="1" t="s">
        <v>2219</v>
      </c>
      <c r="R264" s="1" t="s">
        <v>2220</v>
      </c>
      <c r="S264" s="1" t="s">
        <v>243</v>
      </c>
      <c r="T264" s="1" t="s">
        <v>58</v>
      </c>
      <c r="U264" s="1">
        <v>5.01</v>
      </c>
      <c r="V264" s="1">
        <v>5.07</v>
      </c>
      <c r="W264" s="1" t="s">
        <v>2221</v>
      </c>
      <c r="X264" s="1" t="s">
        <v>2222</v>
      </c>
      <c r="Y264" s="3">
        <v>43123.38328642361</v>
      </c>
      <c r="Z264" s="1">
        <v>1</v>
      </c>
      <c r="AA264" s="1">
        <v>1</v>
      </c>
      <c r="AB264" s="1">
        <v>1</v>
      </c>
      <c r="AC264" s="1">
        <v>1</v>
      </c>
      <c r="AD264" s="3">
        <v>43364.60183846065</v>
      </c>
      <c r="AE264" s="1" t="s">
        <v>42</v>
      </c>
    </row>
    <row r="265" spans="1:31" x14ac:dyDescent="0.35">
      <c r="A265" s="1">
        <v>3896</v>
      </c>
      <c r="B265" s="1" t="s">
        <v>2223</v>
      </c>
      <c r="C265" s="1" t="s">
        <v>2224</v>
      </c>
      <c r="D265" s="1" t="s">
        <v>2225</v>
      </c>
      <c r="E265" s="1" t="s">
        <v>52</v>
      </c>
      <c r="F265" s="1">
        <v>0</v>
      </c>
      <c r="G265" s="3">
        <v>33174</v>
      </c>
      <c r="H265" s="1">
        <v>1</v>
      </c>
      <c r="I265" s="1" t="s">
        <v>72</v>
      </c>
      <c r="J265" s="1" t="s">
        <v>750</v>
      </c>
      <c r="K265" s="2">
        <f>91-8770794834</f>
        <v>-8770794743</v>
      </c>
      <c r="L265" s="1" t="s">
        <v>58</v>
      </c>
      <c r="M265" s="1">
        <v>5.05</v>
      </c>
      <c r="N265" s="1">
        <v>19</v>
      </c>
      <c r="O265" s="1" t="s">
        <v>2226</v>
      </c>
      <c r="P265" s="1" t="s">
        <v>54</v>
      </c>
      <c r="Q265" s="1" t="s">
        <v>2227</v>
      </c>
      <c r="R265" s="1" t="s">
        <v>750</v>
      </c>
      <c r="S265" s="1" t="s">
        <v>1218</v>
      </c>
      <c r="T265" s="1" t="s">
        <v>58</v>
      </c>
      <c r="U265" s="1">
        <v>5.0599999999999996</v>
      </c>
      <c r="V265" s="1">
        <v>6.03</v>
      </c>
      <c r="W265" s="1" t="s">
        <v>2228</v>
      </c>
      <c r="X265" s="1" t="s">
        <v>2229</v>
      </c>
      <c r="Y265" s="3">
        <v>43123.931971296297</v>
      </c>
      <c r="Z265" s="1">
        <v>1</v>
      </c>
      <c r="AA265" s="1">
        <v>1</v>
      </c>
      <c r="AB265" s="1">
        <v>1</v>
      </c>
      <c r="AC265" s="1">
        <v>3</v>
      </c>
      <c r="AD265" s="3">
        <v>43545.39040517361</v>
      </c>
      <c r="AE265" s="1" t="s">
        <v>42</v>
      </c>
    </row>
    <row r="266" spans="1:31" x14ac:dyDescent="0.35">
      <c r="A266" s="1">
        <v>3897</v>
      </c>
      <c r="B266" s="1" t="s">
        <v>2230</v>
      </c>
      <c r="C266" s="1" t="s">
        <v>2231</v>
      </c>
      <c r="D266" s="1" t="s">
        <v>1721</v>
      </c>
      <c r="E266" s="1" t="s">
        <v>2232</v>
      </c>
      <c r="F266" s="1">
        <v>1</v>
      </c>
      <c r="G266" s="3">
        <v>28542</v>
      </c>
      <c r="H266" s="1">
        <v>1</v>
      </c>
      <c r="I266" s="1" t="s">
        <v>35</v>
      </c>
      <c r="J266" s="1" t="s">
        <v>36</v>
      </c>
      <c r="K266" s="2">
        <f>91-9969451108</f>
        <v>-9969451017</v>
      </c>
      <c r="L266" s="1" t="s">
        <v>58</v>
      </c>
      <c r="M266" s="1">
        <v>5.08</v>
      </c>
      <c r="N266" s="1">
        <v>43</v>
      </c>
      <c r="O266" s="1" t="s">
        <v>2233</v>
      </c>
      <c r="P266" s="1">
        <f>91-9969809577</f>
        <v>-9969809486</v>
      </c>
      <c r="Q266" s="1" t="s">
        <v>2234</v>
      </c>
      <c r="R266" s="1" t="s">
        <v>2235</v>
      </c>
      <c r="S266" s="1" t="s">
        <v>2187</v>
      </c>
      <c r="T266" s="1" t="s">
        <v>256</v>
      </c>
      <c r="U266" s="1">
        <v>5</v>
      </c>
      <c r="V266" s="1">
        <v>5.09</v>
      </c>
      <c r="W266" s="1" t="s">
        <v>2236</v>
      </c>
      <c r="X266" s="1" t="s">
        <v>2237</v>
      </c>
      <c r="Y266" s="3">
        <v>43124.199552627317</v>
      </c>
      <c r="Z266" s="1">
        <v>1</v>
      </c>
      <c r="AA266" s="1">
        <v>1</v>
      </c>
      <c r="AB266" s="1">
        <v>1</v>
      </c>
      <c r="AC266" s="1">
        <v>1</v>
      </c>
      <c r="AD266" s="3">
        <v>43136.409682673613</v>
      </c>
      <c r="AE266" s="1" t="s">
        <v>42</v>
      </c>
    </row>
    <row r="267" spans="1:31" x14ac:dyDescent="0.35">
      <c r="A267" s="1">
        <v>3901</v>
      </c>
      <c r="B267" s="1" t="s">
        <v>2238</v>
      </c>
      <c r="C267" s="1" t="s">
        <v>2239</v>
      </c>
      <c r="D267" s="1" t="s">
        <v>2240</v>
      </c>
      <c r="E267" s="1" t="s">
        <v>71</v>
      </c>
      <c r="F267" s="1">
        <v>1</v>
      </c>
      <c r="G267" s="3">
        <v>33645</v>
      </c>
      <c r="H267" s="1">
        <v>1</v>
      </c>
      <c r="I267" s="1" t="s">
        <v>72</v>
      </c>
      <c r="J267" s="1" t="s">
        <v>2241</v>
      </c>
      <c r="K267" s="2">
        <f>91-9425146703</f>
        <v>-9425146612</v>
      </c>
      <c r="L267" s="1" t="s">
        <v>58</v>
      </c>
      <c r="M267" s="1">
        <v>5.07</v>
      </c>
      <c r="N267" s="1">
        <v>11</v>
      </c>
      <c r="O267" s="1" t="s">
        <v>2242</v>
      </c>
      <c r="P267" s="1">
        <f>91-9425146703</f>
        <v>-9425146612</v>
      </c>
      <c r="Q267" s="1" t="s">
        <v>2243</v>
      </c>
      <c r="R267" s="1" t="s">
        <v>2244</v>
      </c>
      <c r="S267" s="1" t="s">
        <v>469</v>
      </c>
      <c r="T267" s="1" t="s">
        <v>58</v>
      </c>
      <c r="U267" s="1">
        <v>5</v>
      </c>
      <c r="V267" s="1">
        <v>5.05</v>
      </c>
      <c r="W267" s="1" t="s">
        <v>2245</v>
      </c>
      <c r="X267" s="1" t="s">
        <v>2246</v>
      </c>
      <c r="Y267" s="3">
        <v>43129.917984641201</v>
      </c>
      <c r="Z267" s="1">
        <v>1</v>
      </c>
      <c r="AA267" s="1">
        <v>1</v>
      </c>
      <c r="AB267" s="1">
        <v>1</v>
      </c>
      <c r="AC267" s="1">
        <v>1</v>
      </c>
      <c r="AD267" s="3">
        <v>43163.479586030095</v>
      </c>
      <c r="AE267" s="1" t="s">
        <v>42</v>
      </c>
    </row>
    <row r="268" spans="1:31" x14ac:dyDescent="0.35">
      <c r="A268" s="1">
        <v>3904</v>
      </c>
      <c r="B268" s="1" t="s">
        <v>2247</v>
      </c>
      <c r="C268" s="1" t="s">
        <v>2248</v>
      </c>
      <c r="D268" s="1" t="s">
        <v>924</v>
      </c>
      <c r="E268" s="1" t="s">
        <v>552</v>
      </c>
      <c r="F268" s="1">
        <v>1</v>
      </c>
      <c r="G268" s="3">
        <v>33020</v>
      </c>
      <c r="H268" s="1">
        <v>1</v>
      </c>
      <c r="I268" s="1" t="s">
        <v>63</v>
      </c>
      <c r="J268" s="1" t="s">
        <v>370</v>
      </c>
      <c r="K268" s="2">
        <f>91-9537132682</f>
        <v>-9537132591</v>
      </c>
      <c r="L268" s="1" t="s">
        <v>58</v>
      </c>
      <c r="M268" s="1">
        <v>5.0999999999999996</v>
      </c>
      <c r="N268" s="1">
        <v>16</v>
      </c>
      <c r="O268" s="1" t="s">
        <v>2249</v>
      </c>
      <c r="P268" s="1">
        <f>91-9727328927</f>
        <v>-9727328836</v>
      </c>
      <c r="Q268" s="1" t="s">
        <v>2250</v>
      </c>
      <c r="R268" s="1" t="s">
        <v>2251</v>
      </c>
      <c r="S268" s="1" t="s">
        <v>647</v>
      </c>
      <c r="T268" s="1" t="s">
        <v>58</v>
      </c>
      <c r="U268" s="1">
        <v>5.03</v>
      </c>
      <c r="V268" s="1">
        <v>5.0999999999999996</v>
      </c>
      <c r="W268" s="1" t="s">
        <v>2252</v>
      </c>
      <c r="X268" s="1" t="s">
        <v>2253</v>
      </c>
      <c r="Y268" s="3">
        <v>43135.178013344907</v>
      </c>
      <c r="Z268" s="1">
        <v>1</v>
      </c>
      <c r="AA268" s="1">
        <v>1</v>
      </c>
      <c r="AB268" s="1">
        <v>1</v>
      </c>
      <c r="AC268" s="1">
        <v>1</v>
      </c>
      <c r="AD268" s="3">
        <v>43527.668293483795</v>
      </c>
      <c r="AE268" s="1" t="s">
        <v>42</v>
      </c>
    </row>
    <row r="269" spans="1:31" x14ac:dyDescent="0.35">
      <c r="A269" s="1">
        <v>3906</v>
      </c>
      <c r="B269" s="1" t="s">
        <v>2254</v>
      </c>
      <c r="C269" s="1" t="s">
        <v>2255</v>
      </c>
      <c r="D269" s="1" t="s">
        <v>1440</v>
      </c>
      <c r="E269" s="1" t="s">
        <v>83</v>
      </c>
      <c r="F269" s="1">
        <v>1</v>
      </c>
      <c r="G269" s="3">
        <v>32228</v>
      </c>
      <c r="H269" s="1">
        <v>1</v>
      </c>
      <c r="I269" s="1" t="s">
        <v>63</v>
      </c>
      <c r="J269" s="1" t="s">
        <v>115</v>
      </c>
      <c r="K269" s="2">
        <f>91-9925627803</f>
        <v>-9925627712</v>
      </c>
      <c r="L269" s="1" t="s">
        <v>58</v>
      </c>
      <c r="M269" s="1">
        <v>5.08</v>
      </c>
      <c r="N269" s="1">
        <v>10</v>
      </c>
      <c r="O269" s="1" t="s">
        <v>2256</v>
      </c>
      <c r="P269" s="1">
        <f>91-9016665266</f>
        <v>-9016665175</v>
      </c>
      <c r="Q269" s="1" t="s">
        <v>2257</v>
      </c>
      <c r="R269" s="1" t="s">
        <v>2258</v>
      </c>
      <c r="S269" s="1" t="s">
        <v>1091</v>
      </c>
      <c r="T269" s="1" t="s">
        <v>58</v>
      </c>
      <c r="U269" s="1">
        <v>5</v>
      </c>
      <c r="V269" s="1">
        <v>5.08</v>
      </c>
      <c r="W269" s="1" t="s">
        <v>2259</v>
      </c>
      <c r="X269" s="1" t="s">
        <v>2260</v>
      </c>
      <c r="Y269" s="3">
        <v>43139.006604247683</v>
      </c>
      <c r="Z269" s="1">
        <v>1</v>
      </c>
      <c r="AA269" s="1">
        <v>1</v>
      </c>
      <c r="AB269" s="1">
        <v>1</v>
      </c>
      <c r="AC269" s="1">
        <v>1</v>
      </c>
      <c r="AD269" s="3">
        <v>43809.261333020833</v>
      </c>
      <c r="AE269" s="1" t="s">
        <v>42</v>
      </c>
    </row>
    <row r="270" spans="1:31" x14ac:dyDescent="0.35">
      <c r="A270" s="1">
        <v>3910</v>
      </c>
      <c r="B270" s="1" t="s">
        <v>2261</v>
      </c>
      <c r="C270" s="1" t="s">
        <v>2262</v>
      </c>
      <c r="D270" s="1" t="s">
        <v>924</v>
      </c>
      <c r="E270" s="1" t="s">
        <v>1895</v>
      </c>
      <c r="F270" s="1">
        <v>1</v>
      </c>
      <c r="G270" s="3">
        <v>34401</v>
      </c>
      <c r="H270" s="1">
        <v>1</v>
      </c>
      <c r="K270" s="2">
        <f>91-9586482002</f>
        <v>-9586481911</v>
      </c>
      <c r="L270" s="1" t="s">
        <v>58</v>
      </c>
      <c r="M270" s="1">
        <v>5.0599999999999996</v>
      </c>
      <c r="N270" s="1">
        <v>3</v>
      </c>
      <c r="O270" s="1" t="s">
        <v>2263</v>
      </c>
      <c r="P270" s="1">
        <f>91-9586482002</f>
        <v>-9586481911</v>
      </c>
      <c r="Q270" s="1" t="s">
        <v>2264</v>
      </c>
      <c r="R270" s="1" t="s">
        <v>2265</v>
      </c>
      <c r="S270" s="1" t="s">
        <v>171</v>
      </c>
      <c r="T270" s="1" t="s">
        <v>58</v>
      </c>
      <c r="U270" s="1">
        <v>4.08</v>
      </c>
      <c r="V270" s="1">
        <v>5.05</v>
      </c>
      <c r="W270" s="1" t="s">
        <v>2266</v>
      </c>
      <c r="X270" s="1" t="s">
        <v>2267</v>
      </c>
      <c r="Y270" s="3">
        <v>43143.430505821758</v>
      </c>
      <c r="Z270" s="1">
        <v>1</v>
      </c>
      <c r="AA270" s="1">
        <v>1</v>
      </c>
      <c r="AB270" s="1">
        <v>1</v>
      </c>
      <c r="AC270" s="1">
        <v>1</v>
      </c>
      <c r="AD270" s="3">
        <v>43157.744112118053</v>
      </c>
      <c r="AE270" s="1" t="s">
        <v>42</v>
      </c>
    </row>
    <row r="271" spans="1:31" x14ac:dyDescent="0.35">
      <c r="A271" s="1">
        <v>3912</v>
      </c>
      <c r="B271" s="1" t="s">
        <v>2268</v>
      </c>
      <c r="C271" s="1" t="s">
        <v>2269</v>
      </c>
      <c r="D271" s="1" t="s">
        <v>1927</v>
      </c>
      <c r="E271" s="1" t="s">
        <v>208</v>
      </c>
      <c r="F271" s="1">
        <v>1</v>
      </c>
      <c r="G271" s="3">
        <v>34305</v>
      </c>
      <c r="H271" s="1">
        <v>1</v>
      </c>
      <c r="I271" s="1" t="s">
        <v>63</v>
      </c>
      <c r="J271" s="1" t="s">
        <v>370</v>
      </c>
      <c r="K271" s="2">
        <f>91-9099734682</f>
        <v>-9099734591</v>
      </c>
      <c r="L271" s="1" t="s">
        <v>58</v>
      </c>
      <c r="M271" s="1">
        <v>5</v>
      </c>
      <c r="N271" s="1">
        <v>14</v>
      </c>
      <c r="O271" s="1" t="s">
        <v>1867</v>
      </c>
      <c r="P271" s="1">
        <f>91-9408020782</f>
        <v>-9408020691</v>
      </c>
      <c r="Q271" s="1" t="s">
        <v>2270</v>
      </c>
      <c r="R271" s="1" t="s">
        <v>2271</v>
      </c>
      <c r="S271" s="1" t="s">
        <v>1706</v>
      </c>
      <c r="T271" s="1" t="s">
        <v>58</v>
      </c>
      <c r="U271" s="1">
        <v>4.07</v>
      </c>
      <c r="V271" s="1">
        <v>5</v>
      </c>
      <c r="W271" s="1" t="s">
        <v>2272</v>
      </c>
      <c r="X271" s="1" t="s">
        <v>2273</v>
      </c>
      <c r="Y271" s="3">
        <v>43145.501474305558</v>
      </c>
      <c r="Z271" s="1">
        <v>1</v>
      </c>
      <c r="AA271" s="1">
        <v>1</v>
      </c>
      <c r="AB271" s="1">
        <v>1</v>
      </c>
      <c r="AC271" s="1">
        <v>1</v>
      </c>
      <c r="AD271" s="3">
        <v>43614.451338275459</v>
      </c>
      <c r="AE271" s="1" t="s">
        <v>42</v>
      </c>
    </row>
    <row r="272" spans="1:31" x14ac:dyDescent="0.35">
      <c r="A272" s="1">
        <v>3916</v>
      </c>
      <c r="B272" s="1" t="s">
        <v>2274</v>
      </c>
      <c r="C272" s="1" t="s">
        <v>2275</v>
      </c>
      <c r="D272" s="1" t="s">
        <v>2276</v>
      </c>
      <c r="E272" s="1" t="s">
        <v>208</v>
      </c>
      <c r="F272" s="1">
        <v>1</v>
      </c>
      <c r="G272" s="3">
        <v>34031</v>
      </c>
      <c r="H272" s="1">
        <v>1</v>
      </c>
      <c r="I272" s="1" t="s">
        <v>35</v>
      </c>
      <c r="J272" s="1" t="s">
        <v>506</v>
      </c>
      <c r="K272" s="2">
        <f>91-9823240678</f>
        <v>-9823240587</v>
      </c>
      <c r="L272" s="1" t="s">
        <v>58</v>
      </c>
      <c r="M272" s="1">
        <v>5.08</v>
      </c>
      <c r="N272" s="1">
        <v>14</v>
      </c>
      <c r="O272" s="1" t="s">
        <v>2277</v>
      </c>
      <c r="P272" s="1">
        <f>91-9561609333</f>
        <v>-9561609242</v>
      </c>
      <c r="Q272" s="1" t="s">
        <v>2278</v>
      </c>
      <c r="R272" s="1" t="s">
        <v>2279</v>
      </c>
      <c r="S272" s="1" t="s">
        <v>1665</v>
      </c>
      <c r="T272" s="1" t="s">
        <v>58</v>
      </c>
      <c r="U272" s="1">
        <v>5.03</v>
      </c>
      <c r="V272" s="1">
        <v>5.08</v>
      </c>
      <c r="W272" s="1" t="s">
        <v>42</v>
      </c>
      <c r="X272" s="1" t="s">
        <v>2280</v>
      </c>
      <c r="Y272" s="3">
        <v>43147.40350818287</v>
      </c>
      <c r="Z272" s="1">
        <v>1</v>
      </c>
      <c r="AA272" s="1">
        <v>1</v>
      </c>
      <c r="AB272" s="1">
        <v>1</v>
      </c>
      <c r="AC272" s="1">
        <v>3</v>
      </c>
      <c r="AD272" s="3">
        <v>43809.266224537037</v>
      </c>
      <c r="AE272" s="1" t="s">
        <v>42</v>
      </c>
    </row>
    <row r="273" spans="1:31" x14ac:dyDescent="0.35">
      <c r="A273" s="1">
        <v>3919</v>
      </c>
      <c r="B273" s="1" t="s">
        <v>2281</v>
      </c>
      <c r="C273" s="1" t="s">
        <v>2282</v>
      </c>
      <c r="D273" s="1" t="s">
        <v>2283</v>
      </c>
      <c r="E273" s="1" t="s">
        <v>653</v>
      </c>
      <c r="F273" s="1">
        <v>0</v>
      </c>
      <c r="G273" s="3">
        <v>33714</v>
      </c>
      <c r="H273" s="1">
        <v>1</v>
      </c>
      <c r="I273" s="1" t="s">
        <v>63</v>
      </c>
      <c r="J273" s="1" t="s">
        <v>370</v>
      </c>
      <c r="K273" s="2">
        <f>91-9428565326</f>
        <v>-9428565235</v>
      </c>
      <c r="L273" s="1" t="s">
        <v>58</v>
      </c>
      <c r="M273" s="1">
        <v>5.04</v>
      </c>
      <c r="N273" s="1">
        <v>12</v>
      </c>
      <c r="O273" s="1" t="s">
        <v>2284</v>
      </c>
      <c r="P273" s="1">
        <f>91-9879612251</f>
        <v>-9879612160</v>
      </c>
      <c r="Q273" s="1" t="s">
        <v>2285</v>
      </c>
      <c r="R273" s="1" t="s">
        <v>2286</v>
      </c>
      <c r="S273" s="1" t="s">
        <v>1003</v>
      </c>
      <c r="T273" s="1" t="s">
        <v>58</v>
      </c>
      <c r="U273" s="1">
        <v>5.04</v>
      </c>
      <c r="V273" s="1">
        <v>6</v>
      </c>
      <c r="W273" s="1" t="s">
        <v>2287</v>
      </c>
      <c r="X273" s="1" t="s">
        <v>2288</v>
      </c>
      <c r="Y273" s="3">
        <v>43151.385160729165</v>
      </c>
      <c r="Z273" s="1">
        <v>1</v>
      </c>
      <c r="AA273" s="1">
        <v>1</v>
      </c>
      <c r="AB273" s="1">
        <v>1</v>
      </c>
      <c r="AC273" s="1">
        <v>1</v>
      </c>
      <c r="AD273" s="3">
        <v>43153.517336805555</v>
      </c>
      <c r="AE273" s="1" t="s">
        <v>42</v>
      </c>
    </row>
    <row r="274" spans="1:31" x14ac:dyDescent="0.35">
      <c r="A274" s="1">
        <v>3923</v>
      </c>
      <c r="B274" s="1" t="s">
        <v>2289</v>
      </c>
      <c r="C274" s="1" t="s">
        <v>2290</v>
      </c>
      <c r="D274" s="1" t="s">
        <v>2291</v>
      </c>
      <c r="E274" s="1" t="s">
        <v>52</v>
      </c>
      <c r="F274" s="1">
        <v>1</v>
      </c>
      <c r="G274" s="3">
        <v>30895</v>
      </c>
      <c r="H274" s="1">
        <v>1</v>
      </c>
      <c r="I274" s="1" t="s">
        <v>63</v>
      </c>
      <c r="J274" s="1" t="s">
        <v>94</v>
      </c>
      <c r="K274" s="2">
        <f>91-8264331310</f>
        <v>-8264331219</v>
      </c>
      <c r="L274" s="1" t="s">
        <v>37</v>
      </c>
      <c r="M274" s="1">
        <v>5.04</v>
      </c>
      <c r="N274" s="1">
        <v>8</v>
      </c>
      <c r="O274" s="1" t="s">
        <v>2292</v>
      </c>
      <c r="P274" s="1">
        <f>91-8264331310</f>
        <v>-8264331219</v>
      </c>
      <c r="Q274" s="1" t="s">
        <v>2293</v>
      </c>
      <c r="R274" s="1" t="s">
        <v>2294</v>
      </c>
      <c r="S274" s="1" t="s">
        <v>2295</v>
      </c>
      <c r="T274" s="1" t="s">
        <v>140</v>
      </c>
      <c r="U274" s="1">
        <v>5</v>
      </c>
      <c r="V274" s="1">
        <v>6.06</v>
      </c>
      <c r="W274" s="1" t="s">
        <v>2296</v>
      </c>
      <c r="X274" s="1" t="s">
        <v>2297</v>
      </c>
      <c r="Y274" s="3">
        <v>43152.313697256941</v>
      </c>
      <c r="Z274" s="1">
        <v>1</v>
      </c>
      <c r="AA274" s="1">
        <v>1</v>
      </c>
      <c r="AB274" s="1">
        <v>1</v>
      </c>
      <c r="AC274" s="1">
        <v>1</v>
      </c>
      <c r="AD274" s="3">
        <v>43556.714426469909</v>
      </c>
      <c r="AE274" s="1" t="s">
        <v>42</v>
      </c>
    </row>
    <row r="275" spans="1:31" x14ac:dyDescent="0.35">
      <c r="A275" s="1">
        <v>3930</v>
      </c>
      <c r="B275" s="1" t="s">
        <v>2298</v>
      </c>
      <c r="C275" s="1" t="s">
        <v>2299</v>
      </c>
      <c r="D275" s="1" t="s">
        <v>2300</v>
      </c>
      <c r="E275" s="1" t="s">
        <v>52</v>
      </c>
      <c r="F275" s="1">
        <v>1</v>
      </c>
      <c r="G275" s="3">
        <v>33074</v>
      </c>
      <c r="H275" s="1">
        <v>1</v>
      </c>
      <c r="I275" s="1" t="s">
        <v>63</v>
      </c>
      <c r="J275" s="1" t="s">
        <v>64</v>
      </c>
      <c r="K275" s="2">
        <f>91-9601414739</f>
        <v>-9601414648</v>
      </c>
      <c r="L275" s="1" t="s">
        <v>37</v>
      </c>
      <c r="M275" s="1">
        <v>5.03</v>
      </c>
      <c r="N275" s="1">
        <v>15</v>
      </c>
      <c r="O275" s="1" t="s">
        <v>2301</v>
      </c>
      <c r="P275" s="1" t="s">
        <v>54</v>
      </c>
      <c r="Q275" s="1" t="s">
        <v>1425</v>
      </c>
      <c r="R275" s="1" t="s">
        <v>2302</v>
      </c>
      <c r="S275" s="1" t="s">
        <v>936</v>
      </c>
      <c r="T275" s="1" t="s">
        <v>140</v>
      </c>
      <c r="U275" s="1">
        <v>5</v>
      </c>
      <c r="V275" s="1">
        <v>5.03</v>
      </c>
      <c r="W275" s="1" t="s">
        <v>2303</v>
      </c>
      <c r="X275" s="1" t="s">
        <v>2304</v>
      </c>
      <c r="Y275" s="3">
        <v>43164.886067245374</v>
      </c>
      <c r="Z275" s="1">
        <v>1</v>
      </c>
      <c r="AA275" s="1">
        <v>1</v>
      </c>
      <c r="AB275" s="1">
        <v>1</v>
      </c>
      <c r="AC275" s="1">
        <v>1</v>
      </c>
      <c r="AD275" s="3">
        <v>43164.886067245374</v>
      </c>
      <c r="AE275" s="1" t="s">
        <v>42</v>
      </c>
    </row>
    <row r="276" spans="1:31" x14ac:dyDescent="0.35">
      <c r="A276" s="1">
        <v>3933</v>
      </c>
      <c r="B276" s="1" t="s">
        <v>2305</v>
      </c>
      <c r="C276" s="1">
        <v>11021990</v>
      </c>
      <c r="D276" s="1" t="s">
        <v>2278</v>
      </c>
      <c r="E276" s="1" t="s">
        <v>1192</v>
      </c>
      <c r="F276" s="1">
        <v>1</v>
      </c>
      <c r="G276" s="3">
        <v>32915</v>
      </c>
      <c r="H276" s="1">
        <v>1</v>
      </c>
      <c r="I276" s="1" t="s">
        <v>2306</v>
      </c>
      <c r="J276" s="1" t="s">
        <v>2307</v>
      </c>
      <c r="K276" s="2">
        <f>91-9959445113</f>
        <v>-9959445022</v>
      </c>
      <c r="L276" s="1" t="s">
        <v>58</v>
      </c>
      <c r="M276" s="1">
        <v>5.08</v>
      </c>
      <c r="N276" s="1">
        <v>43</v>
      </c>
      <c r="O276" s="1" t="s">
        <v>2308</v>
      </c>
      <c r="P276" s="1">
        <f>91-9959435113</f>
        <v>-9959435022</v>
      </c>
      <c r="Q276" s="1" t="s">
        <v>2309</v>
      </c>
      <c r="R276" s="1" t="s">
        <v>2310</v>
      </c>
      <c r="S276" s="1" t="s">
        <v>333</v>
      </c>
      <c r="T276" s="1" t="s">
        <v>58</v>
      </c>
      <c r="U276" s="1">
        <v>4</v>
      </c>
      <c r="V276" s="1">
        <v>6</v>
      </c>
      <c r="W276" s="1" t="s">
        <v>2311</v>
      </c>
      <c r="X276" s="1" t="s">
        <v>2312</v>
      </c>
      <c r="Y276" s="3">
        <v>43170.915452858797</v>
      </c>
      <c r="Z276" s="1">
        <v>1</v>
      </c>
      <c r="AA276" s="1">
        <v>1</v>
      </c>
      <c r="AB276" s="1">
        <v>1</v>
      </c>
      <c r="AC276" s="1">
        <v>1</v>
      </c>
      <c r="AD276" s="3">
        <v>43821.171014039355</v>
      </c>
      <c r="AE276" s="1" t="s">
        <v>42</v>
      </c>
    </row>
    <row r="277" spans="1:31" x14ac:dyDescent="0.35">
      <c r="A277" s="1">
        <v>3934</v>
      </c>
      <c r="B277" s="1" t="s">
        <v>2313</v>
      </c>
      <c r="C277" s="1" t="s">
        <v>2314</v>
      </c>
      <c r="D277" s="1" t="s">
        <v>2315</v>
      </c>
      <c r="E277" s="1" t="s">
        <v>2316</v>
      </c>
      <c r="F277" s="1">
        <v>1</v>
      </c>
      <c r="G277" s="3">
        <v>33894</v>
      </c>
      <c r="H277" s="1">
        <v>1</v>
      </c>
      <c r="I277" s="1" t="s">
        <v>1024</v>
      </c>
      <c r="J277" s="1" t="s">
        <v>1025</v>
      </c>
      <c r="K277" s="2">
        <f>91-9177618141</f>
        <v>-9177618050</v>
      </c>
      <c r="L277" s="1" t="s">
        <v>58</v>
      </c>
      <c r="M277" s="1">
        <v>5.0999999999999996</v>
      </c>
      <c r="N277" s="1">
        <v>8</v>
      </c>
      <c r="O277" s="1" t="s">
        <v>2317</v>
      </c>
      <c r="P277" s="1">
        <f>91-9177618141</f>
        <v>-9177618050</v>
      </c>
      <c r="Q277" s="1" t="s">
        <v>2318</v>
      </c>
      <c r="R277" s="1" t="s">
        <v>2319</v>
      </c>
      <c r="S277" s="1" t="s">
        <v>171</v>
      </c>
      <c r="T277" s="1" t="s">
        <v>58</v>
      </c>
      <c r="U277" s="1">
        <v>4.05</v>
      </c>
      <c r="V277" s="1">
        <v>5.04</v>
      </c>
      <c r="W277" s="1" t="s">
        <v>2320</v>
      </c>
      <c r="X277" s="1" t="s">
        <v>2321</v>
      </c>
      <c r="Y277" s="3">
        <v>43175.291592743059</v>
      </c>
      <c r="Z277" s="1">
        <v>1</v>
      </c>
      <c r="AA277" s="1">
        <v>1</v>
      </c>
      <c r="AB277" s="1">
        <v>1</v>
      </c>
      <c r="AC277" s="1">
        <v>1</v>
      </c>
      <c r="AD277" s="3">
        <v>43216.509535914352</v>
      </c>
      <c r="AE277" s="1" t="s">
        <v>42</v>
      </c>
    </row>
    <row r="278" spans="1:31" x14ac:dyDescent="0.35">
      <c r="A278" s="1">
        <v>3938</v>
      </c>
      <c r="B278" s="1" t="s">
        <v>2322</v>
      </c>
      <c r="C278" s="1" t="s">
        <v>2323</v>
      </c>
      <c r="D278" s="1" t="s">
        <v>1528</v>
      </c>
      <c r="E278" s="1" t="s">
        <v>2324</v>
      </c>
      <c r="F278" s="1">
        <v>1</v>
      </c>
      <c r="G278" s="3">
        <v>33355</v>
      </c>
      <c r="H278" s="1">
        <v>1</v>
      </c>
      <c r="I278" s="1" t="s">
        <v>35</v>
      </c>
      <c r="J278" s="1" t="s">
        <v>36</v>
      </c>
      <c r="K278" s="2">
        <f>91-8451915171</f>
        <v>-8451915080</v>
      </c>
      <c r="L278" s="1" t="s">
        <v>58</v>
      </c>
      <c r="M278" s="1">
        <v>5.0599999999999996</v>
      </c>
      <c r="N278" s="1">
        <v>42</v>
      </c>
      <c r="O278" s="1" t="s">
        <v>2325</v>
      </c>
      <c r="P278" s="1">
        <f>91-9930911007</f>
        <v>-9930910916</v>
      </c>
      <c r="Q278" s="1" t="s">
        <v>2326</v>
      </c>
      <c r="R278" s="1" t="s">
        <v>2327</v>
      </c>
      <c r="S278" s="1" t="s">
        <v>57</v>
      </c>
      <c r="T278" s="1" t="s">
        <v>58</v>
      </c>
      <c r="U278" s="1">
        <v>4.05</v>
      </c>
      <c r="V278" s="1">
        <v>5.05</v>
      </c>
      <c r="W278" s="1" t="s">
        <v>2328</v>
      </c>
      <c r="X278" s="1" t="s">
        <v>2329</v>
      </c>
      <c r="Y278" s="3">
        <v>43177.058952893516</v>
      </c>
      <c r="Z278" s="1">
        <v>1</v>
      </c>
      <c r="AA278" s="1">
        <v>1</v>
      </c>
      <c r="AB278" s="1">
        <v>1</v>
      </c>
      <c r="AC278" s="1">
        <v>1</v>
      </c>
      <c r="AD278" s="3">
        <v>43781.666548645837</v>
      </c>
      <c r="AE278" s="1" t="s">
        <v>42</v>
      </c>
    </row>
    <row r="279" spans="1:31" x14ac:dyDescent="0.35">
      <c r="A279" s="1">
        <v>3940</v>
      </c>
      <c r="B279" s="1" t="s">
        <v>2330</v>
      </c>
      <c r="C279" s="1" t="s">
        <v>2331</v>
      </c>
      <c r="D279" s="1" t="s">
        <v>425</v>
      </c>
      <c r="E279" s="1" t="s">
        <v>2332</v>
      </c>
      <c r="F279" s="1">
        <v>0</v>
      </c>
      <c r="G279" s="3">
        <v>35020</v>
      </c>
      <c r="H279" s="1">
        <v>1</v>
      </c>
      <c r="I279" s="1" t="s">
        <v>63</v>
      </c>
      <c r="J279" s="1" t="s">
        <v>115</v>
      </c>
      <c r="K279" s="2">
        <f>91-9426231834</f>
        <v>-9426231743</v>
      </c>
      <c r="L279" s="1" t="s">
        <v>58</v>
      </c>
      <c r="M279" s="1">
        <v>5.03</v>
      </c>
      <c r="N279" s="1">
        <v>44</v>
      </c>
      <c r="O279" s="1" t="s">
        <v>2333</v>
      </c>
      <c r="P279" s="1">
        <f>91-9426428151</f>
        <v>-9426428060</v>
      </c>
      <c r="Q279" s="1" t="s">
        <v>2334</v>
      </c>
      <c r="R279" s="1" t="s">
        <v>2335</v>
      </c>
      <c r="S279" s="1" t="s">
        <v>1845</v>
      </c>
      <c r="T279" s="1" t="s">
        <v>58</v>
      </c>
      <c r="U279" s="1">
        <v>5.05</v>
      </c>
      <c r="V279" s="1">
        <v>5.05</v>
      </c>
      <c r="W279" s="1" t="s">
        <v>2336</v>
      </c>
      <c r="X279" s="1" t="s">
        <v>2337</v>
      </c>
      <c r="Y279" s="3">
        <v>43180.892657870369</v>
      </c>
      <c r="Z279" s="1">
        <v>1</v>
      </c>
      <c r="AA279" s="1">
        <v>1</v>
      </c>
      <c r="AB279" s="1">
        <v>1</v>
      </c>
      <c r="AC279" s="1">
        <v>1</v>
      </c>
      <c r="AD279" s="3">
        <v>43190.218599918982</v>
      </c>
      <c r="AE279" s="1" t="s">
        <v>42</v>
      </c>
    </row>
    <row r="280" spans="1:31" x14ac:dyDescent="0.35">
      <c r="A280" s="1">
        <v>3945</v>
      </c>
      <c r="B280" s="1" t="s">
        <v>2338</v>
      </c>
      <c r="C280" s="1" t="s">
        <v>2339</v>
      </c>
      <c r="D280" s="1" t="s">
        <v>1787</v>
      </c>
      <c r="E280" s="1" t="s">
        <v>52</v>
      </c>
      <c r="F280" s="1">
        <v>1</v>
      </c>
      <c r="G280" s="3">
        <v>32567</v>
      </c>
      <c r="H280" s="1">
        <v>1</v>
      </c>
      <c r="I280" s="1" t="s">
        <v>63</v>
      </c>
      <c r="J280" s="1" t="s">
        <v>64</v>
      </c>
      <c r="K280" s="2">
        <f>91-7621949383</f>
        <v>-7621949292</v>
      </c>
      <c r="L280" s="1" t="s">
        <v>58</v>
      </c>
      <c r="M280" s="1">
        <v>5.08</v>
      </c>
      <c r="N280" s="1">
        <v>25</v>
      </c>
      <c r="O280" s="1" t="s">
        <v>2340</v>
      </c>
      <c r="P280" s="1">
        <f>91-7621949383</f>
        <v>-7621949292</v>
      </c>
      <c r="Q280" s="1" t="s">
        <v>2341</v>
      </c>
      <c r="R280" s="1" t="s">
        <v>2342</v>
      </c>
      <c r="S280" s="1" t="s">
        <v>419</v>
      </c>
      <c r="T280" s="1" t="s">
        <v>2008</v>
      </c>
      <c r="U280" s="1">
        <v>5</v>
      </c>
      <c r="V280" s="1">
        <v>5.0599999999999996</v>
      </c>
      <c r="W280" s="1" t="s">
        <v>2343</v>
      </c>
      <c r="X280" s="1" t="s">
        <v>2344</v>
      </c>
      <c r="Y280" s="3">
        <v>43187.065051006946</v>
      </c>
      <c r="Z280" s="1">
        <v>1</v>
      </c>
      <c r="AA280" s="1">
        <v>1</v>
      </c>
      <c r="AB280" s="1">
        <v>1</v>
      </c>
      <c r="AC280" s="1">
        <v>1</v>
      </c>
      <c r="AD280" s="3">
        <v>43188.394233067127</v>
      </c>
      <c r="AE280" s="1" t="s">
        <v>42</v>
      </c>
    </row>
    <row r="281" spans="1:31" x14ac:dyDescent="0.35">
      <c r="A281" s="1">
        <v>3946</v>
      </c>
      <c r="B281" s="1" t="s">
        <v>2345</v>
      </c>
      <c r="C281" s="1" t="s">
        <v>2346</v>
      </c>
      <c r="D281" s="1" t="s">
        <v>562</v>
      </c>
      <c r="E281" s="1" t="s">
        <v>1123</v>
      </c>
      <c r="F281" s="1">
        <v>1</v>
      </c>
      <c r="G281" s="3">
        <v>33553</v>
      </c>
      <c r="H281" s="1">
        <v>1</v>
      </c>
      <c r="I281" s="1" t="s">
        <v>35</v>
      </c>
      <c r="J281" s="1" t="s">
        <v>465</v>
      </c>
      <c r="K281" s="2">
        <f>91-8668806478</f>
        <v>-8668806387</v>
      </c>
      <c r="L281" s="1" t="s">
        <v>58</v>
      </c>
      <c r="M281" s="1">
        <v>5.0599999999999996</v>
      </c>
      <c r="N281" s="1">
        <v>19</v>
      </c>
      <c r="O281" s="1" t="s">
        <v>2347</v>
      </c>
      <c r="P281" s="1">
        <f>91-8237488646</f>
        <v>-8237488555</v>
      </c>
      <c r="Q281" s="1" t="s">
        <v>2348</v>
      </c>
      <c r="R281" s="1" t="s">
        <v>2349</v>
      </c>
      <c r="S281" s="1" t="s">
        <v>161</v>
      </c>
      <c r="T281" s="1" t="s">
        <v>58</v>
      </c>
      <c r="U281" s="1">
        <v>5</v>
      </c>
      <c r="V281" s="1">
        <v>5.04</v>
      </c>
      <c r="W281" s="1" t="s">
        <v>2350</v>
      </c>
      <c r="X281" s="1" t="s">
        <v>2351</v>
      </c>
      <c r="Y281" s="3">
        <v>43187.906551157408</v>
      </c>
      <c r="Z281" s="1">
        <v>1</v>
      </c>
      <c r="AA281" s="1">
        <v>1</v>
      </c>
      <c r="AB281" s="1">
        <v>1</v>
      </c>
      <c r="AC281" s="1">
        <v>1</v>
      </c>
      <c r="AD281" s="3">
        <v>43256.194146261572</v>
      </c>
      <c r="AE281" s="1" t="s">
        <v>42</v>
      </c>
    </row>
    <row r="282" spans="1:31" x14ac:dyDescent="0.35">
      <c r="A282" s="1">
        <v>3948</v>
      </c>
      <c r="B282" s="1" t="s">
        <v>2352</v>
      </c>
      <c r="C282" s="1" t="s">
        <v>2353</v>
      </c>
      <c r="D282" s="1" t="s">
        <v>2354</v>
      </c>
      <c r="E282" s="1" t="s">
        <v>837</v>
      </c>
      <c r="F282" s="1">
        <v>1</v>
      </c>
      <c r="G282" s="3">
        <v>32869</v>
      </c>
      <c r="H282" s="1">
        <v>211</v>
      </c>
      <c r="I282" s="1" t="s">
        <v>2355</v>
      </c>
      <c r="J282" s="1" t="s">
        <v>2355</v>
      </c>
      <c r="K282" s="2">
        <f>91-9920514019</f>
        <v>-9920513928</v>
      </c>
      <c r="L282" s="1" t="s">
        <v>37</v>
      </c>
      <c r="M282" s="1">
        <v>5.0599999999999996</v>
      </c>
      <c r="N282" s="1">
        <v>11</v>
      </c>
      <c r="O282" s="1" t="s">
        <v>2356</v>
      </c>
      <c r="P282" s="1">
        <f>91-9920514019</f>
        <v>-9920513928</v>
      </c>
      <c r="Q282" s="1" t="s">
        <v>2357</v>
      </c>
      <c r="R282" s="1" t="s">
        <v>2358</v>
      </c>
      <c r="S282" s="1" t="s">
        <v>1091</v>
      </c>
      <c r="T282" s="1" t="s">
        <v>2008</v>
      </c>
      <c r="U282" s="1">
        <v>4.08</v>
      </c>
      <c r="V282" s="1">
        <v>5.1100000000000003</v>
      </c>
      <c r="W282" s="1" t="s">
        <v>2359</v>
      </c>
      <c r="X282" s="1" t="s">
        <v>2360</v>
      </c>
      <c r="Y282" s="3">
        <v>43195.943306828703</v>
      </c>
      <c r="Z282" s="1">
        <v>1</v>
      </c>
      <c r="AA282" s="1">
        <v>1</v>
      </c>
      <c r="AB282" s="1">
        <v>1</v>
      </c>
      <c r="AC282" s="1">
        <v>1</v>
      </c>
      <c r="AD282" s="3">
        <v>43201.720940590276</v>
      </c>
      <c r="AE282" s="1" t="s">
        <v>42</v>
      </c>
    </row>
    <row r="283" spans="1:31" x14ac:dyDescent="0.35">
      <c r="A283" s="1">
        <v>4955</v>
      </c>
      <c r="B283" s="1" t="s">
        <v>2361</v>
      </c>
      <c r="C283" s="1">
        <v>96241370</v>
      </c>
      <c r="D283" s="1" t="s">
        <v>2362</v>
      </c>
      <c r="E283" s="1" t="s">
        <v>2363</v>
      </c>
      <c r="F283" s="1">
        <v>1</v>
      </c>
      <c r="G283" s="3">
        <v>34100</v>
      </c>
      <c r="H283" s="1">
        <v>1</v>
      </c>
      <c r="I283" s="1" t="s">
        <v>63</v>
      </c>
      <c r="J283" s="1" t="s">
        <v>2364</v>
      </c>
      <c r="K283" s="2">
        <f>91-9624137083</f>
        <v>-9624136992</v>
      </c>
      <c r="L283" s="1" t="s">
        <v>58</v>
      </c>
      <c r="M283" s="1">
        <v>5.0599999999999996</v>
      </c>
      <c r="N283" s="1">
        <v>16</v>
      </c>
      <c r="O283" s="1" t="s">
        <v>2365</v>
      </c>
      <c r="P283" s="1">
        <f>91-9624137083</f>
        <v>-9624136992</v>
      </c>
      <c r="Q283" s="1" t="s">
        <v>2366</v>
      </c>
      <c r="R283" s="1" t="s">
        <v>2367</v>
      </c>
      <c r="S283" s="1" t="s">
        <v>638</v>
      </c>
      <c r="T283" s="1" t="s">
        <v>58</v>
      </c>
      <c r="U283" s="1">
        <v>5.05</v>
      </c>
      <c r="V283" s="1">
        <v>5.05</v>
      </c>
      <c r="W283" s="1" t="s">
        <v>2368</v>
      </c>
      <c r="X283" s="1" t="s">
        <v>2369</v>
      </c>
      <c r="Y283" s="3">
        <v>43207.14407696759</v>
      </c>
      <c r="Z283" s="1">
        <v>1</v>
      </c>
      <c r="AA283" s="1">
        <v>1</v>
      </c>
      <c r="AB283" s="1">
        <v>1</v>
      </c>
      <c r="AC283" s="1">
        <v>1</v>
      </c>
      <c r="AD283" s="3">
        <v>43226.458385995371</v>
      </c>
      <c r="AE283" s="1" t="s">
        <v>42</v>
      </c>
    </row>
    <row r="284" spans="1:31" x14ac:dyDescent="0.35">
      <c r="A284" s="1">
        <v>4958</v>
      </c>
      <c r="B284" s="1" t="s">
        <v>2370</v>
      </c>
      <c r="C284" s="1" t="s">
        <v>2371</v>
      </c>
      <c r="D284" s="1" t="s">
        <v>1620</v>
      </c>
      <c r="E284" s="1" t="s">
        <v>52</v>
      </c>
      <c r="F284" s="1">
        <v>1</v>
      </c>
      <c r="G284" s="3">
        <v>34171</v>
      </c>
      <c r="H284" s="1">
        <v>1</v>
      </c>
      <c r="I284" s="1" t="s">
        <v>35</v>
      </c>
      <c r="J284" s="1" t="s">
        <v>106</v>
      </c>
      <c r="K284" s="2">
        <f>91-9975828595</f>
        <v>-9975828504</v>
      </c>
      <c r="L284" s="1" t="s">
        <v>58</v>
      </c>
      <c r="M284" s="1">
        <v>5.0599999999999996</v>
      </c>
      <c r="N284" s="1">
        <v>54</v>
      </c>
      <c r="O284" s="1" t="s">
        <v>2372</v>
      </c>
      <c r="P284" s="1" t="s">
        <v>54</v>
      </c>
      <c r="Q284" s="1" t="s">
        <v>2373</v>
      </c>
      <c r="R284" s="1" t="s">
        <v>2374</v>
      </c>
      <c r="S284" s="1" t="s">
        <v>693</v>
      </c>
      <c r="T284" s="1" t="s">
        <v>58</v>
      </c>
      <c r="U284" s="1">
        <v>4.0999999999999996</v>
      </c>
      <c r="V284" s="1">
        <v>5.0999999999999996</v>
      </c>
      <c r="W284" s="1" t="s">
        <v>2375</v>
      </c>
      <c r="X284" s="1" t="s">
        <v>2376</v>
      </c>
      <c r="Y284" s="3">
        <v>43210.490397800924</v>
      </c>
      <c r="Z284" s="1">
        <v>1</v>
      </c>
      <c r="AA284" s="1">
        <v>1</v>
      </c>
      <c r="AB284" s="1">
        <v>1</v>
      </c>
      <c r="AC284" s="1">
        <v>1</v>
      </c>
      <c r="AD284" s="3">
        <v>44039.130444907409</v>
      </c>
      <c r="AE284" s="1" t="s">
        <v>42</v>
      </c>
    </row>
    <row r="285" spans="1:31" x14ac:dyDescent="0.35">
      <c r="A285" s="1">
        <v>4959</v>
      </c>
      <c r="B285" s="1" t="s">
        <v>2377</v>
      </c>
      <c r="C285" s="1">
        <v>7276764812</v>
      </c>
      <c r="D285" s="1" t="s">
        <v>2378</v>
      </c>
      <c r="E285" s="1" t="s">
        <v>83</v>
      </c>
      <c r="F285" s="1">
        <v>1</v>
      </c>
      <c r="G285" s="3">
        <v>33551</v>
      </c>
      <c r="H285" s="1">
        <v>1</v>
      </c>
      <c r="I285" s="1" t="s">
        <v>35</v>
      </c>
      <c r="J285" s="1" t="s">
        <v>2379</v>
      </c>
      <c r="K285" s="2">
        <f>91-8087758819</f>
        <v>-8087758728</v>
      </c>
      <c r="L285" s="1" t="s">
        <v>58</v>
      </c>
      <c r="M285" s="1">
        <v>6</v>
      </c>
      <c r="N285" s="1">
        <v>10</v>
      </c>
      <c r="O285" s="1" t="s">
        <v>2380</v>
      </c>
      <c r="P285" s="1">
        <f>91-7972161969</f>
        <v>-7972161878</v>
      </c>
      <c r="Q285" s="1" t="s">
        <v>2381</v>
      </c>
      <c r="R285" s="1" t="s">
        <v>2382</v>
      </c>
      <c r="S285" s="1" t="s">
        <v>57</v>
      </c>
      <c r="T285" s="1" t="s">
        <v>58</v>
      </c>
      <c r="U285" s="1">
        <v>5.0599999999999996</v>
      </c>
      <c r="V285" s="1">
        <v>5.0599999999999996</v>
      </c>
      <c r="W285" s="1" t="s">
        <v>2383</v>
      </c>
      <c r="X285" s="1" t="s">
        <v>2384</v>
      </c>
      <c r="Y285" s="3">
        <v>43213.21168359954</v>
      </c>
      <c r="Z285" s="1">
        <v>1</v>
      </c>
      <c r="AA285" s="1">
        <v>1</v>
      </c>
      <c r="AB285" s="1">
        <v>1</v>
      </c>
      <c r="AC285" s="1">
        <v>1</v>
      </c>
      <c r="AD285" s="3">
        <v>43272.506899537038</v>
      </c>
      <c r="AE285" s="1" t="s">
        <v>42</v>
      </c>
    </row>
    <row r="286" spans="1:31" x14ac:dyDescent="0.35">
      <c r="A286" s="1">
        <v>4961</v>
      </c>
      <c r="B286" s="1" t="s">
        <v>2385</v>
      </c>
      <c r="C286" s="1" t="s">
        <v>2386</v>
      </c>
      <c r="D286" s="1" t="s">
        <v>2387</v>
      </c>
      <c r="E286" s="1" t="s">
        <v>2388</v>
      </c>
      <c r="F286" s="1">
        <v>1</v>
      </c>
      <c r="G286" s="3">
        <v>29560</v>
      </c>
      <c r="H286" s="1">
        <v>1</v>
      </c>
      <c r="I286" s="1" t="s">
        <v>35</v>
      </c>
      <c r="J286" s="1" t="s">
        <v>36</v>
      </c>
      <c r="K286" s="2">
        <f>91-9594335541</f>
        <v>-9594335450</v>
      </c>
      <c r="L286" s="1" t="s">
        <v>58</v>
      </c>
      <c r="M286" s="1">
        <v>5.04</v>
      </c>
      <c r="N286" s="1">
        <v>16</v>
      </c>
      <c r="O286" s="1" t="s">
        <v>2389</v>
      </c>
      <c r="P286" s="1">
        <f>91-9920737907</f>
        <v>-9920737816</v>
      </c>
      <c r="Q286" s="1" t="s">
        <v>2390</v>
      </c>
      <c r="R286" s="1" t="s">
        <v>2391</v>
      </c>
      <c r="S286" s="1" t="s">
        <v>2392</v>
      </c>
      <c r="T286" s="1" t="s">
        <v>99</v>
      </c>
      <c r="U286" s="1">
        <v>5</v>
      </c>
      <c r="V286" s="1">
        <v>5.03</v>
      </c>
      <c r="W286" s="1" t="s">
        <v>2393</v>
      </c>
      <c r="X286" s="1" t="s">
        <v>2394</v>
      </c>
      <c r="Y286" s="3">
        <v>43217.335827233794</v>
      </c>
      <c r="Z286" s="1">
        <v>1</v>
      </c>
      <c r="AA286" s="1">
        <v>1</v>
      </c>
      <c r="AB286" s="1">
        <v>1</v>
      </c>
      <c r="AC286" s="1">
        <v>1</v>
      </c>
      <c r="AD286" s="3">
        <v>43516.165937384256</v>
      </c>
      <c r="AE286" s="1" t="s">
        <v>42</v>
      </c>
    </row>
    <row r="287" spans="1:31" x14ac:dyDescent="0.35">
      <c r="A287" s="1">
        <v>4966</v>
      </c>
      <c r="B287" s="1" t="s">
        <v>2395</v>
      </c>
      <c r="C287" s="1" t="s">
        <v>2396</v>
      </c>
      <c r="D287" s="1" t="s">
        <v>1362</v>
      </c>
      <c r="E287" s="1" t="s">
        <v>52</v>
      </c>
      <c r="F287" s="1">
        <v>1</v>
      </c>
      <c r="G287" s="3">
        <v>32510</v>
      </c>
      <c r="H287" s="1">
        <v>1</v>
      </c>
      <c r="I287" s="1" t="s">
        <v>35</v>
      </c>
      <c r="J287" s="1" t="s">
        <v>209</v>
      </c>
      <c r="K287" s="2">
        <f>91-8980222975</f>
        <v>-8980222884</v>
      </c>
      <c r="L287" s="1" t="s">
        <v>58</v>
      </c>
      <c r="M287" s="1">
        <v>5.07</v>
      </c>
      <c r="N287" s="1">
        <v>14</v>
      </c>
      <c r="O287" s="1" t="s">
        <v>2397</v>
      </c>
      <c r="P287" s="1">
        <f>91-8446417077</f>
        <v>-8446416986</v>
      </c>
      <c r="Q287" s="1" t="s">
        <v>2398</v>
      </c>
      <c r="R287" s="1" t="s">
        <v>2399</v>
      </c>
      <c r="S287" s="1" t="s">
        <v>1309</v>
      </c>
      <c r="T287" s="1" t="s">
        <v>58</v>
      </c>
      <c r="U287" s="1">
        <v>5</v>
      </c>
      <c r="V287" s="1">
        <v>5.05</v>
      </c>
      <c r="W287" s="1" t="s">
        <v>2400</v>
      </c>
      <c r="X287" s="1" t="s">
        <v>2401</v>
      </c>
      <c r="Y287" s="3">
        <v>43226.463743900465</v>
      </c>
      <c r="Z287" s="1">
        <v>1</v>
      </c>
      <c r="AA287" s="1">
        <v>1</v>
      </c>
      <c r="AB287" s="1">
        <v>1</v>
      </c>
      <c r="AC287" s="1">
        <v>1</v>
      </c>
      <c r="AD287" s="3">
        <v>43232.245421331019</v>
      </c>
      <c r="AE287" s="1" t="s">
        <v>42</v>
      </c>
    </row>
    <row r="288" spans="1:31" x14ac:dyDescent="0.35">
      <c r="A288" s="1">
        <v>4968</v>
      </c>
      <c r="B288" s="1" t="s">
        <v>2402</v>
      </c>
      <c r="C288" s="1" t="s">
        <v>2403</v>
      </c>
      <c r="D288" s="1" t="s">
        <v>662</v>
      </c>
      <c r="E288" s="1" t="s">
        <v>2324</v>
      </c>
      <c r="F288" s="1">
        <v>1</v>
      </c>
      <c r="G288" s="3">
        <v>32819</v>
      </c>
      <c r="H288" s="1">
        <v>1</v>
      </c>
      <c r="I288" s="1" t="s">
        <v>35</v>
      </c>
      <c r="J288" s="1" t="s">
        <v>36</v>
      </c>
      <c r="K288" s="2">
        <f>91-9987715933</f>
        <v>-9987715842</v>
      </c>
      <c r="L288" s="1" t="s">
        <v>48</v>
      </c>
      <c r="M288" s="1">
        <v>6.04</v>
      </c>
      <c r="N288" s="1">
        <v>42</v>
      </c>
      <c r="O288" s="1" t="s">
        <v>2404</v>
      </c>
      <c r="P288" s="1" t="s">
        <v>54</v>
      </c>
      <c r="Q288" s="1" t="s">
        <v>2405</v>
      </c>
      <c r="R288" s="1" t="s">
        <v>2406</v>
      </c>
      <c r="S288" s="1" t="s">
        <v>192</v>
      </c>
      <c r="T288" s="1" t="s">
        <v>140</v>
      </c>
      <c r="U288" s="1">
        <v>5</v>
      </c>
      <c r="V288" s="1">
        <v>6.04</v>
      </c>
      <c r="W288" s="1" t="s">
        <v>2407</v>
      </c>
      <c r="X288" s="1" t="s">
        <v>2408</v>
      </c>
      <c r="Y288" s="3">
        <v>43229.02153784722</v>
      </c>
      <c r="Z288" s="1">
        <v>1</v>
      </c>
      <c r="AA288" s="1">
        <v>1</v>
      </c>
      <c r="AB288" s="1">
        <v>1</v>
      </c>
      <c r="AC288" s="1">
        <v>4</v>
      </c>
      <c r="AD288" s="3">
        <v>44075.610177511575</v>
      </c>
      <c r="AE288" s="1" t="s">
        <v>42</v>
      </c>
    </row>
    <row r="289" spans="1:31" x14ac:dyDescent="0.35">
      <c r="A289" s="1">
        <v>4971</v>
      </c>
      <c r="B289" s="1" t="s">
        <v>2409</v>
      </c>
      <c r="C289" s="1" t="s">
        <v>2410</v>
      </c>
      <c r="D289" s="1" t="s">
        <v>2411</v>
      </c>
      <c r="E289" s="1" t="s">
        <v>187</v>
      </c>
      <c r="F289" s="1">
        <v>1</v>
      </c>
      <c r="G289" s="3">
        <v>32743</v>
      </c>
      <c r="H289" s="1">
        <v>1</v>
      </c>
      <c r="I289" s="1" t="s">
        <v>63</v>
      </c>
      <c r="J289" s="1" t="s">
        <v>2134</v>
      </c>
      <c r="K289" s="2">
        <f>91-9725293634</f>
        <v>-9725293543</v>
      </c>
      <c r="L289" s="1" t="s">
        <v>37</v>
      </c>
      <c r="M289" s="1">
        <v>5.04</v>
      </c>
      <c r="N289" s="1">
        <v>1</v>
      </c>
      <c r="O289" s="1" t="s">
        <v>2412</v>
      </c>
      <c r="P289" s="1">
        <f>91-9725293634</f>
        <v>-9725293543</v>
      </c>
      <c r="Q289" s="1" t="s">
        <v>2413</v>
      </c>
      <c r="R289" s="1" t="s">
        <v>2414</v>
      </c>
      <c r="S289" s="1" t="s">
        <v>255</v>
      </c>
      <c r="T289" s="1" t="s">
        <v>599</v>
      </c>
      <c r="U289" s="1">
        <v>4.09</v>
      </c>
      <c r="V289" s="1">
        <v>5.04</v>
      </c>
      <c r="W289" s="1" t="s">
        <v>2415</v>
      </c>
      <c r="X289" s="1" t="s">
        <v>2416</v>
      </c>
      <c r="Y289" s="3">
        <v>43234.059899189815</v>
      </c>
      <c r="Z289" s="1">
        <v>1</v>
      </c>
      <c r="AA289" s="1">
        <v>1</v>
      </c>
      <c r="AB289" s="1">
        <v>1</v>
      </c>
      <c r="AC289" s="1">
        <v>1</v>
      </c>
      <c r="AD289" s="3">
        <v>43234.059899189815</v>
      </c>
      <c r="AE289" s="1" t="s">
        <v>42</v>
      </c>
    </row>
    <row r="290" spans="1:31" x14ac:dyDescent="0.35">
      <c r="A290" s="1">
        <v>4972</v>
      </c>
      <c r="B290" s="1" t="s">
        <v>2417</v>
      </c>
      <c r="C290" s="1" t="s">
        <v>2418</v>
      </c>
      <c r="D290" s="1" t="s">
        <v>2419</v>
      </c>
      <c r="E290" s="1" t="s">
        <v>52</v>
      </c>
      <c r="F290" s="1">
        <v>1</v>
      </c>
      <c r="G290" s="3">
        <v>34958</v>
      </c>
      <c r="H290" s="1">
        <v>1</v>
      </c>
      <c r="I290" s="1" t="s">
        <v>63</v>
      </c>
      <c r="J290" s="1" t="s">
        <v>474</v>
      </c>
      <c r="K290" s="2">
        <f>91-9408036659</f>
        <v>-9408036568</v>
      </c>
      <c r="L290" s="1" t="s">
        <v>58</v>
      </c>
      <c r="M290" s="1">
        <v>5.09</v>
      </c>
      <c r="N290" s="1">
        <v>54</v>
      </c>
      <c r="O290" s="1" t="s">
        <v>2420</v>
      </c>
      <c r="P290" s="1" t="s">
        <v>54</v>
      </c>
      <c r="Q290" s="1" t="s">
        <v>2421</v>
      </c>
      <c r="R290" s="1" t="s">
        <v>2422</v>
      </c>
      <c r="S290" s="1" t="s">
        <v>243</v>
      </c>
      <c r="T290" s="1" t="s">
        <v>58</v>
      </c>
      <c r="U290" s="1">
        <v>5.03</v>
      </c>
      <c r="V290" s="1">
        <v>5.07</v>
      </c>
      <c r="W290" s="1" t="s">
        <v>2423</v>
      </c>
      <c r="X290" s="1" t="s">
        <v>2424</v>
      </c>
      <c r="Y290" s="3">
        <v>43234.224094791665</v>
      </c>
      <c r="Z290" s="1">
        <v>1</v>
      </c>
      <c r="AA290" s="1">
        <v>1</v>
      </c>
      <c r="AB290" s="1">
        <v>1</v>
      </c>
      <c r="AC290" s="1">
        <v>1</v>
      </c>
      <c r="AD290" s="3">
        <v>43316.298722766202</v>
      </c>
      <c r="AE290" s="1" t="s">
        <v>42</v>
      </c>
    </row>
    <row r="291" spans="1:31" x14ac:dyDescent="0.35">
      <c r="A291" s="1">
        <v>4976</v>
      </c>
      <c r="B291" s="1" t="s">
        <v>2425</v>
      </c>
      <c r="C291" s="1" t="s">
        <v>2426</v>
      </c>
      <c r="D291" s="1" t="s">
        <v>2427</v>
      </c>
      <c r="E291" s="1" t="s">
        <v>2428</v>
      </c>
      <c r="F291" s="1">
        <v>1</v>
      </c>
      <c r="G291" s="3">
        <v>33509</v>
      </c>
      <c r="H291" s="1">
        <v>1</v>
      </c>
      <c r="I291" s="1" t="s">
        <v>35</v>
      </c>
      <c r="J291" s="1" t="s">
        <v>209</v>
      </c>
      <c r="K291" s="2">
        <f>91-9423599364</f>
        <v>-9423599273</v>
      </c>
      <c r="L291" s="1" t="s">
        <v>58</v>
      </c>
      <c r="M291" s="1">
        <v>5.05</v>
      </c>
      <c r="N291" s="1">
        <v>12</v>
      </c>
      <c r="O291" s="1" t="s">
        <v>2429</v>
      </c>
      <c r="P291" s="1">
        <f>91-9423599364</f>
        <v>-9423599273</v>
      </c>
      <c r="Q291" s="1" t="s">
        <v>2430</v>
      </c>
      <c r="R291" s="1" t="s">
        <v>2431</v>
      </c>
      <c r="S291" s="1" t="s">
        <v>647</v>
      </c>
      <c r="T291" s="1" t="s">
        <v>599</v>
      </c>
      <c r="U291" s="1">
        <v>4.0999999999999996</v>
      </c>
      <c r="V291" s="1">
        <v>5.08</v>
      </c>
      <c r="W291" s="1" t="s">
        <v>2432</v>
      </c>
      <c r="X291" s="1" t="s">
        <v>2433</v>
      </c>
      <c r="Y291" s="3">
        <v>43235.338459918981</v>
      </c>
      <c r="Z291" s="1">
        <v>1</v>
      </c>
      <c r="AA291" s="1">
        <v>1</v>
      </c>
      <c r="AB291" s="1">
        <v>1</v>
      </c>
      <c r="AC291" s="1">
        <v>1</v>
      </c>
      <c r="AD291" s="3">
        <v>43487.374312766202</v>
      </c>
      <c r="AE291" s="1" t="s">
        <v>42</v>
      </c>
    </row>
    <row r="292" spans="1:31" x14ac:dyDescent="0.35">
      <c r="A292" s="1">
        <v>4977</v>
      </c>
      <c r="B292" s="1" t="s">
        <v>2434</v>
      </c>
      <c r="C292" s="1" t="s">
        <v>2435</v>
      </c>
      <c r="D292" s="1" t="s">
        <v>2436</v>
      </c>
      <c r="E292" s="1" t="s">
        <v>2437</v>
      </c>
      <c r="F292" s="1">
        <v>1</v>
      </c>
      <c r="G292" s="3">
        <v>33308</v>
      </c>
      <c r="H292" s="1">
        <v>1</v>
      </c>
      <c r="I292" s="1" t="s">
        <v>72</v>
      </c>
      <c r="K292" s="2">
        <f>91-9755067067</f>
        <v>-9755066976</v>
      </c>
      <c r="L292" s="1" t="s">
        <v>58</v>
      </c>
      <c r="M292" s="1">
        <v>5.07</v>
      </c>
      <c r="N292" s="1">
        <v>23</v>
      </c>
      <c r="O292" s="1" t="s">
        <v>41</v>
      </c>
      <c r="P292" s="1">
        <f>91-9893584219</f>
        <v>-9893584128</v>
      </c>
      <c r="Q292" s="1" t="s">
        <v>2438</v>
      </c>
      <c r="R292" s="1" t="s">
        <v>2439</v>
      </c>
      <c r="S292" s="1" t="s">
        <v>350</v>
      </c>
      <c r="T292" s="1" t="s">
        <v>58</v>
      </c>
      <c r="U292" s="1">
        <v>5</v>
      </c>
      <c r="V292" s="1">
        <v>5.07</v>
      </c>
      <c r="W292" s="1" t="s">
        <v>2440</v>
      </c>
      <c r="X292" s="1" t="s">
        <v>2441</v>
      </c>
      <c r="Y292" s="3">
        <v>43236.145934988424</v>
      </c>
      <c r="Z292" s="1">
        <v>1</v>
      </c>
      <c r="AA292" s="1">
        <v>1</v>
      </c>
      <c r="AB292" s="1">
        <v>1</v>
      </c>
      <c r="AC292" s="1">
        <v>1</v>
      </c>
      <c r="AD292" s="3">
        <v>43236.466457291666</v>
      </c>
      <c r="AE292" s="1" t="s">
        <v>42</v>
      </c>
    </row>
    <row r="293" spans="1:31" x14ac:dyDescent="0.35">
      <c r="A293" s="1">
        <v>4980</v>
      </c>
      <c r="B293" s="1" t="s">
        <v>2442</v>
      </c>
      <c r="C293" s="1" t="s">
        <v>2443</v>
      </c>
      <c r="D293" s="1" t="s">
        <v>2444</v>
      </c>
      <c r="E293" s="1" t="s">
        <v>2145</v>
      </c>
      <c r="F293" s="1">
        <v>1</v>
      </c>
      <c r="G293" s="3">
        <v>34827</v>
      </c>
      <c r="H293" s="1">
        <v>1</v>
      </c>
      <c r="I293" s="1" t="s">
        <v>63</v>
      </c>
      <c r="J293" s="1" t="s">
        <v>370</v>
      </c>
      <c r="K293" s="2">
        <f>91-9558202056</f>
        <v>-9558201965</v>
      </c>
      <c r="L293" s="1" t="s">
        <v>58</v>
      </c>
      <c r="M293" s="1">
        <v>6</v>
      </c>
      <c r="N293" s="1">
        <v>11</v>
      </c>
      <c r="O293" s="1" t="s">
        <v>2445</v>
      </c>
      <c r="P293" s="1">
        <f>91-9558830497</f>
        <v>-9558830406</v>
      </c>
      <c r="Q293" s="1" t="s">
        <v>2446</v>
      </c>
      <c r="R293" s="1" t="s">
        <v>2447</v>
      </c>
      <c r="S293" s="1" t="s">
        <v>1845</v>
      </c>
      <c r="T293" s="1" t="s">
        <v>58</v>
      </c>
      <c r="U293" s="1">
        <v>6</v>
      </c>
      <c r="V293" s="1">
        <v>6</v>
      </c>
      <c r="W293" s="1" t="s">
        <v>2448</v>
      </c>
      <c r="X293" s="1" t="s">
        <v>2449</v>
      </c>
      <c r="Y293" s="3">
        <v>43236.915790937499</v>
      </c>
      <c r="Z293" s="1">
        <v>1</v>
      </c>
      <c r="AA293" s="1">
        <v>1</v>
      </c>
      <c r="AB293" s="1">
        <v>1</v>
      </c>
      <c r="AC293" s="1">
        <v>1</v>
      </c>
      <c r="AD293" s="3">
        <v>43239.256323298614</v>
      </c>
      <c r="AE293" s="1" t="s">
        <v>42</v>
      </c>
    </row>
    <row r="294" spans="1:31" x14ac:dyDescent="0.35">
      <c r="A294" s="1">
        <v>4982</v>
      </c>
      <c r="B294" s="1" t="s">
        <v>2450</v>
      </c>
      <c r="C294" s="1" t="s">
        <v>2451</v>
      </c>
      <c r="D294" s="1" t="s">
        <v>2452</v>
      </c>
      <c r="E294" s="1" t="s">
        <v>1895</v>
      </c>
      <c r="F294" s="1">
        <v>1</v>
      </c>
      <c r="G294" s="3">
        <v>33797</v>
      </c>
      <c r="H294" s="1">
        <v>1</v>
      </c>
      <c r="I294" s="1" t="s">
        <v>63</v>
      </c>
      <c r="J294" s="1" t="s">
        <v>370</v>
      </c>
      <c r="K294" s="2">
        <f>91-6351040212</f>
        <v>-6351040121</v>
      </c>
      <c r="L294" s="1" t="s">
        <v>37</v>
      </c>
      <c r="M294" s="1">
        <v>5.0599999999999996</v>
      </c>
      <c r="N294" s="1">
        <v>3</v>
      </c>
      <c r="O294" s="1" t="s">
        <v>2453</v>
      </c>
      <c r="P294" s="1">
        <f>91-6351040212</f>
        <v>-6351040121</v>
      </c>
      <c r="Q294" s="1" t="s">
        <v>2454</v>
      </c>
      <c r="R294" s="1" t="s">
        <v>2455</v>
      </c>
      <c r="S294" s="1" t="s">
        <v>171</v>
      </c>
      <c r="T294" s="1" t="s">
        <v>599</v>
      </c>
      <c r="U294" s="1">
        <v>5</v>
      </c>
      <c r="V294" s="1">
        <v>5.0599999999999996</v>
      </c>
      <c r="W294" s="1" t="s">
        <v>2456</v>
      </c>
      <c r="X294" s="1" t="s">
        <v>2457</v>
      </c>
      <c r="Y294" s="3">
        <v>43239.399230590279</v>
      </c>
      <c r="Z294" s="1">
        <v>1</v>
      </c>
      <c r="AA294" s="1">
        <v>1</v>
      </c>
      <c r="AB294" s="1">
        <v>1</v>
      </c>
      <c r="AC294" s="1">
        <v>1</v>
      </c>
      <c r="AD294" s="3">
        <v>43239.399230590279</v>
      </c>
      <c r="AE294" s="1" t="s">
        <v>42</v>
      </c>
    </row>
    <row r="295" spans="1:31" x14ac:dyDescent="0.35">
      <c r="A295" s="1">
        <v>4986</v>
      </c>
      <c r="B295" s="1" t="s">
        <v>2458</v>
      </c>
      <c r="C295" s="1" t="s">
        <v>2459</v>
      </c>
      <c r="D295" s="1" t="s">
        <v>2460</v>
      </c>
      <c r="E295" s="1" t="s">
        <v>2461</v>
      </c>
      <c r="F295" s="1">
        <v>1</v>
      </c>
      <c r="G295" s="3">
        <v>31315</v>
      </c>
      <c r="H295" s="1">
        <v>1</v>
      </c>
      <c r="I295" s="1" t="s">
        <v>63</v>
      </c>
      <c r="J295" s="1" t="s">
        <v>426</v>
      </c>
      <c r="K295" s="2">
        <f>91-8141817451</f>
        <v>-8141817360</v>
      </c>
      <c r="L295" s="1" t="s">
        <v>58</v>
      </c>
      <c r="M295" s="1">
        <v>5.0599999999999996</v>
      </c>
      <c r="N295" s="1">
        <v>50</v>
      </c>
      <c r="O295" s="1" t="s">
        <v>2462</v>
      </c>
      <c r="P295" s="1">
        <f>91-7405299636</f>
        <v>-7405299545</v>
      </c>
      <c r="Q295" s="1" t="s">
        <v>2463</v>
      </c>
      <c r="R295" s="1" t="s">
        <v>2464</v>
      </c>
      <c r="S295" s="1" t="s">
        <v>2465</v>
      </c>
      <c r="T295" s="1" t="s">
        <v>599</v>
      </c>
      <c r="U295" s="1">
        <v>4.0599999999999996</v>
      </c>
      <c r="V295" s="1">
        <v>5.05</v>
      </c>
      <c r="W295" s="1" t="s">
        <v>2466</v>
      </c>
      <c r="X295" s="1" t="s">
        <v>2467</v>
      </c>
      <c r="Y295" s="3">
        <v>43240.820719212963</v>
      </c>
      <c r="Z295" s="1">
        <v>1</v>
      </c>
      <c r="AA295" s="1">
        <v>1</v>
      </c>
      <c r="AB295" s="1">
        <v>1</v>
      </c>
      <c r="AC295" s="1">
        <v>1</v>
      </c>
      <c r="AD295" s="3">
        <v>43240.820719212963</v>
      </c>
      <c r="AE295" s="1" t="s">
        <v>42</v>
      </c>
    </row>
    <row r="296" spans="1:31" x14ac:dyDescent="0.35">
      <c r="A296" s="1">
        <v>4992</v>
      </c>
      <c r="B296" s="1" t="s">
        <v>2468</v>
      </c>
      <c r="C296" s="1" t="s">
        <v>2469</v>
      </c>
      <c r="D296" s="1" t="s">
        <v>2470</v>
      </c>
      <c r="E296" s="1" t="s">
        <v>83</v>
      </c>
      <c r="F296" s="1">
        <v>1</v>
      </c>
      <c r="G296" s="3">
        <v>33839</v>
      </c>
      <c r="H296" s="1">
        <v>212</v>
      </c>
      <c r="I296" s="1" t="s">
        <v>2471</v>
      </c>
      <c r="J296" s="1" t="s">
        <v>2471</v>
      </c>
      <c r="K296" s="2">
        <f>91-9830565162</f>
        <v>-9830565071</v>
      </c>
      <c r="L296" s="1" t="s">
        <v>58</v>
      </c>
      <c r="M296" s="1">
        <v>5.09</v>
      </c>
      <c r="N296" s="1">
        <v>10</v>
      </c>
      <c r="O296" s="1" t="s">
        <v>2472</v>
      </c>
      <c r="P296" s="1" t="s">
        <v>54</v>
      </c>
      <c r="Q296" s="1" t="s">
        <v>2473</v>
      </c>
      <c r="R296" s="1" t="s">
        <v>2474</v>
      </c>
      <c r="S296" s="1" t="s">
        <v>171</v>
      </c>
      <c r="T296" s="1" t="s">
        <v>58</v>
      </c>
      <c r="U296" s="1">
        <v>5.05</v>
      </c>
      <c r="V296" s="1">
        <v>5.09</v>
      </c>
      <c r="W296" s="1" t="s">
        <v>2475</v>
      </c>
      <c r="X296" s="1" t="s">
        <v>2476</v>
      </c>
      <c r="Y296" s="3">
        <v>43244.879765740741</v>
      </c>
      <c r="Z296" s="1">
        <v>1</v>
      </c>
      <c r="AA296" s="1">
        <v>1</v>
      </c>
      <c r="AB296" s="1">
        <v>1</v>
      </c>
      <c r="AC296" s="1">
        <v>1</v>
      </c>
      <c r="AD296" s="3">
        <v>43686.385168368055</v>
      </c>
      <c r="AE296" s="1" t="s">
        <v>42</v>
      </c>
    </row>
    <row r="297" spans="1:31" x14ac:dyDescent="0.35">
      <c r="A297" s="1">
        <v>4994</v>
      </c>
      <c r="B297" s="1" t="s">
        <v>2477</v>
      </c>
      <c r="C297" s="1" t="s">
        <v>2478</v>
      </c>
      <c r="D297" s="1" t="s">
        <v>2479</v>
      </c>
      <c r="E297" s="1" t="s">
        <v>71</v>
      </c>
      <c r="F297" s="1">
        <v>1</v>
      </c>
      <c r="G297" s="3">
        <v>33891</v>
      </c>
      <c r="H297" s="1">
        <v>1</v>
      </c>
      <c r="I297" s="1" t="s">
        <v>125</v>
      </c>
      <c r="J297" s="1" t="s">
        <v>126</v>
      </c>
      <c r="K297" s="2">
        <f>91-9924849863</f>
        <v>-9924849772</v>
      </c>
      <c r="L297" s="1" t="s">
        <v>58</v>
      </c>
      <c r="M297" s="1">
        <v>5.07</v>
      </c>
      <c r="N297" s="1">
        <v>43</v>
      </c>
      <c r="O297" s="1" t="s">
        <v>2480</v>
      </c>
      <c r="P297" s="1">
        <f>91-9924849863</f>
        <v>-9924849772</v>
      </c>
      <c r="Q297" s="1" t="s">
        <v>2481</v>
      </c>
      <c r="R297" s="1" t="s">
        <v>2482</v>
      </c>
      <c r="S297" s="1" t="s">
        <v>1818</v>
      </c>
      <c r="T297" s="1" t="s">
        <v>58</v>
      </c>
      <c r="U297" s="1">
        <v>4.09</v>
      </c>
      <c r="V297" s="1">
        <v>5.07</v>
      </c>
      <c r="W297" s="1" t="s">
        <v>2483</v>
      </c>
      <c r="X297" s="1" t="s">
        <v>2484</v>
      </c>
      <c r="Y297" s="3">
        <v>43249.976945451388</v>
      </c>
      <c r="Z297" s="1">
        <v>1</v>
      </c>
      <c r="AA297" s="1">
        <v>1</v>
      </c>
      <c r="AB297" s="1">
        <v>1</v>
      </c>
      <c r="AC297" s="1">
        <v>1</v>
      </c>
      <c r="AD297" s="3">
        <v>43572.384670023152</v>
      </c>
      <c r="AE297" s="1" t="s">
        <v>42</v>
      </c>
    </row>
    <row r="298" spans="1:31" x14ac:dyDescent="0.35">
      <c r="A298" s="1">
        <v>4996</v>
      </c>
      <c r="B298" s="1" t="s">
        <v>2485</v>
      </c>
      <c r="C298" s="1" t="s">
        <v>2486</v>
      </c>
      <c r="D298" s="1" t="s">
        <v>562</v>
      </c>
      <c r="E298" s="1" t="s">
        <v>52</v>
      </c>
      <c r="F298" s="1">
        <v>1</v>
      </c>
      <c r="G298" s="3">
        <v>33880</v>
      </c>
      <c r="H298" s="1">
        <v>1</v>
      </c>
      <c r="I298" s="1" t="s">
        <v>125</v>
      </c>
      <c r="J298" s="1" t="s">
        <v>126</v>
      </c>
      <c r="K298" s="2">
        <f>91-9066354447</f>
        <v>-9066354356</v>
      </c>
      <c r="L298" s="1" t="s">
        <v>58</v>
      </c>
      <c r="M298" s="1">
        <v>5.0599999999999996</v>
      </c>
      <c r="N298" s="1">
        <v>10</v>
      </c>
      <c r="O298" s="1" t="s">
        <v>2487</v>
      </c>
      <c r="P298" s="1">
        <f>91-9066354440</f>
        <v>-9066354349</v>
      </c>
      <c r="Q298" s="1" t="s">
        <v>2488</v>
      </c>
      <c r="R298" s="1" t="s">
        <v>2489</v>
      </c>
      <c r="S298" s="1" t="s">
        <v>276</v>
      </c>
      <c r="T298" s="1" t="s">
        <v>58</v>
      </c>
      <c r="U298" s="1">
        <v>4</v>
      </c>
      <c r="V298" s="1">
        <v>5.05</v>
      </c>
      <c r="W298" s="1" t="s">
        <v>2490</v>
      </c>
      <c r="X298" s="1" t="s">
        <v>2491</v>
      </c>
      <c r="Y298" s="3">
        <v>43250.116729548608</v>
      </c>
      <c r="Z298" s="1">
        <v>1</v>
      </c>
      <c r="AA298" s="1">
        <v>1</v>
      </c>
      <c r="AB298" s="1">
        <v>1</v>
      </c>
      <c r="AC298" s="1">
        <v>1</v>
      </c>
      <c r="AD298" s="3">
        <v>43760.316956134258</v>
      </c>
      <c r="AE298" s="1" t="s">
        <v>42</v>
      </c>
    </row>
    <row r="299" spans="1:31" x14ac:dyDescent="0.35">
      <c r="A299" s="1">
        <v>4998</v>
      </c>
      <c r="B299" s="1" t="s">
        <v>2492</v>
      </c>
      <c r="C299" s="1" t="s">
        <v>2486</v>
      </c>
      <c r="D299" s="1" t="s">
        <v>2493</v>
      </c>
      <c r="E299" s="1" t="s">
        <v>52</v>
      </c>
      <c r="F299" s="1">
        <v>1</v>
      </c>
      <c r="G299" s="3">
        <v>33678</v>
      </c>
      <c r="H299" s="1">
        <v>1</v>
      </c>
      <c r="I299" s="1" t="s">
        <v>125</v>
      </c>
      <c r="J299" s="1" t="s">
        <v>126</v>
      </c>
      <c r="K299" s="2">
        <f>91-9742414341</f>
        <v>-9742414250</v>
      </c>
      <c r="L299" s="1" t="s">
        <v>58</v>
      </c>
      <c r="M299" s="1">
        <v>5.04</v>
      </c>
      <c r="N299" s="1">
        <v>10</v>
      </c>
      <c r="O299" s="1" t="s">
        <v>2494</v>
      </c>
      <c r="P299" s="1" t="s">
        <v>54</v>
      </c>
      <c r="Q299" s="1" t="s">
        <v>2495</v>
      </c>
      <c r="R299" s="1" t="s">
        <v>2496</v>
      </c>
      <c r="S299" s="1" t="s">
        <v>276</v>
      </c>
      <c r="T299" s="1" t="s">
        <v>58</v>
      </c>
      <c r="U299" s="1">
        <v>4</v>
      </c>
      <c r="V299" s="1">
        <v>5.03</v>
      </c>
      <c r="W299" s="1" t="s">
        <v>2497</v>
      </c>
      <c r="X299" s="1" t="s">
        <v>2498</v>
      </c>
      <c r="Y299" s="3">
        <v>43251.019192129628</v>
      </c>
      <c r="Z299" s="1">
        <v>1</v>
      </c>
      <c r="AA299" s="1">
        <v>1</v>
      </c>
      <c r="AB299" s="1">
        <v>1</v>
      </c>
      <c r="AC299" s="1">
        <v>1</v>
      </c>
      <c r="AD299" s="3">
        <v>44002.378453935184</v>
      </c>
      <c r="AE299" s="1" t="s">
        <v>42</v>
      </c>
    </row>
    <row r="300" spans="1:31" x14ac:dyDescent="0.35">
      <c r="A300" s="1">
        <v>4999</v>
      </c>
      <c r="B300" s="1" t="s">
        <v>2499</v>
      </c>
      <c r="C300" s="1" t="s">
        <v>2500</v>
      </c>
      <c r="D300" s="1" t="s">
        <v>2501</v>
      </c>
      <c r="E300" s="1" t="s">
        <v>71</v>
      </c>
      <c r="F300" s="1">
        <v>1</v>
      </c>
      <c r="G300" s="3">
        <v>32737</v>
      </c>
      <c r="H300" s="1">
        <v>1</v>
      </c>
      <c r="I300" s="1" t="s">
        <v>63</v>
      </c>
      <c r="J300" s="1" t="s">
        <v>64</v>
      </c>
      <c r="K300" s="2">
        <f>91-9725694801</f>
        <v>-9725694710</v>
      </c>
      <c r="L300" s="1" t="s">
        <v>58</v>
      </c>
      <c r="M300" s="1">
        <v>5.03</v>
      </c>
      <c r="N300" s="1">
        <v>43</v>
      </c>
      <c r="O300" s="1" t="s">
        <v>2502</v>
      </c>
      <c r="P300" s="1">
        <f>91-9879472442</f>
        <v>-9879472351</v>
      </c>
      <c r="Q300" s="1" t="s">
        <v>2503</v>
      </c>
      <c r="R300" s="1" t="s">
        <v>2504</v>
      </c>
      <c r="S300" s="1" t="s">
        <v>286</v>
      </c>
      <c r="T300" s="1" t="s">
        <v>58</v>
      </c>
      <c r="U300" s="1">
        <v>4.0999999999999996</v>
      </c>
      <c r="V300" s="1">
        <v>5.0199999999999996</v>
      </c>
      <c r="W300" s="1" t="s">
        <v>2505</v>
      </c>
      <c r="X300" s="1" t="s">
        <v>2506</v>
      </c>
      <c r="Y300" s="3">
        <v>43253.255077696762</v>
      </c>
      <c r="Z300" s="1">
        <v>1</v>
      </c>
      <c r="AA300" s="1">
        <v>1</v>
      </c>
      <c r="AB300" s="1">
        <v>1</v>
      </c>
      <c r="AC300" s="1">
        <v>1</v>
      </c>
      <c r="AD300" s="3">
        <v>43401.431501157407</v>
      </c>
      <c r="AE300" s="1" t="s">
        <v>42</v>
      </c>
    </row>
    <row r="301" spans="1:31" x14ac:dyDescent="0.35">
      <c r="A301" s="1">
        <v>5002</v>
      </c>
      <c r="B301" s="1" t="s">
        <v>2507</v>
      </c>
      <c r="C301" s="1" t="s">
        <v>2508</v>
      </c>
      <c r="D301" s="1" t="s">
        <v>562</v>
      </c>
      <c r="E301" s="1" t="s">
        <v>52</v>
      </c>
      <c r="F301" s="1">
        <v>1</v>
      </c>
      <c r="G301" s="3">
        <v>34099</v>
      </c>
      <c r="H301" s="1">
        <v>1</v>
      </c>
      <c r="I301" s="1" t="s">
        <v>1597</v>
      </c>
      <c r="J301" s="1" t="s">
        <v>2509</v>
      </c>
      <c r="K301" s="2">
        <f>91-9681413343</f>
        <v>-9681413252</v>
      </c>
      <c r="L301" s="1" t="s">
        <v>58</v>
      </c>
      <c r="M301" s="1">
        <v>5.0599999999999996</v>
      </c>
      <c r="N301" s="1">
        <v>5</v>
      </c>
      <c r="O301" s="1" t="s">
        <v>2510</v>
      </c>
      <c r="P301" s="1" t="s">
        <v>54</v>
      </c>
      <c r="Q301" s="1" t="s">
        <v>2511</v>
      </c>
      <c r="R301" s="1" t="s">
        <v>2512</v>
      </c>
      <c r="S301" s="1" t="s">
        <v>171</v>
      </c>
      <c r="T301" s="1" t="s">
        <v>58</v>
      </c>
      <c r="U301" s="1">
        <v>4.0999999999999996</v>
      </c>
      <c r="V301" s="1">
        <v>5.0199999999999996</v>
      </c>
      <c r="W301" s="1" t="s">
        <v>2513</v>
      </c>
      <c r="X301" s="1" t="s">
        <v>2514</v>
      </c>
      <c r="Y301" s="3">
        <v>43259.411154201392</v>
      </c>
      <c r="Z301" s="1">
        <v>1</v>
      </c>
      <c r="AA301" s="1">
        <v>1</v>
      </c>
      <c r="AB301" s="1">
        <v>1</v>
      </c>
      <c r="AC301" s="1">
        <v>1</v>
      </c>
      <c r="AD301" s="3">
        <v>43265.266505868058</v>
      </c>
      <c r="AE301" s="1" t="s">
        <v>42</v>
      </c>
    </row>
    <row r="302" spans="1:31" x14ac:dyDescent="0.35">
      <c r="A302" s="1">
        <v>5004</v>
      </c>
      <c r="B302" s="1" t="s">
        <v>2515</v>
      </c>
      <c r="C302" s="1" t="s">
        <v>2516</v>
      </c>
      <c r="D302" s="1" t="s">
        <v>2517</v>
      </c>
      <c r="E302" s="1" t="s">
        <v>52</v>
      </c>
      <c r="F302" s="1">
        <v>1</v>
      </c>
      <c r="G302" s="3">
        <v>33261</v>
      </c>
      <c r="H302" s="1">
        <v>1</v>
      </c>
      <c r="I302" s="1" t="s">
        <v>35</v>
      </c>
      <c r="J302" s="1" t="s">
        <v>209</v>
      </c>
      <c r="K302" s="2">
        <f>91-7020622654</f>
        <v>-7020622563</v>
      </c>
      <c r="L302" s="1" t="s">
        <v>58</v>
      </c>
      <c r="M302" s="1">
        <v>5.08</v>
      </c>
      <c r="N302" s="1">
        <v>23</v>
      </c>
      <c r="O302" s="1" t="s">
        <v>2518</v>
      </c>
      <c r="P302" s="1" t="s">
        <v>54</v>
      </c>
      <c r="Q302" s="1" t="s">
        <v>2519</v>
      </c>
      <c r="R302" s="1" t="s">
        <v>2520</v>
      </c>
      <c r="S302" s="1" t="s">
        <v>638</v>
      </c>
      <c r="T302" s="1" t="s">
        <v>58</v>
      </c>
      <c r="U302" s="1">
        <v>4.1100000000000003</v>
      </c>
      <c r="V302" s="1">
        <v>5.0599999999999996</v>
      </c>
      <c r="W302" s="1" t="s">
        <v>2521</v>
      </c>
      <c r="X302" s="1" t="s">
        <v>2522</v>
      </c>
      <c r="Y302" s="3">
        <v>43262.333060960649</v>
      </c>
      <c r="Z302" s="1">
        <v>1</v>
      </c>
      <c r="AA302" s="1">
        <v>1</v>
      </c>
      <c r="AB302" s="1">
        <v>1</v>
      </c>
      <c r="AC302" s="1">
        <v>1</v>
      </c>
      <c r="AD302" s="3">
        <v>43262.670651539353</v>
      </c>
      <c r="AE302" s="1" t="s">
        <v>42</v>
      </c>
    </row>
    <row r="303" spans="1:31" x14ac:dyDescent="0.35">
      <c r="A303" s="1">
        <v>5007</v>
      </c>
      <c r="B303" s="1" t="s">
        <v>2523</v>
      </c>
      <c r="C303" s="1">
        <v>23101984</v>
      </c>
      <c r="D303" s="1" t="s">
        <v>2524</v>
      </c>
      <c r="E303" s="1" t="s">
        <v>765</v>
      </c>
      <c r="F303" s="1">
        <v>1</v>
      </c>
      <c r="G303" s="3">
        <v>29794</v>
      </c>
      <c r="H303" s="1">
        <v>1</v>
      </c>
      <c r="I303" s="1" t="s">
        <v>63</v>
      </c>
      <c r="J303" s="1" t="s">
        <v>459</v>
      </c>
      <c r="K303" s="2">
        <f>91-8347010191</f>
        <v>-8347010100</v>
      </c>
      <c r="L303" s="1" t="s">
        <v>58</v>
      </c>
      <c r="M303" s="1">
        <v>5.04</v>
      </c>
      <c r="N303" s="1">
        <v>8</v>
      </c>
      <c r="O303" s="1" t="s">
        <v>2525</v>
      </c>
      <c r="P303" s="1">
        <f>91-2770273266</f>
        <v>-2770273175</v>
      </c>
      <c r="Q303" s="1" t="s">
        <v>1396</v>
      </c>
      <c r="R303" s="1" t="s">
        <v>2526</v>
      </c>
      <c r="S303" s="1" t="s">
        <v>2527</v>
      </c>
      <c r="T303" s="1" t="s">
        <v>44</v>
      </c>
      <c r="U303" s="1">
        <v>5</v>
      </c>
      <c r="V303" s="1">
        <v>5.03</v>
      </c>
      <c r="W303" s="1" t="s">
        <v>2528</v>
      </c>
      <c r="X303" s="1" t="s">
        <v>2529</v>
      </c>
      <c r="Y303" s="3">
        <v>43264.381754780094</v>
      </c>
      <c r="Z303" s="1">
        <v>1</v>
      </c>
      <c r="AA303" s="1">
        <v>1</v>
      </c>
      <c r="AB303" s="1">
        <v>1</v>
      </c>
      <c r="AC303" s="1">
        <v>1</v>
      </c>
      <c r="AD303" s="3">
        <v>43269.721103703705</v>
      </c>
      <c r="AE303" s="1" t="s">
        <v>42</v>
      </c>
    </row>
    <row r="304" spans="1:31" x14ac:dyDescent="0.35">
      <c r="A304" s="1">
        <v>5009</v>
      </c>
      <c r="B304" s="1" t="s">
        <v>2530</v>
      </c>
      <c r="C304" s="1" t="s">
        <v>2531</v>
      </c>
      <c r="D304" s="1" t="s">
        <v>2532</v>
      </c>
      <c r="E304" s="1" t="s">
        <v>2533</v>
      </c>
      <c r="F304" s="1">
        <v>1</v>
      </c>
      <c r="G304" s="3">
        <v>32352</v>
      </c>
      <c r="H304" s="1">
        <v>1</v>
      </c>
      <c r="I304" s="1" t="s">
        <v>63</v>
      </c>
      <c r="J304" s="1" t="s">
        <v>459</v>
      </c>
      <c r="K304" s="2">
        <f>91-9824431050</f>
        <v>-9824430959</v>
      </c>
      <c r="L304" s="1" t="s">
        <v>58</v>
      </c>
      <c r="M304" s="1">
        <v>5.07</v>
      </c>
      <c r="N304" s="1">
        <v>3</v>
      </c>
      <c r="O304" s="1" t="s">
        <v>2534</v>
      </c>
      <c r="P304" s="1" t="s">
        <v>54</v>
      </c>
      <c r="Q304" s="1" t="s">
        <v>274</v>
      </c>
      <c r="R304" s="1" t="s">
        <v>2535</v>
      </c>
      <c r="S304" s="1" t="s">
        <v>222</v>
      </c>
      <c r="T304" s="1" t="s">
        <v>58</v>
      </c>
      <c r="U304" s="1">
        <v>5</v>
      </c>
      <c r="V304" s="1">
        <v>5.0599999999999996</v>
      </c>
      <c r="W304" s="1" t="s">
        <v>2536</v>
      </c>
      <c r="X304" s="1" t="s">
        <v>2537</v>
      </c>
      <c r="Y304" s="3">
        <v>43269.010171793983</v>
      </c>
      <c r="Z304" s="1">
        <v>1</v>
      </c>
      <c r="AA304" s="1">
        <v>1</v>
      </c>
      <c r="AB304" s="1">
        <v>1</v>
      </c>
      <c r="AC304" s="1">
        <v>1</v>
      </c>
      <c r="AD304" s="3">
        <v>43796.532649687499</v>
      </c>
      <c r="AE304" s="1" t="s">
        <v>42</v>
      </c>
    </row>
    <row r="305" spans="1:31" x14ac:dyDescent="0.35">
      <c r="A305" s="1">
        <v>5012</v>
      </c>
      <c r="B305" s="1" t="s">
        <v>2538</v>
      </c>
      <c r="C305" s="1" t="s">
        <v>2539</v>
      </c>
      <c r="D305" s="1" t="s">
        <v>2540</v>
      </c>
      <c r="E305" s="1" t="s">
        <v>262</v>
      </c>
      <c r="F305" s="1">
        <v>0</v>
      </c>
      <c r="G305" s="3">
        <v>33769</v>
      </c>
      <c r="H305" s="1">
        <v>1</v>
      </c>
      <c r="I305" s="1" t="s">
        <v>125</v>
      </c>
      <c r="J305" s="1" t="s">
        <v>126</v>
      </c>
      <c r="K305" s="2">
        <f>91-9900008384</f>
        <v>-9900008293</v>
      </c>
      <c r="L305" s="1" t="s">
        <v>58</v>
      </c>
      <c r="M305" s="1">
        <v>5.01</v>
      </c>
      <c r="N305" s="1">
        <v>14</v>
      </c>
      <c r="O305" s="1" t="s">
        <v>2541</v>
      </c>
      <c r="P305" s="1">
        <f>91-9900008384</f>
        <v>-9900008293</v>
      </c>
      <c r="Q305" s="1" t="s">
        <v>2542</v>
      </c>
      <c r="R305" s="1" t="s">
        <v>2543</v>
      </c>
      <c r="S305" s="1" t="s">
        <v>1504</v>
      </c>
      <c r="T305" s="1" t="s">
        <v>58</v>
      </c>
      <c r="U305" s="1">
        <v>5.05</v>
      </c>
      <c r="V305" s="1">
        <v>5.1100000000000003</v>
      </c>
      <c r="W305" s="1" t="s">
        <v>2544</v>
      </c>
      <c r="X305" s="1" t="s">
        <v>2545</v>
      </c>
      <c r="Y305" s="3">
        <v>43272.39677230324</v>
      </c>
      <c r="Z305" s="1">
        <v>1</v>
      </c>
      <c r="AA305" s="1">
        <v>1</v>
      </c>
      <c r="AB305" s="1">
        <v>1</v>
      </c>
      <c r="AC305" s="1">
        <v>1</v>
      </c>
      <c r="AD305" s="3">
        <v>43273.330124108797</v>
      </c>
      <c r="AE305" s="1" t="s">
        <v>42</v>
      </c>
    </row>
    <row r="306" spans="1:31" x14ac:dyDescent="0.35">
      <c r="A306" s="1">
        <v>5014</v>
      </c>
      <c r="B306" s="1" t="s">
        <v>2546</v>
      </c>
      <c r="C306" s="1" t="s">
        <v>2547</v>
      </c>
      <c r="D306" s="1" t="s">
        <v>1528</v>
      </c>
      <c r="E306" s="1" t="s">
        <v>83</v>
      </c>
      <c r="F306" s="1">
        <v>1</v>
      </c>
      <c r="G306" s="3">
        <v>34994</v>
      </c>
      <c r="H306" s="1">
        <v>1</v>
      </c>
      <c r="I306" s="1" t="s">
        <v>63</v>
      </c>
      <c r="J306" s="1" t="s">
        <v>459</v>
      </c>
      <c r="K306" s="2">
        <f>91-9998670224</f>
        <v>-9998670133</v>
      </c>
      <c r="L306" s="1" t="s">
        <v>58</v>
      </c>
      <c r="M306" s="1">
        <v>5</v>
      </c>
      <c r="N306" s="1">
        <v>10</v>
      </c>
      <c r="O306" s="1" t="s">
        <v>1608</v>
      </c>
      <c r="P306" s="1">
        <f>91-9426653641</f>
        <v>-9426653550</v>
      </c>
      <c r="Q306" s="1" t="s">
        <v>2548</v>
      </c>
      <c r="R306" s="1" t="s">
        <v>2549</v>
      </c>
      <c r="S306" s="1" t="s">
        <v>1773</v>
      </c>
      <c r="T306" s="1" t="s">
        <v>58</v>
      </c>
      <c r="U306" s="1">
        <v>5</v>
      </c>
      <c r="V306" s="1">
        <v>5.05</v>
      </c>
      <c r="W306" s="1" t="s">
        <v>2550</v>
      </c>
      <c r="X306" s="1" t="s">
        <v>2551</v>
      </c>
      <c r="Y306" s="3">
        <v>43273.961773993055</v>
      </c>
      <c r="Z306" s="1">
        <v>1</v>
      </c>
      <c r="AA306" s="1">
        <v>1</v>
      </c>
      <c r="AB306" s="1">
        <v>1</v>
      </c>
      <c r="AC306" s="1">
        <v>1</v>
      </c>
      <c r="AD306" s="3">
        <v>43274.676426388891</v>
      </c>
      <c r="AE306" s="1" t="s">
        <v>42</v>
      </c>
    </row>
    <row r="307" spans="1:31" x14ac:dyDescent="0.35">
      <c r="A307" s="1">
        <v>5015</v>
      </c>
      <c r="B307" s="1" t="s">
        <v>2552</v>
      </c>
      <c r="C307" s="1" t="s">
        <v>2553</v>
      </c>
      <c r="D307" s="1" t="s">
        <v>2080</v>
      </c>
      <c r="E307" s="1" t="s">
        <v>71</v>
      </c>
      <c r="F307" s="1">
        <v>1</v>
      </c>
      <c r="G307" s="3">
        <v>31889</v>
      </c>
      <c r="H307" s="1">
        <v>1</v>
      </c>
      <c r="I307" s="1" t="s">
        <v>1024</v>
      </c>
      <c r="J307" s="1" t="s">
        <v>1025</v>
      </c>
      <c r="K307" s="2">
        <f>91-9662004530</f>
        <v>-9662004439</v>
      </c>
      <c r="L307" s="1" t="s">
        <v>37</v>
      </c>
      <c r="M307" s="1">
        <v>6.11</v>
      </c>
      <c r="N307" s="1">
        <v>16</v>
      </c>
      <c r="O307" s="1" t="s">
        <v>2554</v>
      </c>
      <c r="P307" s="1">
        <f>91-9934555050</f>
        <v>-9934554959</v>
      </c>
      <c r="Q307" s="1" t="s">
        <v>2555</v>
      </c>
      <c r="R307" s="1" t="s">
        <v>2556</v>
      </c>
      <c r="S307" s="1" t="s">
        <v>2557</v>
      </c>
      <c r="T307" s="1" t="s">
        <v>37</v>
      </c>
      <c r="U307" s="1">
        <v>5.04</v>
      </c>
      <c r="V307" s="1">
        <v>5.0999999999999996</v>
      </c>
      <c r="W307" s="1" t="s">
        <v>2558</v>
      </c>
      <c r="X307" s="1" t="s">
        <v>2559</v>
      </c>
      <c r="Y307" s="3">
        <v>43275.026253819444</v>
      </c>
      <c r="Z307" s="1">
        <v>1</v>
      </c>
      <c r="AA307" s="1">
        <v>1</v>
      </c>
      <c r="AB307" s="1">
        <v>1</v>
      </c>
      <c r="AC307" s="1">
        <v>1</v>
      </c>
      <c r="AD307" s="3">
        <v>43275.026253819444</v>
      </c>
      <c r="AE307" s="1" t="s">
        <v>42</v>
      </c>
    </row>
    <row r="308" spans="1:31" x14ac:dyDescent="0.35">
      <c r="A308" s="1">
        <v>5017</v>
      </c>
      <c r="B308" s="1" t="s">
        <v>2560</v>
      </c>
      <c r="C308" s="1" t="s">
        <v>2561</v>
      </c>
      <c r="D308" s="1" t="s">
        <v>2562</v>
      </c>
      <c r="E308" s="1" t="s">
        <v>208</v>
      </c>
      <c r="F308" s="1">
        <v>1</v>
      </c>
      <c r="G308" s="3">
        <v>30619</v>
      </c>
      <c r="H308" s="1">
        <v>1</v>
      </c>
      <c r="I308" s="1" t="s">
        <v>63</v>
      </c>
      <c r="J308" s="1" t="s">
        <v>370</v>
      </c>
      <c r="K308" s="2">
        <f>91-9426965614</f>
        <v>-9426965523</v>
      </c>
      <c r="L308" s="1" t="s">
        <v>58</v>
      </c>
      <c r="M308" s="1">
        <v>5.04</v>
      </c>
      <c r="N308" s="1">
        <v>14</v>
      </c>
      <c r="O308" s="1" t="s">
        <v>2563</v>
      </c>
      <c r="P308" s="1">
        <f>91-9426965614</f>
        <v>-9426965523</v>
      </c>
      <c r="Q308" s="1" t="s">
        <v>2564</v>
      </c>
      <c r="R308" s="1" t="s">
        <v>2565</v>
      </c>
      <c r="S308" s="1" t="s">
        <v>1117</v>
      </c>
      <c r="T308" s="1" t="s">
        <v>58</v>
      </c>
      <c r="U308" s="1">
        <v>5</v>
      </c>
      <c r="V308" s="1">
        <v>5</v>
      </c>
      <c r="W308" s="1" t="s">
        <v>2566</v>
      </c>
      <c r="X308" s="1" t="s">
        <v>2567</v>
      </c>
      <c r="Y308" s="3">
        <v>43277.069124884256</v>
      </c>
      <c r="Z308" s="1">
        <v>1</v>
      </c>
      <c r="AA308" s="1">
        <v>1</v>
      </c>
      <c r="AB308" s="1">
        <v>1</v>
      </c>
      <c r="AC308" s="1">
        <v>1</v>
      </c>
      <c r="AD308" s="3">
        <v>43285.31477827546</v>
      </c>
      <c r="AE308" s="1" t="s">
        <v>42</v>
      </c>
    </row>
    <row r="309" spans="1:31" x14ac:dyDescent="0.35">
      <c r="A309" s="1">
        <v>5021</v>
      </c>
      <c r="B309" s="1" t="s">
        <v>2568</v>
      </c>
      <c r="C309" s="1" t="s">
        <v>2569</v>
      </c>
      <c r="D309" s="1" t="s">
        <v>2570</v>
      </c>
      <c r="E309" s="1" t="s">
        <v>2570</v>
      </c>
      <c r="F309" s="1">
        <v>0</v>
      </c>
      <c r="G309" s="3">
        <v>35284</v>
      </c>
      <c r="H309" s="1">
        <v>1</v>
      </c>
      <c r="I309" s="1" t="s">
        <v>63</v>
      </c>
      <c r="J309" s="1" t="s">
        <v>474</v>
      </c>
      <c r="K309" s="2">
        <f>91-9999999999</f>
        <v>-9999999908</v>
      </c>
      <c r="L309" s="1" t="s">
        <v>58</v>
      </c>
      <c r="M309" s="1">
        <v>6.02</v>
      </c>
      <c r="N309" s="1">
        <v>8</v>
      </c>
      <c r="O309" s="1" t="s">
        <v>2571</v>
      </c>
      <c r="P309" s="1">
        <f>91-8888888888</f>
        <v>-8888888797</v>
      </c>
      <c r="Q309" s="1" t="s">
        <v>2572</v>
      </c>
      <c r="R309" s="1" t="s">
        <v>2573</v>
      </c>
      <c r="S309" s="1" t="s">
        <v>488</v>
      </c>
      <c r="T309" s="1" t="s">
        <v>58</v>
      </c>
      <c r="U309" s="1">
        <v>5.03</v>
      </c>
      <c r="V309" s="1">
        <v>5.08</v>
      </c>
      <c r="W309" s="1" t="s">
        <v>2574</v>
      </c>
      <c r="X309" s="1" t="s">
        <v>2575</v>
      </c>
      <c r="Y309" s="3">
        <v>43282.233535763888</v>
      </c>
      <c r="Z309" s="1">
        <v>1</v>
      </c>
      <c r="AA309" s="1">
        <v>1</v>
      </c>
      <c r="AB309" s="1">
        <v>1</v>
      </c>
      <c r="AC309" s="1">
        <v>1</v>
      </c>
      <c r="AD309" s="3">
        <v>43303.106260069442</v>
      </c>
      <c r="AE309" s="1" t="s">
        <v>42</v>
      </c>
    </row>
    <row r="310" spans="1:31" x14ac:dyDescent="0.35">
      <c r="A310" s="1">
        <v>5025</v>
      </c>
      <c r="B310" s="1" t="s">
        <v>2576</v>
      </c>
      <c r="C310" s="1" t="s">
        <v>2577</v>
      </c>
      <c r="D310" s="1" t="s">
        <v>2578</v>
      </c>
      <c r="E310" s="1" t="s">
        <v>52</v>
      </c>
      <c r="F310" s="1">
        <v>1</v>
      </c>
      <c r="G310" s="3">
        <v>32100</v>
      </c>
      <c r="H310" s="1">
        <v>1</v>
      </c>
      <c r="I310" s="1" t="s">
        <v>63</v>
      </c>
      <c r="J310" s="1" t="s">
        <v>2579</v>
      </c>
      <c r="K310" s="2">
        <f>91-9723317066</f>
        <v>-9723316975</v>
      </c>
      <c r="L310" s="1" t="s">
        <v>37</v>
      </c>
      <c r="M310" s="1">
        <v>5.03</v>
      </c>
      <c r="N310" s="1">
        <v>3</v>
      </c>
      <c r="O310" s="1" t="s">
        <v>2580</v>
      </c>
      <c r="P310" s="1">
        <f>91-9586988110</f>
        <v>-9586988019</v>
      </c>
      <c r="Q310" s="1" t="s">
        <v>2581</v>
      </c>
      <c r="R310" s="1" t="s">
        <v>2582</v>
      </c>
      <c r="S310" s="1" t="s">
        <v>936</v>
      </c>
      <c r="T310" s="1" t="s">
        <v>37</v>
      </c>
      <c r="U310" s="1">
        <v>5</v>
      </c>
      <c r="V310" s="1">
        <v>5.01</v>
      </c>
      <c r="X310" s="1" t="s">
        <v>2583</v>
      </c>
      <c r="Y310" s="3">
        <v>43286.206855520832</v>
      </c>
      <c r="Z310" s="1">
        <v>1</v>
      </c>
      <c r="AA310" s="1">
        <v>1</v>
      </c>
      <c r="AB310" s="1">
        <v>1</v>
      </c>
      <c r="AC310" s="1">
        <v>1</v>
      </c>
      <c r="AD310" s="3">
        <v>43324.453730752313</v>
      </c>
      <c r="AE310" s="1" t="s">
        <v>42</v>
      </c>
    </row>
    <row r="311" spans="1:31" x14ac:dyDescent="0.35">
      <c r="A311" s="1">
        <v>5027</v>
      </c>
      <c r="B311" s="1" t="s">
        <v>2584</v>
      </c>
      <c r="C311" s="1" t="s">
        <v>2585</v>
      </c>
      <c r="D311" s="1" t="s">
        <v>662</v>
      </c>
      <c r="E311" s="1" t="s">
        <v>228</v>
      </c>
      <c r="F311" s="1">
        <v>1</v>
      </c>
      <c r="G311" s="3">
        <v>32511</v>
      </c>
      <c r="H311" s="1">
        <v>1</v>
      </c>
      <c r="I311" s="1" t="s">
        <v>35</v>
      </c>
      <c r="J311" s="1" t="s">
        <v>106</v>
      </c>
      <c r="K311" s="2">
        <f>91-8087044220</f>
        <v>-8087044129</v>
      </c>
      <c r="L311" s="1" t="s">
        <v>37</v>
      </c>
      <c r="M311" s="1">
        <v>5.0199999999999996</v>
      </c>
      <c r="N311" s="1">
        <v>16</v>
      </c>
      <c r="O311" s="1" t="s">
        <v>2586</v>
      </c>
      <c r="P311" s="1">
        <f>91-9518376944</f>
        <v>-9518376853</v>
      </c>
      <c r="Q311" s="1" t="s">
        <v>2587</v>
      </c>
      <c r="R311" s="1" t="s">
        <v>2588</v>
      </c>
      <c r="S311" s="1" t="s">
        <v>1202</v>
      </c>
      <c r="T311" s="1" t="s">
        <v>37</v>
      </c>
      <c r="U311" s="1">
        <v>4.05</v>
      </c>
      <c r="V311" s="1">
        <v>5</v>
      </c>
      <c r="W311" s="1" t="s">
        <v>2589</v>
      </c>
      <c r="X311" s="1" t="s">
        <v>2590</v>
      </c>
      <c r="Y311" s="3">
        <v>43288.977094178241</v>
      </c>
      <c r="Z311" s="1">
        <v>1</v>
      </c>
      <c r="AA311" s="1">
        <v>1</v>
      </c>
      <c r="AB311" s="1">
        <v>1</v>
      </c>
      <c r="AC311" s="1">
        <v>1</v>
      </c>
      <c r="AD311" s="3">
        <v>43613.706923576392</v>
      </c>
      <c r="AE311" s="1" t="s">
        <v>42</v>
      </c>
    </row>
    <row r="312" spans="1:31" x14ac:dyDescent="0.35">
      <c r="A312" s="1">
        <v>5028</v>
      </c>
      <c r="B312" s="1" t="s">
        <v>2591</v>
      </c>
      <c r="C312" s="1" t="s">
        <v>2592</v>
      </c>
      <c r="D312" s="1" t="s">
        <v>2593</v>
      </c>
      <c r="E312" s="1" t="s">
        <v>52</v>
      </c>
      <c r="F312" s="1">
        <v>1</v>
      </c>
      <c r="G312" s="3">
        <v>30547</v>
      </c>
      <c r="H312" s="1">
        <v>1</v>
      </c>
      <c r="I312" s="1" t="s">
        <v>63</v>
      </c>
      <c r="J312" s="1" t="s">
        <v>64</v>
      </c>
      <c r="K312" s="2">
        <f>91-7874434666</f>
        <v>-7874434575</v>
      </c>
      <c r="L312" s="1" t="s">
        <v>37</v>
      </c>
      <c r="M312" s="1">
        <v>5.03</v>
      </c>
      <c r="N312" s="1">
        <v>21</v>
      </c>
      <c r="O312" s="1" t="s">
        <v>2594</v>
      </c>
      <c r="P312" s="1">
        <f>91-9408129899</f>
        <v>-9408129808</v>
      </c>
      <c r="Q312" s="1" t="s">
        <v>42</v>
      </c>
      <c r="R312" s="1" t="s">
        <v>42</v>
      </c>
      <c r="S312" s="1" t="s">
        <v>2595</v>
      </c>
      <c r="T312" s="1" t="s">
        <v>140</v>
      </c>
      <c r="U312" s="1">
        <v>4.0999999999999996</v>
      </c>
      <c r="V312" s="1">
        <v>5.03</v>
      </c>
      <c r="W312" s="1" t="s">
        <v>2596</v>
      </c>
      <c r="X312" s="1" t="s">
        <v>2597</v>
      </c>
      <c r="Y312" s="3">
        <v>43289.255678738424</v>
      </c>
      <c r="Z312" s="1">
        <v>1</v>
      </c>
      <c r="AA312" s="1">
        <v>1</v>
      </c>
      <c r="AB312" s="1">
        <v>1</v>
      </c>
      <c r="AC312" s="1">
        <v>1</v>
      </c>
      <c r="AD312" s="3">
        <v>43379.583202812501</v>
      </c>
      <c r="AE312" s="1" t="s">
        <v>42</v>
      </c>
    </row>
    <row r="313" spans="1:31" x14ac:dyDescent="0.35">
      <c r="A313" s="1">
        <v>5030</v>
      </c>
      <c r="B313" s="1">
        <v>8490074340</v>
      </c>
      <c r="C313" s="1">
        <v>8490074340</v>
      </c>
      <c r="D313" s="1" t="s">
        <v>52</v>
      </c>
      <c r="E313" s="1" t="s">
        <v>672</v>
      </c>
      <c r="F313" s="1">
        <v>1</v>
      </c>
      <c r="G313" s="3">
        <v>35264</v>
      </c>
      <c r="H313" s="1">
        <v>1</v>
      </c>
      <c r="I313" s="1" t="s">
        <v>63</v>
      </c>
      <c r="J313" s="1" t="s">
        <v>115</v>
      </c>
      <c r="K313" s="2">
        <f>91-9429927185</f>
        <v>-9429927094</v>
      </c>
      <c r="L313" s="1" t="s">
        <v>58</v>
      </c>
      <c r="M313" s="1">
        <v>5.09</v>
      </c>
      <c r="N313" s="1">
        <v>10</v>
      </c>
      <c r="O313" s="1" t="s">
        <v>2598</v>
      </c>
      <c r="P313" s="1">
        <f>91-9429927185</f>
        <v>-9429927094</v>
      </c>
      <c r="Q313" s="1" t="s">
        <v>2599</v>
      </c>
      <c r="R313" s="1" t="s">
        <v>2600</v>
      </c>
      <c r="S313" s="1" t="s">
        <v>130</v>
      </c>
      <c r="T313" s="1" t="s">
        <v>58</v>
      </c>
      <c r="U313" s="1">
        <v>5.05</v>
      </c>
      <c r="V313" s="1">
        <v>5.09</v>
      </c>
      <c r="W313" s="1" t="s">
        <v>2601</v>
      </c>
      <c r="X313" s="1" t="s">
        <v>2602</v>
      </c>
      <c r="Y313" s="3">
        <v>43290.178805752315</v>
      </c>
      <c r="Z313" s="1">
        <v>1</v>
      </c>
      <c r="AA313" s="1">
        <v>1</v>
      </c>
      <c r="AB313" s="1">
        <v>1</v>
      </c>
      <c r="AC313" s="1">
        <v>1</v>
      </c>
      <c r="AD313" s="3">
        <v>43301.156334837964</v>
      </c>
      <c r="AE313" s="1" t="s">
        <v>42</v>
      </c>
    </row>
    <row r="314" spans="1:31" x14ac:dyDescent="0.35">
      <c r="A314" s="1">
        <v>5039</v>
      </c>
      <c r="B314" s="1" t="s">
        <v>2603</v>
      </c>
      <c r="C314" s="1" t="s">
        <v>2604</v>
      </c>
      <c r="D314" s="1" t="s">
        <v>2605</v>
      </c>
      <c r="E314" s="1" t="s">
        <v>238</v>
      </c>
      <c r="F314" s="1">
        <v>1</v>
      </c>
      <c r="G314" s="3">
        <v>33803</v>
      </c>
      <c r="H314" s="1">
        <v>1</v>
      </c>
      <c r="I314" s="1" t="s">
        <v>63</v>
      </c>
      <c r="J314" s="1" t="s">
        <v>64</v>
      </c>
      <c r="K314" s="2">
        <f>91-9033042110</f>
        <v>-9033042019</v>
      </c>
      <c r="L314" s="1" t="s">
        <v>58</v>
      </c>
      <c r="M314" s="1">
        <v>5.08</v>
      </c>
      <c r="N314" s="1">
        <v>11</v>
      </c>
      <c r="O314" s="1" t="s">
        <v>2606</v>
      </c>
      <c r="P314" s="1">
        <f>91-9601125996</f>
        <v>-9601125905</v>
      </c>
      <c r="Q314" s="1" t="s">
        <v>2607</v>
      </c>
      <c r="R314" s="1" t="s">
        <v>2608</v>
      </c>
      <c r="S314" s="1" t="s">
        <v>438</v>
      </c>
      <c r="T314" s="1" t="s">
        <v>58</v>
      </c>
      <c r="U314" s="1">
        <v>5</v>
      </c>
      <c r="V314" s="1">
        <v>5.03</v>
      </c>
      <c r="W314" s="1" t="s">
        <v>2609</v>
      </c>
      <c r="X314" s="1" t="s">
        <v>2610</v>
      </c>
      <c r="Y314" s="3">
        <v>43331.056624421297</v>
      </c>
      <c r="Z314" s="1">
        <v>1</v>
      </c>
      <c r="AA314" s="1">
        <v>1</v>
      </c>
      <c r="AB314" s="1">
        <v>1</v>
      </c>
      <c r="AC314" s="1">
        <v>1</v>
      </c>
      <c r="AD314" s="3">
        <v>43331.404274340275</v>
      </c>
      <c r="AE314" s="1" t="s">
        <v>42</v>
      </c>
    </row>
    <row r="315" spans="1:31" x14ac:dyDescent="0.35">
      <c r="A315" s="1">
        <v>5041</v>
      </c>
      <c r="B315" s="1" t="s">
        <v>2611</v>
      </c>
      <c r="C315" s="1" t="s">
        <v>2612</v>
      </c>
      <c r="D315" s="1" t="s">
        <v>2613</v>
      </c>
      <c r="E315" s="1" t="s">
        <v>83</v>
      </c>
      <c r="F315" s="1">
        <v>1</v>
      </c>
      <c r="G315" s="3">
        <v>32923</v>
      </c>
      <c r="H315" s="1">
        <v>1</v>
      </c>
      <c r="I315" s="1" t="s">
        <v>1241</v>
      </c>
      <c r="K315" s="2">
        <f>91-9030597038</f>
        <v>-9030596947</v>
      </c>
      <c r="L315" s="1" t="s">
        <v>58</v>
      </c>
      <c r="M315" s="1">
        <v>5.07</v>
      </c>
      <c r="N315" s="1">
        <v>10</v>
      </c>
      <c r="O315" s="1" t="s">
        <v>2614</v>
      </c>
      <c r="P315" s="1">
        <f>91-9030597038</f>
        <v>-9030596947</v>
      </c>
      <c r="Q315" s="1" t="s">
        <v>2615</v>
      </c>
      <c r="R315" s="1" t="s">
        <v>2616</v>
      </c>
      <c r="S315" s="1" t="s">
        <v>286</v>
      </c>
      <c r="T315" s="1" t="s">
        <v>58</v>
      </c>
      <c r="U315" s="1">
        <v>5.03</v>
      </c>
      <c r="V315" s="1">
        <v>5.03</v>
      </c>
      <c r="W315" s="1" t="s">
        <v>2617</v>
      </c>
      <c r="X315" s="1" t="s">
        <v>2618</v>
      </c>
      <c r="Y315" s="3">
        <v>43337.128363159725</v>
      </c>
      <c r="Z315" s="1">
        <v>1</v>
      </c>
      <c r="AA315" s="1">
        <v>1</v>
      </c>
      <c r="AB315" s="1">
        <v>1</v>
      </c>
      <c r="AC315" s="1">
        <v>1</v>
      </c>
      <c r="AD315" s="3">
        <v>43347.460192094906</v>
      </c>
      <c r="AE315" s="1" t="s">
        <v>42</v>
      </c>
    </row>
    <row r="316" spans="1:31" x14ac:dyDescent="0.35">
      <c r="A316" s="1">
        <v>5046</v>
      </c>
      <c r="B316" s="1" t="s">
        <v>2619</v>
      </c>
      <c r="C316" s="1" t="s">
        <v>2620</v>
      </c>
      <c r="D316" s="1" t="s">
        <v>2621</v>
      </c>
      <c r="E316" s="1" t="s">
        <v>83</v>
      </c>
      <c r="F316" s="1">
        <v>1</v>
      </c>
      <c r="G316" s="3">
        <v>34047</v>
      </c>
      <c r="H316" s="1">
        <v>1</v>
      </c>
      <c r="I316" s="1" t="s">
        <v>63</v>
      </c>
      <c r="J316" s="1" t="s">
        <v>370</v>
      </c>
      <c r="K316" s="2">
        <f>91-9033264193</f>
        <v>-9033264102</v>
      </c>
      <c r="L316" s="1" t="s">
        <v>58</v>
      </c>
      <c r="M316" s="1">
        <v>5.0599999999999996</v>
      </c>
      <c r="N316" s="1">
        <v>10</v>
      </c>
      <c r="O316" s="1" t="s">
        <v>2622</v>
      </c>
      <c r="P316" s="1">
        <f>91-9824179184</f>
        <v>-9824179093</v>
      </c>
      <c r="Q316" s="1" t="s">
        <v>2623</v>
      </c>
      <c r="R316" s="1" t="s">
        <v>2624</v>
      </c>
      <c r="S316" s="1" t="s">
        <v>171</v>
      </c>
      <c r="T316" s="1" t="s">
        <v>58</v>
      </c>
      <c r="U316" s="1">
        <v>5.05</v>
      </c>
      <c r="V316" s="1">
        <v>5.05</v>
      </c>
      <c r="W316" s="1" t="s">
        <v>2625</v>
      </c>
      <c r="X316" s="1" t="s">
        <v>2626</v>
      </c>
      <c r="Y316" s="3">
        <v>43348.810815046294</v>
      </c>
      <c r="Z316" s="1">
        <v>1</v>
      </c>
      <c r="AA316" s="1">
        <v>1</v>
      </c>
      <c r="AB316" s="1">
        <v>1</v>
      </c>
      <c r="AC316" s="1">
        <v>1</v>
      </c>
      <c r="AD316" s="3">
        <v>43348.810815046294</v>
      </c>
      <c r="AE316" s="1" t="s">
        <v>42</v>
      </c>
    </row>
    <row r="317" spans="1:31" x14ac:dyDescent="0.35">
      <c r="A317" s="1">
        <v>5048</v>
      </c>
      <c r="B317" s="1" t="s">
        <v>2627</v>
      </c>
      <c r="C317" s="1" t="s">
        <v>2628</v>
      </c>
      <c r="D317" s="1" t="s">
        <v>51</v>
      </c>
      <c r="E317" s="1" t="s">
        <v>52</v>
      </c>
      <c r="F317" s="1">
        <v>1</v>
      </c>
      <c r="G317" s="3">
        <v>33468</v>
      </c>
      <c r="H317" s="1">
        <v>1</v>
      </c>
      <c r="I317" s="1" t="s">
        <v>445</v>
      </c>
      <c r="J317" s="1" t="s">
        <v>2629</v>
      </c>
      <c r="K317" s="2">
        <f>91-9853749047</f>
        <v>-9853748956</v>
      </c>
      <c r="L317" s="1" t="s">
        <v>58</v>
      </c>
      <c r="M317" s="1">
        <v>5.09</v>
      </c>
      <c r="N317" s="1">
        <v>27</v>
      </c>
      <c r="O317" s="1" t="s">
        <v>2630</v>
      </c>
      <c r="P317" s="1">
        <f>91-7894960526</f>
        <v>-7894960435</v>
      </c>
      <c r="Q317" s="1" t="s">
        <v>1059</v>
      </c>
      <c r="R317" s="1" t="s">
        <v>2631</v>
      </c>
      <c r="S317" s="1" t="s">
        <v>891</v>
      </c>
      <c r="T317" s="1" t="s">
        <v>58</v>
      </c>
      <c r="U317" s="1">
        <v>5.04</v>
      </c>
      <c r="V317" s="1">
        <v>5.0599999999999996</v>
      </c>
      <c r="W317" s="1" t="s">
        <v>2632</v>
      </c>
      <c r="X317" s="1" t="s">
        <v>2633</v>
      </c>
      <c r="Y317" s="3">
        <v>43351.099422997686</v>
      </c>
      <c r="Z317" s="1">
        <v>1</v>
      </c>
      <c r="AA317" s="1">
        <v>1</v>
      </c>
      <c r="AB317" s="1">
        <v>1</v>
      </c>
      <c r="AC317" s="1">
        <v>1</v>
      </c>
      <c r="AD317" s="3">
        <v>44080.855835729169</v>
      </c>
      <c r="AE317" s="1" t="s">
        <v>42</v>
      </c>
    </row>
    <row r="318" spans="1:31" x14ac:dyDescent="0.35">
      <c r="A318" s="1">
        <v>5053</v>
      </c>
      <c r="B318" s="1" t="s">
        <v>2634</v>
      </c>
      <c r="C318" s="1" t="s">
        <v>2635</v>
      </c>
      <c r="D318" s="1" t="s">
        <v>2636</v>
      </c>
      <c r="E318" s="1" t="s">
        <v>52</v>
      </c>
      <c r="F318" s="1">
        <v>0</v>
      </c>
      <c r="G318" s="3">
        <v>33856</v>
      </c>
      <c r="H318" s="1">
        <v>1</v>
      </c>
      <c r="I318" s="1" t="s">
        <v>125</v>
      </c>
      <c r="J318" s="1" t="s">
        <v>126</v>
      </c>
      <c r="K318" s="2">
        <f>91-9844506080</f>
        <v>-9844505989</v>
      </c>
      <c r="L318" s="1" t="s">
        <v>58</v>
      </c>
      <c r="M318" s="1">
        <v>5.04</v>
      </c>
      <c r="N318" s="1">
        <v>19</v>
      </c>
      <c r="O318" s="1" t="s">
        <v>2637</v>
      </c>
      <c r="P318" s="1">
        <f>91-9964646208</f>
        <v>-9964646117</v>
      </c>
      <c r="Q318" s="1" t="s">
        <v>2638</v>
      </c>
      <c r="R318" s="1" t="s">
        <v>2639</v>
      </c>
      <c r="S318" s="1" t="s">
        <v>1003</v>
      </c>
      <c r="T318" s="1" t="s">
        <v>58</v>
      </c>
      <c r="U318" s="1">
        <v>6</v>
      </c>
      <c r="V318" s="1">
        <v>6</v>
      </c>
      <c r="W318" s="1" t="s">
        <v>2640</v>
      </c>
      <c r="X318" s="1" t="s">
        <v>2641</v>
      </c>
      <c r="Y318" s="3">
        <v>43376.095824687502</v>
      </c>
      <c r="Z318" s="1">
        <v>1</v>
      </c>
      <c r="AA318" s="1">
        <v>1</v>
      </c>
      <c r="AB318" s="1">
        <v>1</v>
      </c>
      <c r="AC318" s="1">
        <v>1</v>
      </c>
      <c r="AD318" s="3">
        <v>43377.27407615741</v>
      </c>
      <c r="AE318" s="1" t="s">
        <v>42</v>
      </c>
    </row>
    <row r="319" spans="1:31" x14ac:dyDescent="0.35">
      <c r="A319" s="1">
        <v>5056</v>
      </c>
      <c r="B319" s="1" t="s">
        <v>2642</v>
      </c>
      <c r="C319" s="1" t="s">
        <v>2643</v>
      </c>
      <c r="D319" s="1" t="s">
        <v>2644</v>
      </c>
      <c r="E319" s="1" t="s">
        <v>673</v>
      </c>
      <c r="F319" s="1">
        <v>1</v>
      </c>
      <c r="G319" s="3">
        <v>30608</v>
      </c>
      <c r="H319" s="1">
        <v>1</v>
      </c>
      <c r="I319" s="1" t="s">
        <v>63</v>
      </c>
      <c r="J319" s="1" t="s">
        <v>370</v>
      </c>
      <c r="K319" s="2">
        <f>91-9850226005</f>
        <v>-9850225914</v>
      </c>
      <c r="L319" s="1" t="s">
        <v>37</v>
      </c>
      <c r="M319" s="1">
        <v>5.0199999999999996</v>
      </c>
      <c r="N319" s="1">
        <v>46</v>
      </c>
      <c r="O319" s="1" t="s">
        <v>76</v>
      </c>
      <c r="P319" s="1">
        <f>91-9850226005</f>
        <v>-9850225914</v>
      </c>
      <c r="Q319" s="1" t="s">
        <v>2645</v>
      </c>
      <c r="R319" s="1" t="s">
        <v>2646</v>
      </c>
      <c r="S319" s="1" t="s">
        <v>2647</v>
      </c>
      <c r="T319" s="1" t="s">
        <v>44</v>
      </c>
      <c r="U319" s="1">
        <v>4</v>
      </c>
      <c r="V319" s="1">
        <v>5</v>
      </c>
      <c r="X319" s="1" t="s">
        <v>2648</v>
      </c>
      <c r="Y319" s="3">
        <v>43386.891930590275</v>
      </c>
      <c r="Z319" s="1">
        <v>1</v>
      </c>
      <c r="AA319" s="1">
        <v>1</v>
      </c>
      <c r="AB319" s="1">
        <v>1</v>
      </c>
      <c r="AC319" s="1">
        <v>1</v>
      </c>
      <c r="AD319" s="3">
        <v>43652.228718900464</v>
      </c>
      <c r="AE319" s="1" t="s">
        <v>42</v>
      </c>
    </row>
    <row r="320" spans="1:31" x14ac:dyDescent="0.35">
      <c r="A320" s="1">
        <v>5057</v>
      </c>
      <c r="B320" s="1" t="s">
        <v>2649</v>
      </c>
      <c r="C320" s="1" t="s">
        <v>2650</v>
      </c>
      <c r="D320" s="1" t="s">
        <v>2651</v>
      </c>
      <c r="E320" s="1" t="s">
        <v>2652</v>
      </c>
      <c r="F320" s="1">
        <v>0</v>
      </c>
      <c r="G320" s="3">
        <v>33658</v>
      </c>
      <c r="H320" s="1">
        <v>1</v>
      </c>
      <c r="I320" s="1" t="s">
        <v>63</v>
      </c>
      <c r="J320" s="1" t="s">
        <v>474</v>
      </c>
      <c r="K320" s="2">
        <f>91-8160939376</f>
        <v>-8160939285</v>
      </c>
      <c r="L320" s="1" t="s">
        <v>37</v>
      </c>
      <c r="M320" s="1">
        <v>5.03</v>
      </c>
      <c r="N320" s="1">
        <v>30</v>
      </c>
      <c r="O320" s="1" t="s">
        <v>2653</v>
      </c>
      <c r="P320" s="1" t="s">
        <v>54</v>
      </c>
      <c r="Q320" s="1" t="s">
        <v>2654</v>
      </c>
      <c r="R320" s="1" t="s">
        <v>2655</v>
      </c>
      <c r="S320" s="1" t="s">
        <v>87</v>
      </c>
      <c r="T320" s="1" t="s">
        <v>256</v>
      </c>
      <c r="U320" s="1">
        <v>5.05</v>
      </c>
      <c r="V320" s="1">
        <v>6</v>
      </c>
      <c r="W320" s="1" t="s">
        <v>2656</v>
      </c>
      <c r="X320" s="1" t="s">
        <v>2657</v>
      </c>
      <c r="Y320" s="3">
        <v>43391.321659259258</v>
      </c>
      <c r="Z320" s="1">
        <v>1</v>
      </c>
      <c r="AA320" s="1">
        <v>1</v>
      </c>
      <c r="AB320" s="1">
        <v>1</v>
      </c>
      <c r="AC320" s="1">
        <v>1</v>
      </c>
      <c r="AD320" s="3">
        <v>43404.412274571761</v>
      </c>
      <c r="AE320" s="1" t="s">
        <v>42</v>
      </c>
    </row>
    <row r="321" spans="1:31" x14ac:dyDescent="0.35">
      <c r="A321" s="1">
        <v>5059</v>
      </c>
      <c r="B321" s="1" t="s">
        <v>2658</v>
      </c>
      <c r="C321" s="1" t="s">
        <v>2659</v>
      </c>
      <c r="D321" s="1" t="s">
        <v>2660</v>
      </c>
      <c r="E321" s="1" t="s">
        <v>2661</v>
      </c>
      <c r="F321" s="1">
        <v>1</v>
      </c>
      <c r="G321" s="3">
        <v>33224</v>
      </c>
      <c r="H321" s="1">
        <v>1</v>
      </c>
      <c r="I321" s="1" t="s">
        <v>63</v>
      </c>
      <c r="J321" s="1" t="s">
        <v>64</v>
      </c>
      <c r="K321" s="2">
        <f>91-9099275174</f>
        <v>-9099275083</v>
      </c>
      <c r="L321" s="1" t="s">
        <v>58</v>
      </c>
      <c r="M321" s="1">
        <v>5.0999999999999996</v>
      </c>
      <c r="N321" s="1">
        <v>3</v>
      </c>
      <c r="O321" s="1" t="s">
        <v>2662</v>
      </c>
      <c r="P321" s="1">
        <f>91-9099275174</f>
        <v>-9099275083</v>
      </c>
      <c r="Q321" s="1" t="s">
        <v>2663</v>
      </c>
      <c r="R321" s="1" t="s">
        <v>2664</v>
      </c>
      <c r="S321" s="1" t="s">
        <v>192</v>
      </c>
      <c r="T321" s="1" t="s">
        <v>44</v>
      </c>
      <c r="U321" s="1">
        <v>5.03</v>
      </c>
      <c r="V321" s="1">
        <v>5.1100000000000003</v>
      </c>
      <c r="W321" s="1" t="s">
        <v>2665</v>
      </c>
      <c r="X321" s="1" t="s">
        <v>2666</v>
      </c>
      <c r="Y321" s="3">
        <v>43394.32903572917</v>
      </c>
      <c r="Z321" s="1">
        <v>1</v>
      </c>
      <c r="AA321" s="1">
        <v>1</v>
      </c>
      <c r="AB321" s="1">
        <v>1</v>
      </c>
      <c r="AC321" s="1">
        <v>1</v>
      </c>
      <c r="AD321" s="3">
        <v>43404.660722303241</v>
      </c>
      <c r="AE321" s="1" t="s">
        <v>42</v>
      </c>
    </row>
    <row r="322" spans="1:31" x14ac:dyDescent="0.35">
      <c r="A322" s="1">
        <v>5060</v>
      </c>
      <c r="B322" s="1" t="s">
        <v>2667</v>
      </c>
      <c r="C322" s="1" t="s">
        <v>717</v>
      </c>
      <c r="D322" s="1" t="s">
        <v>2668</v>
      </c>
      <c r="E322" s="1" t="s">
        <v>2669</v>
      </c>
      <c r="F322" s="1">
        <v>1</v>
      </c>
      <c r="G322" s="3">
        <v>32488</v>
      </c>
      <c r="H322" s="1">
        <v>1</v>
      </c>
      <c r="I322" s="1" t="s">
        <v>35</v>
      </c>
      <c r="J322" s="1" t="s">
        <v>36</v>
      </c>
      <c r="K322" s="2">
        <f>91-9029808592</f>
        <v>-9029808501</v>
      </c>
      <c r="L322" s="1" t="s">
        <v>58</v>
      </c>
      <c r="M322" s="1">
        <v>5.0999999999999996</v>
      </c>
      <c r="N322" s="1">
        <v>12</v>
      </c>
      <c r="O322" s="1" t="s">
        <v>2670</v>
      </c>
      <c r="P322" s="1">
        <f>91-9029808592</f>
        <v>-9029808501</v>
      </c>
      <c r="Q322" s="1" t="s">
        <v>2671</v>
      </c>
      <c r="R322" s="1" t="s">
        <v>2672</v>
      </c>
      <c r="S322" s="1" t="s">
        <v>1309</v>
      </c>
      <c r="T322" s="1" t="s">
        <v>58</v>
      </c>
      <c r="U322" s="1">
        <v>5.04</v>
      </c>
      <c r="V322" s="1">
        <v>5.0999999999999996</v>
      </c>
      <c r="W322" s="1" t="s">
        <v>2673</v>
      </c>
      <c r="X322" s="1" t="s">
        <v>2674</v>
      </c>
      <c r="Y322" s="3">
        <v>43394.971974305554</v>
      </c>
      <c r="Z322" s="1">
        <v>1</v>
      </c>
      <c r="AA322" s="1">
        <v>1</v>
      </c>
      <c r="AB322" s="1">
        <v>1</v>
      </c>
      <c r="AC322" s="1">
        <v>1</v>
      </c>
      <c r="AD322" s="3">
        <v>43405.358093900461</v>
      </c>
      <c r="AE322" s="1" t="s">
        <v>42</v>
      </c>
    </row>
    <row r="323" spans="1:31" x14ac:dyDescent="0.35">
      <c r="A323" s="1">
        <v>5068</v>
      </c>
      <c r="B323" s="1" t="s">
        <v>2675</v>
      </c>
      <c r="C323" s="1" t="s">
        <v>2676</v>
      </c>
      <c r="D323" s="1" t="s">
        <v>2677</v>
      </c>
      <c r="E323" s="1" t="s">
        <v>2678</v>
      </c>
      <c r="F323" s="1">
        <v>1</v>
      </c>
      <c r="G323" s="3">
        <v>30082</v>
      </c>
      <c r="H323" s="1">
        <v>1</v>
      </c>
      <c r="I323" s="1" t="s">
        <v>63</v>
      </c>
      <c r="J323" s="1" t="s">
        <v>370</v>
      </c>
      <c r="K323" s="2">
        <f>91-8140283841</f>
        <v>-8140283750</v>
      </c>
      <c r="L323" s="1" t="s">
        <v>37</v>
      </c>
      <c r="M323" s="1">
        <v>5</v>
      </c>
      <c r="N323" s="1">
        <v>51</v>
      </c>
      <c r="O323" s="1" t="s">
        <v>2679</v>
      </c>
      <c r="P323" s="1" t="s">
        <v>54</v>
      </c>
      <c r="Q323" s="1" t="s">
        <v>2680</v>
      </c>
      <c r="R323" s="1" t="s">
        <v>2681</v>
      </c>
      <c r="S323" s="1" t="s">
        <v>2682</v>
      </c>
      <c r="T323" s="1" t="s">
        <v>2139</v>
      </c>
      <c r="U323" s="1">
        <v>4.05</v>
      </c>
      <c r="V323" s="1">
        <v>7.05</v>
      </c>
      <c r="W323" s="1" t="s">
        <v>2683</v>
      </c>
      <c r="X323" s="1" t="s">
        <v>2684</v>
      </c>
      <c r="Y323" s="3">
        <v>43416.393043865741</v>
      </c>
      <c r="Z323" s="1">
        <v>1</v>
      </c>
      <c r="AA323" s="1">
        <v>1</v>
      </c>
      <c r="AB323" s="1">
        <v>1</v>
      </c>
      <c r="AC323" s="1">
        <v>1</v>
      </c>
      <c r="AD323" s="3">
        <v>43416.393043865741</v>
      </c>
      <c r="AE323" s="1" t="s">
        <v>42</v>
      </c>
    </row>
    <row r="324" spans="1:31" x14ac:dyDescent="0.35">
      <c r="A324" s="1">
        <v>5072</v>
      </c>
      <c r="B324" s="1" t="s">
        <v>2685</v>
      </c>
      <c r="C324" s="1" t="s">
        <v>2686</v>
      </c>
      <c r="D324" s="1" t="s">
        <v>586</v>
      </c>
      <c r="E324" s="1" t="s">
        <v>52</v>
      </c>
      <c r="F324" s="1">
        <v>1</v>
      </c>
      <c r="G324" s="3">
        <v>33812</v>
      </c>
      <c r="H324" s="1">
        <v>1</v>
      </c>
      <c r="I324" s="1" t="s">
        <v>35</v>
      </c>
      <c r="J324" s="1" t="s">
        <v>506</v>
      </c>
      <c r="K324" s="2">
        <f>91-9405701655</f>
        <v>-9405701564</v>
      </c>
      <c r="L324" s="1" t="s">
        <v>58</v>
      </c>
      <c r="M324" s="1">
        <v>5.0599999999999996</v>
      </c>
      <c r="N324" s="1">
        <v>11</v>
      </c>
      <c r="O324" s="1" t="s">
        <v>2687</v>
      </c>
      <c r="P324" s="1">
        <f>91-9422548752</f>
        <v>-9422548661</v>
      </c>
      <c r="Q324" s="1" t="s">
        <v>2688</v>
      </c>
      <c r="R324" s="1" t="s">
        <v>2689</v>
      </c>
      <c r="S324" s="1" t="s">
        <v>57</v>
      </c>
      <c r="T324" s="1" t="s">
        <v>58</v>
      </c>
      <c r="U324" s="1">
        <v>5.03</v>
      </c>
      <c r="V324" s="1">
        <v>5.03</v>
      </c>
      <c r="W324" s="1" t="s">
        <v>2690</v>
      </c>
      <c r="X324" s="1" t="s">
        <v>2691</v>
      </c>
      <c r="Y324" s="3">
        <v>43420.106495138891</v>
      </c>
      <c r="Z324" s="1">
        <v>1</v>
      </c>
      <c r="AA324" s="1">
        <v>1</v>
      </c>
      <c r="AB324" s="1">
        <v>1</v>
      </c>
      <c r="AC324" s="1">
        <v>1</v>
      </c>
      <c r="AD324" s="3">
        <v>43447.479382442129</v>
      </c>
      <c r="AE324" s="1" t="s">
        <v>42</v>
      </c>
    </row>
    <row r="325" spans="1:31" x14ac:dyDescent="0.35">
      <c r="A325" s="1">
        <v>5073</v>
      </c>
      <c r="B325" s="1" t="s">
        <v>2692</v>
      </c>
      <c r="C325" s="1" t="s">
        <v>2693</v>
      </c>
      <c r="D325" s="1" t="s">
        <v>2605</v>
      </c>
      <c r="E325" s="1" t="s">
        <v>2694</v>
      </c>
      <c r="F325" s="1">
        <v>1</v>
      </c>
      <c r="G325" s="3">
        <v>35086</v>
      </c>
      <c r="H325" s="1">
        <v>1</v>
      </c>
      <c r="I325" s="1" t="s">
        <v>35</v>
      </c>
      <c r="J325" s="1" t="s">
        <v>465</v>
      </c>
      <c r="K325" s="2">
        <f>91-9130724619</f>
        <v>-9130724528</v>
      </c>
      <c r="L325" s="1" t="s">
        <v>58</v>
      </c>
      <c r="M325" s="1">
        <v>5.04</v>
      </c>
      <c r="N325" s="1">
        <v>49</v>
      </c>
      <c r="O325" s="1" t="s">
        <v>2695</v>
      </c>
      <c r="P325" s="1">
        <f>91-9130724619</f>
        <v>-9130724528</v>
      </c>
      <c r="Q325" s="1" t="s">
        <v>2696</v>
      </c>
      <c r="R325" s="1" t="s">
        <v>2697</v>
      </c>
      <c r="S325" s="1" t="s">
        <v>2698</v>
      </c>
      <c r="T325" s="1" t="s">
        <v>58</v>
      </c>
      <c r="U325" s="1">
        <v>4.1100000000000003</v>
      </c>
      <c r="V325" s="1">
        <v>5.03</v>
      </c>
      <c r="W325" s="1" t="s">
        <v>2699</v>
      </c>
      <c r="X325" s="1" t="s">
        <v>2700</v>
      </c>
      <c r="Y325" s="3">
        <v>43420.170124571756</v>
      </c>
      <c r="Z325" s="1">
        <v>1</v>
      </c>
      <c r="AA325" s="1">
        <v>1</v>
      </c>
      <c r="AB325" s="1">
        <v>1</v>
      </c>
      <c r="AC325" s="1">
        <v>1</v>
      </c>
      <c r="AD325" s="3">
        <v>43503.509892905095</v>
      </c>
      <c r="AE325" s="1" t="s">
        <v>42</v>
      </c>
    </row>
    <row r="326" spans="1:31" x14ac:dyDescent="0.35">
      <c r="A326" s="1">
        <v>5075</v>
      </c>
      <c r="B326" s="1" t="s">
        <v>2701</v>
      </c>
      <c r="C326" s="1" t="s">
        <v>2702</v>
      </c>
      <c r="D326" s="1" t="s">
        <v>2703</v>
      </c>
      <c r="E326" s="1" t="s">
        <v>2704</v>
      </c>
      <c r="F326" s="1">
        <v>0</v>
      </c>
      <c r="G326" s="3">
        <v>33798</v>
      </c>
      <c r="H326" s="1">
        <v>1</v>
      </c>
      <c r="I326" s="1" t="s">
        <v>63</v>
      </c>
      <c r="J326" s="1" t="s">
        <v>115</v>
      </c>
      <c r="K326" s="2">
        <f>91-9890113310</f>
        <v>-9890113219</v>
      </c>
      <c r="L326" s="1" t="s">
        <v>58</v>
      </c>
      <c r="M326" s="1">
        <v>5.01</v>
      </c>
      <c r="N326" s="1">
        <v>40</v>
      </c>
      <c r="O326" s="1" t="s">
        <v>2705</v>
      </c>
      <c r="P326" s="1">
        <f>91-9375513310</f>
        <v>-9375513219</v>
      </c>
      <c r="Q326" s="1" t="s">
        <v>2706</v>
      </c>
      <c r="R326" s="1" t="s">
        <v>2707</v>
      </c>
      <c r="S326" s="1" t="s">
        <v>304</v>
      </c>
      <c r="T326" s="1" t="s">
        <v>58</v>
      </c>
      <c r="U326" s="1">
        <v>5.01</v>
      </c>
      <c r="V326" s="1">
        <v>5.07</v>
      </c>
      <c r="W326" s="1" t="s">
        <v>2708</v>
      </c>
      <c r="X326" s="1" t="s">
        <v>2709</v>
      </c>
      <c r="Y326" s="3">
        <v>43422.111277430558</v>
      </c>
      <c r="Z326" s="1">
        <v>1</v>
      </c>
      <c r="AA326" s="1">
        <v>1</v>
      </c>
      <c r="AB326" s="1">
        <v>1</v>
      </c>
      <c r="AC326" s="1">
        <v>1</v>
      </c>
      <c r="AD326" s="3">
        <v>43435.480681168985</v>
      </c>
      <c r="AE326" s="1" t="s">
        <v>42</v>
      </c>
    </row>
    <row r="327" spans="1:31" x14ac:dyDescent="0.35">
      <c r="A327" s="1">
        <v>5076</v>
      </c>
      <c r="B327" s="1" t="s">
        <v>2710</v>
      </c>
      <c r="C327" s="1" t="s">
        <v>2711</v>
      </c>
      <c r="D327" s="1" t="s">
        <v>1440</v>
      </c>
      <c r="E327" s="1" t="s">
        <v>52</v>
      </c>
      <c r="F327" s="1">
        <v>1</v>
      </c>
      <c r="G327" s="3">
        <v>33621</v>
      </c>
      <c r="H327" s="1">
        <v>1</v>
      </c>
      <c r="I327" s="1" t="s">
        <v>63</v>
      </c>
      <c r="J327" s="1" t="s">
        <v>64</v>
      </c>
      <c r="K327" s="2">
        <f>91-8141728188</f>
        <v>-8141728097</v>
      </c>
      <c r="L327" s="1" t="s">
        <v>58</v>
      </c>
      <c r="M327" s="1">
        <v>5.0599999999999996</v>
      </c>
      <c r="N327" s="1">
        <v>27</v>
      </c>
      <c r="O327" s="1" t="s">
        <v>2712</v>
      </c>
      <c r="P327" s="1">
        <f>91-8141728188</f>
        <v>-8141728097</v>
      </c>
      <c r="Q327" s="1" t="s">
        <v>2713</v>
      </c>
      <c r="R327" s="1" t="s">
        <v>2714</v>
      </c>
      <c r="S327" s="1" t="s">
        <v>57</v>
      </c>
      <c r="T327" s="1" t="s">
        <v>58</v>
      </c>
      <c r="U327" s="1">
        <v>5.0199999999999996</v>
      </c>
      <c r="V327" s="1">
        <v>5.0599999999999996</v>
      </c>
      <c r="W327" s="1" t="s">
        <v>2715</v>
      </c>
      <c r="X327" s="1" t="s">
        <v>2716</v>
      </c>
      <c r="Y327" s="3">
        <v>43422.39797283565</v>
      </c>
      <c r="Z327" s="1">
        <v>1</v>
      </c>
      <c r="AA327" s="1">
        <v>1</v>
      </c>
      <c r="AB327" s="1">
        <v>1</v>
      </c>
      <c r="AC327" s="1">
        <v>1</v>
      </c>
      <c r="AD327" s="3">
        <v>43422.39797283565</v>
      </c>
      <c r="AE327" s="1" t="s">
        <v>42</v>
      </c>
    </row>
    <row r="328" spans="1:31" x14ac:dyDescent="0.35">
      <c r="A328" s="1">
        <v>5079</v>
      </c>
      <c r="B328" s="1" t="s">
        <v>2717</v>
      </c>
      <c r="C328" s="1" t="s">
        <v>2718</v>
      </c>
      <c r="D328" s="1" t="s">
        <v>2719</v>
      </c>
      <c r="E328" s="1" t="s">
        <v>2720</v>
      </c>
      <c r="F328" s="1">
        <v>1</v>
      </c>
      <c r="G328" s="3">
        <v>33571</v>
      </c>
      <c r="H328" s="1">
        <v>1</v>
      </c>
      <c r="I328" s="1" t="s">
        <v>35</v>
      </c>
      <c r="J328" s="1" t="s">
        <v>2721</v>
      </c>
      <c r="K328" s="2">
        <f>91-9096676751</f>
        <v>-9096676660</v>
      </c>
      <c r="L328" s="1" t="s">
        <v>58</v>
      </c>
      <c r="M328" s="1">
        <v>5.08</v>
      </c>
      <c r="N328" s="1">
        <v>34</v>
      </c>
      <c r="O328" s="1" t="s">
        <v>2722</v>
      </c>
      <c r="P328" s="1">
        <f>91-7066949669</f>
        <v>-7066949578</v>
      </c>
      <c r="Q328" s="1" t="s">
        <v>2723</v>
      </c>
      <c r="R328" s="1" t="s">
        <v>2724</v>
      </c>
      <c r="S328" s="1" t="s">
        <v>581</v>
      </c>
      <c r="T328" s="1" t="s">
        <v>58</v>
      </c>
      <c r="U328" s="1">
        <v>5.04</v>
      </c>
      <c r="V328" s="1">
        <v>5.08</v>
      </c>
      <c r="W328" s="1" t="s">
        <v>2725</v>
      </c>
      <c r="X328" s="1" t="s">
        <v>2726</v>
      </c>
      <c r="Y328" s="3">
        <v>43424.927939201392</v>
      </c>
      <c r="Z328" s="1">
        <v>1</v>
      </c>
      <c r="AA328" s="1">
        <v>1</v>
      </c>
      <c r="AB328" s="1">
        <v>1</v>
      </c>
      <c r="AC328" s="1">
        <v>1</v>
      </c>
      <c r="AD328" s="3">
        <v>43483.725678437499</v>
      </c>
      <c r="AE328" s="1" t="s">
        <v>42</v>
      </c>
    </row>
    <row r="329" spans="1:31" x14ac:dyDescent="0.35">
      <c r="A329" s="1">
        <v>5080</v>
      </c>
      <c r="B329" s="1" t="s">
        <v>2727</v>
      </c>
      <c r="C329" s="1" t="s">
        <v>2728</v>
      </c>
      <c r="D329" s="1" t="s">
        <v>2729</v>
      </c>
      <c r="E329" s="1" t="s">
        <v>2730</v>
      </c>
      <c r="F329" s="1">
        <v>1</v>
      </c>
      <c r="G329" s="3">
        <v>33626</v>
      </c>
      <c r="H329" s="1">
        <v>1</v>
      </c>
      <c r="I329" s="1" t="s">
        <v>63</v>
      </c>
      <c r="J329" s="1" t="s">
        <v>115</v>
      </c>
      <c r="K329" s="2">
        <f>91-9429009693</f>
        <v>-9429009602</v>
      </c>
      <c r="L329" s="1" t="s">
        <v>58</v>
      </c>
      <c r="M329" s="1">
        <v>5.0599999999999996</v>
      </c>
      <c r="N329" s="1">
        <v>10</v>
      </c>
      <c r="O329" s="1" t="s">
        <v>2731</v>
      </c>
      <c r="P329" s="1">
        <f>91-9998497583</f>
        <v>-9998497492</v>
      </c>
      <c r="Q329" s="1" t="s">
        <v>2732</v>
      </c>
      <c r="R329" s="1" t="s">
        <v>2733</v>
      </c>
      <c r="S329" s="1" t="s">
        <v>213</v>
      </c>
      <c r="T329" s="1" t="s">
        <v>599</v>
      </c>
      <c r="U329" s="1">
        <v>4.05</v>
      </c>
      <c r="V329" s="1">
        <v>5.0599999999999996</v>
      </c>
      <c r="W329" s="1" t="s">
        <v>2734</v>
      </c>
      <c r="X329" s="1" t="s">
        <v>2735</v>
      </c>
      <c r="Y329" s="3">
        <v>43425.366616666666</v>
      </c>
      <c r="Z329" s="1">
        <v>1</v>
      </c>
      <c r="AA329" s="1">
        <v>1</v>
      </c>
      <c r="AB329" s="1">
        <v>1</v>
      </c>
      <c r="AC329" s="1">
        <v>1</v>
      </c>
      <c r="AD329" s="3">
        <v>43822.470100543978</v>
      </c>
      <c r="AE329" s="1" t="s">
        <v>42</v>
      </c>
    </row>
    <row r="330" spans="1:31" x14ac:dyDescent="0.35">
      <c r="A330" s="1">
        <v>5084</v>
      </c>
      <c r="B330" s="1" t="s">
        <v>2736</v>
      </c>
      <c r="C330" s="1" t="s">
        <v>2737</v>
      </c>
      <c r="D330" s="1" t="s">
        <v>2738</v>
      </c>
      <c r="E330" s="1" t="s">
        <v>71</v>
      </c>
      <c r="F330" s="1">
        <v>1</v>
      </c>
      <c r="G330" s="3">
        <v>34277</v>
      </c>
      <c r="H330" s="1">
        <v>1</v>
      </c>
      <c r="I330" s="1" t="s">
        <v>35</v>
      </c>
      <c r="J330" s="1" t="s">
        <v>157</v>
      </c>
      <c r="K330" s="2">
        <f>91-7588176308</f>
        <v>-7588176217</v>
      </c>
      <c r="L330" s="1" t="s">
        <v>58</v>
      </c>
      <c r="M330" s="1">
        <v>5.0999999999999996</v>
      </c>
      <c r="N330" s="1">
        <v>10</v>
      </c>
      <c r="O330" s="1" t="s">
        <v>2739</v>
      </c>
      <c r="P330" s="1">
        <f>91-7588176312</f>
        <v>-7588176221</v>
      </c>
      <c r="Q330" s="1" t="s">
        <v>2740</v>
      </c>
      <c r="R330" s="1" t="s">
        <v>2741</v>
      </c>
      <c r="S330" s="1" t="s">
        <v>1067</v>
      </c>
      <c r="T330" s="1" t="s">
        <v>58</v>
      </c>
      <c r="U330" s="1">
        <v>5</v>
      </c>
      <c r="V330" s="1">
        <v>5.0999999999999996</v>
      </c>
      <c r="W330" s="1" t="s">
        <v>2742</v>
      </c>
      <c r="X330" s="1" t="s">
        <v>2743</v>
      </c>
      <c r="Y330" s="3">
        <v>43426.932169826388</v>
      </c>
      <c r="Z330" s="1">
        <v>1</v>
      </c>
      <c r="AA330" s="1">
        <v>1</v>
      </c>
      <c r="AB330" s="1">
        <v>1</v>
      </c>
      <c r="AC330" s="1">
        <v>1</v>
      </c>
      <c r="AD330" s="3">
        <v>43426.932169826388</v>
      </c>
      <c r="AE330" s="1" t="s">
        <v>42</v>
      </c>
    </row>
    <row r="331" spans="1:31" x14ac:dyDescent="0.35">
      <c r="A331" s="1">
        <v>5086</v>
      </c>
      <c r="B331" s="1" t="s">
        <v>2744</v>
      </c>
      <c r="C331" s="1" t="s">
        <v>2745</v>
      </c>
      <c r="D331" s="1" t="s">
        <v>2746</v>
      </c>
      <c r="E331" s="1" t="s">
        <v>2678</v>
      </c>
      <c r="F331" s="1">
        <v>1</v>
      </c>
      <c r="G331" s="3">
        <v>33223</v>
      </c>
      <c r="H331" s="1">
        <v>1</v>
      </c>
      <c r="I331" s="1" t="s">
        <v>63</v>
      </c>
      <c r="J331" s="1" t="s">
        <v>64</v>
      </c>
      <c r="K331" s="2">
        <f>91-9434678601</f>
        <v>-9434678510</v>
      </c>
      <c r="L331" s="1" t="s">
        <v>58</v>
      </c>
      <c r="M331" s="1">
        <v>5.0599999999999996</v>
      </c>
      <c r="N331" s="1">
        <v>51</v>
      </c>
      <c r="O331" s="1" t="s">
        <v>2747</v>
      </c>
      <c r="P331" s="1">
        <f>91-9712293222</f>
        <v>-9712293131</v>
      </c>
      <c r="Q331" s="1" t="s">
        <v>2748</v>
      </c>
      <c r="R331" s="1" t="s">
        <v>2749</v>
      </c>
      <c r="S331" s="1" t="s">
        <v>499</v>
      </c>
      <c r="T331" s="1" t="s">
        <v>58</v>
      </c>
      <c r="U331" s="1">
        <v>4</v>
      </c>
      <c r="V331" s="1">
        <v>5.07</v>
      </c>
      <c r="W331" s="1" t="s">
        <v>2750</v>
      </c>
      <c r="X331" s="1" t="s">
        <v>2751</v>
      </c>
      <c r="Y331" s="3">
        <v>43431.304762187501</v>
      </c>
      <c r="Z331" s="1">
        <v>1</v>
      </c>
      <c r="AA331" s="1">
        <v>1</v>
      </c>
      <c r="AB331" s="1">
        <v>1</v>
      </c>
      <c r="AC331" s="1">
        <v>1</v>
      </c>
      <c r="AD331" s="3">
        <v>43544.579720949077</v>
      </c>
      <c r="AE331" s="1" t="s">
        <v>42</v>
      </c>
    </row>
    <row r="332" spans="1:31" x14ac:dyDescent="0.35">
      <c r="A332" s="1">
        <v>5089</v>
      </c>
      <c r="B332" s="1" t="s">
        <v>2752</v>
      </c>
      <c r="C332" s="1" t="s">
        <v>2753</v>
      </c>
      <c r="D332" s="1" t="s">
        <v>799</v>
      </c>
      <c r="E332" s="1" t="s">
        <v>673</v>
      </c>
      <c r="F332" s="1">
        <v>1</v>
      </c>
      <c r="G332" s="3">
        <v>31440</v>
      </c>
      <c r="H332" s="1">
        <v>1</v>
      </c>
      <c r="I332" s="1" t="s">
        <v>63</v>
      </c>
      <c r="J332" s="1" t="s">
        <v>370</v>
      </c>
      <c r="K332" s="2">
        <f>91-7874736925</f>
        <v>-7874736834</v>
      </c>
      <c r="L332" s="1" t="s">
        <v>58</v>
      </c>
      <c r="M332" s="1">
        <v>5.05</v>
      </c>
      <c r="N332" s="1">
        <v>46</v>
      </c>
      <c r="O332" s="1" t="s">
        <v>2754</v>
      </c>
      <c r="P332" s="1">
        <f>91-9638496402</f>
        <v>-9638496311</v>
      </c>
      <c r="Q332" s="1" t="s">
        <v>2755</v>
      </c>
      <c r="R332" s="1" t="s">
        <v>2756</v>
      </c>
      <c r="S332" s="1" t="s">
        <v>333</v>
      </c>
      <c r="T332" s="1" t="s">
        <v>58</v>
      </c>
      <c r="U332" s="1">
        <v>5.01</v>
      </c>
      <c r="V332" s="1">
        <v>5.05</v>
      </c>
      <c r="W332" s="1" t="s">
        <v>2757</v>
      </c>
      <c r="X332" s="1" t="s">
        <v>2758</v>
      </c>
      <c r="Y332" s="3">
        <v>43440.372209224537</v>
      </c>
      <c r="Z332" s="1">
        <v>1</v>
      </c>
      <c r="AA332" s="1">
        <v>1</v>
      </c>
      <c r="AB332" s="1">
        <v>1</v>
      </c>
      <c r="AC332" s="1">
        <v>1</v>
      </c>
      <c r="AD332" s="3">
        <v>43535.341110879628</v>
      </c>
      <c r="AE332" s="1" t="s">
        <v>42</v>
      </c>
    </row>
    <row r="333" spans="1:31" x14ac:dyDescent="0.35">
      <c r="A333" s="1">
        <v>5092</v>
      </c>
      <c r="B333" s="1" t="s">
        <v>2759</v>
      </c>
      <c r="C333" s="1" t="s">
        <v>2760</v>
      </c>
      <c r="D333" s="1" t="s">
        <v>2761</v>
      </c>
      <c r="E333" s="1" t="s">
        <v>2762</v>
      </c>
      <c r="F333" s="1">
        <v>1</v>
      </c>
      <c r="G333" s="3">
        <v>32064</v>
      </c>
      <c r="H333" s="1">
        <v>1</v>
      </c>
      <c r="I333" s="1" t="s">
        <v>63</v>
      </c>
      <c r="J333" s="1" t="s">
        <v>459</v>
      </c>
      <c r="K333" s="2">
        <f>91-9824863590</f>
        <v>-9824863499</v>
      </c>
      <c r="L333" s="1" t="s">
        <v>58</v>
      </c>
      <c r="M333" s="1">
        <v>5.03</v>
      </c>
      <c r="N333" s="1">
        <v>44</v>
      </c>
      <c r="O333" s="1" t="s">
        <v>2763</v>
      </c>
      <c r="P333" s="1">
        <f>91-9016744155</f>
        <v>-9016744064</v>
      </c>
      <c r="Q333" s="1" t="s">
        <v>1027</v>
      </c>
      <c r="R333" s="1" t="s">
        <v>2764</v>
      </c>
      <c r="S333" s="1" t="s">
        <v>333</v>
      </c>
      <c r="T333" s="1" t="s">
        <v>58</v>
      </c>
      <c r="U333" s="1">
        <v>4.0999999999999996</v>
      </c>
      <c r="V333" s="1">
        <v>4.0999999999999996</v>
      </c>
      <c r="W333" s="1" t="s">
        <v>2765</v>
      </c>
      <c r="X333" s="1" t="s">
        <v>2766</v>
      </c>
      <c r="Y333" s="3">
        <v>43450.349529710649</v>
      </c>
      <c r="Z333" s="1">
        <v>1</v>
      </c>
      <c r="AA333" s="1">
        <v>1</v>
      </c>
      <c r="AB333" s="1">
        <v>1</v>
      </c>
      <c r="AC333" s="1">
        <v>1</v>
      </c>
      <c r="AD333" s="3">
        <v>43471.542132442133</v>
      </c>
      <c r="AE333" s="1" t="s">
        <v>42</v>
      </c>
    </row>
    <row r="334" spans="1:31" x14ac:dyDescent="0.35">
      <c r="A334" s="1">
        <v>5093</v>
      </c>
      <c r="B334" s="1" t="s">
        <v>2767</v>
      </c>
      <c r="C334" s="1" t="s">
        <v>2768</v>
      </c>
      <c r="D334" s="1" t="s">
        <v>2769</v>
      </c>
      <c r="E334" s="1" t="s">
        <v>52</v>
      </c>
      <c r="F334" s="1">
        <v>1</v>
      </c>
      <c r="G334" s="3">
        <v>33121</v>
      </c>
      <c r="H334" s="1">
        <v>1</v>
      </c>
      <c r="I334" s="1" t="s">
        <v>63</v>
      </c>
      <c r="J334" s="1" t="s">
        <v>64</v>
      </c>
      <c r="K334" s="2">
        <f>91-7600117848</f>
        <v>-7600117757</v>
      </c>
      <c r="L334" s="1" t="s">
        <v>58</v>
      </c>
      <c r="M334" s="1">
        <v>5.0599999999999996</v>
      </c>
      <c r="N334" s="1">
        <v>27</v>
      </c>
      <c r="O334" s="1" t="s">
        <v>2462</v>
      </c>
      <c r="P334" s="1">
        <f>91-7600117848</f>
        <v>-7600117757</v>
      </c>
      <c r="Q334" s="1" t="s">
        <v>2770</v>
      </c>
      <c r="R334" s="1" t="s">
        <v>2771</v>
      </c>
      <c r="S334" s="1" t="s">
        <v>647</v>
      </c>
      <c r="T334" s="1" t="s">
        <v>58</v>
      </c>
      <c r="U334" s="1">
        <v>5</v>
      </c>
      <c r="V334" s="1">
        <v>5.07</v>
      </c>
      <c r="W334" s="1" t="s">
        <v>2772</v>
      </c>
      <c r="X334" s="1" t="s">
        <v>2773</v>
      </c>
      <c r="Y334" s="3">
        <v>43450.982590821761</v>
      </c>
      <c r="Z334" s="1">
        <v>1</v>
      </c>
      <c r="AA334" s="1">
        <v>1</v>
      </c>
      <c r="AB334" s="1">
        <v>1</v>
      </c>
      <c r="AC334" s="1">
        <v>1</v>
      </c>
      <c r="AD334" s="3">
        <v>43469.628378622685</v>
      </c>
      <c r="AE334" s="1" t="s">
        <v>42</v>
      </c>
    </row>
    <row r="335" spans="1:31" x14ac:dyDescent="0.35">
      <c r="A335" s="1">
        <v>5094</v>
      </c>
      <c r="B335" s="1" t="s">
        <v>2774</v>
      </c>
      <c r="C335" s="1" t="s">
        <v>2775</v>
      </c>
      <c r="D335" s="1" t="s">
        <v>2776</v>
      </c>
      <c r="E335" s="1" t="s">
        <v>272</v>
      </c>
      <c r="F335" s="1">
        <v>1</v>
      </c>
      <c r="G335" s="3">
        <v>33464</v>
      </c>
      <c r="H335" s="1">
        <v>1</v>
      </c>
      <c r="I335" s="1" t="s">
        <v>63</v>
      </c>
      <c r="J335" s="1" t="s">
        <v>64</v>
      </c>
      <c r="K335" s="2">
        <f>91-9429295196</f>
        <v>-9429295105</v>
      </c>
      <c r="L335" s="1" t="s">
        <v>58</v>
      </c>
      <c r="M335" s="1">
        <v>5.08</v>
      </c>
      <c r="N335" s="1">
        <v>5</v>
      </c>
      <c r="O335" s="1" t="s">
        <v>2777</v>
      </c>
      <c r="P335" s="1">
        <f>91-94277962110</f>
        <v>-94277962019</v>
      </c>
      <c r="Q335" s="1" t="s">
        <v>2778</v>
      </c>
      <c r="R335" s="1" t="s">
        <v>2779</v>
      </c>
      <c r="S335" s="1" t="s">
        <v>693</v>
      </c>
      <c r="T335" s="1" t="s">
        <v>58</v>
      </c>
      <c r="U335" s="1">
        <v>5.01</v>
      </c>
      <c r="V335" s="1">
        <v>5.08</v>
      </c>
      <c r="W335" s="1" t="s">
        <v>2780</v>
      </c>
      <c r="X335" s="1" t="s">
        <v>2781</v>
      </c>
      <c r="Y335" s="3">
        <v>43451.082237233793</v>
      </c>
      <c r="Z335" s="1">
        <v>1</v>
      </c>
      <c r="AA335" s="1">
        <v>1</v>
      </c>
      <c r="AB335" s="1">
        <v>1</v>
      </c>
      <c r="AC335" s="1">
        <v>1</v>
      </c>
      <c r="AD335" s="3">
        <v>43452.59077480324</v>
      </c>
      <c r="AE335" s="1" t="s">
        <v>42</v>
      </c>
    </row>
    <row r="336" spans="1:31" x14ac:dyDescent="0.35">
      <c r="A336" s="1">
        <v>5096</v>
      </c>
      <c r="B336" s="1" t="s">
        <v>2782</v>
      </c>
      <c r="C336" s="1" t="s">
        <v>2783</v>
      </c>
      <c r="D336" s="1" t="s">
        <v>2784</v>
      </c>
      <c r="E336" s="1" t="s">
        <v>2428</v>
      </c>
      <c r="F336" s="1">
        <v>0</v>
      </c>
      <c r="G336" s="3">
        <v>35424</v>
      </c>
      <c r="H336" s="1">
        <v>1</v>
      </c>
      <c r="I336" s="1" t="s">
        <v>63</v>
      </c>
      <c r="J336" s="1" t="s">
        <v>426</v>
      </c>
      <c r="K336" s="2">
        <f>91-9426142552</f>
        <v>-9426142461</v>
      </c>
      <c r="L336" s="1" t="s">
        <v>58</v>
      </c>
      <c r="M336" s="1">
        <v>5.04</v>
      </c>
      <c r="N336" s="1">
        <v>12</v>
      </c>
      <c r="O336" s="1" t="s">
        <v>2785</v>
      </c>
      <c r="P336" s="1">
        <f>91-9426142552</f>
        <v>-9426142461</v>
      </c>
      <c r="Q336" s="1" t="s">
        <v>2786</v>
      </c>
      <c r="R336" s="1" t="s">
        <v>2787</v>
      </c>
      <c r="S336" s="1" t="s">
        <v>161</v>
      </c>
      <c r="T336" s="1" t="s">
        <v>58</v>
      </c>
      <c r="U336" s="1">
        <v>5.04</v>
      </c>
      <c r="V336" s="1">
        <v>5.0999999999999996</v>
      </c>
      <c r="W336" s="1" t="s">
        <v>2788</v>
      </c>
      <c r="X336" s="1" t="s">
        <v>2789</v>
      </c>
      <c r="Y336" s="3">
        <v>43455.112390625</v>
      </c>
      <c r="Z336" s="1">
        <v>1</v>
      </c>
      <c r="AA336" s="1">
        <v>1</v>
      </c>
      <c r="AB336" s="1">
        <v>1</v>
      </c>
      <c r="AC336" s="1">
        <v>1</v>
      </c>
      <c r="AD336" s="3">
        <v>43471.490381053241</v>
      </c>
      <c r="AE336" s="1" t="s">
        <v>42</v>
      </c>
    </row>
    <row r="337" spans="1:31" x14ac:dyDescent="0.35">
      <c r="A337" s="1">
        <v>5097</v>
      </c>
      <c r="B337" s="1" t="s">
        <v>2790</v>
      </c>
      <c r="C337" s="1" t="s">
        <v>2791</v>
      </c>
      <c r="D337" s="1" t="s">
        <v>2792</v>
      </c>
      <c r="E337" s="1" t="s">
        <v>2793</v>
      </c>
      <c r="F337" s="1">
        <v>1</v>
      </c>
      <c r="G337" s="3">
        <v>33577</v>
      </c>
      <c r="H337" s="1">
        <v>1</v>
      </c>
      <c r="I337" s="1" t="s">
        <v>63</v>
      </c>
      <c r="J337" s="1" t="s">
        <v>115</v>
      </c>
      <c r="K337" s="2">
        <f>91-9426490423</f>
        <v>-9426490332</v>
      </c>
      <c r="L337" s="1" t="s">
        <v>58</v>
      </c>
      <c r="M337" s="1">
        <v>5.07</v>
      </c>
      <c r="N337" s="1">
        <v>14</v>
      </c>
      <c r="O337" s="1" t="s">
        <v>2462</v>
      </c>
      <c r="P337" s="1">
        <f>91-9426490423</f>
        <v>-9426490332</v>
      </c>
      <c r="Q337" s="1" t="s">
        <v>2794</v>
      </c>
      <c r="R337" s="1" t="s">
        <v>2795</v>
      </c>
      <c r="S337" s="1" t="s">
        <v>171</v>
      </c>
      <c r="T337" s="1" t="s">
        <v>58</v>
      </c>
      <c r="U337" s="1">
        <v>5</v>
      </c>
      <c r="V337" s="1">
        <v>6.05</v>
      </c>
      <c r="W337" s="1" t="s">
        <v>2796</v>
      </c>
      <c r="X337" s="1" t="s">
        <v>2797</v>
      </c>
      <c r="Y337" s="3">
        <v>43457.940878437497</v>
      </c>
      <c r="Z337" s="1">
        <v>1</v>
      </c>
      <c r="AA337" s="1">
        <v>1</v>
      </c>
      <c r="AB337" s="1">
        <v>1</v>
      </c>
      <c r="AC337" s="1">
        <v>1</v>
      </c>
      <c r="AD337" s="3">
        <v>43457.940878437497</v>
      </c>
      <c r="AE337" s="1" t="s">
        <v>42</v>
      </c>
    </row>
    <row r="338" spans="1:31" x14ac:dyDescent="0.35">
      <c r="A338" s="1">
        <v>5099</v>
      </c>
      <c r="B338" s="1" t="s">
        <v>2798</v>
      </c>
      <c r="C338" s="1" t="s">
        <v>2799</v>
      </c>
      <c r="D338" s="1" t="s">
        <v>2080</v>
      </c>
      <c r="E338" s="1" t="s">
        <v>2800</v>
      </c>
      <c r="F338" s="1">
        <v>1</v>
      </c>
      <c r="G338" s="3">
        <v>33609</v>
      </c>
      <c r="H338" s="1">
        <v>1</v>
      </c>
      <c r="I338" s="1" t="s">
        <v>35</v>
      </c>
      <c r="J338" s="1" t="s">
        <v>1866</v>
      </c>
      <c r="K338" s="2">
        <f>91-9403200441</f>
        <v>-9403200350</v>
      </c>
      <c r="L338" s="1" t="s">
        <v>58</v>
      </c>
      <c r="M338" s="1">
        <v>5.08</v>
      </c>
      <c r="N338" s="1">
        <v>29</v>
      </c>
      <c r="O338" s="1" t="s">
        <v>2801</v>
      </c>
      <c r="P338" s="1">
        <f>91-9403200441</f>
        <v>-9403200350</v>
      </c>
      <c r="Q338" s="1" t="s">
        <v>2802</v>
      </c>
      <c r="R338" s="1" t="s">
        <v>2803</v>
      </c>
      <c r="S338" s="1" t="s">
        <v>57</v>
      </c>
      <c r="T338" s="1" t="s">
        <v>58</v>
      </c>
      <c r="U338" s="1">
        <v>5.01</v>
      </c>
      <c r="V338" s="1">
        <v>5.08</v>
      </c>
      <c r="X338" s="1" t="s">
        <v>2804</v>
      </c>
      <c r="Y338" s="3">
        <v>43459.218386493056</v>
      </c>
      <c r="Z338" s="1">
        <v>1</v>
      </c>
      <c r="AA338" s="1">
        <v>1</v>
      </c>
      <c r="AB338" s="1">
        <v>1</v>
      </c>
      <c r="AC338" s="1">
        <v>1</v>
      </c>
      <c r="AD338" s="3">
        <v>43459.218386493056</v>
      </c>
      <c r="AE338" s="1" t="s">
        <v>42</v>
      </c>
    </row>
    <row r="339" spans="1:31" x14ac:dyDescent="0.35">
      <c r="A339" s="1">
        <v>5110</v>
      </c>
      <c r="B339" s="1" t="s">
        <v>2805</v>
      </c>
      <c r="C339" s="1" t="s">
        <v>2806</v>
      </c>
      <c r="D339" s="1" t="s">
        <v>2807</v>
      </c>
      <c r="E339" s="1" t="s">
        <v>52</v>
      </c>
      <c r="F339" s="1">
        <v>1</v>
      </c>
      <c r="G339" s="3">
        <v>34332</v>
      </c>
      <c r="H339" s="1">
        <v>1</v>
      </c>
      <c r="I339" s="1" t="s">
        <v>1597</v>
      </c>
      <c r="J339" s="1" t="s">
        <v>1294</v>
      </c>
      <c r="K339" s="2">
        <f>91-9831027148</f>
        <v>-9831027057</v>
      </c>
      <c r="L339" s="1" t="s">
        <v>58</v>
      </c>
      <c r="M339" s="1">
        <v>5.08</v>
      </c>
      <c r="N339" s="1">
        <v>38</v>
      </c>
      <c r="O339" s="1" t="s">
        <v>2808</v>
      </c>
      <c r="P339" s="1" t="s">
        <v>54</v>
      </c>
      <c r="Q339" s="1" t="s">
        <v>2809</v>
      </c>
      <c r="R339" s="1" t="s">
        <v>2810</v>
      </c>
      <c r="S339" s="1" t="s">
        <v>161</v>
      </c>
      <c r="T339" s="1" t="s">
        <v>58</v>
      </c>
      <c r="U339" s="1">
        <v>5</v>
      </c>
      <c r="V339" s="1">
        <v>5.07</v>
      </c>
      <c r="W339" s="1" t="s">
        <v>2811</v>
      </c>
      <c r="X339" s="1" t="s">
        <v>2812</v>
      </c>
      <c r="Y339" s="3">
        <v>43482.305388310182</v>
      </c>
      <c r="Z339" s="1">
        <v>1</v>
      </c>
      <c r="AA339" s="1">
        <v>1</v>
      </c>
      <c r="AB339" s="1">
        <v>1</v>
      </c>
      <c r="AC339" s="1">
        <v>1</v>
      </c>
      <c r="AD339" s="3">
        <v>43491.470777199072</v>
      </c>
      <c r="AE339" s="1" t="s">
        <v>42</v>
      </c>
    </row>
    <row r="340" spans="1:31" x14ac:dyDescent="0.35">
      <c r="A340" s="1">
        <v>5112</v>
      </c>
      <c r="B340" s="1" t="s">
        <v>2813</v>
      </c>
      <c r="C340" s="1" t="s">
        <v>2814</v>
      </c>
      <c r="D340" s="1" t="s">
        <v>2080</v>
      </c>
      <c r="E340" s="1" t="s">
        <v>2815</v>
      </c>
      <c r="F340" s="1">
        <v>1</v>
      </c>
      <c r="G340" s="3">
        <v>31315</v>
      </c>
      <c r="H340" s="1">
        <v>1</v>
      </c>
      <c r="I340" s="1" t="s">
        <v>63</v>
      </c>
      <c r="J340" s="1" t="s">
        <v>426</v>
      </c>
      <c r="K340" s="2">
        <f>91-8141817451</f>
        <v>-8141817360</v>
      </c>
      <c r="L340" s="1" t="s">
        <v>58</v>
      </c>
      <c r="M340" s="1">
        <v>5.05</v>
      </c>
      <c r="N340" s="1">
        <v>50</v>
      </c>
      <c r="O340" s="1" t="s">
        <v>45</v>
      </c>
      <c r="P340" s="1">
        <f>91-8141817451</f>
        <v>-8141817360</v>
      </c>
      <c r="Q340" s="1" t="s">
        <v>2816</v>
      </c>
      <c r="R340" s="1" t="s">
        <v>2817</v>
      </c>
      <c r="S340" s="1" t="s">
        <v>2025</v>
      </c>
      <c r="T340" s="1" t="s">
        <v>256</v>
      </c>
      <c r="U340" s="1">
        <v>4.05</v>
      </c>
      <c r="V340" s="1">
        <v>5.0599999999999996</v>
      </c>
      <c r="W340" s="1" t="s">
        <v>2818</v>
      </c>
      <c r="X340" s="1" t="s">
        <v>2819</v>
      </c>
      <c r="Y340" s="3">
        <v>43483.970543831019</v>
      </c>
      <c r="Z340" s="1">
        <v>1</v>
      </c>
      <c r="AA340" s="1">
        <v>1</v>
      </c>
      <c r="AB340" s="1">
        <v>1</v>
      </c>
      <c r="AC340" s="1">
        <v>1</v>
      </c>
      <c r="AD340" s="3">
        <v>43601.053040509258</v>
      </c>
      <c r="AE340" s="1" t="s">
        <v>42</v>
      </c>
    </row>
    <row r="341" spans="1:31" x14ac:dyDescent="0.35">
      <c r="A341" s="1">
        <v>5115</v>
      </c>
      <c r="B341" s="1" t="s">
        <v>2820</v>
      </c>
      <c r="C341" s="1" t="s">
        <v>2821</v>
      </c>
      <c r="D341" s="1" t="s">
        <v>2822</v>
      </c>
      <c r="E341" s="1" t="s">
        <v>262</v>
      </c>
      <c r="F341" s="1">
        <v>1</v>
      </c>
      <c r="G341" s="3">
        <v>32685</v>
      </c>
      <c r="H341" s="1">
        <v>1</v>
      </c>
      <c r="I341" s="1" t="s">
        <v>63</v>
      </c>
      <c r="J341" s="1" t="s">
        <v>94</v>
      </c>
      <c r="K341" s="2">
        <f>91-9033910705</f>
        <v>-9033910614</v>
      </c>
      <c r="L341" s="1" t="s">
        <v>37</v>
      </c>
      <c r="M341" s="1">
        <v>5.1100000000000003</v>
      </c>
      <c r="N341" s="1">
        <v>11</v>
      </c>
      <c r="O341" s="1" t="s">
        <v>2823</v>
      </c>
      <c r="P341" s="1">
        <f>91-9033910705</f>
        <v>-9033910614</v>
      </c>
      <c r="Q341" s="1" t="s">
        <v>2824</v>
      </c>
      <c r="R341" s="1" t="s">
        <v>2825</v>
      </c>
      <c r="S341" s="1" t="s">
        <v>936</v>
      </c>
      <c r="T341" s="1" t="s">
        <v>256</v>
      </c>
      <c r="U341" s="1">
        <v>4.0999999999999996</v>
      </c>
      <c r="V341" s="1">
        <v>5.0999999999999996</v>
      </c>
      <c r="W341" s="1" t="s">
        <v>2826</v>
      </c>
      <c r="X341" s="1" t="s">
        <v>2827</v>
      </c>
      <c r="Y341" s="3">
        <v>43484.299644328705</v>
      </c>
      <c r="Z341" s="1">
        <v>1</v>
      </c>
      <c r="AA341" s="1">
        <v>1</v>
      </c>
      <c r="AB341" s="1">
        <v>1</v>
      </c>
      <c r="AC341" s="1">
        <v>1</v>
      </c>
      <c r="AD341" s="3">
        <v>43584.674606516201</v>
      </c>
      <c r="AE341" s="1" t="s">
        <v>42</v>
      </c>
    </row>
    <row r="342" spans="1:31" x14ac:dyDescent="0.35">
      <c r="A342" s="1">
        <v>5116</v>
      </c>
      <c r="B342" s="1" t="s">
        <v>2828</v>
      </c>
      <c r="C342" s="1">
        <v>123456789</v>
      </c>
      <c r="D342" s="1" t="s">
        <v>2829</v>
      </c>
      <c r="E342" s="1" t="s">
        <v>2830</v>
      </c>
      <c r="F342" s="1">
        <v>1</v>
      </c>
      <c r="G342" s="3">
        <v>34336</v>
      </c>
      <c r="H342" s="1">
        <v>1</v>
      </c>
      <c r="I342" s="1" t="s">
        <v>63</v>
      </c>
      <c r="J342" s="1" t="s">
        <v>64</v>
      </c>
      <c r="K342" s="2">
        <f>91-9974277240</f>
        <v>-9974277149</v>
      </c>
      <c r="L342" s="1" t="s">
        <v>58</v>
      </c>
      <c r="M342" s="1">
        <v>5.05</v>
      </c>
      <c r="N342" s="1">
        <v>27</v>
      </c>
      <c r="O342" s="1" t="s">
        <v>2831</v>
      </c>
      <c r="P342" s="1">
        <f>91-9825014174</f>
        <v>-9825014083</v>
      </c>
      <c r="Q342" s="1" t="s">
        <v>2832</v>
      </c>
      <c r="R342" s="1" t="s">
        <v>2833</v>
      </c>
      <c r="S342" s="1" t="s">
        <v>1625</v>
      </c>
      <c r="T342" s="1" t="s">
        <v>58</v>
      </c>
      <c r="U342" s="1">
        <v>4.0999999999999996</v>
      </c>
      <c r="V342" s="1">
        <v>5.04</v>
      </c>
      <c r="W342" s="1" t="s">
        <v>2834</v>
      </c>
      <c r="X342" s="1" t="s">
        <v>2835</v>
      </c>
      <c r="Y342" s="3">
        <v>43484.853246909719</v>
      </c>
      <c r="Z342" s="1">
        <v>1</v>
      </c>
      <c r="AA342" s="1">
        <v>1</v>
      </c>
      <c r="AB342" s="1">
        <v>1</v>
      </c>
      <c r="AC342" s="1">
        <v>1</v>
      </c>
      <c r="AD342" s="3">
        <v>43485.154760879632</v>
      </c>
      <c r="AE342" s="1" t="s">
        <v>42</v>
      </c>
    </row>
    <row r="343" spans="1:31" x14ac:dyDescent="0.35">
      <c r="A343" s="1">
        <v>5118</v>
      </c>
      <c r="B343" s="1" t="s">
        <v>2836</v>
      </c>
      <c r="C343" s="1" t="s">
        <v>2837</v>
      </c>
      <c r="D343" s="1" t="s">
        <v>2838</v>
      </c>
      <c r="E343" s="1" t="s">
        <v>625</v>
      </c>
      <c r="F343" s="1">
        <v>1</v>
      </c>
      <c r="G343" s="3">
        <v>34516</v>
      </c>
      <c r="H343" s="1">
        <v>1</v>
      </c>
      <c r="I343" s="1" t="s">
        <v>35</v>
      </c>
      <c r="K343" s="2">
        <f>91-9373828705</f>
        <v>-9373828614</v>
      </c>
      <c r="L343" s="1" t="s">
        <v>58</v>
      </c>
      <c r="M343" s="1">
        <v>5.05</v>
      </c>
      <c r="N343" s="1">
        <v>45</v>
      </c>
      <c r="O343" s="1" t="s">
        <v>2839</v>
      </c>
      <c r="P343" s="1">
        <f>91-9373828705</f>
        <v>-9373828614</v>
      </c>
      <c r="Q343" s="1" t="s">
        <v>2840</v>
      </c>
      <c r="R343" s="1" t="s">
        <v>2841</v>
      </c>
      <c r="S343" s="1" t="s">
        <v>130</v>
      </c>
      <c r="T343" s="1" t="s">
        <v>58</v>
      </c>
      <c r="U343" s="1">
        <v>4.05</v>
      </c>
      <c r="V343" s="1">
        <v>5.08</v>
      </c>
      <c r="W343" s="1" t="s">
        <v>2842</v>
      </c>
      <c r="X343" s="1" t="s">
        <v>2843</v>
      </c>
      <c r="Y343" s="3">
        <v>43487.150953321761</v>
      </c>
      <c r="Z343" s="1">
        <v>1</v>
      </c>
      <c r="AA343" s="1">
        <v>1</v>
      </c>
      <c r="AB343" s="1">
        <v>1</v>
      </c>
      <c r="AC343" s="1">
        <v>1</v>
      </c>
      <c r="AD343" s="3">
        <v>43492.536572881945</v>
      </c>
      <c r="AE343" s="1" t="s">
        <v>42</v>
      </c>
    </row>
    <row r="344" spans="1:31" x14ac:dyDescent="0.35">
      <c r="A344" s="1">
        <v>5119</v>
      </c>
      <c r="B344" s="1" t="s">
        <v>2844</v>
      </c>
      <c r="C344" s="1" t="s">
        <v>2845</v>
      </c>
      <c r="D344" s="1" t="s">
        <v>346</v>
      </c>
      <c r="E344" s="1" t="s">
        <v>52</v>
      </c>
      <c r="F344" s="1">
        <v>1</v>
      </c>
      <c r="G344" s="3">
        <v>34887</v>
      </c>
      <c r="H344" s="1">
        <v>1</v>
      </c>
      <c r="I344" s="1" t="s">
        <v>63</v>
      </c>
      <c r="J344" s="1" t="s">
        <v>993</v>
      </c>
      <c r="K344" s="2">
        <f>91-8866679389</f>
        <v>-8866679298</v>
      </c>
      <c r="L344" s="1" t="s">
        <v>58</v>
      </c>
      <c r="M344" s="1">
        <v>5.07</v>
      </c>
      <c r="N344" s="1">
        <v>27</v>
      </c>
      <c r="O344" s="1" t="s">
        <v>2846</v>
      </c>
      <c r="P344" s="1">
        <f>91-9974289725</f>
        <v>-9974289634</v>
      </c>
      <c r="Q344" s="1" t="s">
        <v>2847</v>
      </c>
      <c r="R344" s="1" t="s">
        <v>2848</v>
      </c>
      <c r="S344" s="1" t="s">
        <v>2849</v>
      </c>
      <c r="T344" s="1" t="s">
        <v>58</v>
      </c>
      <c r="U344" s="1">
        <v>4.05</v>
      </c>
      <c r="V344" s="1">
        <v>5.07</v>
      </c>
      <c r="Y344" s="3">
        <v>43490.361129826386</v>
      </c>
      <c r="Z344" s="1">
        <v>1</v>
      </c>
      <c r="AA344" s="1">
        <v>1</v>
      </c>
      <c r="AB344" s="1">
        <v>0</v>
      </c>
      <c r="AC344" s="1">
        <v>0</v>
      </c>
      <c r="AD344" s="3">
        <v>43490.361129826386</v>
      </c>
      <c r="AE344" s="1" t="s">
        <v>42</v>
      </c>
    </row>
    <row r="345" spans="1:31" x14ac:dyDescent="0.35">
      <c r="A345" s="1">
        <v>5120</v>
      </c>
      <c r="B345" s="1" t="s">
        <v>2850</v>
      </c>
      <c r="C345" s="1" t="s">
        <v>2851</v>
      </c>
      <c r="D345" s="1" t="s">
        <v>2852</v>
      </c>
      <c r="E345" s="1" t="s">
        <v>52</v>
      </c>
      <c r="F345" s="1">
        <v>1</v>
      </c>
      <c r="G345" s="3">
        <v>33877</v>
      </c>
      <c r="H345" s="1">
        <v>1</v>
      </c>
      <c r="I345" s="1" t="s">
        <v>1597</v>
      </c>
      <c r="J345" s="1" t="s">
        <v>1294</v>
      </c>
      <c r="K345" s="2">
        <f>91-9110618480</f>
        <v>-9110618389</v>
      </c>
      <c r="L345" s="1" t="s">
        <v>58</v>
      </c>
      <c r="M345" s="1">
        <v>5.08</v>
      </c>
      <c r="N345" s="1">
        <v>27</v>
      </c>
      <c r="O345" s="1" t="s">
        <v>2853</v>
      </c>
      <c r="P345" s="1">
        <f>91-9883306771</f>
        <v>-9883306680</v>
      </c>
      <c r="Q345" s="1" t="s">
        <v>2854</v>
      </c>
      <c r="R345" s="1" t="s">
        <v>2855</v>
      </c>
      <c r="S345" s="1" t="s">
        <v>1187</v>
      </c>
      <c r="T345" s="1" t="s">
        <v>58</v>
      </c>
      <c r="U345" s="1">
        <v>5</v>
      </c>
      <c r="V345" s="1">
        <v>5.05</v>
      </c>
      <c r="W345" s="1" t="s">
        <v>2856</v>
      </c>
      <c r="X345" s="1" t="s">
        <v>2857</v>
      </c>
      <c r="Y345" s="3">
        <v>43496.262545833335</v>
      </c>
      <c r="Z345" s="1">
        <v>1</v>
      </c>
      <c r="AA345" s="1">
        <v>1</v>
      </c>
      <c r="AB345" s="1">
        <v>1</v>
      </c>
      <c r="AC345" s="1">
        <v>1</v>
      </c>
      <c r="AD345" s="3">
        <v>43884.428251620368</v>
      </c>
      <c r="AE345" s="1" t="s">
        <v>42</v>
      </c>
    </row>
    <row r="346" spans="1:31" x14ac:dyDescent="0.35">
      <c r="A346" s="1">
        <v>5124</v>
      </c>
      <c r="B346" s="1" t="s">
        <v>2858</v>
      </c>
      <c r="C346" s="1">
        <v>9724137217</v>
      </c>
      <c r="D346" s="1" t="s">
        <v>2859</v>
      </c>
      <c r="E346" s="1" t="s">
        <v>71</v>
      </c>
      <c r="F346" s="1">
        <v>1</v>
      </c>
      <c r="G346" s="3">
        <v>30082</v>
      </c>
      <c r="H346" s="1">
        <v>1</v>
      </c>
      <c r="I346" s="1" t="s">
        <v>63</v>
      </c>
      <c r="J346" s="1" t="s">
        <v>993</v>
      </c>
      <c r="K346" s="2">
        <f>91-9724137217</f>
        <v>-9724137126</v>
      </c>
      <c r="L346" s="1" t="s">
        <v>37</v>
      </c>
      <c r="M346" s="1">
        <v>5.09</v>
      </c>
      <c r="N346" s="1">
        <v>48</v>
      </c>
      <c r="O346" s="1" t="s">
        <v>2860</v>
      </c>
      <c r="P346" s="1">
        <f>91-9724137217</f>
        <v>-9724137126</v>
      </c>
      <c r="Q346" s="1" t="s">
        <v>2861</v>
      </c>
      <c r="R346" s="1" t="s">
        <v>2862</v>
      </c>
      <c r="S346" s="1" t="s">
        <v>2138</v>
      </c>
      <c r="T346" s="1" t="s">
        <v>2863</v>
      </c>
      <c r="U346" s="1">
        <v>5.09</v>
      </c>
      <c r="V346" s="1">
        <v>5.09</v>
      </c>
      <c r="X346" s="1" t="s">
        <v>2864</v>
      </c>
      <c r="Y346" s="3">
        <v>43513.032239814813</v>
      </c>
      <c r="Z346" s="1">
        <v>1</v>
      </c>
      <c r="AA346" s="1">
        <v>1</v>
      </c>
      <c r="AB346" s="1">
        <v>1</v>
      </c>
      <c r="AC346" s="1">
        <v>1</v>
      </c>
      <c r="AD346" s="3">
        <v>43513.032239814813</v>
      </c>
      <c r="AE346" s="1" t="s">
        <v>42</v>
      </c>
    </row>
    <row r="347" spans="1:31" x14ac:dyDescent="0.35">
      <c r="A347" s="1">
        <v>5126</v>
      </c>
      <c r="B347" s="1" t="s">
        <v>2865</v>
      </c>
      <c r="C347" s="1" t="s">
        <v>2866</v>
      </c>
      <c r="D347" s="1" t="s">
        <v>2046</v>
      </c>
      <c r="E347" s="1" t="s">
        <v>765</v>
      </c>
      <c r="F347" s="1">
        <v>1</v>
      </c>
      <c r="G347" s="3">
        <v>33964</v>
      </c>
      <c r="H347" s="1">
        <v>1</v>
      </c>
      <c r="I347" s="1" t="s">
        <v>63</v>
      </c>
      <c r="J347" s="1" t="s">
        <v>64</v>
      </c>
      <c r="K347" s="2">
        <f>91-9725097143</f>
        <v>-9725097052</v>
      </c>
      <c r="L347" s="1" t="s">
        <v>58</v>
      </c>
      <c r="M347" s="1">
        <v>4.05</v>
      </c>
      <c r="N347" s="1">
        <v>8</v>
      </c>
      <c r="O347" s="1" t="s">
        <v>2867</v>
      </c>
      <c r="P347" s="1">
        <f>91-9725097143</f>
        <v>-9725097052</v>
      </c>
      <c r="Q347" s="1" t="s">
        <v>2868</v>
      </c>
      <c r="R347" s="1" t="s">
        <v>2869</v>
      </c>
      <c r="S347" s="1" t="s">
        <v>2870</v>
      </c>
      <c r="T347" s="1" t="s">
        <v>58</v>
      </c>
      <c r="U347" s="1">
        <v>4.05</v>
      </c>
      <c r="V347" s="1">
        <v>4.05</v>
      </c>
      <c r="W347" s="1" t="s">
        <v>2871</v>
      </c>
      <c r="X347" s="1" t="s">
        <v>2872</v>
      </c>
      <c r="Y347" s="3">
        <v>43514.078951701391</v>
      </c>
      <c r="Z347" s="1">
        <v>1</v>
      </c>
      <c r="AA347" s="1">
        <v>1</v>
      </c>
      <c r="AB347" s="1">
        <v>1</v>
      </c>
      <c r="AC347" s="1">
        <v>3</v>
      </c>
      <c r="AD347" s="3">
        <v>43514.078951701391</v>
      </c>
      <c r="AE347" s="1" t="s">
        <v>42</v>
      </c>
    </row>
    <row r="348" spans="1:31" x14ac:dyDescent="0.35">
      <c r="A348" s="1">
        <v>5130</v>
      </c>
      <c r="B348" s="1" t="s">
        <v>2873</v>
      </c>
      <c r="C348" s="1" t="s">
        <v>2874</v>
      </c>
      <c r="D348" s="1" t="s">
        <v>2875</v>
      </c>
      <c r="E348" s="1" t="s">
        <v>2876</v>
      </c>
      <c r="F348" s="1">
        <v>1</v>
      </c>
      <c r="G348" s="3">
        <v>32715</v>
      </c>
      <c r="H348" s="1">
        <v>1</v>
      </c>
      <c r="I348" s="1" t="s">
        <v>63</v>
      </c>
      <c r="J348" s="1" t="s">
        <v>64</v>
      </c>
      <c r="K348" s="2">
        <f>91-8790450580</f>
        <v>-8790450489</v>
      </c>
      <c r="L348" s="1" t="s">
        <v>58</v>
      </c>
      <c r="M348" s="1">
        <v>5.1100000000000003</v>
      </c>
      <c r="N348" s="1">
        <v>14</v>
      </c>
      <c r="O348" s="1" t="s">
        <v>2877</v>
      </c>
      <c r="P348" s="1">
        <f>91-8790450580</f>
        <v>-8790450489</v>
      </c>
      <c r="Q348" s="1" t="s">
        <v>313</v>
      </c>
      <c r="R348" s="1" t="s">
        <v>2878</v>
      </c>
      <c r="S348" s="1" t="s">
        <v>222</v>
      </c>
      <c r="T348" s="1" t="s">
        <v>58</v>
      </c>
      <c r="U348" s="1">
        <v>5</v>
      </c>
      <c r="V348" s="1">
        <v>6</v>
      </c>
      <c r="W348" s="1" t="s">
        <v>2879</v>
      </c>
      <c r="X348" s="1" t="s">
        <v>2880</v>
      </c>
      <c r="Y348" s="3">
        <v>43526.125778738424</v>
      </c>
      <c r="Z348" s="1">
        <v>1</v>
      </c>
      <c r="AA348" s="1">
        <v>1</v>
      </c>
      <c r="AB348" s="1">
        <v>1</v>
      </c>
      <c r="AC348" s="1">
        <v>3</v>
      </c>
      <c r="AD348" s="3">
        <v>43541.527314733794</v>
      </c>
      <c r="AE348" s="1" t="s">
        <v>42</v>
      </c>
    </row>
    <row r="349" spans="1:31" x14ac:dyDescent="0.35">
      <c r="A349" s="1">
        <v>5132</v>
      </c>
      <c r="B349" s="1" t="s">
        <v>2881</v>
      </c>
      <c r="C349" s="1" t="s">
        <v>2882</v>
      </c>
      <c r="D349" s="1" t="s">
        <v>52</v>
      </c>
      <c r="E349" s="1" t="s">
        <v>2444</v>
      </c>
      <c r="F349" s="1">
        <v>1</v>
      </c>
      <c r="G349" s="3">
        <v>35223</v>
      </c>
      <c r="H349" s="1">
        <v>1</v>
      </c>
      <c r="I349" s="1" t="s">
        <v>63</v>
      </c>
      <c r="J349" s="1" t="s">
        <v>115</v>
      </c>
      <c r="K349" s="2">
        <f>91-9106896012</f>
        <v>-9106895921</v>
      </c>
      <c r="L349" s="1" t="s">
        <v>58</v>
      </c>
      <c r="M349" s="1">
        <v>5.0599999999999996</v>
      </c>
      <c r="N349" s="1">
        <v>12</v>
      </c>
      <c r="O349" s="1" t="s">
        <v>2883</v>
      </c>
      <c r="P349" s="1">
        <f>91-9106896012</f>
        <v>-9106895921</v>
      </c>
      <c r="Q349" s="1" t="s">
        <v>2884</v>
      </c>
      <c r="R349" s="1" t="s">
        <v>2885</v>
      </c>
      <c r="S349" s="1" t="s">
        <v>1706</v>
      </c>
      <c r="T349" s="1" t="s">
        <v>58</v>
      </c>
      <c r="U349" s="1">
        <v>5.03</v>
      </c>
      <c r="V349" s="1">
        <v>5.0599999999999996</v>
      </c>
      <c r="W349" s="1" t="s">
        <v>2886</v>
      </c>
      <c r="X349" s="1" t="s">
        <v>2887</v>
      </c>
      <c r="Y349" s="3">
        <v>43527.083168321762</v>
      </c>
      <c r="Z349" s="1">
        <v>1</v>
      </c>
      <c r="AA349" s="1">
        <v>1</v>
      </c>
      <c r="AB349" s="1">
        <v>1</v>
      </c>
      <c r="AC349" s="1">
        <v>3</v>
      </c>
      <c r="AD349" s="3">
        <v>43528.591082094907</v>
      </c>
      <c r="AE349" s="1" t="s">
        <v>42</v>
      </c>
    </row>
    <row r="350" spans="1:31" x14ac:dyDescent="0.35">
      <c r="A350" s="1">
        <v>5133</v>
      </c>
      <c r="B350" s="1" t="s">
        <v>2888</v>
      </c>
      <c r="C350" s="1" t="s">
        <v>260</v>
      </c>
      <c r="D350" s="1" t="s">
        <v>1493</v>
      </c>
      <c r="E350" s="1" t="s">
        <v>663</v>
      </c>
      <c r="F350" s="1">
        <v>1</v>
      </c>
      <c r="G350" s="3">
        <v>34231</v>
      </c>
      <c r="H350" s="1">
        <v>1</v>
      </c>
      <c r="I350" s="1" t="s">
        <v>63</v>
      </c>
      <c r="J350" s="1" t="s">
        <v>405</v>
      </c>
      <c r="K350" s="2">
        <f>91-9979394901</f>
        <v>-9979394810</v>
      </c>
      <c r="L350" s="1" t="s">
        <v>58</v>
      </c>
      <c r="M350" s="1">
        <v>5.05</v>
      </c>
      <c r="N350" s="1">
        <v>54</v>
      </c>
      <c r="O350" s="1" t="s">
        <v>2889</v>
      </c>
      <c r="P350" s="1">
        <f>91-8141999899</f>
        <v>-8141999808</v>
      </c>
      <c r="Q350" s="1" t="s">
        <v>2890</v>
      </c>
      <c r="R350" s="1" t="s">
        <v>2891</v>
      </c>
      <c r="S350" s="1" t="s">
        <v>769</v>
      </c>
      <c r="T350" s="1" t="s">
        <v>58</v>
      </c>
      <c r="U350" s="1">
        <v>4.05</v>
      </c>
      <c r="V350" s="1">
        <v>6</v>
      </c>
      <c r="W350" s="1" t="s">
        <v>2892</v>
      </c>
      <c r="X350" s="1" t="s">
        <v>2893</v>
      </c>
      <c r="Y350" s="3">
        <v>43530.439339699071</v>
      </c>
      <c r="Z350" s="1">
        <v>1</v>
      </c>
      <c r="AA350" s="1">
        <v>1</v>
      </c>
      <c r="AB350" s="1">
        <v>1</v>
      </c>
      <c r="AC350" s="1">
        <v>1</v>
      </c>
      <c r="AD350" s="3">
        <v>43779.784933761577</v>
      </c>
      <c r="AE350" s="1" t="s">
        <v>42</v>
      </c>
    </row>
    <row r="351" spans="1:31" x14ac:dyDescent="0.35">
      <c r="A351" s="1">
        <v>5135</v>
      </c>
      <c r="B351" s="1" t="s">
        <v>2894</v>
      </c>
      <c r="C351" s="1" t="s">
        <v>2895</v>
      </c>
      <c r="D351" s="1" t="s">
        <v>2896</v>
      </c>
      <c r="E351" s="1" t="s">
        <v>249</v>
      </c>
      <c r="F351" s="1">
        <v>1</v>
      </c>
      <c r="G351" s="3">
        <v>34873</v>
      </c>
      <c r="H351" s="1">
        <v>1</v>
      </c>
      <c r="I351" s="1" t="s">
        <v>63</v>
      </c>
      <c r="J351" s="1" t="s">
        <v>370</v>
      </c>
      <c r="K351" s="2">
        <f>91-9427211027</f>
        <v>-9427210936</v>
      </c>
      <c r="L351" s="1" t="s">
        <v>58</v>
      </c>
      <c r="M351" s="1">
        <v>5.05</v>
      </c>
      <c r="N351" s="1">
        <v>43</v>
      </c>
      <c r="O351" s="1" t="s">
        <v>2897</v>
      </c>
      <c r="P351" s="1">
        <f>91-9687550475</f>
        <v>-9687550384</v>
      </c>
      <c r="Q351" s="1" t="s">
        <v>312</v>
      </c>
      <c r="R351" s="1" t="s">
        <v>2898</v>
      </c>
      <c r="S351" s="1" t="s">
        <v>546</v>
      </c>
      <c r="T351" s="1" t="s">
        <v>58</v>
      </c>
      <c r="U351" s="1">
        <v>4.05</v>
      </c>
      <c r="V351" s="1">
        <v>4.05</v>
      </c>
      <c r="W351" s="1" t="s">
        <v>2899</v>
      </c>
      <c r="X351" s="1" t="s">
        <v>2900</v>
      </c>
      <c r="Y351" s="3">
        <v>43534.209118252315</v>
      </c>
      <c r="Z351" s="1">
        <v>1</v>
      </c>
      <c r="AA351" s="1">
        <v>1</v>
      </c>
      <c r="AB351" s="1">
        <v>1</v>
      </c>
      <c r="AC351" s="1">
        <v>1</v>
      </c>
      <c r="AD351" s="3">
        <v>43865.455487037034</v>
      </c>
      <c r="AE351" s="1" t="s">
        <v>42</v>
      </c>
    </row>
    <row r="352" spans="1:31" x14ac:dyDescent="0.35">
      <c r="A352" s="1">
        <v>5138</v>
      </c>
      <c r="B352" s="1" t="s">
        <v>2901</v>
      </c>
      <c r="C352" s="1" t="s">
        <v>2902</v>
      </c>
      <c r="D352" s="1" t="s">
        <v>1444</v>
      </c>
      <c r="E352" s="1" t="s">
        <v>2678</v>
      </c>
      <c r="F352" s="1">
        <v>1</v>
      </c>
      <c r="G352" s="3">
        <v>32485</v>
      </c>
      <c r="H352" s="1">
        <v>1</v>
      </c>
      <c r="I352" s="1" t="s">
        <v>35</v>
      </c>
      <c r="J352" s="1" t="s">
        <v>36</v>
      </c>
      <c r="K352" s="2">
        <f>91-8446189195</f>
        <v>-8446189104</v>
      </c>
      <c r="L352" s="1" t="s">
        <v>37</v>
      </c>
      <c r="M352" s="1">
        <v>5.0599999999999996</v>
      </c>
      <c r="N352" s="1">
        <v>51</v>
      </c>
      <c r="O352" s="1" t="s">
        <v>2903</v>
      </c>
      <c r="P352" s="1">
        <f>91-8390615995</f>
        <v>-8390615904</v>
      </c>
      <c r="Q352" s="1" t="s">
        <v>2904</v>
      </c>
      <c r="R352" s="1" t="s">
        <v>2905</v>
      </c>
      <c r="S352" s="1" t="s">
        <v>1504</v>
      </c>
      <c r="T352" s="1" t="s">
        <v>599</v>
      </c>
      <c r="U352" s="1">
        <v>5</v>
      </c>
      <c r="V352" s="1">
        <v>5.0599999999999996</v>
      </c>
      <c r="W352" s="1" t="s">
        <v>2906</v>
      </c>
      <c r="X352" s="1" t="s">
        <v>2907</v>
      </c>
      <c r="Y352" s="3">
        <v>43541.414260914353</v>
      </c>
      <c r="Z352" s="1">
        <v>1</v>
      </c>
      <c r="AA352" s="1">
        <v>1</v>
      </c>
      <c r="AB352" s="1">
        <v>1</v>
      </c>
      <c r="AC352" s="1">
        <v>1</v>
      </c>
      <c r="AD352" s="3">
        <v>43541.414260914353</v>
      </c>
      <c r="AE352" s="1" t="s">
        <v>42</v>
      </c>
    </row>
    <row r="353" spans="1:31" x14ac:dyDescent="0.35">
      <c r="A353" s="1">
        <v>5143</v>
      </c>
      <c r="B353" s="1" t="s">
        <v>2908</v>
      </c>
      <c r="C353" s="1" t="s">
        <v>2909</v>
      </c>
      <c r="D353" s="1" t="s">
        <v>2910</v>
      </c>
      <c r="E353" s="1" t="s">
        <v>249</v>
      </c>
      <c r="F353" s="1">
        <v>1</v>
      </c>
      <c r="G353" s="3">
        <v>34385</v>
      </c>
      <c r="H353" s="1">
        <v>1</v>
      </c>
      <c r="I353" s="1" t="s">
        <v>35</v>
      </c>
      <c r="J353" s="1" t="s">
        <v>2911</v>
      </c>
      <c r="K353" s="2">
        <f>91-8625020088</f>
        <v>-8625019997</v>
      </c>
      <c r="L353" s="1" t="s">
        <v>58</v>
      </c>
      <c r="M353" s="1">
        <v>5.07</v>
      </c>
      <c r="N353" s="1">
        <v>43</v>
      </c>
      <c r="O353" s="1" t="s">
        <v>2912</v>
      </c>
      <c r="P353" s="1" t="s">
        <v>54</v>
      </c>
      <c r="Q353" s="1" t="s">
        <v>776</v>
      </c>
      <c r="R353" s="1" t="s">
        <v>2913</v>
      </c>
      <c r="S353" s="1" t="s">
        <v>171</v>
      </c>
      <c r="T353" s="1" t="s">
        <v>58</v>
      </c>
      <c r="U353" s="1">
        <v>4</v>
      </c>
      <c r="V353" s="1">
        <v>5.07</v>
      </c>
      <c r="Y353" s="3">
        <v>43553.382067013888</v>
      </c>
      <c r="Z353" s="1">
        <v>1</v>
      </c>
      <c r="AA353" s="1">
        <v>1</v>
      </c>
      <c r="AB353" s="1">
        <v>0</v>
      </c>
      <c r="AC353" s="1">
        <v>0</v>
      </c>
      <c r="AD353" s="3">
        <v>43557.258947685186</v>
      </c>
      <c r="AE353" s="1" t="s">
        <v>42</v>
      </c>
    </row>
    <row r="354" spans="1:31" x14ac:dyDescent="0.35">
      <c r="A354" s="1">
        <v>5144</v>
      </c>
      <c r="B354" s="1" t="s">
        <v>2914</v>
      </c>
      <c r="C354" s="1" t="s">
        <v>2915</v>
      </c>
      <c r="D354" s="1" t="s">
        <v>155</v>
      </c>
      <c r="E354" s="1" t="s">
        <v>52</v>
      </c>
      <c r="F354" s="1">
        <v>1</v>
      </c>
      <c r="G354" s="3">
        <v>33340</v>
      </c>
      <c r="H354" s="1">
        <v>1</v>
      </c>
      <c r="I354" s="1" t="s">
        <v>72</v>
      </c>
      <c r="J354" s="1" t="s">
        <v>410</v>
      </c>
      <c r="K354" s="2">
        <f>91-9098022132</f>
        <v>-9098022041</v>
      </c>
      <c r="L354" s="1" t="s">
        <v>58</v>
      </c>
      <c r="M354" s="1">
        <v>5.0999999999999996</v>
      </c>
      <c r="N354" s="1">
        <v>40</v>
      </c>
      <c r="O354" s="1" t="s">
        <v>2916</v>
      </c>
      <c r="P354" s="1">
        <f>91-9424706546</f>
        <v>-9424706455</v>
      </c>
      <c r="Q354" s="1" t="s">
        <v>2917</v>
      </c>
      <c r="R354" s="1" t="s">
        <v>2918</v>
      </c>
      <c r="S354" s="1" t="s">
        <v>499</v>
      </c>
      <c r="T354" s="1" t="s">
        <v>58</v>
      </c>
      <c r="U354" s="1">
        <v>5.04</v>
      </c>
      <c r="V354" s="1">
        <v>5.07</v>
      </c>
      <c r="W354" s="1" t="s">
        <v>2919</v>
      </c>
      <c r="X354" s="1" t="s">
        <v>2920</v>
      </c>
      <c r="Y354" s="3">
        <v>43554.116966631947</v>
      </c>
      <c r="Z354" s="1">
        <v>1</v>
      </c>
      <c r="AA354" s="1">
        <v>1</v>
      </c>
      <c r="AB354" s="1">
        <v>1</v>
      </c>
      <c r="AC354" s="1">
        <v>1</v>
      </c>
      <c r="AD354" s="3">
        <v>43557.23866091435</v>
      </c>
      <c r="AE354" s="1" t="s">
        <v>42</v>
      </c>
    </row>
    <row r="355" spans="1:31" x14ac:dyDescent="0.35">
      <c r="A355" s="1">
        <v>5155</v>
      </c>
      <c r="B355" s="1" t="s">
        <v>2921</v>
      </c>
      <c r="C355" s="1" t="s">
        <v>2922</v>
      </c>
      <c r="D355" s="1" t="s">
        <v>2923</v>
      </c>
      <c r="E355" s="1" t="s">
        <v>228</v>
      </c>
      <c r="F355" s="1">
        <v>1</v>
      </c>
      <c r="G355" s="3">
        <v>29052</v>
      </c>
      <c r="H355" s="1">
        <v>1</v>
      </c>
      <c r="I355" s="1" t="s">
        <v>35</v>
      </c>
      <c r="J355" s="1" t="s">
        <v>871</v>
      </c>
      <c r="K355" s="2">
        <f>91-9970130100</f>
        <v>-9970130009</v>
      </c>
      <c r="L355" s="1" t="s">
        <v>37</v>
      </c>
      <c r="M355" s="1">
        <v>5.09</v>
      </c>
      <c r="N355" s="1">
        <v>16</v>
      </c>
      <c r="O355" s="1" t="s">
        <v>2924</v>
      </c>
      <c r="P355" s="1">
        <f>91-9850269770</f>
        <v>-9850269679</v>
      </c>
      <c r="Q355" s="1" t="s">
        <v>2925</v>
      </c>
      <c r="R355" s="1" t="s">
        <v>2926</v>
      </c>
      <c r="S355" s="1" t="s">
        <v>2927</v>
      </c>
      <c r="T355" s="1" t="s">
        <v>2139</v>
      </c>
      <c r="U355" s="1">
        <v>5.01</v>
      </c>
      <c r="V355" s="1">
        <v>5.07</v>
      </c>
      <c r="W355" s="1" t="s">
        <v>2928</v>
      </c>
      <c r="X355" s="1" t="s">
        <v>2929</v>
      </c>
      <c r="Y355" s="3">
        <v>43626.882571099537</v>
      </c>
      <c r="Z355" s="1">
        <v>1</v>
      </c>
      <c r="AA355" s="1">
        <v>1</v>
      </c>
      <c r="AB355" s="1">
        <v>1</v>
      </c>
      <c r="AC355" s="1">
        <v>1</v>
      </c>
      <c r="AD355" s="3">
        <v>43808.226063425929</v>
      </c>
      <c r="AE355" s="1" t="s">
        <v>42</v>
      </c>
    </row>
    <row r="356" spans="1:31" x14ac:dyDescent="0.35">
      <c r="A356" s="1">
        <v>5156</v>
      </c>
      <c r="B356" s="1" t="s">
        <v>2930</v>
      </c>
      <c r="C356" s="1">
        <v>7223082173</v>
      </c>
      <c r="D356" s="1" t="s">
        <v>2931</v>
      </c>
      <c r="E356" s="1" t="s">
        <v>2678</v>
      </c>
      <c r="F356" s="1">
        <v>0</v>
      </c>
      <c r="G356" s="3">
        <v>35814</v>
      </c>
      <c r="H356" s="1">
        <v>1</v>
      </c>
      <c r="I356" s="1" t="s">
        <v>700</v>
      </c>
      <c r="J356" s="1" t="s">
        <v>2932</v>
      </c>
      <c r="K356" s="2">
        <f>91-8770031122</f>
        <v>-8770031031</v>
      </c>
      <c r="L356" s="1" t="s">
        <v>58</v>
      </c>
      <c r="M356" s="1">
        <v>5.03</v>
      </c>
      <c r="N356" s="1">
        <v>51</v>
      </c>
      <c r="O356" s="1" t="s">
        <v>2933</v>
      </c>
      <c r="P356" s="1" t="s">
        <v>54</v>
      </c>
      <c r="Q356" s="1" t="s">
        <v>2934</v>
      </c>
      <c r="R356" s="1" t="s">
        <v>2935</v>
      </c>
      <c r="S356" s="1" t="s">
        <v>161</v>
      </c>
      <c r="T356" s="1" t="s">
        <v>58</v>
      </c>
      <c r="U356" s="1">
        <v>5.04</v>
      </c>
      <c r="V356" s="1">
        <v>6</v>
      </c>
      <c r="W356" s="1" t="s">
        <v>2936</v>
      </c>
      <c r="X356" s="1" t="s">
        <v>2937</v>
      </c>
      <c r="Y356" s="3">
        <v>43628.030185532407</v>
      </c>
      <c r="Z356" s="1">
        <v>1</v>
      </c>
      <c r="AA356" s="1">
        <v>1</v>
      </c>
      <c r="AB356" s="1">
        <v>1</v>
      </c>
      <c r="AC356" s="1">
        <v>1</v>
      </c>
      <c r="AD356" s="3">
        <v>43793.318668055559</v>
      </c>
      <c r="AE356" s="1" t="s">
        <v>42</v>
      </c>
    </row>
    <row r="357" spans="1:31" x14ac:dyDescent="0.35">
      <c r="A357" s="1">
        <v>5171</v>
      </c>
      <c r="B357" s="1" t="s">
        <v>2938</v>
      </c>
      <c r="C357" s="1" t="s">
        <v>2939</v>
      </c>
      <c r="D357" s="1" t="s">
        <v>2940</v>
      </c>
      <c r="E357" s="1" t="s">
        <v>2941</v>
      </c>
      <c r="F357" s="1">
        <v>1</v>
      </c>
      <c r="G357" s="3">
        <v>34167</v>
      </c>
      <c r="H357" s="1">
        <v>1</v>
      </c>
      <c r="I357" s="1" t="s">
        <v>35</v>
      </c>
      <c r="J357" s="1" t="s">
        <v>2942</v>
      </c>
      <c r="K357" s="2">
        <f>91-9665310222</f>
        <v>-9665310131</v>
      </c>
      <c r="L357" s="1" t="s">
        <v>58</v>
      </c>
      <c r="M357" s="1">
        <v>5.07</v>
      </c>
      <c r="N357" s="1">
        <v>52</v>
      </c>
      <c r="O357" s="1" t="s">
        <v>2943</v>
      </c>
      <c r="P357" s="1">
        <f>91-942213458</f>
        <v>-942213367</v>
      </c>
      <c r="Q357" s="1" t="s">
        <v>2944</v>
      </c>
      <c r="R357" s="1" t="s">
        <v>2945</v>
      </c>
      <c r="S357" s="1" t="s">
        <v>769</v>
      </c>
      <c r="T357" s="1" t="s">
        <v>58</v>
      </c>
      <c r="U357" s="1">
        <v>5.01</v>
      </c>
      <c r="V357" s="1">
        <v>5.08</v>
      </c>
      <c r="X357" s="1" t="s">
        <v>2946</v>
      </c>
      <c r="Y357" s="3">
        <v>43680.179901006944</v>
      </c>
      <c r="Z357" s="1">
        <v>1</v>
      </c>
      <c r="AA357" s="1">
        <v>1</v>
      </c>
      <c r="AB357" s="1">
        <v>1</v>
      </c>
      <c r="AC357" s="1">
        <v>1</v>
      </c>
      <c r="AD357" s="3">
        <v>43680.179901006944</v>
      </c>
      <c r="AE357" s="1" t="s">
        <v>42</v>
      </c>
    </row>
    <row r="358" spans="1:31" x14ac:dyDescent="0.35">
      <c r="A358" s="1">
        <v>5174</v>
      </c>
      <c r="B358" s="1" t="s">
        <v>2947</v>
      </c>
      <c r="C358" s="1" t="s">
        <v>2948</v>
      </c>
      <c r="D358" s="1" t="s">
        <v>52</v>
      </c>
      <c r="E358" s="1" t="s">
        <v>2949</v>
      </c>
      <c r="F358" s="1">
        <v>1</v>
      </c>
      <c r="G358" s="3">
        <v>35227</v>
      </c>
      <c r="H358" s="1">
        <v>1</v>
      </c>
      <c r="I358" s="1" t="s">
        <v>63</v>
      </c>
      <c r="J358" s="1" t="s">
        <v>908</v>
      </c>
      <c r="K358" s="2">
        <f>91-9904286174</f>
        <v>-9904286083</v>
      </c>
      <c r="L358" s="1" t="s">
        <v>58</v>
      </c>
      <c r="M358" s="1">
        <v>5.07</v>
      </c>
      <c r="N358" s="1">
        <v>11</v>
      </c>
      <c r="O358" s="1" t="s">
        <v>2950</v>
      </c>
      <c r="P358" s="1">
        <f>91-9586342750</f>
        <v>-9586342659</v>
      </c>
      <c r="Q358" s="1" t="s">
        <v>2951</v>
      </c>
      <c r="R358" s="1" t="s">
        <v>2952</v>
      </c>
      <c r="S358" s="1" t="s">
        <v>276</v>
      </c>
      <c r="T358" s="1" t="s">
        <v>256</v>
      </c>
      <c r="U358" s="1">
        <v>4.04</v>
      </c>
      <c r="V358" s="1">
        <v>5.07</v>
      </c>
      <c r="W358" s="1" t="s">
        <v>2953</v>
      </c>
      <c r="X358" s="1" t="s">
        <v>2954</v>
      </c>
      <c r="Y358" s="3">
        <v>43691.014627696757</v>
      </c>
      <c r="Z358" s="1">
        <v>1</v>
      </c>
      <c r="AA358" s="1">
        <v>1</v>
      </c>
      <c r="AB358" s="1">
        <v>1</v>
      </c>
      <c r="AC358" s="1">
        <v>1</v>
      </c>
      <c r="AD358" s="3">
        <v>43716.427481053244</v>
      </c>
      <c r="AE358" s="1" t="s">
        <v>42</v>
      </c>
    </row>
    <row r="359" spans="1:31" x14ac:dyDescent="0.35">
      <c r="A359" s="1">
        <v>5175</v>
      </c>
      <c r="B359" s="1" t="s">
        <v>2955</v>
      </c>
      <c r="C359" s="1" t="s">
        <v>2956</v>
      </c>
      <c r="D359" s="1" t="s">
        <v>2957</v>
      </c>
      <c r="E359" s="1" t="s">
        <v>2958</v>
      </c>
      <c r="F359" s="1">
        <v>1</v>
      </c>
      <c r="G359" s="3">
        <v>30946</v>
      </c>
      <c r="H359" s="1">
        <v>1</v>
      </c>
      <c r="I359" s="1" t="s">
        <v>35</v>
      </c>
      <c r="J359" s="1" t="s">
        <v>465</v>
      </c>
      <c r="K359" s="2">
        <f>91-9922808701</f>
        <v>-9922808610</v>
      </c>
      <c r="L359" s="1" t="s">
        <v>37</v>
      </c>
      <c r="M359" s="1">
        <v>5.03</v>
      </c>
      <c r="N359" s="1">
        <v>25</v>
      </c>
      <c r="O359" s="1" t="s">
        <v>2959</v>
      </c>
      <c r="P359" s="1">
        <f>91-9922808701</f>
        <v>-9922808610</v>
      </c>
      <c r="Q359" s="1" t="s">
        <v>2960</v>
      </c>
      <c r="R359" s="1" t="s">
        <v>2961</v>
      </c>
      <c r="S359" s="1" t="s">
        <v>2647</v>
      </c>
      <c r="T359" s="1" t="s">
        <v>1013</v>
      </c>
      <c r="U359" s="1">
        <v>5</v>
      </c>
      <c r="V359" s="1">
        <v>5.03</v>
      </c>
      <c r="W359" s="1" t="s">
        <v>2962</v>
      </c>
      <c r="X359" s="1" t="s">
        <v>2963</v>
      </c>
      <c r="Y359" s="3">
        <v>43697.409268483796</v>
      </c>
      <c r="Z359" s="1">
        <v>1</v>
      </c>
      <c r="AA359" s="1">
        <v>1</v>
      </c>
      <c r="AB359" s="1">
        <v>1</v>
      </c>
      <c r="AC359" s="1">
        <v>1</v>
      </c>
      <c r="AD359" s="3">
        <v>44077.417549456019</v>
      </c>
      <c r="AE359" s="1" t="s">
        <v>42</v>
      </c>
    </row>
    <row r="360" spans="1:31" x14ac:dyDescent="0.35">
      <c r="A360" s="1">
        <v>5176</v>
      </c>
      <c r="B360" s="1" t="s">
        <v>2964</v>
      </c>
      <c r="C360" s="1" t="s">
        <v>2965</v>
      </c>
      <c r="D360" s="1" t="s">
        <v>2966</v>
      </c>
      <c r="E360" s="1" t="s">
        <v>2967</v>
      </c>
      <c r="F360" s="1">
        <v>1</v>
      </c>
      <c r="G360" s="3">
        <v>31894</v>
      </c>
      <c r="H360" s="1">
        <v>1</v>
      </c>
      <c r="I360" s="1" t="s">
        <v>35</v>
      </c>
      <c r="J360" s="1" t="s">
        <v>465</v>
      </c>
      <c r="K360" s="2">
        <f>91-8149818138</f>
        <v>-8149818047</v>
      </c>
      <c r="L360" s="1" t="s">
        <v>58</v>
      </c>
      <c r="M360" s="1">
        <v>5.05</v>
      </c>
      <c r="N360" s="1">
        <v>36</v>
      </c>
      <c r="O360" s="1" t="s">
        <v>2968</v>
      </c>
      <c r="P360" s="1">
        <f>91-8149818138</f>
        <v>-8149818047</v>
      </c>
      <c r="Q360" s="1" t="s">
        <v>2969</v>
      </c>
      <c r="R360" s="1" t="s">
        <v>2970</v>
      </c>
      <c r="S360" s="1" t="s">
        <v>1218</v>
      </c>
      <c r="T360" s="1" t="s">
        <v>2971</v>
      </c>
      <c r="U360" s="1">
        <v>4.09</v>
      </c>
      <c r="V360" s="1">
        <v>5.05</v>
      </c>
      <c r="W360" s="1" t="s">
        <v>2972</v>
      </c>
      <c r="X360" s="1" t="s">
        <v>2973</v>
      </c>
      <c r="Y360" s="3">
        <v>43703.206484259259</v>
      </c>
      <c r="Z360" s="1">
        <v>1</v>
      </c>
      <c r="AA360" s="1">
        <v>1</v>
      </c>
      <c r="AB360" s="1">
        <v>1</v>
      </c>
      <c r="AC360" s="1">
        <v>1</v>
      </c>
      <c r="AD360" s="3">
        <v>43769.661309953706</v>
      </c>
      <c r="AE360" s="1" t="s">
        <v>42</v>
      </c>
    </row>
    <row r="361" spans="1:31" x14ac:dyDescent="0.35">
      <c r="A361" s="1">
        <v>5179</v>
      </c>
      <c r="B361" s="1" t="s">
        <v>2974</v>
      </c>
      <c r="C361" s="1">
        <v>9406019080</v>
      </c>
      <c r="D361" s="1" t="s">
        <v>346</v>
      </c>
      <c r="E361" s="1" t="s">
        <v>1289</v>
      </c>
      <c r="F361" s="1">
        <v>1</v>
      </c>
      <c r="G361" s="3">
        <v>33356</v>
      </c>
      <c r="H361" s="1">
        <v>1</v>
      </c>
      <c r="I361" s="1" t="s">
        <v>700</v>
      </c>
      <c r="J361" s="1" t="s">
        <v>701</v>
      </c>
      <c r="K361" s="2">
        <f>91-9406019080</f>
        <v>-9406018989</v>
      </c>
      <c r="L361" s="1" t="s">
        <v>58</v>
      </c>
      <c r="M361" s="1">
        <v>5.0999999999999996</v>
      </c>
      <c r="N361" s="1">
        <v>42</v>
      </c>
      <c r="O361" s="1" t="s">
        <v>2975</v>
      </c>
      <c r="P361" s="1">
        <f>91-9406019080</f>
        <v>-9406018989</v>
      </c>
      <c r="Q361" s="1" t="s">
        <v>2976</v>
      </c>
      <c r="R361" s="1" t="s">
        <v>2977</v>
      </c>
      <c r="S361" s="1" t="s">
        <v>499</v>
      </c>
      <c r="T361" s="1" t="s">
        <v>58</v>
      </c>
      <c r="U361" s="1">
        <v>4.05</v>
      </c>
      <c r="V361" s="1">
        <v>5.0999999999999996</v>
      </c>
      <c r="Y361" s="3">
        <v>43716.911728206018</v>
      </c>
      <c r="Z361" s="1">
        <v>1</v>
      </c>
      <c r="AA361" s="1">
        <v>1</v>
      </c>
      <c r="AB361" s="1">
        <v>0</v>
      </c>
      <c r="AC361" s="1">
        <v>0</v>
      </c>
      <c r="AD361" s="3">
        <v>43724.691649155095</v>
      </c>
      <c r="AE361" s="1" t="s">
        <v>42</v>
      </c>
    </row>
    <row r="362" spans="1:31" x14ac:dyDescent="0.35">
      <c r="A362" s="1">
        <v>5180</v>
      </c>
      <c r="B362" s="1" t="s">
        <v>2978</v>
      </c>
      <c r="C362" s="1" t="s">
        <v>2979</v>
      </c>
      <c r="D362" s="1" t="s">
        <v>2738</v>
      </c>
      <c r="E362" s="1" t="s">
        <v>2980</v>
      </c>
      <c r="F362" s="1">
        <v>1</v>
      </c>
      <c r="G362" s="3">
        <v>32529</v>
      </c>
      <c r="H362" s="1">
        <v>1</v>
      </c>
      <c r="I362" s="1" t="s">
        <v>63</v>
      </c>
      <c r="J362" s="1" t="s">
        <v>908</v>
      </c>
      <c r="K362" s="2">
        <f>91-8141314298</f>
        <v>-8141314207</v>
      </c>
      <c r="L362" s="1" t="s">
        <v>37</v>
      </c>
      <c r="M362" s="1">
        <v>5.0199999999999996</v>
      </c>
      <c r="N362" s="1">
        <v>34</v>
      </c>
      <c r="O362" s="1" t="s">
        <v>2981</v>
      </c>
      <c r="P362" s="1">
        <f>91-9723015962</f>
        <v>-9723015871</v>
      </c>
      <c r="Q362" s="1" t="s">
        <v>2982</v>
      </c>
      <c r="R362" s="1" t="s">
        <v>2983</v>
      </c>
      <c r="S362" s="1" t="s">
        <v>1117</v>
      </c>
      <c r="T362" s="1" t="s">
        <v>44</v>
      </c>
      <c r="U362" s="1">
        <v>4.01</v>
      </c>
      <c r="V362" s="1">
        <v>5.0199999999999996</v>
      </c>
      <c r="W362" s="1" t="s">
        <v>2984</v>
      </c>
      <c r="X362" s="1" t="s">
        <v>2985</v>
      </c>
      <c r="Y362" s="3">
        <v>43721.197839004628</v>
      </c>
      <c r="Z362" s="1">
        <v>1</v>
      </c>
      <c r="AA362" s="1">
        <v>1</v>
      </c>
      <c r="AB362" s="1">
        <v>1</v>
      </c>
      <c r="AC362" s="1">
        <v>1</v>
      </c>
      <c r="AD362" s="3">
        <v>43721.526589351852</v>
      </c>
      <c r="AE362" s="1" t="s">
        <v>42</v>
      </c>
    </row>
    <row r="363" spans="1:31" x14ac:dyDescent="0.35">
      <c r="A363" s="1">
        <v>5181</v>
      </c>
      <c r="B363" s="1" t="s">
        <v>2986</v>
      </c>
      <c r="C363" s="1" t="s">
        <v>2987</v>
      </c>
      <c r="D363" s="1" t="s">
        <v>993</v>
      </c>
      <c r="E363" s="1" t="s">
        <v>52</v>
      </c>
      <c r="F363" s="1">
        <v>1</v>
      </c>
      <c r="G363" s="3">
        <v>34497</v>
      </c>
      <c r="H363" s="1">
        <v>1</v>
      </c>
      <c r="I363" s="1" t="s">
        <v>63</v>
      </c>
      <c r="J363" s="1" t="s">
        <v>459</v>
      </c>
      <c r="K363" s="2">
        <f>91-9426522547</f>
        <v>-9426522456</v>
      </c>
      <c r="L363" s="1" t="s">
        <v>58</v>
      </c>
      <c r="M363" s="1">
        <v>5.05</v>
      </c>
      <c r="N363" s="1">
        <v>27</v>
      </c>
      <c r="O363" s="1" t="s">
        <v>2988</v>
      </c>
      <c r="P363" s="1">
        <f>91-8980534616</f>
        <v>-8980534525</v>
      </c>
      <c r="Q363" s="1" t="s">
        <v>2989</v>
      </c>
      <c r="R363" s="1" t="s">
        <v>2990</v>
      </c>
      <c r="S363" s="1" t="s">
        <v>323</v>
      </c>
      <c r="T363" s="1" t="s">
        <v>58</v>
      </c>
      <c r="U363" s="1">
        <v>4.0999999999999996</v>
      </c>
      <c r="V363" s="1">
        <v>5.05</v>
      </c>
      <c r="W363" s="1" t="s">
        <v>2991</v>
      </c>
      <c r="X363" s="1" t="s">
        <v>42</v>
      </c>
      <c r="Y363" s="3">
        <v>43721.834373530095</v>
      </c>
      <c r="Z363" s="1">
        <v>1</v>
      </c>
      <c r="AA363" s="1">
        <v>1</v>
      </c>
      <c r="AB363" s="1">
        <v>1</v>
      </c>
      <c r="AC363" s="1">
        <v>1</v>
      </c>
      <c r="AD363" s="3">
        <v>43725.283072372687</v>
      </c>
      <c r="AE363" s="1" t="s">
        <v>42</v>
      </c>
    </row>
    <row r="364" spans="1:31" x14ac:dyDescent="0.35">
      <c r="A364" s="1">
        <v>5185</v>
      </c>
      <c r="B364" s="1" t="s">
        <v>2992</v>
      </c>
      <c r="C364" s="1" t="s">
        <v>2993</v>
      </c>
      <c r="D364" s="1" t="s">
        <v>2994</v>
      </c>
      <c r="E364" s="1" t="s">
        <v>1001</v>
      </c>
      <c r="F364" s="1">
        <v>1</v>
      </c>
      <c r="G364" s="3">
        <v>35873</v>
      </c>
      <c r="H364" s="1">
        <v>1</v>
      </c>
      <c r="I364" s="1" t="s">
        <v>125</v>
      </c>
      <c r="J364" s="1" t="s">
        <v>126</v>
      </c>
      <c r="K364" s="2">
        <f>91-9902153126</f>
        <v>-9902153035</v>
      </c>
      <c r="L364" s="1" t="s">
        <v>58</v>
      </c>
      <c r="M364" s="1">
        <v>5.0599999999999996</v>
      </c>
      <c r="N364" s="1">
        <v>11</v>
      </c>
      <c r="O364" s="1" t="s">
        <v>2995</v>
      </c>
      <c r="P364" s="1">
        <f>91-9916815225</f>
        <v>-9916815134</v>
      </c>
      <c r="Q364" s="1" t="s">
        <v>2994</v>
      </c>
      <c r="R364" s="1" t="s">
        <v>2996</v>
      </c>
      <c r="S364" s="1" t="s">
        <v>936</v>
      </c>
      <c r="T364" s="1" t="s">
        <v>58</v>
      </c>
      <c r="U364" s="1">
        <v>4.08</v>
      </c>
      <c r="V364" s="1">
        <v>5.05</v>
      </c>
      <c r="Y364" s="3">
        <v>43736.385406134257</v>
      </c>
      <c r="Z364" s="1">
        <v>1</v>
      </c>
      <c r="AA364" s="1">
        <v>1</v>
      </c>
      <c r="AB364" s="1">
        <v>0</v>
      </c>
      <c r="AC364" s="1">
        <v>0</v>
      </c>
      <c r="AD364" s="3">
        <v>43751.569765509259</v>
      </c>
      <c r="AE364" s="1" t="s">
        <v>42</v>
      </c>
    </row>
    <row r="365" spans="1:31" x14ac:dyDescent="0.35">
      <c r="A365" s="1">
        <v>5186</v>
      </c>
      <c r="B365" s="1" t="s">
        <v>2997</v>
      </c>
      <c r="C365" s="1" t="s">
        <v>2998</v>
      </c>
      <c r="D365" s="1" t="s">
        <v>2999</v>
      </c>
      <c r="E365" s="1" t="s">
        <v>262</v>
      </c>
      <c r="F365" s="1">
        <v>1</v>
      </c>
      <c r="G365" s="3">
        <v>30451</v>
      </c>
      <c r="H365" s="1">
        <v>1</v>
      </c>
      <c r="I365" s="1" t="s">
        <v>35</v>
      </c>
      <c r="J365" s="1" t="s">
        <v>506</v>
      </c>
      <c r="K365" s="2">
        <f>91-9537548939</f>
        <v>-9537548848</v>
      </c>
      <c r="L365" s="1" t="s">
        <v>1898</v>
      </c>
      <c r="M365" s="1">
        <v>6.02</v>
      </c>
      <c r="N365" s="1">
        <v>48</v>
      </c>
      <c r="O365" s="1" t="s">
        <v>3000</v>
      </c>
      <c r="P365" s="1">
        <f>91-9537548939</f>
        <v>-9537548848</v>
      </c>
      <c r="Q365" s="1" t="s">
        <v>3001</v>
      </c>
      <c r="R365" s="1" t="s">
        <v>3002</v>
      </c>
      <c r="S365" s="1" t="s">
        <v>3003</v>
      </c>
      <c r="T365" s="1" t="s">
        <v>2139</v>
      </c>
      <c r="U365" s="1">
        <v>5.0199999999999996</v>
      </c>
      <c r="V365" s="1">
        <v>5.0599999999999996</v>
      </c>
      <c r="W365" s="1" t="s">
        <v>3004</v>
      </c>
      <c r="X365" s="1" t="s">
        <v>3005</v>
      </c>
      <c r="Y365" s="3">
        <v>43749.173769328707</v>
      </c>
      <c r="Z365" s="1">
        <v>1</v>
      </c>
      <c r="AA365" s="1">
        <v>1</v>
      </c>
      <c r="AB365" s="1">
        <v>1</v>
      </c>
      <c r="AC365" s="1">
        <v>1</v>
      </c>
      <c r="AD365" s="3">
        <v>43749.173769328707</v>
      </c>
      <c r="AE365" s="1" t="s">
        <v>42</v>
      </c>
    </row>
    <row r="366" spans="1:31" x14ac:dyDescent="0.35">
      <c r="A366" s="1">
        <v>6193</v>
      </c>
      <c r="B366" s="1" t="s">
        <v>3006</v>
      </c>
      <c r="C366" s="1" t="s">
        <v>3007</v>
      </c>
      <c r="D366" s="1" t="s">
        <v>52</v>
      </c>
      <c r="E366" s="1" t="s">
        <v>672</v>
      </c>
      <c r="F366" s="1">
        <v>1</v>
      </c>
      <c r="G366" s="3">
        <v>35264</v>
      </c>
      <c r="H366" s="1">
        <v>1</v>
      </c>
      <c r="I366" s="1" t="s">
        <v>63</v>
      </c>
      <c r="J366" s="1" t="s">
        <v>115</v>
      </c>
      <c r="K366" s="2">
        <f>91-9429927185</f>
        <v>-9429927094</v>
      </c>
      <c r="L366" s="1" t="s">
        <v>58</v>
      </c>
      <c r="M366" s="1">
        <v>6.01</v>
      </c>
      <c r="N366" s="1">
        <v>10</v>
      </c>
      <c r="O366" s="1" t="s">
        <v>3008</v>
      </c>
      <c r="P366" s="1" t="s">
        <v>54</v>
      </c>
      <c r="Q366" s="1" t="s">
        <v>2599</v>
      </c>
      <c r="R366" s="1" t="s">
        <v>3009</v>
      </c>
      <c r="S366" s="1" t="s">
        <v>3010</v>
      </c>
      <c r="T366" s="1" t="s">
        <v>58</v>
      </c>
      <c r="U366" s="1">
        <v>5</v>
      </c>
      <c r="V366" s="1">
        <v>6</v>
      </c>
      <c r="W366" s="1" t="s">
        <v>3011</v>
      </c>
      <c r="X366" s="1" t="s">
        <v>3012</v>
      </c>
      <c r="Y366" s="3">
        <v>43835.236142974536</v>
      </c>
      <c r="Z366" s="1">
        <v>1</v>
      </c>
      <c r="AA366" s="1">
        <v>1</v>
      </c>
      <c r="AB366" s="1">
        <v>1</v>
      </c>
      <c r="AC366" s="1">
        <v>1</v>
      </c>
      <c r="AD366" s="3">
        <v>43835.544494212962</v>
      </c>
      <c r="AE366" s="1" t="s">
        <v>42</v>
      </c>
    </row>
    <row r="367" spans="1:31" x14ac:dyDescent="0.35">
      <c r="A367" s="1">
        <v>6198</v>
      </c>
      <c r="B367" s="1" t="s">
        <v>3013</v>
      </c>
      <c r="C367" s="1" t="s">
        <v>3014</v>
      </c>
      <c r="D367" s="1" t="s">
        <v>3015</v>
      </c>
      <c r="E367" s="1" t="s">
        <v>3016</v>
      </c>
      <c r="F367" s="1">
        <v>1</v>
      </c>
      <c r="G367" s="3">
        <v>29541</v>
      </c>
      <c r="H367" s="1">
        <v>1</v>
      </c>
      <c r="I367" s="1" t="s">
        <v>93</v>
      </c>
      <c r="J367" s="1" t="s">
        <v>396</v>
      </c>
      <c r="K367" s="2">
        <f>91-7977145877</f>
        <v>-7977145786</v>
      </c>
      <c r="L367" s="1" t="s">
        <v>37</v>
      </c>
      <c r="M367" s="1">
        <v>5.09</v>
      </c>
      <c r="N367" s="1">
        <v>12</v>
      </c>
      <c r="O367" s="1" t="s">
        <v>3017</v>
      </c>
      <c r="P367" s="1">
        <f>91-9930403599</f>
        <v>-9930403508</v>
      </c>
      <c r="Q367" s="1" t="s">
        <v>3018</v>
      </c>
      <c r="R367" s="1" t="s">
        <v>3019</v>
      </c>
      <c r="S367" s="1" t="s">
        <v>3020</v>
      </c>
      <c r="T367" s="1" t="s">
        <v>44</v>
      </c>
      <c r="U367" s="1">
        <v>5</v>
      </c>
      <c r="V367" s="1">
        <v>5.09</v>
      </c>
      <c r="X367" s="1" t="s">
        <v>3021</v>
      </c>
      <c r="Y367" s="3">
        <v>43860.907929317131</v>
      </c>
      <c r="Z367" s="1">
        <v>1</v>
      </c>
      <c r="AA367" s="1">
        <v>1</v>
      </c>
      <c r="AB367" s="1">
        <v>1</v>
      </c>
      <c r="AC367" s="1">
        <v>3</v>
      </c>
      <c r="AD367" s="3">
        <v>44069.873061886574</v>
      </c>
      <c r="AE367" s="1" t="s">
        <v>42</v>
      </c>
    </row>
    <row r="368" spans="1:31" x14ac:dyDescent="0.35">
      <c r="A368" s="1">
        <v>6203</v>
      </c>
      <c r="B368" s="1" t="s">
        <v>3022</v>
      </c>
      <c r="C368" s="1" t="s">
        <v>3023</v>
      </c>
      <c r="D368" s="1" t="s">
        <v>3024</v>
      </c>
      <c r="E368" s="1" t="s">
        <v>1097</v>
      </c>
      <c r="F368" s="1">
        <v>0</v>
      </c>
      <c r="G368" s="3">
        <v>34576</v>
      </c>
      <c r="H368" s="1">
        <v>1</v>
      </c>
      <c r="I368" s="1" t="s">
        <v>63</v>
      </c>
      <c r="J368" s="1" t="s">
        <v>64</v>
      </c>
      <c r="K368" s="2">
        <f>91-9574188188</f>
        <v>-9574188097</v>
      </c>
      <c r="L368" s="1" t="s">
        <v>58</v>
      </c>
      <c r="M368" s="1">
        <v>5.03</v>
      </c>
      <c r="N368" s="1">
        <v>5</v>
      </c>
      <c r="O368" s="1" t="s">
        <v>3025</v>
      </c>
      <c r="P368" s="1">
        <f>91-9033537646</f>
        <v>-9033537555</v>
      </c>
      <c r="Q368" s="1" t="s">
        <v>3026</v>
      </c>
      <c r="R368" s="1" t="s">
        <v>3027</v>
      </c>
      <c r="S368" s="1" t="s">
        <v>1202</v>
      </c>
      <c r="T368" s="1" t="s">
        <v>58</v>
      </c>
      <c r="U368" s="1">
        <v>5.0599999999999996</v>
      </c>
      <c r="V368" s="1">
        <v>6.01</v>
      </c>
      <c r="W368" s="1" t="s">
        <v>3028</v>
      </c>
      <c r="X368" s="1" t="s">
        <v>3029</v>
      </c>
      <c r="Y368" s="3">
        <v>43876.065220138888</v>
      </c>
      <c r="Z368" s="1">
        <v>1</v>
      </c>
      <c r="AA368" s="1">
        <v>1</v>
      </c>
      <c r="AB368" s="1">
        <v>1</v>
      </c>
      <c r="AC368" s="1">
        <v>3</v>
      </c>
      <c r="AD368" s="3">
        <v>43927.181198530096</v>
      </c>
      <c r="AE368" s="1" t="s">
        <v>42</v>
      </c>
    </row>
    <row r="369" spans="1:31" x14ac:dyDescent="0.35">
      <c r="A369" s="1">
        <v>6204</v>
      </c>
      <c r="B369" s="1" t="s">
        <v>3030</v>
      </c>
      <c r="C369" s="1" t="s">
        <v>3031</v>
      </c>
      <c r="D369" s="1" t="s">
        <v>3032</v>
      </c>
      <c r="E369" s="1" t="s">
        <v>444</v>
      </c>
      <c r="F369" s="1">
        <v>1</v>
      </c>
      <c r="G369" s="3">
        <v>34961</v>
      </c>
      <c r="H369" s="1">
        <v>1</v>
      </c>
      <c r="I369" s="1" t="s">
        <v>63</v>
      </c>
      <c r="J369" s="1" t="s">
        <v>64</v>
      </c>
      <c r="K369" s="2">
        <f>91-9574188188</f>
        <v>-9574188097</v>
      </c>
      <c r="L369" s="1" t="s">
        <v>58</v>
      </c>
      <c r="M369" s="1">
        <v>5.08</v>
      </c>
      <c r="N369" s="1">
        <v>5</v>
      </c>
      <c r="O369" s="1" t="s">
        <v>1608</v>
      </c>
      <c r="P369" s="1">
        <f>91-9033537646</f>
        <v>-9033537555</v>
      </c>
      <c r="Q369" s="1" t="s">
        <v>3026</v>
      </c>
      <c r="R369" s="1" t="s">
        <v>3033</v>
      </c>
      <c r="S369" s="1" t="s">
        <v>323</v>
      </c>
      <c r="T369" s="1" t="s">
        <v>58</v>
      </c>
      <c r="U369" s="1">
        <v>5.0199999999999996</v>
      </c>
      <c r="V369" s="1">
        <v>5.07</v>
      </c>
      <c r="W369" s="1" t="s">
        <v>3034</v>
      </c>
      <c r="X369" s="1" t="s">
        <v>3035</v>
      </c>
      <c r="Y369" s="3">
        <v>43876.074713969909</v>
      </c>
      <c r="Z369" s="1">
        <v>1</v>
      </c>
      <c r="AA369" s="1">
        <v>1</v>
      </c>
      <c r="AB369" s="1">
        <v>1</v>
      </c>
      <c r="AC369" s="1">
        <v>3</v>
      </c>
      <c r="AD369" s="3">
        <v>43876.412544826388</v>
      </c>
      <c r="AE369" s="1" t="s">
        <v>42</v>
      </c>
    </row>
    <row r="370" spans="1:31" x14ac:dyDescent="0.35">
      <c r="A370" s="1">
        <v>6207</v>
      </c>
      <c r="B370" s="1" t="s">
        <v>3036</v>
      </c>
      <c r="C370" s="1" t="s">
        <v>3037</v>
      </c>
      <c r="D370" s="1" t="s">
        <v>1171</v>
      </c>
      <c r="E370" s="1" t="s">
        <v>1192</v>
      </c>
      <c r="F370" s="1">
        <v>1</v>
      </c>
      <c r="G370" s="3">
        <v>35092</v>
      </c>
      <c r="H370" s="1">
        <v>38</v>
      </c>
      <c r="I370" s="1" t="s">
        <v>3038</v>
      </c>
      <c r="J370" s="1" t="s">
        <v>3039</v>
      </c>
      <c r="K370" s="2">
        <f>91-7014876109</f>
        <v>-7014876018</v>
      </c>
      <c r="L370" s="1" t="s">
        <v>58</v>
      </c>
      <c r="M370" s="1">
        <v>5.05</v>
      </c>
      <c r="N370" s="1">
        <v>43</v>
      </c>
      <c r="O370" s="1" t="s">
        <v>3040</v>
      </c>
      <c r="P370" s="1">
        <f>91-9829763604</f>
        <v>-9829763513</v>
      </c>
      <c r="Q370" s="1" t="s">
        <v>3041</v>
      </c>
      <c r="R370" s="1" t="s">
        <v>3042</v>
      </c>
      <c r="S370" s="1" t="s">
        <v>458</v>
      </c>
      <c r="T370" s="1" t="s">
        <v>58</v>
      </c>
      <c r="U370" s="1">
        <v>4.05</v>
      </c>
      <c r="V370" s="1">
        <v>6.05</v>
      </c>
      <c r="W370" s="1" t="s">
        <v>3043</v>
      </c>
      <c r="X370" s="1" t="s">
        <v>3044</v>
      </c>
      <c r="Y370" s="3">
        <v>43877.275780671298</v>
      </c>
      <c r="Z370" s="1">
        <v>1</v>
      </c>
      <c r="AA370" s="1">
        <v>1</v>
      </c>
      <c r="AB370" s="1">
        <v>1</v>
      </c>
      <c r="AC370" s="1">
        <v>3</v>
      </c>
      <c r="AD370" s="3">
        <v>43892.572441932869</v>
      </c>
      <c r="AE370" s="1" t="s">
        <v>42</v>
      </c>
    </row>
    <row r="371" spans="1:31" x14ac:dyDescent="0.35">
      <c r="A371" s="1">
        <v>6212</v>
      </c>
      <c r="B371" s="1" t="s">
        <v>3045</v>
      </c>
      <c r="C371" s="1" t="s">
        <v>1700</v>
      </c>
      <c r="D371" s="1" t="s">
        <v>3046</v>
      </c>
      <c r="E371" s="1" t="s">
        <v>3047</v>
      </c>
      <c r="F371" s="1">
        <v>1</v>
      </c>
      <c r="G371" s="3">
        <v>34426</v>
      </c>
      <c r="H371" s="1">
        <v>1</v>
      </c>
      <c r="I371" s="1" t="s">
        <v>35</v>
      </c>
      <c r="J371" s="1" t="s">
        <v>106</v>
      </c>
      <c r="K371" s="2">
        <f>91-9730691686</f>
        <v>-9730691595</v>
      </c>
      <c r="L371" s="1" t="s">
        <v>58</v>
      </c>
      <c r="M371" s="1">
        <v>5.0999999999999996</v>
      </c>
      <c r="N371" s="1">
        <v>27</v>
      </c>
      <c r="O371" s="1" t="s">
        <v>3048</v>
      </c>
      <c r="P371" s="1">
        <f>91-9730691686</f>
        <v>-9730691595</v>
      </c>
      <c r="Q371" s="1" t="s">
        <v>3049</v>
      </c>
      <c r="R371" s="1" t="s">
        <v>3050</v>
      </c>
      <c r="S371" s="1" t="s">
        <v>1807</v>
      </c>
      <c r="T371" s="1" t="s">
        <v>58</v>
      </c>
      <c r="U371" s="1">
        <v>4.09</v>
      </c>
      <c r="V371" s="1">
        <v>5.07</v>
      </c>
      <c r="W371" s="1" t="s">
        <v>3051</v>
      </c>
      <c r="X371" s="1" t="s">
        <v>3052</v>
      </c>
      <c r="Y371" s="3">
        <v>43884.999056863424</v>
      </c>
      <c r="Z371" s="1">
        <v>1</v>
      </c>
      <c r="AA371" s="1">
        <v>1</v>
      </c>
      <c r="AB371" s="1">
        <v>1</v>
      </c>
      <c r="AC371" s="1">
        <v>1</v>
      </c>
      <c r="AD371" s="3">
        <v>43885.41395952546</v>
      </c>
      <c r="AE371" s="1" t="s">
        <v>42</v>
      </c>
    </row>
    <row r="372" spans="1:31" x14ac:dyDescent="0.35">
      <c r="A372" s="1">
        <v>6213</v>
      </c>
      <c r="B372" s="1" t="s">
        <v>3053</v>
      </c>
      <c r="C372" s="1" t="s">
        <v>3054</v>
      </c>
      <c r="D372" s="1" t="s">
        <v>3055</v>
      </c>
      <c r="E372" s="1" t="s">
        <v>878</v>
      </c>
      <c r="F372" s="1">
        <v>1</v>
      </c>
      <c r="G372" s="3">
        <v>33014</v>
      </c>
      <c r="H372" s="1">
        <v>1</v>
      </c>
      <c r="I372" s="1" t="s">
        <v>63</v>
      </c>
      <c r="J372" s="1" t="s">
        <v>459</v>
      </c>
      <c r="K372" s="2">
        <f>91-9429759591</f>
        <v>-9429759500</v>
      </c>
      <c r="L372" s="1" t="s">
        <v>58</v>
      </c>
      <c r="M372" s="1">
        <v>5.0999999999999996</v>
      </c>
      <c r="N372" s="1">
        <v>38</v>
      </c>
      <c r="O372" s="1" t="s">
        <v>800</v>
      </c>
      <c r="P372" s="1">
        <f>91-9106214031</f>
        <v>-9106213940</v>
      </c>
      <c r="Q372" s="1" t="s">
        <v>3056</v>
      </c>
      <c r="R372" s="1" t="s">
        <v>3057</v>
      </c>
      <c r="S372" s="1" t="s">
        <v>3058</v>
      </c>
      <c r="T372" s="1" t="s">
        <v>58</v>
      </c>
      <c r="U372" s="1">
        <v>4</v>
      </c>
      <c r="V372" s="1">
        <v>6</v>
      </c>
      <c r="W372" s="1" t="s">
        <v>3059</v>
      </c>
      <c r="X372" s="1" t="s">
        <v>3060</v>
      </c>
      <c r="Y372" s="3">
        <v>43888.296390046293</v>
      </c>
      <c r="Z372" s="1">
        <v>1</v>
      </c>
      <c r="AA372" s="1">
        <v>1</v>
      </c>
      <c r="AB372" s="1">
        <v>1</v>
      </c>
      <c r="AC372" s="1">
        <v>1</v>
      </c>
      <c r="AD372" s="3">
        <v>43890.577513310185</v>
      </c>
      <c r="AE372" s="1" t="s">
        <v>42</v>
      </c>
    </row>
    <row r="373" spans="1:31" x14ac:dyDescent="0.35">
      <c r="A373" s="1">
        <v>6215</v>
      </c>
      <c r="B373" s="1" t="s">
        <v>3061</v>
      </c>
      <c r="C373" s="1" t="s">
        <v>3062</v>
      </c>
      <c r="D373" s="1" t="s">
        <v>3063</v>
      </c>
      <c r="E373" s="1" t="s">
        <v>52</v>
      </c>
      <c r="F373" s="1">
        <v>1</v>
      </c>
      <c r="G373" s="3">
        <v>33141</v>
      </c>
      <c r="H373" s="1">
        <v>1</v>
      </c>
      <c r="I373" s="1" t="s">
        <v>35</v>
      </c>
      <c r="J373" s="1" t="s">
        <v>506</v>
      </c>
      <c r="K373" s="2">
        <f>91-9975784234</f>
        <v>-9975784143</v>
      </c>
      <c r="L373" s="1" t="s">
        <v>58</v>
      </c>
      <c r="M373" s="1">
        <v>5.1100000000000003</v>
      </c>
      <c r="N373" s="1">
        <v>10</v>
      </c>
      <c r="O373" s="1" t="s">
        <v>3064</v>
      </c>
      <c r="P373" s="1">
        <f>91-9325777623</f>
        <v>-9325777532</v>
      </c>
      <c r="Q373" s="1" t="s">
        <v>3065</v>
      </c>
      <c r="R373" s="1" t="s">
        <v>3066</v>
      </c>
      <c r="S373" s="1" t="s">
        <v>222</v>
      </c>
      <c r="T373" s="1" t="s">
        <v>58</v>
      </c>
      <c r="U373" s="1">
        <v>4.1100000000000003</v>
      </c>
      <c r="V373" s="1">
        <v>5.1100000000000003</v>
      </c>
      <c r="W373" s="1" t="s">
        <v>3067</v>
      </c>
      <c r="X373" s="1" t="s">
        <v>3068</v>
      </c>
      <c r="Y373" s="3">
        <v>43931.303424965277</v>
      </c>
      <c r="Z373" s="1">
        <v>1</v>
      </c>
      <c r="AA373" s="1">
        <v>1</v>
      </c>
      <c r="AB373" s="1">
        <v>1</v>
      </c>
      <c r="AC373" s="1">
        <v>1</v>
      </c>
      <c r="AD373" s="3">
        <v>44043.706731215279</v>
      </c>
      <c r="AE373" s="1" t="s">
        <v>42</v>
      </c>
    </row>
    <row r="374" spans="1:31" x14ac:dyDescent="0.35">
      <c r="A374" s="1">
        <v>6216</v>
      </c>
      <c r="B374" s="1" t="s">
        <v>3069</v>
      </c>
      <c r="C374" s="1" t="s">
        <v>3070</v>
      </c>
      <c r="D374" s="1" t="s">
        <v>3071</v>
      </c>
      <c r="E374" s="1" t="s">
        <v>552</v>
      </c>
      <c r="F374" s="1">
        <v>1</v>
      </c>
      <c r="G374" s="3">
        <v>35611</v>
      </c>
      <c r="H374" s="1">
        <v>1</v>
      </c>
      <c r="I374" s="1" t="s">
        <v>63</v>
      </c>
      <c r="J374" s="1" t="s">
        <v>634</v>
      </c>
      <c r="K374" s="2">
        <f>91-9879949212</f>
        <v>-9879949121</v>
      </c>
      <c r="L374" s="1" t="s">
        <v>58</v>
      </c>
      <c r="M374" s="1">
        <v>5.08</v>
      </c>
      <c r="N374" s="1">
        <v>16</v>
      </c>
      <c r="O374" s="1" t="s">
        <v>3072</v>
      </c>
      <c r="P374" s="1">
        <f>91-7359132712</f>
        <v>-7359132621</v>
      </c>
      <c r="Q374" s="1" t="s">
        <v>3073</v>
      </c>
      <c r="R374" s="1" t="s">
        <v>3074</v>
      </c>
      <c r="S374" s="1" t="s">
        <v>243</v>
      </c>
      <c r="T374" s="1" t="s">
        <v>58</v>
      </c>
      <c r="U374" s="1">
        <v>5</v>
      </c>
      <c r="V374" s="1">
        <v>6</v>
      </c>
      <c r="W374" s="1" t="s">
        <v>3075</v>
      </c>
      <c r="X374" s="1" t="s">
        <v>3076</v>
      </c>
      <c r="Y374" s="3">
        <v>43931.956738738423</v>
      </c>
      <c r="Z374" s="1">
        <v>1</v>
      </c>
      <c r="AA374" s="1">
        <v>1</v>
      </c>
      <c r="AB374" s="1">
        <v>1</v>
      </c>
      <c r="AC374" s="1">
        <v>1</v>
      </c>
      <c r="AD374" s="3">
        <v>43932.286458298608</v>
      </c>
      <c r="AE374" s="1" t="s">
        <v>42</v>
      </c>
    </row>
    <row r="375" spans="1:31" x14ac:dyDescent="0.35">
      <c r="A375" s="1">
        <v>6218</v>
      </c>
      <c r="B375" s="1" t="s">
        <v>3077</v>
      </c>
      <c r="C375" s="1" t="s">
        <v>3078</v>
      </c>
      <c r="D375" s="1" t="s">
        <v>1886</v>
      </c>
      <c r="E375" s="1" t="s">
        <v>1289</v>
      </c>
      <c r="F375" s="1">
        <v>0</v>
      </c>
      <c r="G375" s="3">
        <v>34036</v>
      </c>
      <c r="H375" s="1">
        <v>1</v>
      </c>
      <c r="I375" s="1" t="s">
        <v>63</v>
      </c>
      <c r="J375" s="1" t="s">
        <v>64</v>
      </c>
      <c r="K375" s="2">
        <f>91-7575899767</f>
        <v>-7575899676</v>
      </c>
      <c r="L375" s="1" t="s">
        <v>42</v>
      </c>
      <c r="M375" s="1" t="s">
        <v>42</v>
      </c>
      <c r="N375" s="1" t="s">
        <v>42</v>
      </c>
      <c r="O375" s="1" t="s">
        <v>42</v>
      </c>
      <c r="P375" s="1" t="s">
        <v>42</v>
      </c>
      <c r="Q375" s="1" t="s">
        <v>42</v>
      </c>
      <c r="R375" s="1" t="s">
        <v>42</v>
      </c>
      <c r="S375" s="1" t="s">
        <v>42</v>
      </c>
      <c r="T375" s="1" t="s">
        <v>42</v>
      </c>
      <c r="U375" s="1" t="s">
        <v>42</v>
      </c>
      <c r="V375" s="1" t="s">
        <v>42</v>
      </c>
      <c r="W375" s="1" t="s">
        <v>42</v>
      </c>
      <c r="X375" s="1" t="s">
        <v>42</v>
      </c>
      <c r="Y375" s="3">
        <v>43943.222072951387</v>
      </c>
      <c r="Z375" s="1">
        <v>1</v>
      </c>
      <c r="AA375" s="1">
        <v>1</v>
      </c>
      <c r="AB375" s="1">
        <v>1</v>
      </c>
      <c r="AC375" s="1">
        <v>3</v>
      </c>
      <c r="AD375" s="3">
        <v>43943.222072951387</v>
      </c>
      <c r="AE375" s="1" t="s">
        <v>42</v>
      </c>
    </row>
    <row r="376" spans="1:31" x14ac:dyDescent="0.35">
      <c r="A376" s="1">
        <v>6219</v>
      </c>
      <c r="B376" s="1" t="s">
        <v>3079</v>
      </c>
      <c r="C376" s="1" t="s">
        <v>3078</v>
      </c>
      <c r="D376" s="1" t="s">
        <v>1886</v>
      </c>
      <c r="E376" s="1" t="s">
        <v>1289</v>
      </c>
      <c r="F376" s="1">
        <v>0</v>
      </c>
      <c r="G376" s="3">
        <v>34036</v>
      </c>
      <c r="H376" s="1">
        <v>1</v>
      </c>
      <c r="I376" s="1" t="s">
        <v>63</v>
      </c>
      <c r="J376" s="1" t="s">
        <v>64</v>
      </c>
      <c r="K376" s="2">
        <f>91-7575899767</f>
        <v>-7575899676</v>
      </c>
      <c r="L376" s="1" t="s">
        <v>58</v>
      </c>
      <c r="M376" s="1">
        <v>5.07</v>
      </c>
      <c r="N376" s="1">
        <v>46</v>
      </c>
      <c r="O376" s="1" t="s">
        <v>3080</v>
      </c>
      <c r="P376" s="1">
        <f>91-9979778986</f>
        <v>-9979778895</v>
      </c>
      <c r="Q376" s="1" t="s">
        <v>407</v>
      </c>
      <c r="R376" s="1" t="s">
        <v>3081</v>
      </c>
      <c r="S376" s="1" t="s">
        <v>3082</v>
      </c>
      <c r="T376" s="1" t="s">
        <v>58</v>
      </c>
      <c r="U376" s="1">
        <v>5.08</v>
      </c>
      <c r="V376" s="1">
        <v>6.02</v>
      </c>
      <c r="W376" s="1" t="s">
        <v>3083</v>
      </c>
      <c r="X376" s="1" t="s">
        <v>3084</v>
      </c>
      <c r="Y376" s="3">
        <v>43943.22246863426</v>
      </c>
      <c r="Z376" s="1">
        <v>1</v>
      </c>
      <c r="AA376" s="1">
        <v>1</v>
      </c>
      <c r="AB376" s="1">
        <v>1</v>
      </c>
      <c r="AC376" s="1">
        <v>1</v>
      </c>
      <c r="AD376" s="3">
        <v>43954.309626192131</v>
      </c>
      <c r="AE376" s="1" t="s">
        <v>42</v>
      </c>
    </row>
    <row r="377" spans="1:31" x14ac:dyDescent="0.35">
      <c r="A377" s="1">
        <v>6222</v>
      </c>
      <c r="B377" s="1" t="s">
        <v>3085</v>
      </c>
      <c r="C377" s="1" t="s">
        <v>3086</v>
      </c>
      <c r="D377" s="1" t="s">
        <v>3087</v>
      </c>
      <c r="E377" s="1" t="s">
        <v>3088</v>
      </c>
      <c r="F377" s="1">
        <v>1</v>
      </c>
      <c r="G377" s="3">
        <v>34772</v>
      </c>
      <c r="H377" s="1">
        <v>16</v>
      </c>
      <c r="I377" s="1" t="s">
        <v>3089</v>
      </c>
      <c r="J377" s="1" t="s">
        <v>3090</v>
      </c>
      <c r="K377" s="2">
        <f>61-4520243453</f>
        <v>-4520243392</v>
      </c>
      <c r="L377" s="1" t="s">
        <v>58</v>
      </c>
      <c r="M377" s="1">
        <v>5.0999999999999996</v>
      </c>
      <c r="N377" s="1">
        <v>16</v>
      </c>
      <c r="O377" s="1" t="s">
        <v>3091</v>
      </c>
      <c r="P377" s="1">
        <f>91-9824774353</f>
        <v>-9824774262</v>
      </c>
      <c r="Q377" s="1" t="s">
        <v>1562</v>
      </c>
      <c r="R377" s="1" t="s">
        <v>3092</v>
      </c>
      <c r="S377" s="1" t="s">
        <v>213</v>
      </c>
      <c r="T377" s="1" t="s">
        <v>58</v>
      </c>
      <c r="U377" s="1">
        <v>4.1100000000000003</v>
      </c>
      <c r="V377" s="1">
        <v>5.0999999999999996</v>
      </c>
      <c r="W377" s="1" t="s">
        <v>3093</v>
      </c>
      <c r="X377" s="1" t="s">
        <v>3094</v>
      </c>
      <c r="Y377" s="3">
        <v>43957.336500034726</v>
      </c>
      <c r="Z377" s="1">
        <v>1</v>
      </c>
      <c r="AA377" s="1">
        <v>1</v>
      </c>
      <c r="AB377" s="1">
        <v>1</v>
      </c>
      <c r="AC377" s="1">
        <v>1</v>
      </c>
      <c r="AD377" s="3">
        <v>43980.328894444443</v>
      </c>
      <c r="AE377" s="1" t="s">
        <v>42</v>
      </c>
    </row>
    <row r="378" spans="1:31" x14ac:dyDescent="0.35">
      <c r="A378" s="1">
        <v>6228</v>
      </c>
      <c r="B378" s="1" t="s">
        <v>3095</v>
      </c>
      <c r="C378" s="1" t="s">
        <v>3096</v>
      </c>
      <c r="D378" s="1" t="s">
        <v>3097</v>
      </c>
      <c r="E378" s="1" t="s">
        <v>2694</v>
      </c>
      <c r="F378" s="1">
        <v>1</v>
      </c>
      <c r="G378" s="3">
        <v>33304</v>
      </c>
      <c r="H378" s="1">
        <v>1</v>
      </c>
      <c r="I378" s="1" t="s">
        <v>35</v>
      </c>
      <c r="J378" s="1" t="s">
        <v>36</v>
      </c>
      <c r="K378" s="2">
        <f>91-7977401832</f>
        <v>-7977401741</v>
      </c>
      <c r="L378" s="1" t="s">
        <v>58</v>
      </c>
      <c r="M378" s="1">
        <v>5.05</v>
      </c>
      <c r="N378" s="1">
        <v>49</v>
      </c>
      <c r="O378" s="1" t="s">
        <v>800</v>
      </c>
      <c r="P378" s="1" t="s">
        <v>54</v>
      </c>
      <c r="Q378" s="1" t="s">
        <v>3098</v>
      </c>
      <c r="R378" s="1" t="s">
        <v>3099</v>
      </c>
      <c r="S378" s="1" t="s">
        <v>119</v>
      </c>
      <c r="T378" s="1" t="s">
        <v>58</v>
      </c>
      <c r="U378" s="1">
        <v>5</v>
      </c>
      <c r="V378" s="1">
        <v>5</v>
      </c>
      <c r="W378" s="1" t="s">
        <v>3100</v>
      </c>
      <c r="X378" s="1" t="s">
        <v>3101</v>
      </c>
      <c r="Y378" s="3">
        <v>43975.994889965281</v>
      </c>
      <c r="Z378" s="1">
        <v>1</v>
      </c>
      <c r="AA378" s="1">
        <v>1</v>
      </c>
      <c r="AB378" s="1">
        <v>1</v>
      </c>
      <c r="AC378" s="1">
        <v>1</v>
      </c>
      <c r="AD378" s="3">
        <v>43976.356584062501</v>
      </c>
      <c r="AE378" s="1" t="s">
        <v>42</v>
      </c>
    </row>
    <row r="379" spans="1:31" x14ac:dyDescent="0.35">
      <c r="A379" s="1">
        <v>6229</v>
      </c>
      <c r="B379" s="1" t="s">
        <v>3102</v>
      </c>
      <c r="C379" s="1" t="s">
        <v>3103</v>
      </c>
      <c r="D379" s="1" t="s">
        <v>3104</v>
      </c>
      <c r="E379" s="1" t="s">
        <v>3105</v>
      </c>
      <c r="F379" s="1">
        <v>1</v>
      </c>
      <c r="G379" s="3">
        <v>34395</v>
      </c>
      <c r="H379" s="1">
        <v>1</v>
      </c>
      <c r="I379" s="1" t="s">
        <v>63</v>
      </c>
      <c r="J379" s="1" t="s">
        <v>2134</v>
      </c>
      <c r="K379" s="2">
        <f>91-9173143044</f>
        <v>-9173142953</v>
      </c>
      <c r="L379" s="1" t="s">
        <v>37</v>
      </c>
      <c r="M379" s="1">
        <v>5.0599999999999996</v>
      </c>
      <c r="N379" s="1">
        <v>34</v>
      </c>
      <c r="O379" s="1" t="s">
        <v>3106</v>
      </c>
      <c r="P379" s="1" t="s">
        <v>54</v>
      </c>
      <c r="Q379" s="1" t="s">
        <v>3105</v>
      </c>
      <c r="R379" s="1" t="s">
        <v>3107</v>
      </c>
      <c r="S379" s="1" t="s">
        <v>192</v>
      </c>
      <c r="T379" s="1" t="s">
        <v>37</v>
      </c>
      <c r="U379" s="1">
        <v>4.0999999999999996</v>
      </c>
      <c r="V379" s="1">
        <v>5.07</v>
      </c>
      <c r="W379" s="1" t="s">
        <v>3108</v>
      </c>
      <c r="X379" s="1" t="s">
        <v>42</v>
      </c>
      <c r="Y379" s="3">
        <v>43977.977888576388</v>
      </c>
      <c r="Z379" s="1">
        <v>0</v>
      </c>
      <c r="AA379" s="1">
        <v>0</v>
      </c>
      <c r="AB379" s="1">
        <v>0</v>
      </c>
      <c r="AC379" s="1">
        <v>0</v>
      </c>
      <c r="AD379" s="3">
        <v>43995.450256944445</v>
      </c>
      <c r="AE379" s="1" t="s">
        <v>42</v>
      </c>
    </row>
    <row r="380" spans="1:31" x14ac:dyDescent="0.35">
      <c r="A380" s="1">
        <v>6230</v>
      </c>
      <c r="B380" s="1" t="s">
        <v>3109</v>
      </c>
      <c r="C380" s="1" t="s">
        <v>3110</v>
      </c>
      <c r="D380" s="1" t="s">
        <v>652</v>
      </c>
      <c r="E380" s="1" t="s">
        <v>3111</v>
      </c>
      <c r="F380" s="1">
        <v>1</v>
      </c>
      <c r="G380" s="3">
        <v>33915</v>
      </c>
      <c r="H380" s="1">
        <v>1</v>
      </c>
      <c r="I380" s="1" t="s">
        <v>63</v>
      </c>
      <c r="J380" s="1" t="s">
        <v>2579</v>
      </c>
      <c r="K380" s="2">
        <f>91-9537016878</f>
        <v>-9537016787</v>
      </c>
      <c r="L380" s="1" t="s">
        <v>37</v>
      </c>
      <c r="M380" s="1">
        <v>5.04</v>
      </c>
      <c r="N380" s="1">
        <v>19</v>
      </c>
      <c r="O380" s="1" t="s">
        <v>3112</v>
      </c>
      <c r="P380" s="1" t="s">
        <v>54</v>
      </c>
      <c r="Q380" s="1" t="s">
        <v>42</v>
      </c>
      <c r="R380" s="1" t="s">
        <v>42</v>
      </c>
      <c r="S380" s="1" t="s">
        <v>42</v>
      </c>
      <c r="T380" s="1" t="s">
        <v>42</v>
      </c>
      <c r="U380" s="1" t="s">
        <v>42</v>
      </c>
      <c r="V380" s="1" t="s">
        <v>42</v>
      </c>
      <c r="W380" s="1" t="s">
        <v>42</v>
      </c>
      <c r="X380" s="1" t="s">
        <v>42</v>
      </c>
      <c r="Y380" s="3">
        <v>43980.19809027778</v>
      </c>
      <c r="Z380" s="1">
        <v>0</v>
      </c>
      <c r="AA380" s="1">
        <v>0</v>
      </c>
      <c r="AB380" s="1">
        <v>0</v>
      </c>
      <c r="AC380" s="1">
        <v>0</v>
      </c>
      <c r="AD380" s="3">
        <v>43980.19809027778</v>
      </c>
      <c r="AE380" s="1" t="s">
        <v>42</v>
      </c>
    </row>
    <row r="381" spans="1:31" x14ac:dyDescent="0.35">
      <c r="A381" s="1">
        <v>6231</v>
      </c>
      <c r="B381" s="1" t="s">
        <v>3113</v>
      </c>
      <c r="C381" s="1" t="s">
        <v>3114</v>
      </c>
      <c r="D381" s="1" t="s">
        <v>3115</v>
      </c>
      <c r="E381" s="1" t="s">
        <v>1769</v>
      </c>
      <c r="F381" s="1">
        <v>1</v>
      </c>
      <c r="G381" s="3">
        <v>34522</v>
      </c>
      <c r="H381" s="1">
        <v>1</v>
      </c>
      <c r="I381" s="1" t="s">
        <v>63</v>
      </c>
      <c r="J381" s="1" t="s">
        <v>64</v>
      </c>
      <c r="K381" s="2">
        <f>91-9558798898</f>
        <v>-9558798807</v>
      </c>
      <c r="L381" s="1" t="s">
        <v>58</v>
      </c>
      <c r="M381" s="1">
        <v>5.09</v>
      </c>
      <c r="N381" s="1">
        <v>46</v>
      </c>
      <c r="O381" s="1" t="s">
        <v>3116</v>
      </c>
      <c r="P381" s="1" t="s">
        <v>54</v>
      </c>
      <c r="Q381" s="1" t="s">
        <v>3117</v>
      </c>
      <c r="R381" s="1" t="s">
        <v>3118</v>
      </c>
      <c r="S381" s="1" t="s">
        <v>57</v>
      </c>
      <c r="T381" s="1" t="s">
        <v>58</v>
      </c>
      <c r="U381" s="1">
        <v>5</v>
      </c>
      <c r="V381" s="1">
        <v>5.0599999999999996</v>
      </c>
      <c r="W381" s="1" t="s">
        <v>3119</v>
      </c>
      <c r="X381" s="1" t="s">
        <v>3120</v>
      </c>
      <c r="Y381" s="3">
        <v>43982.062255787037</v>
      </c>
      <c r="Z381" s="1">
        <v>1</v>
      </c>
      <c r="AA381" s="1">
        <v>1</v>
      </c>
      <c r="AB381" s="1">
        <v>1</v>
      </c>
      <c r="AC381" s="1">
        <v>1</v>
      </c>
      <c r="AD381" s="3">
        <v>44058.500691898145</v>
      </c>
      <c r="AE381" s="1" t="s">
        <v>42</v>
      </c>
    </row>
    <row r="382" spans="1:31" x14ac:dyDescent="0.35">
      <c r="A382" s="1">
        <v>6232</v>
      </c>
      <c r="B382" s="1" t="s">
        <v>3121</v>
      </c>
      <c r="C382" s="1" t="s">
        <v>3122</v>
      </c>
      <c r="D382" s="1" t="s">
        <v>3123</v>
      </c>
      <c r="E382" s="1" t="s">
        <v>71</v>
      </c>
      <c r="F382" s="1">
        <v>1</v>
      </c>
      <c r="G382" s="3">
        <v>34374</v>
      </c>
      <c r="H382" s="1">
        <v>1</v>
      </c>
      <c r="I382" s="1" t="s">
        <v>63</v>
      </c>
      <c r="J382" s="1" t="s">
        <v>459</v>
      </c>
      <c r="K382" s="2">
        <f>91-8849899355</f>
        <v>-8849899264</v>
      </c>
      <c r="L382" s="1" t="s">
        <v>58</v>
      </c>
      <c r="M382" s="1">
        <v>5.09</v>
      </c>
      <c r="N382" s="1">
        <v>14</v>
      </c>
      <c r="O382" s="1" t="s">
        <v>3124</v>
      </c>
      <c r="P382" s="1">
        <f>91-8849899355</f>
        <v>-8849899264</v>
      </c>
      <c r="Q382" s="1" t="s">
        <v>3125</v>
      </c>
      <c r="R382" s="1" t="s">
        <v>3126</v>
      </c>
      <c r="S382" s="1" t="s">
        <v>333</v>
      </c>
      <c r="T382" s="1" t="s">
        <v>599</v>
      </c>
      <c r="U382" s="1">
        <v>4</v>
      </c>
      <c r="V382" s="1">
        <v>6.05</v>
      </c>
      <c r="W382" s="1" t="s">
        <v>42</v>
      </c>
      <c r="X382" s="1" t="s">
        <v>42</v>
      </c>
      <c r="Y382" s="3">
        <v>43990.04639679398</v>
      </c>
      <c r="Z382" s="1">
        <v>0</v>
      </c>
      <c r="AA382" s="1">
        <v>0</v>
      </c>
      <c r="AB382" s="1">
        <v>0</v>
      </c>
      <c r="AC382" s="1">
        <v>0</v>
      </c>
      <c r="AD382" s="3">
        <v>43990.04639679398</v>
      </c>
      <c r="AE382" s="1" t="s">
        <v>42</v>
      </c>
    </row>
    <row r="383" spans="1:31" x14ac:dyDescent="0.35">
      <c r="A383" s="1">
        <v>6233</v>
      </c>
      <c r="B383" s="1" t="s">
        <v>3127</v>
      </c>
      <c r="C383" s="1" t="s">
        <v>3128</v>
      </c>
      <c r="D383" s="1" t="s">
        <v>3129</v>
      </c>
      <c r="E383" s="1" t="s">
        <v>249</v>
      </c>
      <c r="F383" s="1">
        <v>1</v>
      </c>
      <c r="G383" s="3">
        <v>34526</v>
      </c>
      <c r="H383" s="1">
        <v>1</v>
      </c>
      <c r="I383" s="1" t="s">
        <v>63</v>
      </c>
      <c r="J383" s="1" t="s">
        <v>64</v>
      </c>
      <c r="K383" s="2">
        <f>91-9662761699</f>
        <v>-9662761608</v>
      </c>
      <c r="L383" s="1" t="s">
        <v>58</v>
      </c>
      <c r="M383" s="1">
        <v>5.0999999999999996</v>
      </c>
      <c r="N383" s="1">
        <v>43</v>
      </c>
      <c r="P383" s="1" t="s">
        <v>54</v>
      </c>
      <c r="Q383" s="1" t="s">
        <v>42</v>
      </c>
      <c r="R383" s="1" t="s">
        <v>42</v>
      </c>
      <c r="S383" s="1" t="s">
        <v>42</v>
      </c>
      <c r="T383" s="1" t="s">
        <v>42</v>
      </c>
      <c r="U383" s="1" t="s">
        <v>42</v>
      </c>
      <c r="V383" s="1" t="s">
        <v>42</v>
      </c>
      <c r="W383" s="1" t="s">
        <v>42</v>
      </c>
      <c r="X383" s="1" t="s">
        <v>42</v>
      </c>
      <c r="Y383" s="3">
        <v>43990.072588113428</v>
      </c>
      <c r="Z383" s="1">
        <v>0</v>
      </c>
      <c r="AA383" s="1">
        <v>0</v>
      </c>
      <c r="AB383" s="1">
        <v>0</v>
      </c>
      <c r="AC383" s="1">
        <v>0</v>
      </c>
      <c r="AD383" s="3">
        <v>44041.655274456018</v>
      </c>
      <c r="AE383" s="1" t="s">
        <v>42</v>
      </c>
    </row>
    <row r="384" spans="1:31" x14ac:dyDescent="0.35">
      <c r="A384" s="1">
        <v>6234</v>
      </c>
      <c r="B384" s="1" t="s">
        <v>3130</v>
      </c>
      <c r="C384" s="1" t="s">
        <v>3131</v>
      </c>
      <c r="D384" s="1" t="s">
        <v>2126</v>
      </c>
      <c r="E384" s="1" t="s">
        <v>52</v>
      </c>
      <c r="F384" s="1">
        <v>0</v>
      </c>
      <c r="G384" s="3">
        <v>34247</v>
      </c>
      <c r="H384" s="1">
        <v>1</v>
      </c>
      <c r="I384" s="1" t="s">
        <v>63</v>
      </c>
      <c r="J384" s="1" t="s">
        <v>94</v>
      </c>
      <c r="K384" s="2">
        <f>91-9830049555</f>
        <v>-9830049464</v>
      </c>
      <c r="L384" s="1" t="s">
        <v>37</v>
      </c>
      <c r="M384" s="1">
        <v>5.05</v>
      </c>
      <c r="N384" s="1">
        <v>5</v>
      </c>
      <c r="O384" s="1" t="s">
        <v>3132</v>
      </c>
      <c r="P384" s="1">
        <f>91-9925559469</f>
        <v>-9925559378</v>
      </c>
      <c r="Q384" s="1" t="s">
        <v>728</v>
      </c>
      <c r="R384" s="1" t="s">
        <v>3133</v>
      </c>
      <c r="S384" s="1" t="s">
        <v>304</v>
      </c>
      <c r="T384" s="1" t="s">
        <v>58</v>
      </c>
      <c r="U384" s="1">
        <v>5.0599999999999996</v>
      </c>
      <c r="V384" s="1">
        <v>6</v>
      </c>
      <c r="W384" s="1" t="s">
        <v>3134</v>
      </c>
      <c r="X384" s="1" t="s">
        <v>3135</v>
      </c>
      <c r="Y384" s="3">
        <v>44000.403475543979</v>
      </c>
      <c r="Z384" s="1">
        <v>1</v>
      </c>
      <c r="AA384" s="1">
        <v>1</v>
      </c>
      <c r="AB384" s="1">
        <v>1</v>
      </c>
      <c r="AC384" s="1">
        <v>1</v>
      </c>
      <c r="AD384" s="3">
        <v>44103.351480555553</v>
      </c>
      <c r="AE384" s="1" t="s">
        <v>42</v>
      </c>
    </row>
    <row r="385" spans="1:31" x14ac:dyDescent="0.35">
      <c r="A385" s="1">
        <v>6235</v>
      </c>
      <c r="B385" s="1" t="s">
        <v>3136</v>
      </c>
      <c r="C385" s="1" t="s">
        <v>3137</v>
      </c>
      <c r="D385" s="1" t="s">
        <v>71</v>
      </c>
      <c r="E385" s="1" t="s">
        <v>3138</v>
      </c>
      <c r="F385" s="1">
        <v>1</v>
      </c>
      <c r="G385" s="3">
        <v>35030</v>
      </c>
      <c r="H385" s="1">
        <v>1</v>
      </c>
      <c r="I385" s="1" t="s">
        <v>63</v>
      </c>
      <c r="J385" s="1" t="s">
        <v>64</v>
      </c>
      <c r="K385" s="2">
        <f>91-8469351042</f>
        <v>-8469350951</v>
      </c>
      <c r="L385" s="1" t="s">
        <v>42</v>
      </c>
      <c r="M385" s="1" t="s">
        <v>42</v>
      </c>
      <c r="N385" s="1" t="s">
        <v>42</v>
      </c>
      <c r="O385" s="1" t="s">
        <v>42</v>
      </c>
      <c r="P385" s="1" t="s">
        <v>42</v>
      </c>
      <c r="Q385" s="1" t="s">
        <v>42</v>
      </c>
      <c r="R385" s="1" t="s">
        <v>42</v>
      </c>
      <c r="S385" s="1" t="s">
        <v>42</v>
      </c>
      <c r="T385" s="1" t="s">
        <v>42</v>
      </c>
      <c r="U385" s="1" t="s">
        <v>42</v>
      </c>
      <c r="V385" s="1" t="s">
        <v>42</v>
      </c>
      <c r="W385" s="1" t="s">
        <v>42</v>
      </c>
      <c r="X385" s="1" t="s">
        <v>42</v>
      </c>
      <c r="Y385" s="3">
        <v>44002.890222766204</v>
      </c>
      <c r="Z385" s="1">
        <v>0</v>
      </c>
      <c r="AA385" s="1">
        <v>0</v>
      </c>
      <c r="AB385" s="1">
        <v>0</v>
      </c>
      <c r="AC385" s="1">
        <v>0</v>
      </c>
      <c r="AD385" s="3">
        <v>44002.890222766204</v>
      </c>
      <c r="AE385" s="1" t="s">
        <v>42</v>
      </c>
    </row>
    <row r="386" spans="1:31" x14ac:dyDescent="0.35">
      <c r="A386" s="1">
        <v>6236</v>
      </c>
      <c r="B386" s="1" t="s">
        <v>3139</v>
      </c>
      <c r="C386" s="1" t="s">
        <v>3140</v>
      </c>
      <c r="D386" s="1" t="s">
        <v>3141</v>
      </c>
      <c r="E386" s="1" t="s">
        <v>52</v>
      </c>
      <c r="F386" s="1">
        <v>1</v>
      </c>
      <c r="G386" s="3">
        <v>33462</v>
      </c>
      <c r="H386" s="1">
        <v>1</v>
      </c>
      <c r="I386" s="1" t="s">
        <v>63</v>
      </c>
      <c r="J386" s="1" t="s">
        <v>64</v>
      </c>
      <c r="K386" s="2">
        <f>91-8469997539</f>
        <v>-8469997448</v>
      </c>
      <c r="L386" s="1" t="s">
        <v>42</v>
      </c>
      <c r="M386" s="1" t="s">
        <v>42</v>
      </c>
      <c r="N386" s="1" t="s">
        <v>42</v>
      </c>
      <c r="O386" s="1" t="s">
        <v>42</v>
      </c>
      <c r="P386" s="1" t="s">
        <v>42</v>
      </c>
      <c r="Q386" s="1" t="s">
        <v>42</v>
      </c>
      <c r="R386" s="1" t="s">
        <v>42</v>
      </c>
      <c r="S386" s="1" t="s">
        <v>42</v>
      </c>
      <c r="T386" s="1" t="s">
        <v>42</v>
      </c>
      <c r="U386" s="1" t="s">
        <v>42</v>
      </c>
      <c r="V386" s="1" t="s">
        <v>42</v>
      </c>
      <c r="W386" s="1" t="s">
        <v>42</v>
      </c>
      <c r="X386" s="1" t="s">
        <v>42</v>
      </c>
      <c r="Y386" s="3">
        <v>44005.053230937498</v>
      </c>
      <c r="Z386" s="1">
        <v>0</v>
      </c>
      <c r="AA386" s="1">
        <v>0</v>
      </c>
      <c r="AB386" s="1">
        <v>0</v>
      </c>
      <c r="AC386" s="1">
        <v>0</v>
      </c>
      <c r="AD386" s="3">
        <v>44005.053230937498</v>
      </c>
      <c r="AE386" s="1" t="s">
        <v>42</v>
      </c>
    </row>
    <row r="387" spans="1:31" x14ac:dyDescent="0.35">
      <c r="A387" s="1">
        <v>6237</v>
      </c>
      <c r="B387" s="1" t="s">
        <v>3142</v>
      </c>
      <c r="C387" s="1" t="s">
        <v>3143</v>
      </c>
      <c r="D387" s="1" t="s">
        <v>3144</v>
      </c>
      <c r="E387" s="1" t="s">
        <v>3145</v>
      </c>
      <c r="F387" s="1">
        <v>1</v>
      </c>
      <c r="G387" s="3">
        <v>36651</v>
      </c>
      <c r="H387" s="1">
        <v>1</v>
      </c>
      <c r="I387" s="1" t="s">
        <v>1589</v>
      </c>
      <c r="J387" s="1" t="s">
        <v>3146</v>
      </c>
      <c r="K387" s="2">
        <f>91-727278272</f>
        <v>-727278181</v>
      </c>
      <c r="L387" s="1" t="s">
        <v>37</v>
      </c>
      <c r="M387" s="1">
        <v>4.05</v>
      </c>
      <c r="N387" s="1">
        <v>7</v>
      </c>
      <c r="O387" s="1" t="s">
        <v>3147</v>
      </c>
      <c r="P387" s="1" t="s">
        <v>54</v>
      </c>
      <c r="Q387" s="1" t="s">
        <v>3144</v>
      </c>
      <c r="R387" s="1" t="s">
        <v>3148</v>
      </c>
      <c r="S387" s="1" t="s">
        <v>286</v>
      </c>
      <c r="T387" s="1" t="s">
        <v>37</v>
      </c>
      <c r="U387" s="1">
        <v>4.04</v>
      </c>
      <c r="V387" s="1">
        <v>4.0999999999999996</v>
      </c>
      <c r="W387" s="1" t="s">
        <v>42</v>
      </c>
      <c r="X387" s="1" t="s">
        <v>42</v>
      </c>
      <c r="Y387" s="3">
        <v>44015.763105555554</v>
      </c>
      <c r="Z387" s="1">
        <v>0</v>
      </c>
      <c r="AA387" s="1">
        <v>0</v>
      </c>
      <c r="AB387" s="1">
        <v>0</v>
      </c>
      <c r="AC387" s="1">
        <v>0</v>
      </c>
      <c r="AD387" s="3">
        <v>44016.057889930555</v>
      </c>
      <c r="AE387" s="1" t="s">
        <v>42</v>
      </c>
    </row>
    <row r="388" spans="1:31" x14ac:dyDescent="0.35">
      <c r="A388" s="1">
        <v>6238</v>
      </c>
      <c r="B388" s="1" t="s">
        <v>3149</v>
      </c>
      <c r="C388" s="1" t="s">
        <v>3150</v>
      </c>
      <c r="D388" s="1" t="s">
        <v>1175</v>
      </c>
      <c r="E388" s="1" t="s">
        <v>52</v>
      </c>
      <c r="F388" s="1">
        <v>1</v>
      </c>
      <c r="G388" s="3">
        <v>34634</v>
      </c>
      <c r="H388" s="1">
        <v>1</v>
      </c>
      <c r="I388" s="1" t="s">
        <v>35</v>
      </c>
      <c r="J388" s="1" t="s">
        <v>3151</v>
      </c>
      <c r="K388" s="2">
        <f>91-8329330165</f>
        <v>-8329330074</v>
      </c>
      <c r="L388" s="1" t="s">
        <v>58</v>
      </c>
      <c r="M388" s="1">
        <v>5.09</v>
      </c>
      <c r="N388" s="1">
        <v>3</v>
      </c>
      <c r="O388" s="1" t="s">
        <v>3152</v>
      </c>
      <c r="P388" s="1">
        <f>91-8329330165</f>
        <v>-8329330074</v>
      </c>
      <c r="Q388" s="1" t="s">
        <v>1868</v>
      </c>
      <c r="R388" s="1" t="s">
        <v>3153</v>
      </c>
      <c r="S388" s="1" t="s">
        <v>469</v>
      </c>
      <c r="T388" s="1" t="s">
        <v>58</v>
      </c>
      <c r="U388" s="1">
        <v>5</v>
      </c>
      <c r="V388" s="1">
        <v>5.0599999999999996</v>
      </c>
      <c r="W388" s="1" t="s">
        <v>3154</v>
      </c>
      <c r="X388" s="1" t="s">
        <v>3155</v>
      </c>
      <c r="Y388" s="3">
        <v>44022.172416631947</v>
      </c>
      <c r="Z388" s="1">
        <v>1</v>
      </c>
      <c r="AA388" s="1">
        <v>1</v>
      </c>
      <c r="AB388" s="1">
        <v>1</v>
      </c>
      <c r="AC388" s="1">
        <v>1</v>
      </c>
      <c r="AD388" s="3">
        <v>44023.161214085645</v>
      </c>
      <c r="AE388" s="1" t="s">
        <v>42</v>
      </c>
    </row>
    <row r="389" spans="1:31" x14ac:dyDescent="0.35">
      <c r="A389" s="1">
        <v>6239</v>
      </c>
      <c r="B389" s="1" t="s">
        <v>3156</v>
      </c>
      <c r="C389" s="1" t="s">
        <v>3157</v>
      </c>
      <c r="D389" s="1" t="s">
        <v>3158</v>
      </c>
      <c r="E389" s="1" t="s">
        <v>83</v>
      </c>
      <c r="F389" s="1">
        <v>1</v>
      </c>
      <c r="G389" s="3">
        <v>30860</v>
      </c>
      <c r="H389" s="1">
        <v>1</v>
      </c>
      <c r="I389" s="1" t="s">
        <v>125</v>
      </c>
      <c r="J389" s="1" t="s">
        <v>126</v>
      </c>
      <c r="K389" s="2">
        <f>91-8951167086</f>
        <v>-8951166995</v>
      </c>
      <c r="L389" s="1" t="s">
        <v>1898</v>
      </c>
      <c r="M389" s="1">
        <v>5.0999999999999996</v>
      </c>
      <c r="N389" s="1">
        <v>10</v>
      </c>
      <c r="O389" s="1" t="s">
        <v>3159</v>
      </c>
      <c r="P389" s="1">
        <f>91-9886683131</f>
        <v>-9886683040</v>
      </c>
      <c r="Q389" s="1" t="s">
        <v>3160</v>
      </c>
      <c r="R389" s="1" t="s">
        <v>3161</v>
      </c>
      <c r="S389" s="1" t="s">
        <v>3162</v>
      </c>
      <c r="T389" s="1" t="s">
        <v>140</v>
      </c>
      <c r="U389" s="1">
        <v>4.08</v>
      </c>
      <c r="V389" s="1">
        <v>5.1100000000000003</v>
      </c>
      <c r="W389" s="1" t="s">
        <v>3163</v>
      </c>
      <c r="X389" s="1" t="s">
        <v>3164</v>
      </c>
      <c r="Y389" s="3">
        <v>44024.271785532408</v>
      </c>
      <c r="Z389" s="1">
        <v>1</v>
      </c>
      <c r="AA389" s="1">
        <v>1</v>
      </c>
      <c r="AB389" s="1">
        <v>1</v>
      </c>
      <c r="AC389" s="1">
        <v>3</v>
      </c>
      <c r="AD389" s="3">
        <v>44051.258151504633</v>
      </c>
      <c r="AE389" s="1" t="s">
        <v>42</v>
      </c>
    </row>
    <row r="390" spans="1:31" x14ac:dyDescent="0.35">
      <c r="A390" s="1">
        <v>6240</v>
      </c>
      <c r="B390" s="1" t="s">
        <v>3165</v>
      </c>
      <c r="C390" s="1" t="s">
        <v>3166</v>
      </c>
      <c r="D390" s="1" t="s">
        <v>3167</v>
      </c>
      <c r="E390" s="1" t="s">
        <v>3168</v>
      </c>
      <c r="F390" s="1">
        <v>1</v>
      </c>
      <c r="G390" s="3">
        <v>33820</v>
      </c>
      <c r="H390" s="1">
        <v>1</v>
      </c>
      <c r="I390" s="1" t="s">
        <v>1241</v>
      </c>
      <c r="J390" s="1" t="s">
        <v>3169</v>
      </c>
      <c r="K390" s="2">
        <f>91-8105777994</f>
        <v>-8105777903</v>
      </c>
      <c r="L390" s="1" t="s">
        <v>42</v>
      </c>
      <c r="M390" s="1" t="s">
        <v>42</v>
      </c>
      <c r="N390" s="1" t="s">
        <v>42</v>
      </c>
      <c r="O390" s="1" t="s">
        <v>42</v>
      </c>
      <c r="P390" s="1" t="s">
        <v>42</v>
      </c>
      <c r="Q390" s="1" t="s">
        <v>42</v>
      </c>
      <c r="R390" s="1" t="s">
        <v>42</v>
      </c>
      <c r="S390" s="1" t="s">
        <v>42</v>
      </c>
      <c r="T390" s="1" t="s">
        <v>42</v>
      </c>
      <c r="U390" s="1" t="s">
        <v>42</v>
      </c>
      <c r="V390" s="1" t="s">
        <v>42</v>
      </c>
      <c r="W390" s="1" t="s">
        <v>42</v>
      </c>
      <c r="X390" s="1" t="s">
        <v>42</v>
      </c>
      <c r="Y390" s="3">
        <v>44025.952140590278</v>
      </c>
      <c r="Z390" s="1">
        <v>0</v>
      </c>
      <c r="AA390" s="1">
        <v>0</v>
      </c>
      <c r="AB390" s="1">
        <v>0</v>
      </c>
      <c r="AC390" s="1">
        <v>0</v>
      </c>
      <c r="AD390" s="3">
        <v>44025.952140590278</v>
      </c>
      <c r="AE390" s="1" t="s">
        <v>42</v>
      </c>
    </row>
    <row r="391" spans="1:31" x14ac:dyDescent="0.35">
      <c r="A391" s="1">
        <v>6241</v>
      </c>
      <c r="B391" s="1" t="s">
        <v>3170</v>
      </c>
      <c r="C391" s="1" t="s">
        <v>3166</v>
      </c>
      <c r="D391" s="1" t="s">
        <v>3171</v>
      </c>
      <c r="E391" s="1" t="s">
        <v>3168</v>
      </c>
      <c r="F391" s="1">
        <v>1</v>
      </c>
      <c r="G391" s="3">
        <v>33820</v>
      </c>
      <c r="H391" s="1">
        <v>1</v>
      </c>
      <c r="I391" s="1" t="s">
        <v>1241</v>
      </c>
      <c r="J391" s="1" t="s">
        <v>3169</v>
      </c>
      <c r="K391" s="2">
        <f>91-8105777994</f>
        <v>-8105777903</v>
      </c>
      <c r="L391" s="1" t="s">
        <v>58</v>
      </c>
      <c r="M391" s="1">
        <v>5.1100000000000003</v>
      </c>
      <c r="N391" s="1">
        <v>16</v>
      </c>
      <c r="O391" s="1" t="s">
        <v>3172</v>
      </c>
      <c r="P391" s="1">
        <f>91-8555940491</f>
        <v>-8555940400</v>
      </c>
      <c r="Q391" s="1" t="s">
        <v>3173</v>
      </c>
      <c r="R391" s="1" t="s">
        <v>3174</v>
      </c>
      <c r="S391" s="1" t="s">
        <v>1818</v>
      </c>
      <c r="T391" s="1" t="s">
        <v>58</v>
      </c>
      <c r="U391" s="1">
        <v>4.05</v>
      </c>
      <c r="V391" s="1">
        <v>5.0999999999999996</v>
      </c>
      <c r="W391" s="1" t="s">
        <v>3175</v>
      </c>
      <c r="X391" s="1" t="s">
        <v>3176</v>
      </c>
      <c r="Y391" s="3">
        <v>44025.956653587964</v>
      </c>
      <c r="Z391" s="1">
        <v>1</v>
      </c>
      <c r="AA391" s="1">
        <v>1</v>
      </c>
      <c r="AB391" s="1">
        <v>1</v>
      </c>
      <c r="AC391" s="1">
        <v>3</v>
      </c>
      <c r="AD391" s="3">
        <v>44038.504031979166</v>
      </c>
      <c r="AE391" s="1" t="s">
        <v>42</v>
      </c>
    </row>
    <row r="392" spans="1:31" x14ac:dyDescent="0.35">
      <c r="A392" s="1">
        <v>6242</v>
      </c>
      <c r="B392" s="1" t="s">
        <v>3177</v>
      </c>
      <c r="C392" s="1" t="s">
        <v>3178</v>
      </c>
      <c r="D392" s="1" t="s">
        <v>2444</v>
      </c>
      <c r="E392" s="1" t="s">
        <v>1895</v>
      </c>
      <c r="F392" s="1">
        <v>1</v>
      </c>
      <c r="G392" s="3">
        <v>32939</v>
      </c>
      <c r="H392" s="1">
        <v>1</v>
      </c>
      <c r="I392" s="1" t="s">
        <v>35</v>
      </c>
      <c r="J392" s="1" t="s">
        <v>36</v>
      </c>
      <c r="K392" s="2">
        <f>91-9664660045</f>
        <v>-9664659954</v>
      </c>
      <c r="L392" s="1" t="s">
        <v>58</v>
      </c>
      <c r="M392" s="1">
        <v>4.1100000000000003</v>
      </c>
      <c r="N392" s="1">
        <v>3</v>
      </c>
      <c r="O392" s="1" t="s">
        <v>3179</v>
      </c>
      <c r="P392" s="1">
        <f>91-9221226497</f>
        <v>-9221226406</v>
      </c>
      <c r="Q392" s="1" t="s">
        <v>3180</v>
      </c>
      <c r="R392" s="1" t="s">
        <v>3181</v>
      </c>
      <c r="S392" s="1" t="s">
        <v>3182</v>
      </c>
      <c r="T392" s="1" t="s">
        <v>99</v>
      </c>
      <c r="U392" s="1">
        <v>4</v>
      </c>
      <c r="V392" s="1">
        <v>4.1100000000000003</v>
      </c>
      <c r="W392" s="1" t="s">
        <v>42</v>
      </c>
      <c r="X392" s="1" t="s">
        <v>42</v>
      </c>
      <c r="Y392" s="3">
        <v>44029.291308067128</v>
      </c>
      <c r="Z392" s="1">
        <v>0</v>
      </c>
      <c r="AA392" s="1">
        <v>0</v>
      </c>
      <c r="AB392" s="1">
        <v>0</v>
      </c>
      <c r="AC392" s="1">
        <v>0</v>
      </c>
      <c r="AD392" s="3">
        <v>44029.291308067128</v>
      </c>
      <c r="AE392" s="1" t="s">
        <v>42</v>
      </c>
    </row>
    <row r="393" spans="1:31" x14ac:dyDescent="0.35">
      <c r="A393" s="1">
        <v>6243</v>
      </c>
      <c r="B393" s="1" t="s">
        <v>3183</v>
      </c>
      <c r="C393" s="1" t="s">
        <v>3184</v>
      </c>
      <c r="D393" s="1" t="s">
        <v>3185</v>
      </c>
      <c r="E393" s="1" t="s">
        <v>52</v>
      </c>
      <c r="F393" s="1">
        <v>1</v>
      </c>
      <c r="G393" s="3">
        <v>34492</v>
      </c>
      <c r="H393" s="1">
        <v>1</v>
      </c>
      <c r="I393" s="1" t="s">
        <v>63</v>
      </c>
      <c r="J393" s="1" t="s">
        <v>64</v>
      </c>
      <c r="K393" s="2">
        <f>91-9925212238</f>
        <v>-9925212147</v>
      </c>
      <c r="L393" s="1" t="s">
        <v>42</v>
      </c>
      <c r="M393" s="1" t="s">
        <v>42</v>
      </c>
      <c r="N393" s="1" t="s">
        <v>42</v>
      </c>
      <c r="O393" s="1" t="s">
        <v>42</v>
      </c>
      <c r="P393" s="1" t="s">
        <v>42</v>
      </c>
      <c r="Q393" s="1" t="s">
        <v>42</v>
      </c>
      <c r="R393" s="1" t="s">
        <v>42</v>
      </c>
      <c r="S393" s="1" t="s">
        <v>42</v>
      </c>
      <c r="T393" s="1" t="s">
        <v>42</v>
      </c>
      <c r="U393" s="1" t="s">
        <v>42</v>
      </c>
      <c r="V393" s="1" t="s">
        <v>42</v>
      </c>
      <c r="W393" s="1" t="s">
        <v>42</v>
      </c>
      <c r="X393" s="1" t="s">
        <v>42</v>
      </c>
      <c r="Y393" s="3">
        <v>44029.792184606478</v>
      </c>
      <c r="Z393" s="1">
        <v>0</v>
      </c>
      <c r="AA393" s="1">
        <v>0</v>
      </c>
      <c r="AB393" s="1">
        <v>0</v>
      </c>
      <c r="AC393" s="1">
        <v>0</v>
      </c>
      <c r="AD393" s="3">
        <v>44030.084528356485</v>
      </c>
      <c r="AE393" s="1" t="s">
        <v>42</v>
      </c>
    </row>
    <row r="394" spans="1:31" x14ac:dyDescent="0.35">
      <c r="A394" s="1">
        <v>6244</v>
      </c>
      <c r="B394" s="1" t="s">
        <v>3186</v>
      </c>
      <c r="C394" s="1" t="s">
        <v>3187</v>
      </c>
      <c r="D394" s="1" t="s">
        <v>3188</v>
      </c>
      <c r="E394" s="1" t="s">
        <v>1192</v>
      </c>
      <c r="F394" s="1">
        <v>1</v>
      </c>
      <c r="G394" s="3">
        <v>34582</v>
      </c>
      <c r="H394" s="1">
        <v>1</v>
      </c>
      <c r="I394" s="1" t="s">
        <v>1241</v>
      </c>
      <c r="J394" s="1" t="s">
        <v>3189</v>
      </c>
      <c r="K394" s="2">
        <f>91-9848441118</f>
        <v>-9848441027</v>
      </c>
      <c r="L394" s="1" t="s">
        <v>58</v>
      </c>
      <c r="M394" s="1">
        <v>5.1100000000000003</v>
      </c>
      <c r="N394" s="1">
        <v>43</v>
      </c>
      <c r="O394" s="1" t="s">
        <v>3190</v>
      </c>
      <c r="P394" s="1">
        <f>91-8919179797</f>
        <v>-8919179706</v>
      </c>
      <c r="Q394" s="1" t="s">
        <v>3191</v>
      </c>
      <c r="R394" s="1" t="s">
        <v>3192</v>
      </c>
      <c r="S394" s="1" t="s">
        <v>171</v>
      </c>
      <c r="T394" s="1" t="s">
        <v>58</v>
      </c>
      <c r="U394" s="1">
        <v>5.0199999999999996</v>
      </c>
      <c r="V394" s="1">
        <v>5.0999999999999996</v>
      </c>
      <c r="W394" s="1" t="s">
        <v>42</v>
      </c>
      <c r="X394" s="1" t="s">
        <v>42</v>
      </c>
      <c r="Y394" s="3">
        <v>44031.155186886572</v>
      </c>
      <c r="Z394" s="1">
        <v>0</v>
      </c>
      <c r="AA394" s="1">
        <v>0</v>
      </c>
      <c r="AB394" s="1">
        <v>0</v>
      </c>
      <c r="AC394" s="1">
        <v>0</v>
      </c>
      <c r="AD394" s="3">
        <v>44063.405022453706</v>
      </c>
      <c r="AE394" s="1" t="s">
        <v>42</v>
      </c>
    </row>
    <row r="395" spans="1:31" x14ac:dyDescent="0.35">
      <c r="A395" s="1">
        <v>6245</v>
      </c>
      <c r="B395" s="1" t="s">
        <v>3193</v>
      </c>
      <c r="C395" s="1" t="s">
        <v>3194</v>
      </c>
      <c r="D395" s="1" t="s">
        <v>1171</v>
      </c>
      <c r="E395" s="1" t="s">
        <v>3195</v>
      </c>
      <c r="F395" s="1">
        <v>1</v>
      </c>
      <c r="G395" s="3">
        <v>33427</v>
      </c>
      <c r="H395" s="1">
        <v>1</v>
      </c>
      <c r="I395" s="1" t="s">
        <v>35</v>
      </c>
      <c r="J395" s="1" t="s">
        <v>36</v>
      </c>
      <c r="K395" s="2">
        <f>91-8108863903</f>
        <v>-8108863812</v>
      </c>
      <c r="L395" s="1" t="s">
        <v>58</v>
      </c>
      <c r="M395" s="1">
        <v>5.03</v>
      </c>
      <c r="N395" s="1">
        <v>14</v>
      </c>
      <c r="O395" s="1" t="s">
        <v>3196</v>
      </c>
      <c r="P395" s="1">
        <f>91-7977818839</f>
        <v>-7977818748</v>
      </c>
      <c r="Q395" s="1" t="s">
        <v>3197</v>
      </c>
      <c r="R395" s="1" t="s">
        <v>3198</v>
      </c>
      <c r="S395" s="1" t="s">
        <v>222</v>
      </c>
      <c r="T395" s="1" t="s">
        <v>599</v>
      </c>
      <c r="U395" s="1">
        <v>4.1100000000000003</v>
      </c>
      <c r="V395" s="1">
        <v>5.0599999999999996</v>
      </c>
      <c r="W395" s="1" t="s">
        <v>3199</v>
      </c>
      <c r="X395" s="1" t="s">
        <v>3200</v>
      </c>
      <c r="Y395" s="3">
        <v>44034.05526134259</v>
      </c>
      <c r="Z395" s="1">
        <v>1</v>
      </c>
      <c r="AA395" s="1">
        <v>1</v>
      </c>
      <c r="AB395" s="1">
        <v>1</v>
      </c>
      <c r="AC395" s="1">
        <v>1</v>
      </c>
      <c r="AD395" s="3">
        <v>44043.54451226852</v>
      </c>
      <c r="AE395" s="1" t="s">
        <v>42</v>
      </c>
    </row>
    <row r="396" spans="1:31" x14ac:dyDescent="0.35">
      <c r="A396" s="1">
        <v>6246</v>
      </c>
      <c r="B396" s="1" t="s">
        <v>3201</v>
      </c>
      <c r="C396" s="1" t="s">
        <v>3202</v>
      </c>
      <c r="D396" s="1" t="s">
        <v>3203</v>
      </c>
      <c r="E396" s="1" t="s">
        <v>3204</v>
      </c>
      <c r="F396" s="1">
        <v>0</v>
      </c>
      <c r="G396" s="3">
        <v>35197</v>
      </c>
      <c r="H396" s="1">
        <v>1</v>
      </c>
      <c r="I396" s="1" t="s">
        <v>63</v>
      </c>
      <c r="J396" s="1" t="s">
        <v>64</v>
      </c>
      <c r="K396" s="2">
        <f>91-9427953533</f>
        <v>-9427953442</v>
      </c>
      <c r="L396" s="1" t="s">
        <v>42</v>
      </c>
      <c r="M396" s="1" t="s">
        <v>42</v>
      </c>
      <c r="N396" s="1" t="s">
        <v>42</v>
      </c>
      <c r="O396" s="1" t="s">
        <v>42</v>
      </c>
      <c r="P396" s="1" t="s">
        <v>42</v>
      </c>
      <c r="Q396" s="1" t="s">
        <v>42</v>
      </c>
      <c r="R396" s="1" t="s">
        <v>42</v>
      </c>
      <c r="S396" s="1" t="s">
        <v>42</v>
      </c>
      <c r="T396" s="1" t="s">
        <v>42</v>
      </c>
      <c r="U396" s="1" t="s">
        <v>42</v>
      </c>
      <c r="V396" s="1" t="s">
        <v>42</v>
      </c>
      <c r="W396" s="1" t="s">
        <v>42</v>
      </c>
      <c r="X396" s="1" t="s">
        <v>42</v>
      </c>
      <c r="Y396" s="3">
        <v>44035.204651157408</v>
      </c>
      <c r="Z396" s="1">
        <v>0</v>
      </c>
      <c r="AA396" s="1">
        <v>0</v>
      </c>
      <c r="AB396" s="1">
        <v>0</v>
      </c>
      <c r="AC396" s="1">
        <v>0</v>
      </c>
      <c r="AD396" s="3">
        <v>44035.204651157408</v>
      </c>
      <c r="AE396" s="1" t="s">
        <v>42</v>
      </c>
    </row>
    <row r="397" spans="1:31" x14ac:dyDescent="0.35">
      <c r="A397" s="1">
        <v>6247</v>
      </c>
      <c r="B397" s="1" t="s">
        <v>3205</v>
      </c>
      <c r="C397" s="1" t="s">
        <v>3206</v>
      </c>
      <c r="D397" s="1" t="s">
        <v>415</v>
      </c>
      <c r="E397" s="1" t="s">
        <v>653</v>
      </c>
      <c r="F397" s="1">
        <v>0</v>
      </c>
      <c r="G397" s="3">
        <v>32342</v>
      </c>
      <c r="H397" s="1">
        <v>1</v>
      </c>
      <c r="I397" s="1" t="s">
        <v>72</v>
      </c>
      <c r="J397" s="1" t="s">
        <v>167</v>
      </c>
      <c r="K397" s="2">
        <f>91-8120119040</f>
        <v>-8120118949</v>
      </c>
      <c r="L397" s="1" t="s">
        <v>58</v>
      </c>
      <c r="M397" s="1">
        <v>5.03</v>
      </c>
      <c r="N397" s="1">
        <v>18</v>
      </c>
      <c r="O397" s="1" t="s">
        <v>3207</v>
      </c>
      <c r="P397" s="1" t="s">
        <v>54</v>
      </c>
      <c r="Q397" s="1" t="s">
        <v>42</v>
      </c>
      <c r="R397" s="1" t="s">
        <v>42</v>
      </c>
      <c r="S397" s="1" t="s">
        <v>42</v>
      </c>
      <c r="T397" s="1" t="s">
        <v>42</v>
      </c>
      <c r="U397" s="1" t="s">
        <v>42</v>
      </c>
      <c r="V397" s="1" t="s">
        <v>42</v>
      </c>
      <c r="W397" s="1" t="s">
        <v>42</v>
      </c>
      <c r="X397" s="1" t="s">
        <v>42</v>
      </c>
      <c r="Y397" s="3">
        <v>44035.367070717592</v>
      </c>
      <c r="Z397" s="1">
        <v>0</v>
      </c>
      <c r="AA397" s="1">
        <v>0</v>
      </c>
      <c r="AB397" s="1">
        <v>0</v>
      </c>
      <c r="AC397" s="1">
        <v>0</v>
      </c>
      <c r="AD397" s="3">
        <v>44035.664041435186</v>
      </c>
      <c r="AE397" s="1" t="s">
        <v>42</v>
      </c>
    </row>
    <row r="398" spans="1:31" x14ac:dyDescent="0.35">
      <c r="A398" s="1">
        <v>6248</v>
      </c>
      <c r="B398" s="1" t="s">
        <v>3208</v>
      </c>
      <c r="C398" s="1" t="s">
        <v>3209</v>
      </c>
      <c r="D398" s="1" t="s">
        <v>3210</v>
      </c>
      <c r="E398" s="1" t="s">
        <v>3211</v>
      </c>
      <c r="F398" s="1">
        <v>1</v>
      </c>
      <c r="G398" s="3">
        <v>32469</v>
      </c>
      <c r="H398" s="1">
        <v>1</v>
      </c>
      <c r="I398" s="1" t="s">
        <v>63</v>
      </c>
      <c r="J398" s="1" t="s">
        <v>370</v>
      </c>
      <c r="K398" s="2">
        <f>91-9265548910</f>
        <v>-9265548819</v>
      </c>
      <c r="L398" s="1" t="s">
        <v>42</v>
      </c>
      <c r="M398" s="1" t="s">
        <v>42</v>
      </c>
      <c r="N398" s="1" t="s">
        <v>42</v>
      </c>
      <c r="O398" s="1" t="s">
        <v>42</v>
      </c>
      <c r="P398" s="1" t="s">
        <v>42</v>
      </c>
      <c r="Q398" s="1" t="s">
        <v>42</v>
      </c>
      <c r="R398" s="1" t="s">
        <v>42</v>
      </c>
      <c r="S398" s="1" t="s">
        <v>42</v>
      </c>
      <c r="T398" s="1" t="s">
        <v>42</v>
      </c>
      <c r="U398" s="1" t="s">
        <v>42</v>
      </c>
      <c r="V398" s="1" t="s">
        <v>42</v>
      </c>
      <c r="W398" s="1" t="s">
        <v>42</v>
      </c>
      <c r="X398" s="1" t="s">
        <v>42</v>
      </c>
      <c r="Y398" s="3">
        <v>44035.442770949077</v>
      </c>
      <c r="Z398" s="1">
        <v>0</v>
      </c>
      <c r="AA398" s="1">
        <v>0</v>
      </c>
      <c r="AB398" s="1">
        <v>0</v>
      </c>
      <c r="AC398" s="1">
        <v>0</v>
      </c>
      <c r="AD398" s="3">
        <v>44035.442770949077</v>
      </c>
      <c r="AE398" s="1" t="s">
        <v>42</v>
      </c>
    </row>
    <row r="399" spans="1:31" x14ac:dyDescent="0.35">
      <c r="A399" s="1">
        <v>6249</v>
      </c>
      <c r="B399" s="1" t="s">
        <v>3212</v>
      </c>
      <c r="C399" s="1" t="s">
        <v>3213</v>
      </c>
      <c r="D399" s="1" t="s">
        <v>3214</v>
      </c>
      <c r="E399" s="1" t="s">
        <v>228</v>
      </c>
      <c r="F399" s="1">
        <v>1</v>
      </c>
      <c r="G399" s="3">
        <v>34185</v>
      </c>
      <c r="H399" s="1">
        <v>1</v>
      </c>
      <c r="I399" s="1" t="s">
        <v>1241</v>
      </c>
      <c r="J399" s="1" t="s">
        <v>3215</v>
      </c>
      <c r="K399" s="2">
        <f>91-7838290664</f>
        <v>-7838290573</v>
      </c>
      <c r="L399" s="1" t="s">
        <v>58</v>
      </c>
      <c r="M399" s="1">
        <v>5.1100000000000003</v>
      </c>
      <c r="N399" s="1">
        <v>16</v>
      </c>
      <c r="O399" s="1" t="s">
        <v>3216</v>
      </c>
      <c r="P399" s="1">
        <f>91-8555940491</f>
        <v>-8555940400</v>
      </c>
      <c r="Q399" s="1" t="s">
        <v>3173</v>
      </c>
      <c r="R399" s="1" t="s">
        <v>3217</v>
      </c>
      <c r="S399" s="1" t="s">
        <v>3218</v>
      </c>
      <c r="T399" s="1" t="s">
        <v>58</v>
      </c>
      <c r="U399" s="1">
        <v>5</v>
      </c>
      <c r="V399" s="1">
        <v>5</v>
      </c>
      <c r="W399" s="1" t="s">
        <v>3219</v>
      </c>
      <c r="X399" s="1" t="s">
        <v>3220</v>
      </c>
      <c r="Y399" s="3">
        <v>44036.994840856481</v>
      </c>
      <c r="Z399" s="1">
        <v>1</v>
      </c>
      <c r="AA399" s="1">
        <v>1</v>
      </c>
      <c r="AB399" s="1">
        <v>1</v>
      </c>
      <c r="AC399" s="1">
        <v>1</v>
      </c>
      <c r="AD399" s="3">
        <v>44071.287451585646</v>
      </c>
      <c r="AE399" s="1" t="s">
        <v>42</v>
      </c>
    </row>
    <row r="400" spans="1:31" x14ac:dyDescent="0.35">
      <c r="A400" s="1">
        <v>6250</v>
      </c>
      <c r="B400" s="1" t="s">
        <v>3221</v>
      </c>
      <c r="C400" s="1" t="s">
        <v>3222</v>
      </c>
      <c r="D400" s="1" t="s">
        <v>1171</v>
      </c>
      <c r="E400" s="1" t="s">
        <v>3223</v>
      </c>
      <c r="F400" s="1">
        <v>1</v>
      </c>
      <c r="G400" s="3">
        <v>33261</v>
      </c>
      <c r="H400" s="1">
        <v>1</v>
      </c>
      <c r="I400" s="1" t="s">
        <v>700</v>
      </c>
      <c r="J400" s="1" t="s">
        <v>701</v>
      </c>
      <c r="K400" s="2">
        <f>91-7000871023</f>
        <v>-7000870932</v>
      </c>
      <c r="L400" s="1" t="s">
        <v>58</v>
      </c>
      <c r="M400" s="1">
        <v>5.1100000000000003</v>
      </c>
      <c r="N400" s="1">
        <v>27</v>
      </c>
      <c r="O400" s="1" t="s">
        <v>3224</v>
      </c>
      <c r="P400" s="1">
        <f>91-8962844491</f>
        <v>-8962844400</v>
      </c>
      <c r="Q400" s="1" t="s">
        <v>666</v>
      </c>
      <c r="R400" s="1" t="s">
        <v>3225</v>
      </c>
      <c r="S400" s="1" t="s">
        <v>1091</v>
      </c>
      <c r="T400" s="1" t="s">
        <v>58</v>
      </c>
      <c r="U400" s="1">
        <v>5.05</v>
      </c>
      <c r="V400" s="1">
        <v>5.08</v>
      </c>
      <c r="W400" s="1" t="s">
        <v>3226</v>
      </c>
      <c r="X400" s="1" t="s">
        <v>3227</v>
      </c>
      <c r="Y400" s="3">
        <v>44037.273462037039</v>
      </c>
      <c r="Z400" s="1">
        <v>1</v>
      </c>
      <c r="AA400" s="1">
        <v>1</v>
      </c>
      <c r="AB400" s="1">
        <v>1</v>
      </c>
      <c r="AC400" s="1">
        <v>1</v>
      </c>
      <c r="AD400" s="3">
        <v>44037.273462037039</v>
      </c>
      <c r="AE400" s="1" t="s">
        <v>42</v>
      </c>
    </row>
    <row r="401" spans="1:31" x14ac:dyDescent="0.35">
      <c r="A401" s="1">
        <v>6251</v>
      </c>
      <c r="B401" s="1" t="s">
        <v>3228</v>
      </c>
      <c r="C401" s="1" t="s">
        <v>3229</v>
      </c>
      <c r="D401" s="1" t="s">
        <v>3230</v>
      </c>
      <c r="E401" s="1" t="s">
        <v>3231</v>
      </c>
      <c r="F401" s="1">
        <v>0</v>
      </c>
      <c r="G401" s="3">
        <v>35197</v>
      </c>
      <c r="H401" s="1">
        <v>1</v>
      </c>
      <c r="I401" s="1" t="s">
        <v>63</v>
      </c>
      <c r="J401" s="1" t="s">
        <v>64</v>
      </c>
      <c r="K401" s="2">
        <f>91-9427953533</f>
        <v>-9427953442</v>
      </c>
      <c r="L401" s="1" t="s">
        <v>58</v>
      </c>
      <c r="M401" s="1">
        <v>5.03</v>
      </c>
      <c r="N401" s="1">
        <v>14</v>
      </c>
      <c r="O401" s="1" t="s">
        <v>3232</v>
      </c>
      <c r="P401" s="1">
        <f>91-9537242002</f>
        <v>-9537241911</v>
      </c>
      <c r="Q401" s="1" t="s">
        <v>3233</v>
      </c>
      <c r="R401" s="1" t="s">
        <v>3234</v>
      </c>
      <c r="S401" s="1" t="s">
        <v>1187</v>
      </c>
      <c r="T401" s="1" t="s">
        <v>58</v>
      </c>
      <c r="U401" s="1">
        <v>5.04</v>
      </c>
      <c r="V401" s="1">
        <v>5.07</v>
      </c>
      <c r="W401" s="1" t="s">
        <v>42</v>
      </c>
      <c r="X401" s="1" t="s">
        <v>42</v>
      </c>
      <c r="Y401" s="3">
        <v>44039.126351539351</v>
      </c>
      <c r="Z401" s="1">
        <v>0</v>
      </c>
      <c r="AA401" s="1">
        <v>0</v>
      </c>
      <c r="AB401" s="1">
        <v>0</v>
      </c>
      <c r="AC401" s="1">
        <v>0</v>
      </c>
      <c r="AD401" s="3">
        <v>44039.432749155094</v>
      </c>
      <c r="AE401" s="1" t="s">
        <v>42</v>
      </c>
    </row>
    <row r="402" spans="1:31" x14ac:dyDescent="0.35">
      <c r="A402" s="1">
        <v>6252</v>
      </c>
      <c r="B402" s="1" t="s">
        <v>3235</v>
      </c>
      <c r="C402" s="1" t="s">
        <v>3236</v>
      </c>
      <c r="D402" s="1" t="s">
        <v>33</v>
      </c>
      <c r="E402" s="1" t="s">
        <v>83</v>
      </c>
      <c r="F402" s="1">
        <v>1</v>
      </c>
      <c r="G402" s="3">
        <v>34838</v>
      </c>
      <c r="H402" s="1">
        <v>1</v>
      </c>
      <c r="I402" s="1" t="s">
        <v>35</v>
      </c>
      <c r="J402" s="1" t="s">
        <v>3237</v>
      </c>
      <c r="K402" s="2">
        <f>91-9421744844</f>
        <v>-9421744753</v>
      </c>
      <c r="L402" s="1" t="s">
        <v>58</v>
      </c>
      <c r="M402" s="1">
        <v>5.0999999999999996</v>
      </c>
      <c r="N402" s="1">
        <v>10</v>
      </c>
      <c r="O402" s="1" t="s">
        <v>3238</v>
      </c>
      <c r="P402" s="1">
        <f>91-7020278441</f>
        <v>-7020278350</v>
      </c>
      <c r="Q402" s="1" t="s">
        <v>1396</v>
      </c>
      <c r="R402" s="1" t="s">
        <v>3239</v>
      </c>
      <c r="S402" s="1" t="s">
        <v>323</v>
      </c>
      <c r="T402" s="1" t="s">
        <v>58</v>
      </c>
      <c r="U402" s="1">
        <v>4.08</v>
      </c>
      <c r="V402" s="1">
        <v>5.0999999999999996</v>
      </c>
      <c r="W402" s="1" t="s">
        <v>3240</v>
      </c>
      <c r="X402" s="1" t="s">
        <v>3241</v>
      </c>
      <c r="Y402" s="3">
        <v>44039.348249456016</v>
      </c>
      <c r="Z402" s="1">
        <v>0</v>
      </c>
      <c r="AA402" s="1">
        <v>0</v>
      </c>
      <c r="AB402" s="1">
        <v>0</v>
      </c>
      <c r="AC402" s="1">
        <v>0</v>
      </c>
      <c r="AD402" s="3">
        <v>44097.60438287037</v>
      </c>
      <c r="AE402" s="1" t="s">
        <v>42</v>
      </c>
    </row>
    <row r="403" spans="1:31" x14ac:dyDescent="0.35">
      <c r="A403" s="1">
        <v>6253</v>
      </c>
      <c r="B403" s="1" t="s">
        <v>3242</v>
      </c>
      <c r="C403" s="1" t="s">
        <v>3243</v>
      </c>
      <c r="D403" s="1" t="s">
        <v>3244</v>
      </c>
      <c r="E403" s="1" t="s">
        <v>3245</v>
      </c>
      <c r="F403" s="1">
        <v>0</v>
      </c>
      <c r="G403" s="3">
        <v>34257</v>
      </c>
      <c r="H403" s="1">
        <v>1</v>
      </c>
      <c r="I403" s="1" t="s">
        <v>72</v>
      </c>
      <c r="J403" s="1" t="s">
        <v>3246</v>
      </c>
      <c r="K403" s="2">
        <f>91-9926494957</f>
        <v>-9926494866</v>
      </c>
      <c r="L403" s="1" t="s">
        <v>58</v>
      </c>
      <c r="M403" s="1">
        <v>5.04</v>
      </c>
      <c r="N403" s="1">
        <v>26</v>
      </c>
      <c r="O403" s="1" t="s">
        <v>3247</v>
      </c>
      <c r="P403" s="1" t="s">
        <v>54</v>
      </c>
      <c r="Q403" s="1" t="s">
        <v>3248</v>
      </c>
      <c r="R403" s="1" t="s">
        <v>3249</v>
      </c>
      <c r="S403" s="1" t="s">
        <v>1518</v>
      </c>
      <c r="T403" s="1" t="s">
        <v>58</v>
      </c>
      <c r="U403" s="1">
        <v>5.05</v>
      </c>
      <c r="V403" s="1">
        <v>5.0999999999999996</v>
      </c>
      <c r="W403" s="1" t="s">
        <v>3250</v>
      </c>
      <c r="X403" s="1" t="s">
        <v>3251</v>
      </c>
      <c r="Y403" s="3">
        <v>44047.209616435182</v>
      </c>
      <c r="Z403" s="1">
        <v>1</v>
      </c>
      <c r="AA403" s="1">
        <v>1</v>
      </c>
      <c r="AB403" s="1">
        <v>1</v>
      </c>
      <c r="AC403" s="1">
        <v>1</v>
      </c>
      <c r="AD403" s="3">
        <v>44049.499201388891</v>
      </c>
      <c r="AE403" s="1" t="s">
        <v>42</v>
      </c>
    </row>
    <row r="404" spans="1:31" x14ac:dyDescent="0.35">
      <c r="A404" s="1">
        <v>6254</v>
      </c>
      <c r="B404" s="1" t="s">
        <v>3252</v>
      </c>
      <c r="C404" s="1" t="s">
        <v>3253</v>
      </c>
      <c r="D404" s="1" t="s">
        <v>3129</v>
      </c>
      <c r="E404" s="1" t="s">
        <v>52</v>
      </c>
      <c r="F404" s="1">
        <v>1</v>
      </c>
      <c r="G404" s="3">
        <v>35450</v>
      </c>
      <c r="H404" s="1">
        <v>1</v>
      </c>
      <c r="I404" s="1" t="s">
        <v>63</v>
      </c>
      <c r="J404" s="1" t="s">
        <v>64</v>
      </c>
      <c r="K404" s="2">
        <f>91-9825331172</f>
        <v>-9825331081</v>
      </c>
      <c r="L404" s="1" t="s">
        <v>42</v>
      </c>
      <c r="M404" s="1" t="s">
        <v>42</v>
      </c>
      <c r="N404" s="1" t="s">
        <v>42</v>
      </c>
      <c r="O404" s="1" t="s">
        <v>42</v>
      </c>
      <c r="P404" s="1" t="s">
        <v>42</v>
      </c>
      <c r="Q404" s="1" t="s">
        <v>42</v>
      </c>
      <c r="R404" s="1" t="s">
        <v>42</v>
      </c>
      <c r="S404" s="1" t="s">
        <v>42</v>
      </c>
      <c r="T404" s="1" t="s">
        <v>42</v>
      </c>
      <c r="U404" s="1" t="s">
        <v>42</v>
      </c>
      <c r="V404" s="1" t="s">
        <v>42</v>
      </c>
      <c r="W404" s="1" t="s">
        <v>42</v>
      </c>
      <c r="X404" s="1" t="s">
        <v>42</v>
      </c>
      <c r="Y404" s="3">
        <v>44048.130322106481</v>
      </c>
      <c r="Z404" s="1">
        <v>0</v>
      </c>
      <c r="AA404" s="1">
        <v>0</v>
      </c>
      <c r="AB404" s="1">
        <v>0</v>
      </c>
      <c r="AC404" s="1">
        <v>0</v>
      </c>
      <c r="AD404" s="3">
        <v>44048.130322106481</v>
      </c>
      <c r="AE404" s="1" t="s">
        <v>42</v>
      </c>
    </row>
    <row r="405" spans="1:31" x14ac:dyDescent="0.35">
      <c r="A405" s="1">
        <v>6255</v>
      </c>
      <c r="B405" s="1" t="s">
        <v>3254</v>
      </c>
      <c r="C405" s="1">
        <v>8120791679</v>
      </c>
      <c r="D405" s="1" t="s">
        <v>3255</v>
      </c>
      <c r="E405" s="1" t="s">
        <v>653</v>
      </c>
      <c r="F405" s="1">
        <v>1</v>
      </c>
      <c r="G405" s="3">
        <v>34491</v>
      </c>
      <c r="H405" s="1">
        <v>1</v>
      </c>
      <c r="I405" s="1" t="s">
        <v>72</v>
      </c>
      <c r="J405" s="1" t="s">
        <v>3256</v>
      </c>
      <c r="K405" s="2">
        <f>91-8120004945</f>
        <v>-8120004854</v>
      </c>
      <c r="L405" s="1" t="s">
        <v>42</v>
      </c>
      <c r="M405" s="1" t="s">
        <v>42</v>
      </c>
      <c r="N405" s="1" t="s">
        <v>42</v>
      </c>
      <c r="O405" s="1" t="s">
        <v>42</v>
      </c>
      <c r="P405" s="1" t="s">
        <v>42</v>
      </c>
      <c r="Q405" s="1" t="s">
        <v>42</v>
      </c>
      <c r="R405" s="1" t="s">
        <v>42</v>
      </c>
      <c r="S405" s="1" t="s">
        <v>42</v>
      </c>
      <c r="T405" s="1" t="s">
        <v>42</v>
      </c>
      <c r="U405" s="1" t="s">
        <v>42</v>
      </c>
      <c r="V405" s="1" t="s">
        <v>42</v>
      </c>
      <c r="W405" s="1" t="s">
        <v>42</v>
      </c>
      <c r="X405" s="1" t="s">
        <v>42</v>
      </c>
      <c r="Y405" s="3">
        <v>44051.289725694442</v>
      </c>
      <c r="Z405" s="1">
        <v>0</v>
      </c>
      <c r="AA405" s="1">
        <v>0</v>
      </c>
      <c r="AB405" s="1">
        <v>0</v>
      </c>
      <c r="AC405" s="1">
        <v>0</v>
      </c>
      <c r="AD405" s="3">
        <v>44051.289725694442</v>
      </c>
      <c r="AE405" s="1" t="s">
        <v>42</v>
      </c>
    </row>
    <row r="406" spans="1:31" x14ac:dyDescent="0.35">
      <c r="A406" s="1">
        <v>6256</v>
      </c>
      <c r="B406" s="1" t="s">
        <v>3257</v>
      </c>
      <c r="C406" s="1" t="s">
        <v>3258</v>
      </c>
      <c r="D406" s="1" t="s">
        <v>3259</v>
      </c>
      <c r="E406" s="1" t="s">
        <v>52</v>
      </c>
      <c r="F406" s="1">
        <v>1</v>
      </c>
      <c r="G406" s="3">
        <v>22129</v>
      </c>
      <c r="H406" s="1">
        <v>1</v>
      </c>
      <c r="I406" s="1" t="s">
        <v>63</v>
      </c>
      <c r="J406" s="1" t="s">
        <v>908</v>
      </c>
      <c r="K406" s="2">
        <f>91-9870657101</f>
        <v>-9870657010</v>
      </c>
      <c r="L406" s="1" t="s">
        <v>1898</v>
      </c>
      <c r="M406" s="1">
        <v>5.07</v>
      </c>
      <c r="N406" s="1">
        <v>12</v>
      </c>
      <c r="O406" s="1" t="s">
        <v>3260</v>
      </c>
      <c r="P406" s="1">
        <f>91-9714629444</f>
        <v>-9714629353</v>
      </c>
      <c r="Q406" s="1" t="s">
        <v>3261</v>
      </c>
      <c r="R406" s="1" t="s">
        <v>3262</v>
      </c>
      <c r="S406" s="1" t="s">
        <v>3263</v>
      </c>
      <c r="T406" s="1" t="s">
        <v>2971</v>
      </c>
      <c r="U406" s="1">
        <v>4.0999999999999996</v>
      </c>
      <c r="V406" s="1">
        <v>5.0599999999999996</v>
      </c>
      <c r="W406" s="1" t="s">
        <v>42</v>
      </c>
      <c r="X406" s="1" t="s">
        <v>42</v>
      </c>
      <c r="Y406" s="3">
        <v>44054.270212071759</v>
      </c>
      <c r="Z406" s="1">
        <v>0</v>
      </c>
      <c r="AA406" s="1">
        <v>0</v>
      </c>
      <c r="AB406" s="1">
        <v>0</v>
      </c>
      <c r="AC406" s="1">
        <v>0</v>
      </c>
      <c r="AD406" s="3">
        <v>44055.590001076387</v>
      </c>
      <c r="AE406" s="1" t="s">
        <v>42</v>
      </c>
    </row>
    <row r="407" spans="1:31" x14ac:dyDescent="0.35">
      <c r="A407" s="1">
        <v>6257</v>
      </c>
      <c r="B407" s="1" t="s">
        <v>3264</v>
      </c>
      <c r="C407" s="1" t="s">
        <v>260</v>
      </c>
      <c r="D407" s="1" t="s">
        <v>3265</v>
      </c>
      <c r="E407" s="1" t="s">
        <v>83</v>
      </c>
      <c r="F407" s="1">
        <v>0</v>
      </c>
      <c r="G407" s="3">
        <v>35099</v>
      </c>
      <c r="H407" s="1">
        <v>1</v>
      </c>
      <c r="I407" s="1" t="s">
        <v>35</v>
      </c>
      <c r="J407" s="1" t="s">
        <v>871</v>
      </c>
      <c r="K407" s="2">
        <f>91-8888772161</f>
        <v>-8888772070</v>
      </c>
      <c r="L407" s="1" t="s">
        <v>58</v>
      </c>
      <c r="M407" s="1">
        <v>5.03</v>
      </c>
      <c r="N407" s="1">
        <v>10</v>
      </c>
      <c r="O407" s="1" t="s">
        <v>3266</v>
      </c>
      <c r="P407" s="1">
        <f>91-9226988068</f>
        <v>-9226987977</v>
      </c>
      <c r="Q407" s="1" t="s">
        <v>3267</v>
      </c>
      <c r="R407" s="1" t="s">
        <v>3268</v>
      </c>
      <c r="S407" s="1" t="s">
        <v>499</v>
      </c>
      <c r="T407" s="1" t="s">
        <v>58</v>
      </c>
      <c r="U407" s="1">
        <v>5.03</v>
      </c>
      <c r="V407" s="1">
        <v>5.09</v>
      </c>
      <c r="W407" s="1" t="s">
        <v>3269</v>
      </c>
      <c r="X407" s="1" t="s">
        <v>3270</v>
      </c>
      <c r="Y407" s="3">
        <v>44057.346962962962</v>
      </c>
      <c r="Z407" s="1">
        <v>1</v>
      </c>
      <c r="AA407" s="1">
        <v>1</v>
      </c>
      <c r="AB407" s="1">
        <v>1</v>
      </c>
      <c r="AC407" s="1">
        <v>1</v>
      </c>
      <c r="AD407" s="3">
        <v>44057.346962962962</v>
      </c>
      <c r="AE407" s="1" t="s">
        <v>42</v>
      </c>
    </row>
    <row r="408" spans="1:31" x14ac:dyDescent="0.35">
      <c r="A408" s="1">
        <v>6258</v>
      </c>
      <c r="B408" s="1" t="s">
        <v>3271</v>
      </c>
      <c r="C408" s="1" t="s">
        <v>3272</v>
      </c>
      <c r="D408" s="1" t="s">
        <v>3273</v>
      </c>
      <c r="E408" s="1" t="s">
        <v>2411</v>
      </c>
      <c r="F408" s="1">
        <v>1</v>
      </c>
      <c r="G408" s="3">
        <v>36015</v>
      </c>
      <c r="H408" s="1">
        <v>1</v>
      </c>
      <c r="I408" s="1" t="s">
        <v>63</v>
      </c>
      <c r="J408" s="1" t="s">
        <v>2579</v>
      </c>
      <c r="K408" s="2">
        <f>91-8200498159</f>
        <v>-8200498068</v>
      </c>
      <c r="L408" s="1" t="s">
        <v>58</v>
      </c>
      <c r="M408" s="1">
        <v>4.01</v>
      </c>
      <c r="N408" s="1">
        <v>3</v>
      </c>
      <c r="O408" s="1" t="s">
        <v>3274</v>
      </c>
      <c r="P408" s="1">
        <f>91-8200498159</f>
        <v>-8200498068</v>
      </c>
      <c r="Q408" s="1" t="s">
        <v>42</v>
      </c>
      <c r="R408" s="1" t="s">
        <v>42</v>
      </c>
      <c r="S408" s="1" t="s">
        <v>42</v>
      </c>
      <c r="T408" s="1" t="s">
        <v>42</v>
      </c>
      <c r="U408" s="1" t="s">
        <v>42</v>
      </c>
      <c r="V408" s="1" t="s">
        <v>42</v>
      </c>
      <c r="W408" s="1" t="s">
        <v>42</v>
      </c>
      <c r="X408" s="1" t="s">
        <v>42</v>
      </c>
      <c r="Y408" s="3">
        <v>44058.389062071758</v>
      </c>
      <c r="Z408" s="1">
        <v>0</v>
      </c>
      <c r="AA408" s="1">
        <v>0</v>
      </c>
      <c r="AB408" s="1">
        <v>0</v>
      </c>
      <c r="AC408" s="1">
        <v>0</v>
      </c>
      <c r="AD408" s="3">
        <v>44058.389062071758</v>
      </c>
      <c r="AE408" s="1" t="s">
        <v>42</v>
      </c>
    </row>
    <row r="409" spans="1:31" x14ac:dyDescent="0.35">
      <c r="A409" s="1">
        <v>6259</v>
      </c>
      <c r="B409" s="1" t="s">
        <v>3275</v>
      </c>
      <c r="C409" s="1" t="s">
        <v>3276</v>
      </c>
      <c r="D409" s="1" t="s">
        <v>3277</v>
      </c>
      <c r="E409" s="1" t="s">
        <v>52</v>
      </c>
      <c r="F409" s="1">
        <v>0</v>
      </c>
      <c r="G409" s="3">
        <v>35320</v>
      </c>
      <c r="H409" s="1">
        <v>1</v>
      </c>
      <c r="I409" s="1" t="s">
        <v>125</v>
      </c>
      <c r="J409" s="1" t="s">
        <v>126</v>
      </c>
      <c r="K409" s="2">
        <f>91-9611345481</f>
        <v>-9611345390</v>
      </c>
      <c r="L409" s="1" t="s">
        <v>58</v>
      </c>
      <c r="M409" s="1">
        <v>5.0199999999999996</v>
      </c>
      <c r="N409" s="1">
        <v>27</v>
      </c>
      <c r="O409" s="1" t="s">
        <v>3278</v>
      </c>
      <c r="P409" s="1">
        <f>91-9916903512</f>
        <v>-9916903421</v>
      </c>
      <c r="Q409" s="1" t="s">
        <v>3279</v>
      </c>
      <c r="R409" s="1" t="s">
        <v>3280</v>
      </c>
      <c r="S409" s="1" t="s">
        <v>1187</v>
      </c>
      <c r="T409" s="1" t="s">
        <v>58</v>
      </c>
      <c r="U409" s="1">
        <v>5.0599999999999996</v>
      </c>
      <c r="V409" s="1">
        <v>6</v>
      </c>
      <c r="W409" s="1" t="s">
        <v>3281</v>
      </c>
      <c r="X409" s="1" t="s">
        <v>3282</v>
      </c>
      <c r="Y409" s="3">
        <v>44061.341863773145</v>
      </c>
      <c r="Z409" s="1">
        <v>1</v>
      </c>
      <c r="AA409" s="1">
        <v>1</v>
      </c>
      <c r="AB409" s="1">
        <v>1</v>
      </c>
      <c r="AC409" s="1">
        <v>1</v>
      </c>
      <c r="AD409" s="3">
        <v>44061.725132673608</v>
      </c>
      <c r="AE409" s="1" t="s">
        <v>42</v>
      </c>
    </row>
    <row r="410" spans="1:31" x14ac:dyDescent="0.35">
      <c r="A410" s="1">
        <v>6260</v>
      </c>
      <c r="B410" s="1" t="s">
        <v>3283</v>
      </c>
      <c r="C410" s="1" t="s">
        <v>3284</v>
      </c>
      <c r="D410" s="1" t="s">
        <v>3285</v>
      </c>
      <c r="E410" s="1" t="s">
        <v>146</v>
      </c>
      <c r="F410" s="1">
        <v>1</v>
      </c>
      <c r="G410" s="3">
        <v>33786</v>
      </c>
      <c r="H410" s="1">
        <v>1</v>
      </c>
      <c r="I410" s="1" t="s">
        <v>63</v>
      </c>
      <c r="J410" s="1" t="s">
        <v>64</v>
      </c>
      <c r="K410" s="2">
        <f>91-9714322888</f>
        <v>-9714322797</v>
      </c>
      <c r="L410" s="1" t="s">
        <v>58</v>
      </c>
      <c r="M410" s="1">
        <v>5.0999999999999996</v>
      </c>
      <c r="N410" s="1">
        <v>6</v>
      </c>
      <c r="O410" s="1" t="s">
        <v>3286</v>
      </c>
      <c r="P410" s="1">
        <f>91-9574066597</f>
        <v>-9574066506</v>
      </c>
      <c r="Q410" s="1" t="s">
        <v>3287</v>
      </c>
      <c r="R410" s="1" t="s">
        <v>3288</v>
      </c>
      <c r="S410" s="1" t="s">
        <v>255</v>
      </c>
      <c r="T410" s="1" t="s">
        <v>599</v>
      </c>
      <c r="U410" s="1">
        <v>5.0199999999999996</v>
      </c>
      <c r="V410" s="1">
        <v>6</v>
      </c>
      <c r="W410" s="1" t="s">
        <v>42</v>
      </c>
      <c r="X410" s="1" t="s">
        <v>42</v>
      </c>
      <c r="Y410" s="3">
        <v>44064.274055289352</v>
      </c>
      <c r="Z410" s="1">
        <v>0</v>
      </c>
      <c r="AA410" s="1">
        <v>0</v>
      </c>
      <c r="AB410" s="1">
        <v>0</v>
      </c>
      <c r="AC410" s="1">
        <v>0</v>
      </c>
      <c r="AD410" s="3">
        <v>44064.274055289352</v>
      </c>
      <c r="AE410" s="1" t="s">
        <v>42</v>
      </c>
    </row>
    <row r="411" spans="1:31" x14ac:dyDescent="0.35">
      <c r="A411" s="1">
        <v>6261</v>
      </c>
      <c r="B411" s="1" t="s">
        <v>3289</v>
      </c>
      <c r="C411" s="1" t="s">
        <v>3290</v>
      </c>
      <c r="D411" s="1" t="s">
        <v>3291</v>
      </c>
      <c r="E411" s="1" t="s">
        <v>2112</v>
      </c>
      <c r="F411" s="1">
        <v>1</v>
      </c>
      <c r="G411" s="3">
        <v>34341</v>
      </c>
      <c r="H411" s="1">
        <v>1</v>
      </c>
      <c r="I411" s="1" t="s">
        <v>63</v>
      </c>
      <c r="J411" s="1" t="s">
        <v>2134</v>
      </c>
      <c r="K411" s="2">
        <f>91-9664815138</f>
        <v>-9664815047</v>
      </c>
      <c r="L411" s="1" t="s">
        <v>58</v>
      </c>
      <c r="M411" s="1">
        <v>5.0599999999999996</v>
      </c>
      <c r="N411" s="1">
        <v>25</v>
      </c>
      <c r="O411" s="1" t="s">
        <v>3292</v>
      </c>
      <c r="P411" s="1" t="s">
        <v>54</v>
      </c>
      <c r="Q411" s="1" t="s">
        <v>42</v>
      </c>
      <c r="R411" s="1" t="s">
        <v>42</v>
      </c>
      <c r="S411" s="1" t="s">
        <v>42</v>
      </c>
      <c r="T411" s="1" t="s">
        <v>42</v>
      </c>
      <c r="U411" s="1" t="s">
        <v>42</v>
      </c>
      <c r="V411" s="1" t="s">
        <v>42</v>
      </c>
      <c r="W411" s="1" t="s">
        <v>42</v>
      </c>
      <c r="X411" s="1" t="s">
        <v>42</v>
      </c>
      <c r="Y411" s="3">
        <v>44064.375872453704</v>
      </c>
      <c r="Z411" s="1">
        <v>0</v>
      </c>
      <c r="AA411" s="1">
        <v>0</v>
      </c>
      <c r="AB411" s="1">
        <v>0</v>
      </c>
      <c r="AC411" s="1">
        <v>0</v>
      </c>
      <c r="AD411" s="3">
        <v>44064.375872453704</v>
      </c>
      <c r="AE411" s="1" t="s">
        <v>42</v>
      </c>
    </row>
    <row r="412" spans="1:31" x14ac:dyDescent="0.35">
      <c r="A412" s="1">
        <v>6262</v>
      </c>
      <c r="B412" s="1" t="s">
        <v>3293</v>
      </c>
      <c r="C412" s="1" t="s">
        <v>3294</v>
      </c>
      <c r="D412" s="1" t="s">
        <v>3295</v>
      </c>
      <c r="E412" s="1" t="s">
        <v>3296</v>
      </c>
      <c r="F412" s="1">
        <v>1</v>
      </c>
      <c r="G412" s="3">
        <v>34801</v>
      </c>
      <c r="H412" s="1">
        <v>1</v>
      </c>
      <c r="I412" s="1" t="s">
        <v>63</v>
      </c>
      <c r="J412" s="1" t="s">
        <v>94</v>
      </c>
      <c r="K412" s="2">
        <f>91-9913377411</f>
        <v>-9913377320</v>
      </c>
      <c r="L412" s="1" t="s">
        <v>58</v>
      </c>
      <c r="M412" s="1">
        <v>6</v>
      </c>
      <c r="N412" s="1">
        <v>1</v>
      </c>
      <c r="O412" s="1" t="s">
        <v>800</v>
      </c>
      <c r="P412" s="1" t="s">
        <v>54</v>
      </c>
      <c r="Q412" s="1" t="s">
        <v>497</v>
      </c>
      <c r="R412" s="1" t="s">
        <v>3297</v>
      </c>
      <c r="S412" s="1" t="s">
        <v>3298</v>
      </c>
      <c r="T412" s="1" t="s">
        <v>58</v>
      </c>
      <c r="U412" s="1">
        <v>5</v>
      </c>
      <c r="V412" s="1">
        <v>7.05</v>
      </c>
      <c r="W412" s="1" t="s">
        <v>42</v>
      </c>
      <c r="X412" s="1" t="s">
        <v>42</v>
      </c>
      <c r="Y412" s="3">
        <v>44065.044168518521</v>
      </c>
      <c r="Z412" s="1">
        <v>0</v>
      </c>
      <c r="AA412" s="1">
        <v>0</v>
      </c>
      <c r="AB412" s="1">
        <v>0</v>
      </c>
      <c r="AC412" s="1">
        <v>0</v>
      </c>
      <c r="AD412" s="3">
        <v>44065.341602002314</v>
      </c>
      <c r="AE412" s="1" t="s">
        <v>42</v>
      </c>
    </row>
    <row r="413" spans="1:31" x14ac:dyDescent="0.35">
      <c r="A413" s="1">
        <v>6263</v>
      </c>
      <c r="B413" s="1" t="s">
        <v>3299</v>
      </c>
      <c r="C413" s="1" t="s">
        <v>3300</v>
      </c>
      <c r="D413" s="1" t="s">
        <v>3301</v>
      </c>
      <c r="E413" s="1" t="s">
        <v>3302</v>
      </c>
      <c r="F413" s="1">
        <v>1</v>
      </c>
      <c r="G413" s="3">
        <v>34297</v>
      </c>
      <c r="H413" s="1">
        <v>1</v>
      </c>
      <c r="I413" s="1" t="s">
        <v>63</v>
      </c>
      <c r="J413" s="1" t="s">
        <v>64</v>
      </c>
      <c r="K413" s="2">
        <f>91-7096516595</f>
        <v>-7096516504</v>
      </c>
      <c r="L413" s="1" t="s">
        <v>58</v>
      </c>
      <c r="M413" s="1">
        <v>5.0199999999999996</v>
      </c>
      <c r="N413" s="1">
        <v>10</v>
      </c>
      <c r="O413" s="1" t="s">
        <v>3303</v>
      </c>
      <c r="P413" s="1">
        <f>91-7096516595</f>
        <v>-7096516504</v>
      </c>
      <c r="Q413" s="1" t="s">
        <v>3304</v>
      </c>
      <c r="R413" s="1" t="s">
        <v>3305</v>
      </c>
      <c r="S413" s="1" t="s">
        <v>581</v>
      </c>
      <c r="T413" s="1" t="s">
        <v>58</v>
      </c>
      <c r="U413" s="1">
        <v>4</v>
      </c>
      <c r="V413" s="1">
        <v>5.0199999999999996</v>
      </c>
      <c r="W413" s="1" t="s">
        <v>42</v>
      </c>
      <c r="X413" s="1" t="s">
        <v>42</v>
      </c>
      <c r="Y413" s="3">
        <v>44067.927048263889</v>
      </c>
      <c r="Z413" s="1">
        <v>0</v>
      </c>
      <c r="AA413" s="1">
        <v>0</v>
      </c>
      <c r="AB413" s="1">
        <v>0</v>
      </c>
      <c r="AC413" s="1">
        <v>0</v>
      </c>
      <c r="AD413" s="3">
        <v>44068.232242789352</v>
      </c>
      <c r="AE413" s="1" t="s">
        <v>42</v>
      </c>
    </row>
    <row r="414" spans="1:31" x14ac:dyDescent="0.35">
      <c r="A414" s="1">
        <v>6264</v>
      </c>
      <c r="B414" s="1" t="s">
        <v>3306</v>
      </c>
      <c r="C414" s="1" t="s">
        <v>3307</v>
      </c>
      <c r="D414" s="1" t="s">
        <v>3308</v>
      </c>
      <c r="E414" s="1" t="s">
        <v>3309</v>
      </c>
      <c r="F414" s="1">
        <v>1</v>
      </c>
      <c r="G414" s="3">
        <v>32887</v>
      </c>
      <c r="H414" s="1">
        <v>1</v>
      </c>
      <c r="I414" s="1" t="s">
        <v>63</v>
      </c>
      <c r="J414" s="1" t="s">
        <v>370</v>
      </c>
      <c r="K414" s="2">
        <f>91-9687717273</f>
        <v>-9687717182</v>
      </c>
      <c r="L414" s="1" t="s">
        <v>37</v>
      </c>
      <c r="M414" s="1">
        <v>5.0599999999999996</v>
      </c>
      <c r="N414" s="1">
        <v>10</v>
      </c>
      <c r="O414" s="1" t="s">
        <v>3310</v>
      </c>
      <c r="P414" s="1">
        <f>91-99624778896624700000</f>
        <v>-9.9624778896624697E+19</v>
      </c>
      <c r="Q414" s="1" t="s">
        <v>3311</v>
      </c>
      <c r="R414" s="1" t="s">
        <v>3312</v>
      </c>
      <c r="S414" s="1" t="s">
        <v>98</v>
      </c>
      <c r="T414" s="1" t="s">
        <v>599</v>
      </c>
      <c r="U414" s="1">
        <v>4.1100000000000003</v>
      </c>
      <c r="V414" s="1">
        <v>5.08</v>
      </c>
      <c r="Y414" s="3">
        <v>44067.962467395831</v>
      </c>
      <c r="Z414" s="1">
        <v>0</v>
      </c>
      <c r="AA414" s="1">
        <v>1</v>
      </c>
      <c r="AB414" s="1">
        <v>0</v>
      </c>
      <c r="AC414" s="1">
        <v>0</v>
      </c>
      <c r="AD414" s="3">
        <v>44068.300685185182</v>
      </c>
      <c r="AE414" s="1" t="s">
        <v>42</v>
      </c>
    </row>
    <row r="415" spans="1:31" x14ac:dyDescent="0.35">
      <c r="A415" s="1">
        <v>6265</v>
      </c>
      <c r="B415" s="1" t="s">
        <v>3313</v>
      </c>
      <c r="C415" s="1" t="s">
        <v>3314</v>
      </c>
      <c r="D415" s="1" t="s">
        <v>3315</v>
      </c>
      <c r="E415" s="1" t="s">
        <v>52</v>
      </c>
      <c r="F415" s="1">
        <v>1</v>
      </c>
      <c r="G415" s="3">
        <v>33243</v>
      </c>
      <c r="H415" s="1">
        <v>1</v>
      </c>
      <c r="I415" s="1" t="s">
        <v>63</v>
      </c>
      <c r="J415" s="1" t="s">
        <v>64</v>
      </c>
      <c r="K415" s="2">
        <f>91-7621007378</f>
        <v>-7621007287</v>
      </c>
      <c r="L415" s="1" t="s">
        <v>58</v>
      </c>
      <c r="M415" s="1">
        <v>5.05</v>
      </c>
      <c r="N415" s="1">
        <v>27</v>
      </c>
      <c r="O415" s="1" t="s">
        <v>3316</v>
      </c>
      <c r="P415" s="1">
        <f>91-9727263616</f>
        <v>-9727263525</v>
      </c>
      <c r="Q415" s="1" t="s">
        <v>3317</v>
      </c>
      <c r="R415" s="1" t="s">
        <v>3318</v>
      </c>
      <c r="S415" s="1" t="s">
        <v>590</v>
      </c>
      <c r="T415" s="1" t="s">
        <v>599</v>
      </c>
      <c r="U415" s="1">
        <v>4.01</v>
      </c>
      <c r="V415" s="1">
        <v>5.05</v>
      </c>
      <c r="W415" s="1" t="s">
        <v>3319</v>
      </c>
      <c r="X415" s="1" t="s">
        <v>3320</v>
      </c>
      <c r="Y415" s="3">
        <v>44069.273779594907</v>
      </c>
      <c r="Z415" s="1">
        <v>1</v>
      </c>
      <c r="AA415" s="1">
        <v>1</v>
      </c>
      <c r="AB415" s="1">
        <v>1</v>
      </c>
      <c r="AC415" s="1">
        <v>1</v>
      </c>
      <c r="AD415" s="3">
        <v>44099.30857346065</v>
      </c>
      <c r="AE415" s="1" t="s">
        <v>42</v>
      </c>
    </row>
    <row r="416" spans="1:31" x14ac:dyDescent="0.35">
      <c r="A416" s="1">
        <v>6266</v>
      </c>
      <c r="B416" s="1" t="s">
        <v>3321</v>
      </c>
      <c r="C416" s="1" t="s">
        <v>3322</v>
      </c>
      <c r="D416" s="1" t="s">
        <v>633</v>
      </c>
      <c r="E416" s="1" t="s">
        <v>52</v>
      </c>
      <c r="F416" s="1">
        <v>1</v>
      </c>
      <c r="G416" s="3">
        <v>34600</v>
      </c>
      <c r="H416" s="1">
        <v>1</v>
      </c>
      <c r="I416" s="1" t="s">
        <v>63</v>
      </c>
      <c r="J416" s="1" t="s">
        <v>64</v>
      </c>
      <c r="K416" s="2">
        <f>91-7383451658</f>
        <v>-7383451567</v>
      </c>
      <c r="L416" s="1" t="s">
        <v>58</v>
      </c>
      <c r="M416" s="1">
        <v>6</v>
      </c>
      <c r="N416" s="1">
        <v>10</v>
      </c>
      <c r="O416" s="1" t="s">
        <v>3323</v>
      </c>
      <c r="P416" s="1">
        <f>91-9825928928</f>
        <v>-9825928837</v>
      </c>
      <c r="Q416" s="1" t="s">
        <v>42</v>
      </c>
      <c r="R416" s="1" t="s">
        <v>42</v>
      </c>
      <c r="S416" s="1" t="s">
        <v>42</v>
      </c>
      <c r="T416" s="1" t="s">
        <v>42</v>
      </c>
      <c r="U416" s="1" t="s">
        <v>42</v>
      </c>
      <c r="V416" s="1" t="s">
        <v>42</v>
      </c>
      <c r="W416" s="1" t="s">
        <v>42</v>
      </c>
      <c r="X416" s="1" t="s">
        <v>42</v>
      </c>
      <c r="Y416" s="3">
        <v>44069.322873958336</v>
      </c>
      <c r="Z416" s="1">
        <v>0</v>
      </c>
      <c r="AA416" s="1">
        <v>0</v>
      </c>
      <c r="AB416" s="1">
        <v>0</v>
      </c>
      <c r="AC416" s="1">
        <v>0</v>
      </c>
      <c r="AD416" s="3">
        <v>44069.322873958336</v>
      </c>
      <c r="AE416" s="1" t="s">
        <v>42</v>
      </c>
    </row>
    <row r="417" spans="1:31" x14ac:dyDescent="0.35">
      <c r="A417" s="1">
        <v>6267</v>
      </c>
      <c r="B417" s="1" t="s">
        <v>3324</v>
      </c>
      <c r="C417" s="1" t="s">
        <v>3325</v>
      </c>
      <c r="D417" s="1" t="s">
        <v>3326</v>
      </c>
      <c r="E417" s="1" t="s">
        <v>3327</v>
      </c>
      <c r="F417" s="1">
        <v>1</v>
      </c>
      <c r="G417" s="3">
        <v>33819</v>
      </c>
      <c r="H417" s="1">
        <v>1</v>
      </c>
      <c r="I417" s="1" t="s">
        <v>63</v>
      </c>
      <c r="J417" s="1" t="s">
        <v>64</v>
      </c>
      <c r="K417" s="2">
        <f>91-9574355501</f>
        <v>-9574355410</v>
      </c>
      <c r="L417" s="1" t="s">
        <v>42</v>
      </c>
      <c r="M417" s="1" t="s">
        <v>42</v>
      </c>
      <c r="N417" s="1" t="s">
        <v>42</v>
      </c>
      <c r="O417" s="1" t="s">
        <v>42</v>
      </c>
      <c r="P417" s="1" t="s">
        <v>42</v>
      </c>
      <c r="Q417" s="1" t="s">
        <v>42</v>
      </c>
      <c r="R417" s="1" t="s">
        <v>42</v>
      </c>
      <c r="S417" s="1" t="s">
        <v>42</v>
      </c>
      <c r="T417" s="1" t="s">
        <v>42</v>
      </c>
      <c r="U417" s="1" t="s">
        <v>42</v>
      </c>
      <c r="V417" s="1" t="s">
        <v>42</v>
      </c>
      <c r="W417" s="1" t="s">
        <v>42</v>
      </c>
      <c r="X417" s="1" t="s">
        <v>42</v>
      </c>
      <c r="Y417" s="3">
        <v>44069.87899996528</v>
      </c>
      <c r="Z417" s="1">
        <v>0</v>
      </c>
      <c r="AA417" s="1">
        <v>0</v>
      </c>
      <c r="AB417" s="1">
        <v>0</v>
      </c>
      <c r="AC417" s="1">
        <v>0</v>
      </c>
      <c r="AD417" s="3">
        <v>44069.87899996528</v>
      </c>
      <c r="AE417" s="1" t="s">
        <v>42</v>
      </c>
    </row>
    <row r="418" spans="1:31" x14ac:dyDescent="0.35">
      <c r="A418" s="1">
        <v>6268</v>
      </c>
      <c r="B418" s="1" t="s">
        <v>3328</v>
      </c>
      <c r="C418" s="1" t="s">
        <v>3329</v>
      </c>
      <c r="D418" s="1" t="s">
        <v>861</v>
      </c>
      <c r="E418" s="1" t="s">
        <v>34</v>
      </c>
      <c r="F418" s="1">
        <v>1</v>
      </c>
      <c r="G418" s="3">
        <v>33305</v>
      </c>
      <c r="H418" s="1">
        <v>1</v>
      </c>
      <c r="I418" s="1" t="s">
        <v>35</v>
      </c>
      <c r="J418" s="1" t="s">
        <v>36</v>
      </c>
      <c r="K418" s="2">
        <f>91-9769760909</f>
        <v>-9769760818</v>
      </c>
      <c r="L418" s="1" t="s">
        <v>58</v>
      </c>
      <c r="M418" s="1">
        <v>5.07</v>
      </c>
      <c r="N418" s="1">
        <v>12</v>
      </c>
      <c r="O418" s="1" t="s">
        <v>3330</v>
      </c>
      <c r="P418" s="1">
        <f>91-9773966424</f>
        <v>-9773966333</v>
      </c>
      <c r="Q418" s="1" t="s">
        <v>42</v>
      </c>
      <c r="R418" s="1" t="s">
        <v>42</v>
      </c>
      <c r="S418" s="1" t="s">
        <v>42</v>
      </c>
      <c r="T418" s="1" t="s">
        <v>42</v>
      </c>
      <c r="U418" s="1" t="s">
        <v>42</v>
      </c>
      <c r="V418" s="1" t="s">
        <v>42</v>
      </c>
      <c r="W418" s="1" t="s">
        <v>42</v>
      </c>
      <c r="X418" s="1" t="s">
        <v>42</v>
      </c>
      <c r="Y418" s="3">
        <v>44070.870822916666</v>
      </c>
      <c r="Z418" s="1">
        <v>0</v>
      </c>
      <c r="AA418" s="1">
        <v>0</v>
      </c>
      <c r="AB418" s="1">
        <v>0</v>
      </c>
      <c r="AC418" s="1">
        <v>0</v>
      </c>
      <c r="AD418" s="3">
        <v>44070.870822916666</v>
      </c>
      <c r="AE418" s="1" t="s">
        <v>42</v>
      </c>
    </row>
    <row r="419" spans="1:31" x14ac:dyDescent="0.35">
      <c r="A419" s="1">
        <v>6269</v>
      </c>
      <c r="B419" s="1" t="s">
        <v>3331</v>
      </c>
      <c r="C419" s="1" t="s">
        <v>3332</v>
      </c>
      <c r="D419" s="1" t="s">
        <v>1171</v>
      </c>
      <c r="E419" s="1" t="s">
        <v>663</v>
      </c>
      <c r="F419" s="1">
        <v>1</v>
      </c>
      <c r="G419" s="3">
        <v>33507</v>
      </c>
      <c r="H419" s="1">
        <v>1</v>
      </c>
      <c r="I419" s="1" t="s">
        <v>700</v>
      </c>
      <c r="J419" s="1" t="s">
        <v>701</v>
      </c>
      <c r="K419" s="2">
        <f>91-9406236672</f>
        <v>-9406236581</v>
      </c>
      <c r="L419" s="1" t="s">
        <v>58</v>
      </c>
      <c r="M419" s="1">
        <v>5.1100000000000003</v>
      </c>
      <c r="N419" s="1">
        <v>54</v>
      </c>
      <c r="O419" s="1" t="s">
        <v>3333</v>
      </c>
      <c r="P419" s="1">
        <f>91-9406236672</f>
        <v>-9406236581</v>
      </c>
      <c r="Q419" s="1" t="s">
        <v>3334</v>
      </c>
      <c r="R419" s="1" t="s">
        <v>3335</v>
      </c>
      <c r="S419" s="1" t="s">
        <v>1202</v>
      </c>
      <c r="T419" s="1" t="s">
        <v>58</v>
      </c>
      <c r="U419" s="1">
        <v>5</v>
      </c>
      <c r="V419" s="1">
        <v>5.1100000000000003</v>
      </c>
      <c r="W419" s="1" t="s">
        <v>42</v>
      </c>
      <c r="X419" s="1" t="s">
        <v>42</v>
      </c>
      <c r="Y419" s="3">
        <v>44074.384060648146</v>
      </c>
      <c r="Z419" s="1">
        <v>0</v>
      </c>
      <c r="AA419" s="1">
        <v>0</v>
      </c>
      <c r="AB419" s="1">
        <v>0</v>
      </c>
      <c r="AC419" s="1">
        <v>0</v>
      </c>
      <c r="AD419" s="3">
        <v>44074.384060648146</v>
      </c>
      <c r="AE419" s="1" t="s">
        <v>42</v>
      </c>
    </row>
    <row r="420" spans="1:31" x14ac:dyDescent="0.35">
      <c r="A420" s="1">
        <v>6270</v>
      </c>
      <c r="B420" s="1" t="s">
        <v>3336</v>
      </c>
      <c r="C420" s="1">
        <v>9726997432</v>
      </c>
      <c r="D420" s="1" t="s">
        <v>742</v>
      </c>
      <c r="E420" s="1" t="s">
        <v>249</v>
      </c>
      <c r="F420" s="1">
        <v>1</v>
      </c>
      <c r="G420" s="3">
        <v>34247</v>
      </c>
      <c r="H420" s="1">
        <v>1</v>
      </c>
      <c r="I420" s="1" t="s">
        <v>63</v>
      </c>
      <c r="J420" s="1" t="s">
        <v>94</v>
      </c>
      <c r="K420" s="2">
        <f>91-8780551023</f>
        <v>-8780550932</v>
      </c>
      <c r="L420" s="1" t="s">
        <v>58</v>
      </c>
      <c r="M420" s="1">
        <v>5.0599999999999996</v>
      </c>
      <c r="N420" s="1">
        <v>43</v>
      </c>
      <c r="O420" s="1" t="s">
        <v>3337</v>
      </c>
      <c r="P420" s="1">
        <f>91-8780551023</f>
        <v>-8780550932</v>
      </c>
      <c r="Q420" s="1" t="s">
        <v>3338</v>
      </c>
      <c r="R420" s="1" t="s">
        <v>3339</v>
      </c>
      <c r="S420" s="1" t="s">
        <v>1227</v>
      </c>
      <c r="T420" s="1" t="s">
        <v>58</v>
      </c>
      <c r="U420" s="1">
        <v>5.05</v>
      </c>
      <c r="V420" s="1">
        <v>5.05</v>
      </c>
      <c r="W420" s="1" t="s">
        <v>3340</v>
      </c>
      <c r="Y420" s="3">
        <v>44078.467184803238</v>
      </c>
      <c r="Z420" s="1">
        <v>1</v>
      </c>
      <c r="AA420" s="1">
        <v>1</v>
      </c>
      <c r="AB420" s="1">
        <v>1</v>
      </c>
      <c r="AC420" s="1">
        <v>1</v>
      </c>
      <c r="AD420" s="3">
        <v>44086.472061377317</v>
      </c>
      <c r="AE420" s="1" t="s">
        <v>42</v>
      </c>
    </row>
    <row r="421" spans="1:31" x14ac:dyDescent="0.35">
      <c r="A421" s="1">
        <v>6271</v>
      </c>
      <c r="B421" s="1" t="s">
        <v>3341</v>
      </c>
      <c r="C421" s="1" t="s">
        <v>3342</v>
      </c>
      <c r="D421" s="1" t="s">
        <v>3343</v>
      </c>
      <c r="E421" s="1" t="s">
        <v>83</v>
      </c>
      <c r="F421" s="1">
        <v>1</v>
      </c>
      <c r="G421" s="3">
        <v>34920</v>
      </c>
      <c r="H421" s="1">
        <v>1</v>
      </c>
      <c r="I421" s="1" t="s">
        <v>3344</v>
      </c>
      <c r="J421" s="1" t="s">
        <v>3345</v>
      </c>
      <c r="K421" s="2">
        <f>91-9486433105</f>
        <v>-9486433014</v>
      </c>
      <c r="L421" s="1" t="s">
        <v>58</v>
      </c>
      <c r="M421" s="1">
        <v>5.09</v>
      </c>
      <c r="N421" s="1">
        <v>10</v>
      </c>
      <c r="O421" s="1" t="s">
        <v>3346</v>
      </c>
      <c r="P421" s="1">
        <f>91-948893105</f>
        <v>-948893014</v>
      </c>
      <c r="Q421" s="1" t="s">
        <v>3347</v>
      </c>
      <c r="R421" s="1" t="s">
        <v>3348</v>
      </c>
      <c r="S421" s="1" t="s">
        <v>333</v>
      </c>
      <c r="T421" s="1" t="s">
        <v>58</v>
      </c>
      <c r="U421" s="1">
        <v>4.1100000000000003</v>
      </c>
      <c r="V421" s="1">
        <v>6</v>
      </c>
      <c r="W421" s="1" t="s">
        <v>3349</v>
      </c>
      <c r="X421" s="1" t="s">
        <v>3350</v>
      </c>
      <c r="Y421" s="3">
        <v>44082.906856793983</v>
      </c>
      <c r="Z421" s="1">
        <v>0</v>
      </c>
      <c r="AA421" s="1">
        <v>0</v>
      </c>
      <c r="AB421" s="1">
        <v>0</v>
      </c>
      <c r="AC421" s="1">
        <v>0</v>
      </c>
      <c r="AD421" s="3">
        <v>44083.244518900465</v>
      </c>
      <c r="AE421" s="1" t="s">
        <v>42</v>
      </c>
    </row>
    <row r="422" spans="1:31" x14ac:dyDescent="0.35">
      <c r="A422" s="1">
        <v>6272</v>
      </c>
      <c r="B422" s="1" t="s">
        <v>3351</v>
      </c>
      <c r="C422" s="1" t="s">
        <v>3352</v>
      </c>
      <c r="D422" s="1" t="s">
        <v>742</v>
      </c>
      <c r="E422" s="1" t="s">
        <v>52</v>
      </c>
      <c r="F422" s="1">
        <v>1</v>
      </c>
      <c r="G422" s="3">
        <v>33208</v>
      </c>
      <c r="H422" s="1">
        <v>1</v>
      </c>
      <c r="I422" s="1" t="s">
        <v>63</v>
      </c>
      <c r="J422" s="1" t="s">
        <v>993</v>
      </c>
      <c r="K422" s="2">
        <f>91-9727888388</f>
        <v>-9727888297</v>
      </c>
      <c r="L422" s="1" t="s">
        <v>37</v>
      </c>
      <c r="M422" s="1">
        <v>5.05</v>
      </c>
      <c r="N422" s="1">
        <v>51</v>
      </c>
      <c r="O422" s="1" t="s">
        <v>3353</v>
      </c>
      <c r="P422" s="1">
        <f>91-9727888388</f>
        <v>-9727888297</v>
      </c>
      <c r="Q422" s="1" t="s">
        <v>3354</v>
      </c>
      <c r="R422" s="1" t="s">
        <v>3355</v>
      </c>
      <c r="S422" s="1" t="s">
        <v>936</v>
      </c>
      <c r="T422" s="1" t="s">
        <v>37</v>
      </c>
      <c r="U422" s="1">
        <v>4.05</v>
      </c>
      <c r="V422" s="1">
        <v>5.04</v>
      </c>
      <c r="W422" s="1" t="s">
        <v>42</v>
      </c>
      <c r="X422" s="1" t="s">
        <v>42</v>
      </c>
      <c r="Y422" s="3">
        <v>44086.936588738427</v>
      </c>
      <c r="Z422" s="1">
        <v>0</v>
      </c>
      <c r="AA422" s="1">
        <v>0</v>
      </c>
      <c r="AB422" s="1">
        <v>0</v>
      </c>
      <c r="AC422" s="1">
        <v>0</v>
      </c>
      <c r="AD422" s="3">
        <v>44086.936588738427</v>
      </c>
      <c r="AE422" s="1" t="s">
        <v>42</v>
      </c>
    </row>
    <row r="423" spans="1:31" x14ac:dyDescent="0.35">
      <c r="A423" s="1">
        <v>6273</v>
      </c>
      <c r="B423" s="1" t="s">
        <v>3356</v>
      </c>
      <c r="C423" s="1">
        <v>6417729481</v>
      </c>
      <c r="D423" s="1" t="s">
        <v>3357</v>
      </c>
      <c r="E423" s="1" t="s">
        <v>3358</v>
      </c>
      <c r="F423" s="1">
        <v>1</v>
      </c>
      <c r="G423" s="3">
        <v>36707</v>
      </c>
      <c r="H423" s="1">
        <v>1</v>
      </c>
      <c r="I423" s="1" t="s">
        <v>63</v>
      </c>
      <c r="J423" s="1" t="s">
        <v>634</v>
      </c>
      <c r="K423" s="2">
        <f>91-8690907433</f>
        <v>-8690907342</v>
      </c>
      <c r="L423" s="1" t="s">
        <v>42</v>
      </c>
      <c r="M423" s="1" t="s">
        <v>42</v>
      </c>
      <c r="N423" s="1" t="s">
        <v>42</v>
      </c>
      <c r="O423" s="1" t="s">
        <v>42</v>
      </c>
      <c r="P423" s="1" t="s">
        <v>42</v>
      </c>
      <c r="Q423" s="1" t="s">
        <v>42</v>
      </c>
      <c r="R423" s="1" t="s">
        <v>42</v>
      </c>
      <c r="S423" s="1" t="s">
        <v>42</v>
      </c>
      <c r="T423" s="1" t="s">
        <v>42</v>
      </c>
      <c r="U423" s="1" t="s">
        <v>42</v>
      </c>
      <c r="V423" s="1" t="s">
        <v>42</v>
      </c>
      <c r="W423" s="1" t="s">
        <v>42</v>
      </c>
      <c r="X423" s="1" t="s">
        <v>42</v>
      </c>
      <c r="Y423" s="3">
        <v>44094.954505520836</v>
      </c>
      <c r="Z423" s="1">
        <v>0</v>
      </c>
      <c r="AA423" s="1">
        <v>0</v>
      </c>
      <c r="AB423" s="1">
        <v>0</v>
      </c>
      <c r="AC423" s="1">
        <v>0</v>
      </c>
      <c r="AD423" s="3">
        <v>44094.954505520836</v>
      </c>
      <c r="AE423" s="1" t="s">
        <v>42</v>
      </c>
    </row>
    <row r="424" spans="1:31" x14ac:dyDescent="0.35">
      <c r="A424" s="1">
        <v>6274</v>
      </c>
      <c r="B424" s="1" t="s">
        <v>3359</v>
      </c>
      <c r="C424" s="1" t="s">
        <v>3360</v>
      </c>
      <c r="D424" s="1" t="s">
        <v>1289</v>
      </c>
      <c r="E424" s="1" t="s">
        <v>3361</v>
      </c>
      <c r="F424" s="1">
        <v>0</v>
      </c>
      <c r="G424" s="3">
        <v>35775</v>
      </c>
      <c r="H424" s="1">
        <v>1</v>
      </c>
      <c r="I424" s="1" t="s">
        <v>63</v>
      </c>
      <c r="J424" s="1" t="s">
        <v>474</v>
      </c>
      <c r="K424" s="2">
        <f>91-9426506901</f>
        <v>-9426506810</v>
      </c>
      <c r="L424" s="1" t="s">
        <v>58</v>
      </c>
      <c r="M424" s="1">
        <v>5</v>
      </c>
      <c r="N424" s="1">
        <v>16</v>
      </c>
      <c r="O424" s="1" t="s">
        <v>3362</v>
      </c>
      <c r="P424" s="1">
        <f>91-9426506901</f>
        <v>-9426506810</v>
      </c>
      <c r="Q424" s="1" t="s">
        <v>42</v>
      </c>
      <c r="R424" s="1" t="s">
        <v>42</v>
      </c>
      <c r="S424" s="1" t="s">
        <v>42</v>
      </c>
      <c r="T424" s="1" t="s">
        <v>42</v>
      </c>
      <c r="U424" s="1" t="s">
        <v>42</v>
      </c>
      <c r="V424" s="1" t="s">
        <v>42</v>
      </c>
      <c r="W424" s="1" t="s">
        <v>42</v>
      </c>
      <c r="X424" s="1" t="s">
        <v>42</v>
      </c>
      <c r="Y424" s="3">
        <v>44095.358655520831</v>
      </c>
      <c r="Z424" s="1">
        <v>0</v>
      </c>
      <c r="AA424" s="1">
        <v>0</v>
      </c>
      <c r="AB424" s="1">
        <v>0</v>
      </c>
      <c r="AC424" s="1">
        <v>0</v>
      </c>
      <c r="AD424" s="3">
        <v>44095.358655520831</v>
      </c>
      <c r="AE424" s="1" t="s">
        <v>42</v>
      </c>
    </row>
    <row r="425" spans="1:31" x14ac:dyDescent="0.35">
      <c r="A425" s="1">
        <v>6275</v>
      </c>
      <c r="B425" s="1" t="s">
        <v>3363</v>
      </c>
      <c r="C425" s="1" t="s">
        <v>3364</v>
      </c>
      <c r="D425" s="1" t="s">
        <v>3365</v>
      </c>
      <c r="E425" s="1" t="s">
        <v>3366</v>
      </c>
      <c r="F425" s="1">
        <v>1</v>
      </c>
      <c r="G425" s="3">
        <v>31033</v>
      </c>
      <c r="H425" s="1">
        <v>1</v>
      </c>
      <c r="I425" s="1" t="s">
        <v>63</v>
      </c>
      <c r="J425" s="1" t="s">
        <v>2134</v>
      </c>
      <c r="K425" s="2">
        <f>91-9825724909</f>
        <v>-9825724818</v>
      </c>
      <c r="L425" s="1" t="s">
        <v>58</v>
      </c>
      <c r="M425" s="1">
        <v>6</v>
      </c>
      <c r="N425" s="1">
        <v>27</v>
      </c>
      <c r="O425" s="1" t="s">
        <v>3367</v>
      </c>
      <c r="P425" s="1">
        <f>91-9825724909</f>
        <v>-9825724818</v>
      </c>
      <c r="Q425" s="1" t="s">
        <v>42</v>
      </c>
      <c r="R425" s="1" t="s">
        <v>42</v>
      </c>
      <c r="S425" s="1" t="s">
        <v>42</v>
      </c>
      <c r="T425" s="1" t="s">
        <v>42</v>
      </c>
      <c r="U425" s="1" t="s">
        <v>42</v>
      </c>
      <c r="V425" s="1" t="s">
        <v>42</v>
      </c>
      <c r="W425" s="1" t="s">
        <v>42</v>
      </c>
      <c r="X425" s="1" t="s">
        <v>42</v>
      </c>
      <c r="Y425" s="3">
        <v>44103.523497256945</v>
      </c>
      <c r="Z425" s="1">
        <v>0</v>
      </c>
      <c r="AA425" s="1">
        <v>0</v>
      </c>
      <c r="AB425" s="1">
        <v>0</v>
      </c>
      <c r="AC425" s="1">
        <v>0</v>
      </c>
      <c r="AD425" s="3">
        <v>44103.832486921296</v>
      </c>
      <c r="AE425" s="1" t="s">
        <v>42</v>
      </c>
    </row>
  </sheetData>
  <autoFilter ref="A1:AE425" xr:uid="{0BF54BAD-DC82-49AF-9A16-7885F02A99C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Chintan-PC</dc:creator>
  <cp:lastModifiedBy>Kevin Foong</cp:lastModifiedBy>
  <dcterms:created xsi:type="dcterms:W3CDTF">2020-09-30T06:12:19Z</dcterms:created>
  <dcterms:modified xsi:type="dcterms:W3CDTF">2020-10-06T08:03:28Z</dcterms:modified>
</cp:coreProperties>
</file>