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evin_59ku82\Documents\vue\umiya\api\data\"/>
    </mc:Choice>
  </mc:AlternateContent>
  <xr:revisionPtr revIDLastSave="0" documentId="13_ncr:1_{578F6A5A-7657-406B-BFD1-929253D29B97}" xr6:coauthVersionLast="45" xr6:coauthVersionMax="45" xr10:uidLastSave="{00000000-0000-0000-0000-000000000000}"/>
  <bookViews>
    <workbookView xWindow="-110" yWindow="-110" windowWidth="19420" windowHeight="10420" xr2:uid="{F507D3BA-8EDA-467E-B6EB-CC59230C88E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AE2" i="1"/>
  <c r="AP2" i="1"/>
  <c r="AW2" i="1"/>
  <c r="L3" i="1"/>
  <c r="AP3" i="1"/>
  <c r="L4" i="1"/>
  <c r="AE4" i="1"/>
  <c r="AP4" i="1"/>
  <c r="L5" i="1"/>
  <c r="AE5" i="1"/>
  <c r="AP5" i="1"/>
  <c r="L6" i="1"/>
  <c r="AE6" i="1"/>
  <c r="AP6" i="1"/>
  <c r="L7" i="1"/>
  <c r="AE7" i="1"/>
  <c r="AP7" i="1"/>
  <c r="AW7" i="1"/>
  <c r="L8" i="1"/>
  <c r="AE8" i="1"/>
  <c r="AP8" i="1"/>
  <c r="AW8" i="1"/>
  <c r="L9" i="1"/>
  <c r="AE9" i="1"/>
  <c r="AP9" i="1"/>
  <c r="L10" i="1"/>
  <c r="AE10" i="1"/>
  <c r="AP10" i="1"/>
  <c r="AW10" i="1"/>
  <c r="L11" i="1"/>
  <c r="AE11" i="1"/>
  <c r="AP11" i="1"/>
  <c r="L12" i="1"/>
  <c r="AP12" i="1"/>
  <c r="L13" i="1"/>
  <c r="AE13" i="1"/>
  <c r="AP13" i="1"/>
  <c r="AW13" i="1"/>
  <c r="L14" i="1"/>
  <c r="AP14" i="1"/>
  <c r="L15" i="1"/>
  <c r="AP15" i="1"/>
  <c r="L16" i="1"/>
  <c r="AE16" i="1"/>
  <c r="AP16" i="1"/>
  <c r="AW16" i="1"/>
  <c r="L17" i="1"/>
  <c r="AE17" i="1"/>
  <c r="AP17" i="1"/>
  <c r="L18" i="1"/>
  <c r="AE18" i="1"/>
  <c r="AP18" i="1"/>
  <c r="AW18" i="1"/>
  <c r="L19" i="1"/>
  <c r="AP19" i="1"/>
  <c r="AW19" i="1"/>
  <c r="L20" i="1"/>
  <c r="AP20" i="1"/>
  <c r="L21" i="1"/>
  <c r="AE21" i="1"/>
  <c r="AP21" i="1"/>
  <c r="AW21" i="1"/>
  <c r="L22" i="1"/>
  <c r="AE22" i="1"/>
  <c r="AP22" i="1"/>
  <c r="L23" i="1"/>
  <c r="AE23" i="1"/>
  <c r="AP23" i="1"/>
  <c r="AW23" i="1"/>
  <c r="L24" i="1"/>
  <c r="AP24" i="1"/>
  <c r="L25" i="1"/>
  <c r="AE25" i="1"/>
  <c r="AP25" i="1"/>
  <c r="L26" i="1"/>
  <c r="AP26" i="1"/>
  <c r="L27" i="1"/>
  <c r="AE27" i="1"/>
  <c r="AP27" i="1"/>
  <c r="L28" i="1"/>
  <c r="AE28" i="1"/>
  <c r="AP28" i="1"/>
  <c r="AW28" i="1"/>
  <c r="L29" i="1"/>
  <c r="AE29" i="1"/>
  <c r="AP29" i="1"/>
  <c r="L30" i="1"/>
  <c r="AE30" i="1"/>
  <c r="AP30" i="1"/>
  <c r="AW30" i="1"/>
  <c r="L31" i="1"/>
  <c r="AE31" i="1"/>
  <c r="AP31" i="1"/>
  <c r="AW31" i="1"/>
  <c r="L32" i="1"/>
  <c r="AE32" i="1"/>
  <c r="AP32" i="1"/>
  <c r="L33" i="1"/>
  <c r="AE33" i="1"/>
  <c r="AP33" i="1"/>
  <c r="L34" i="1"/>
  <c r="AE34" i="1"/>
  <c r="AP34" i="1"/>
  <c r="L35" i="1"/>
  <c r="AE35" i="1"/>
  <c r="AP35" i="1"/>
  <c r="AW35" i="1"/>
  <c r="L36" i="1"/>
  <c r="AE36" i="1"/>
  <c r="AP36" i="1"/>
  <c r="L37" i="1"/>
  <c r="AE37" i="1"/>
  <c r="AP37" i="1"/>
  <c r="AW37" i="1"/>
  <c r="L38" i="1"/>
  <c r="AP38" i="1"/>
  <c r="L39" i="1"/>
  <c r="AE39" i="1"/>
  <c r="AP39" i="1"/>
  <c r="L40" i="1"/>
  <c r="AE40" i="1"/>
  <c r="AP40" i="1"/>
  <c r="L41" i="1"/>
  <c r="AE41" i="1"/>
  <c r="AP41" i="1"/>
  <c r="AW41" i="1"/>
  <c r="L42" i="1"/>
  <c r="AE42" i="1"/>
  <c r="AP42" i="1"/>
  <c r="AW42" i="1"/>
  <c r="L43" i="1"/>
  <c r="AP43" i="1"/>
  <c r="L44" i="1"/>
  <c r="AE44" i="1"/>
  <c r="AP44" i="1"/>
  <c r="L45" i="1"/>
  <c r="AE45" i="1"/>
  <c r="AP45" i="1"/>
  <c r="AW45" i="1"/>
  <c r="L46" i="1"/>
  <c r="AE46" i="1"/>
  <c r="AP46" i="1"/>
  <c r="L47" i="1"/>
  <c r="AE47" i="1"/>
  <c r="AP47" i="1"/>
  <c r="AW47" i="1"/>
  <c r="L48" i="1"/>
  <c r="AE48" i="1"/>
  <c r="AP48" i="1"/>
  <c r="AW48" i="1"/>
  <c r="L49" i="1"/>
  <c r="AE49" i="1"/>
  <c r="AP49" i="1"/>
  <c r="AW49" i="1"/>
  <c r="L50" i="1"/>
  <c r="AE50" i="1"/>
  <c r="AP50" i="1"/>
  <c r="AW50" i="1"/>
  <c r="L51" i="1"/>
  <c r="AE51" i="1"/>
  <c r="AP51" i="1"/>
  <c r="AW51" i="1"/>
  <c r="L52" i="1"/>
  <c r="AE52" i="1"/>
  <c r="AP52" i="1"/>
  <c r="L53" i="1"/>
  <c r="AE53" i="1"/>
  <c r="AP53" i="1"/>
  <c r="AW53" i="1"/>
  <c r="L54" i="1"/>
  <c r="AE54" i="1"/>
  <c r="AP54" i="1"/>
  <c r="AW54" i="1"/>
  <c r="L55" i="1"/>
  <c r="AE55" i="1"/>
  <c r="AP55" i="1"/>
  <c r="L56" i="1"/>
  <c r="AE56" i="1"/>
  <c r="AP56" i="1"/>
  <c r="L57" i="1"/>
  <c r="AE57" i="1"/>
  <c r="AP57" i="1"/>
  <c r="L58" i="1"/>
  <c r="AE58" i="1"/>
  <c r="AP58" i="1"/>
  <c r="L59" i="1"/>
  <c r="AE59" i="1"/>
  <c r="AP59" i="1"/>
  <c r="L60" i="1"/>
  <c r="AE60" i="1"/>
  <c r="AP60" i="1"/>
  <c r="L61" i="1"/>
  <c r="L62" i="1"/>
  <c r="AP62" i="1"/>
  <c r="L63" i="1"/>
  <c r="AP63" i="1"/>
  <c r="AW63" i="1"/>
  <c r="L64" i="1"/>
  <c r="AP64" i="1"/>
  <c r="L65" i="1"/>
  <c r="AE65" i="1"/>
  <c r="AP65" i="1"/>
  <c r="AW65" i="1"/>
  <c r="L66" i="1"/>
  <c r="AE66" i="1"/>
  <c r="AP66" i="1"/>
  <c r="L67" i="1"/>
  <c r="AE67" i="1"/>
  <c r="AP67" i="1"/>
  <c r="AW67" i="1"/>
  <c r="L68" i="1"/>
  <c r="AP68" i="1"/>
  <c r="L69" i="1"/>
  <c r="AE69" i="1"/>
  <c r="AP69" i="1"/>
  <c r="L70" i="1"/>
  <c r="AE70" i="1"/>
  <c r="AP70" i="1"/>
  <c r="AW70" i="1"/>
  <c r="L71" i="1"/>
  <c r="AE71" i="1"/>
  <c r="AP71" i="1"/>
  <c r="L73" i="1"/>
  <c r="AP73" i="1"/>
  <c r="AW73" i="1"/>
  <c r="L74" i="1"/>
  <c r="AP74" i="1"/>
  <c r="L75" i="1"/>
  <c r="AE75" i="1"/>
  <c r="AP75" i="1"/>
  <c r="AW75" i="1"/>
  <c r="L76" i="1"/>
  <c r="AE76" i="1"/>
  <c r="AP76" i="1"/>
  <c r="AW76" i="1"/>
  <c r="L77" i="1"/>
  <c r="AE77" i="1"/>
  <c r="AP77" i="1"/>
  <c r="L78" i="1"/>
  <c r="AE78" i="1"/>
  <c r="AP78" i="1"/>
  <c r="AW78" i="1"/>
  <c r="L79" i="1"/>
  <c r="AP79" i="1"/>
  <c r="L80" i="1"/>
  <c r="AE80" i="1"/>
  <c r="L81" i="1"/>
  <c r="AE81" i="1"/>
  <c r="AP81" i="1"/>
  <c r="AW81" i="1"/>
  <c r="L82" i="1"/>
  <c r="AE82" i="1"/>
  <c r="AP82" i="1"/>
  <c r="AW82" i="1"/>
  <c r="L83" i="1"/>
  <c r="AE83" i="1"/>
  <c r="AP83" i="1"/>
  <c r="AW83" i="1"/>
  <c r="L84" i="1"/>
  <c r="AE84" i="1"/>
  <c r="AP84" i="1"/>
  <c r="AW84" i="1"/>
  <c r="L85" i="1"/>
  <c r="AE85" i="1"/>
  <c r="AP85" i="1"/>
  <c r="L86" i="1"/>
  <c r="AP86" i="1"/>
  <c r="L87" i="1"/>
  <c r="AE87" i="1"/>
  <c r="AP87" i="1"/>
  <c r="L88" i="1"/>
  <c r="AE88" i="1"/>
  <c r="AP88" i="1"/>
  <c r="AW88" i="1"/>
  <c r="L89" i="1"/>
  <c r="AE89" i="1"/>
  <c r="AP89" i="1"/>
  <c r="L90" i="1"/>
  <c r="AE90" i="1"/>
  <c r="AP90" i="1"/>
  <c r="L91" i="1"/>
  <c r="AP91" i="1"/>
  <c r="L92" i="1"/>
  <c r="AP92" i="1"/>
  <c r="L93" i="1"/>
  <c r="AP93" i="1"/>
  <c r="L94" i="1"/>
  <c r="AE94" i="1"/>
  <c r="AP94" i="1"/>
  <c r="L96" i="1"/>
  <c r="L97" i="1"/>
  <c r="L98" i="1"/>
  <c r="AE98" i="1"/>
  <c r="AP98" i="1"/>
  <c r="AW98" i="1"/>
  <c r="L99" i="1"/>
  <c r="AE99" i="1"/>
  <c r="AP99" i="1"/>
  <c r="AW99" i="1"/>
  <c r="L100" i="1"/>
  <c r="AE100" i="1"/>
  <c r="AP100" i="1"/>
  <c r="AW100" i="1"/>
  <c r="L101" i="1"/>
  <c r="AE101" i="1"/>
  <c r="AP101" i="1"/>
  <c r="L103" i="1"/>
  <c r="AE103" i="1"/>
  <c r="AP103" i="1"/>
  <c r="AW103" i="1"/>
  <c r="L104" i="1"/>
  <c r="AE104" i="1"/>
  <c r="AP104" i="1"/>
  <c r="L105" i="1"/>
  <c r="AE105" i="1"/>
  <c r="AP105" i="1"/>
  <c r="L106" i="1"/>
  <c r="AE106" i="1"/>
  <c r="AP106" i="1"/>
  <c r="AW106" i="1"/>
  <c r="L107" i="1"/>
  <c r="AE107" i="1"/>
  <c r="AP107" i="1"/>
  <c r="L108" i="1"/>
  <c r="AE108" i="1"/>
  <c r="AP108" i="1"/>
  <c r="L109" i="1"/>
  <c r="AE109" i="1"/>
  <c r="AP109" i="1"/>
  <c r="AE110" i="1"/>
  <c r="L111" i="1"/>
  <c r="AE111" i="1"/>
  <c r="AP111" i="1"/>
  <c r="AW111" i="1"/>
  <c r="L112" i="1"/>
  <c r="AE112" i="1"/>
  <c r="AP112" i="1"/>
  <c r="L113" i="1"/>
  <c r="AE113" i="1"/>
  <c r="AP113" i="1"/>
  <c r="L114" i="1"/>
  <c r="L115" i="1"/>
  <c r="AE115" i="1"/>
  <c r="AP115" i="1"/>
  <c r="AW115" i="1"/>
  <c r="L116" i="1"/>
  <c r="AP116" i="1"/>
  <c r="L118" i="1"/>
  <c r="AE118" i="1"/>
  <c r="AP118" i="1"/>
  <c r="L119" i="1"/>
  <c r="L120" i="1"/>
  <c r="AP120" i="1"/>
  <c r="L121" i="1"/>
  <c r="AP121" i="1"/>
  <c r="AW121" i="1"/>
  <c r="L122" i="1"/>
  <c r="AE122" i="1"/>
  <c r="AP122" i="1"/>
  <c r="AW122" i="1"/>
  <c r="L123" i="1"/>
  <c r="AE123" i="1"/>
  <c r="AP123" i="1"/>
  <c r="AW123" i="1"/>
  <c r="L124" i="1"/>
  <c r="AE124" i="1"/>
  <c r="AP124" i="1"/>
  <c r="AW124" i="1"/>
  <c r="L125" i="1"/>
  <c r="AP125" i="1"/>
  <c r="L126" i="1"/>
  <c r="AE126" i="1"/>
  <c r="AP126" i="1"/>
  <c r="L127" i="1"/>
  <c r="AE127" i="1"/>
  <c r="AP127" i="1"/>
  <c r="L128" i="1"/>
  <c r="AE128" i="1"/>
  <c r="AP128" i="1"/>
  <c r="L129" i="1"/>
  <c r="AE129" i="1"/>
  <c r="L130" i="1"/>
  <c r="L131" i="1"/>
  <c r="AP131" i="1"/>
  <c r="L132" i="1"/>
  <c r="AE132" i="1"/>
  <c r="AP132" i="1"/>
  <c r="L133" i="1"/>
  <c r="AE133" i="1"/>
  <c r="AP133" i="1"/>
  <c r="L134" i="1"/>
  <c r="AE134" i="1"/>
  <c r="AP134" i="1"/>
  <c r="L135" i="1"/>
  <c r="AP135" i="1"/>
  <c r="AW135" i="1"/>
  <c r="L136" i="1"/>
  <c r="AE136" i="1"/>
  <c r="AP136" i="1"/>
  <c r="L137" i="1"/>
  <c r="AE137" i="1"/>
  <c r="AP137" i="1"/>
  <c r="L138" i="1"/>
  <c r="AP138" i="1"/>
  <c r="L139" i="1"/>
  <c r="AE139" i="1"/>
  <c r="AP139" i="1"/>
  <c r="L140" i="1"/>
  <c r="AE140" i="1"/>
  <c r="AP140" i="1"/>
  <c r="L141" i="1"/>
  <c r="AP141" i="1"/>
  <c r="AW141" i="1"/>
  <c r="L142" i="1"/>
  <c r="AE142" i="1"/>
  <c r="AP142" i="1"/>
  <c r="L143" i="1"/>
  <c r="AE143" i="1"/>
  <c r="AP143" i="1"/>
  <c r="L144" i="1"/>
  <c r="AE144" i="1"/>
  <c r="AP144" i="1"/>
  <c r="L145" i="1"/>
  <c r="AE145" i="1"/>
  <c r="AP145" i="1"/>
  <c r="L146" i="1"/>
  <c r="AE146" i="1"/>
  <c r="AP146" i="1"/>
  <c r="AW146" i="1"/>
  <c r="L147" i="1"/>
  <c r="AE147" i="1"/>
  <c r="AP147" i="1"/>
  <c r="L148" i="1"/>
  <c r="AE148" i="1"/>
  <c r="AP148" i="1"/>
  <c r="L149" i="1"/>
  <c r="AP149" i="1"/>
  <c r="L150" i="1"/>
  <c r="AE150" i="1"/>
  <c r="AP150" i="1"/>
  <c r="AW150" i="1"/>
  <c r="L151" i="1"/>
  <c r="AE151" i="1"/>
  <c r="AP151" i="1"/>
  <c r="AW151" i="1"/>
  <c r="L152" i="1"/>
  <c r="AE152" i="1"/>
  <c r="AP152" i="1"/>
  <c r="AW152" i="1"/>
  <c r="L153" i="1"/>
  <c r="AE153" i="1"/>
  <c r="AP153" i="1"/>
  <c r="L154" i="1"/>
  <c r="AE154" i="1"/>
  <c r="AP154" i="1"/>
  <c r="AW154" i="1"/>
  <c r="L155" i="1"/>
  <c r="AE155" i="1"/>
  <c r="AP155" i="1"/>
  <c r="AW155" i="1"/>
  <c r="L156" i="1"/>
  <c r="AE156" i="1"/>
  <c r="AP156" i="1"/>
  <c r="L157" i="1"/>
  <c r="AE157" i="1"/>
  <c r="AP157" i="1"/>
  <c r="AW157" i="1"/>
  <c r="L158" i="1"/>
  <c r="AE158" i="1"/>
  <c r="AP158" i="1"/>
  <c r="L159" i="1"/>
  <c r="AE159" i="1"/>
  <c r="AP159" i="1"/>
  <c r="L160" i="1"/>
  <c r="AE160" i="1"/>
  <c r="AP160" i="1"/>
  <c r="L161" i="1"/>
  <c r="AE161" i="1"/>
  <c r="AP161" i="1"/>
  <c r="AW161" i="1"/>
  <c r="L162" i="1"/>
  <c r="AE162" i="1"/>
  <c r="AP162" i="1"/>
  <c r="L163" i="1"/>
  <c r="AE163" i="1"/>
  <c r="AP163" i="1"/>
  <c r="L164" i="1"/>
  <c r="AE164" i="1"/>
  <c r="AP164" i="1"/>
  <c r="AW164" i="1"/>
  <c r="L165" i="1"/>
  <c r="AE165" i="1"/>
  <c r="AP165" i="1"/>
  <c r="L166" i="1"/>
  <c r="L167" i="1"/>
  <c r="L168" i="1"/>
  <c r="AE168" i="1"/>
  <c r="AP168" i="1"/>
  <c r="AW168" i="1"/>
  <c r="L169" i="1"/>
  <c r="AE169" i="1"/>
  <c r="AP169" i="1"/>
  <c r="L170" i="1"/>
  <c r="AE170" i="1"/>
  <c r="AP170" i="1"/>
  <c r="L171" i="1"/>
  <c r="AE171" i="1"/>
  <c r="AP171" i="1"/>
  <c r="L172" i="1"/>
  <c r="AE172" i="1"/>
  <c r="AP172" i="1"/>
  <c r="L173" i="1"/>
  <c r="AE173" i="1"/>
  <c r="AP173" i="1"/>
  <c r="L174" i="1"/>
  <c r="L175" i="1"/>
  <c r="AE175" i="1"/>
  <c r="AP175" i="1"/>
  <c r="L176" i="1"/>
  <c r="AE176" i="1"/>
  <c r="AP176" i="1"/>
  <c r="L177" i="1"/>
  <c r="AE177" i="1"/>
  <c r="AP177" i="1"/>
  <c r="L178" i="1"/>
  <c r="AE178" i="1"/>
  <c r="AP178" i="1"/>
  <c r="L179" i="1"/>
  <c r="AP179" i="1"/>
  <c r="L180" i="1"/>
  <c r="AE180" i="1"/>
  <c r="AP180" i="1"/>
  <c r="AW180" i="1"/>
  <c r="L181" i="1"/>
  <c r="AE181" i="1"/>
  <c r="AP181" i="1"/>
  <c r="L182" i="1"/>
  <c r="AE182" i="1"/>
  <c r="AP182" i="1"/>
  <c r="L183" i="1"/>
  <c r="AE183" i="1"/>
  <c r="AP183" i="1"/>
  <c r="L184" i="1"/>
  <c r="L185" i="1"/>
  <c r="AE185" i="1"/>
  <c r="AP185" i="1"/>
  <c r="L186" i="1"/>
  <c r="AE186" i="1"/>
  <c r="AP186" i="1"/>
  <c r="L187" i="1"/>
  <c r="AE187" i="1"/>
  <c r="AP187" i="1"/>
  <c r="L188" i="1"/>
  <c r="AE188" i="1"/>
  <c r="AP188" i="1"/>
  <c r="L189" i="1"/>
  <c r="AE189" i="1"/>
  <c r="AP189" i="1"/>
  <c r="L190" i="1"/>
  <c r="AE190" i="1"/>
  <c r="AP190" i="1"/>
  <c r="AW190" i="1"/>
  <c r="L191" i="1"/>
  <c r="AE191" i="1"/>
  <c r="AP191" i="1"/>
  <c r="L192" i="1"/>
  <c r="AP192" i="1"/>
  <c r="L193" i="1"/>
  <c r="AE193" i="1"/>
  <c r="AP193" i="1"/>
  <c r="AE194" i="1"/>
  <c r="AP194" i="1"/>
  <c r="L195" i="1"/>
  <c r="AP195" i="1"/>
  <c r="L196" i="1"/>
  <c r="AE196" i="1"/>
  <c r="AP196" i="1"/>
  <c r="L197" i="1"/>
  <c r="L198" i="1"/>
  <c r="AE198" i="1"/>
  <c r="AP198" i="1"/>
  <c r="L199" i="1"/>
  <c r="AE199" i="1"/>
  <c r="AP199" i="1"/>
  <c r="L200" i="1"/>
  <c r="AE200" i="1"/>
  <c r="AP200" i="1"/>
  <c r="L201" i="1"/>
  <c r="AE201" i="1"/>
  <c r="AP201" i="1"/>
  <c r="AW201" i="1"/>
  <c r="L202" i="1"/>
  <c r="AE202" i="1"/>
  <c r="AP202" i="1"/>
  <c r="L203" i="1"/>
  <c r="AP203" i="1"/>
  <c r="L204" i="1"/>
  <c r="AE204" i="1"/>
  <c r="AP204" i="1"/>
  <c r="L205" i="1"/>
  <c r="AE205" i="1"/>
  <c r="AP205" i="1"/>
  <c r="L206" i="1"/>
  <c r="AP206" i="1"/>
  <c r="L207" i="1"/>
  <c r="AE207" i="1"/>
  <c r="AP207" i="1"/>
  <c r="L208" i="1"/>
  <c r="AE208" i="1"/>
  <c r="AP208" i="1"/>
  <c r="L209" i="1"/>
  <c r="AE209" i="1"/>
  <c r="AP209" i="1"/>
  <c r="L210" i="1"/>
  <c r="AE210" i="1"/>
  <c r="AP210" i="1"/>
  <c r="AW210" i="1"/>
  <c r="L211" i="1"/>
  <c r="AP211" i="1"/>
  <c r="L212" i="1"/>
  <c r="AE212" i="1"/>
  <c r="AP212" i="1"/>
  <c r="AW212" i="1"/>
  <c r="L213" i="1"/>
  <c r="AE213" i="1"/>
  <c r="AP213" i="1"/>
  <c r="L214" i="1"/>
  <c r="AE214" i="1"/>
  <c r="AP214" i="1"/>
  <c r="L215" i="1"/>
  <c r="AE215" i="1"/>
  <c r="AP215" i="1"/>
  <c r="L216" i="1"/>
  <c r="AP216" i="1"/>
  <c r="AW216" i="1"/>
  <c r="L217" i="1"/>
  <c r="AE217" i="1"/>
  <c r="AP217" i="1"/>
  <c r="AW217" i="1"/>
  <c r="L218" i="1"/>
  <c r="AE218" i="1"/>
  <c r="AP218" i="1"/>
  <c r="L219" i="1"/>
  <c r="AE219" i="1"/>
  <c r="L220" i="1"/>
  <c r="AE220" i="1"/>
  <c r="AP220" i="1"/>
  <c r="L221" i="1"/>
  <c r="AP221" i="1"/>
  <c r="L222" i="1"/>
  <c r="L223" i="1"/>
  <c r="AE223" i="1"/>
  <c r="AP223" i="1"/>
  <c r="L224" i="1"/>
  <c r="AP224" i="1"/>
  <c r="L225" i="1"/>
  <c r="AP225" i="1"/>
  <c r="L226" i="1"/>
  <c r="AE226" i="1"/>
  <c r="AP226" i="1"/>
  <c r="AW226" i="1"/>
  <c r="L227" i="1"/>
  <c r="AE227" i="1"/>
  <c r="AP227" i="1"/>
  <c r="L228" i="1"/>
  <c r="AE228" i="1"/>
  <c r="AP228" i="1"/>
  <c r="L229" i="1"/>
  <c r="AE229" i="1"/>
  <c r="AP229" i="1"/>
  <c r="L230" i="1"/>
  <c r="AE230" i="1"/>
  <c r="AP230" i="1"/>
  <c r="L231" i="1"/>
  <c r="AE231" i="1"/>
  <c r="AP231" i="1"/>
  <c r="L232" i="1"/>
  <c r="AE232" i="1"/>
  <c r="AP232" i="1"/>
  <c r="L233" i="1"/>
  <c r="AE233" i="1"/>
  <c r="AP233" i="1"/>
  <c r="AW233" i="1"/>
  <c r="L234" i="1"/>
  <c r="AE234" i="1"/>
  <c r="AP234" i="1"/>
  <c r="L235" i="1"/>
  <c r="AP235" i="1"/>
  <c r="L236" i="1"/>
  <c r="AE236" i="1"/>
  <c r="AP236" i="1"/>
  <c r="L237" i="1"/>
  <c r="AE237" i="1"/>
  <c r="AP237" i="1"/>
  <c r="L238" i="1"/>
  <c r="AP238" i="1"/>
  <c r="AW238" i="1"/>
  <c r="L239" i="1"/>
  <c r="AP239" i="1"/>
  <c r="AW239" i="1"/>
  <c r="L240" i="1"/>
  <c r="AE240" i="1"/>
  <c r="AP240" i="1"/>
  <c r="L241" i="1"/>
  <c r="AE241" i="1"/>
  <c r="AP241" i="1"/>
  <c r="L242" i="1"/>
  <c r="AE242" i="1"/>
  <c r="AP242" i="1"/>
  <c r="L243" i="1"/>
  <c r="AP243" i="1"/>
  <c r="L244" i="1"/>
  <c r="AE244" i="1"/>
  <c r="AP244" i="1"/>
  <c r="L245" i="1"/>
  <c r="AE245" i="1"/>
  <c r="AP245" i="1"/>
  <c r="L246" i="1"/>
  <c r="AE246" i="1"/>
  <c r="AP246" i="1"/>
  <c r="L247" i="1"/>
  <c r="AE247" i="1"/>
  <c r="AP247" i="1"/>
  <c r="L248" i="1"/>
  <c r="AE248" i="1"/>
  <c r="AP248" i="1"/>
  <c r="L249" i="1"/>
  <c r="AE249" i="1"/>
  <c r="AP249" i="1"/>
  <c r="L250" i="1"/>
  <c r="AP250" i="1"/>
  <c r="L251" i="1"/>
  <c r="AE251" i="1"/>
  <c r="AP251" i="1"/>
  <c r="L252" i="1"/>
  <c r="AE252" i="1"/>
  <c r="AP252" i="1"/>
  <c r="L253" i="1"/>
  <c r="AP253" i="1"/>
  <c r="L254" i="1"/>
  <c r="AE254" i="1"/>
  <c r="AP254" i="1"/>
  <c r="L255" i="1"/>
  <c r="AP255" i="1"/>
  <c r="L256" i="1"/>
  <c r="AP256" i="1"/>
  <c r="L257" i="1"/>
  <c r="AP257" i="1"/>
  <c r="L258" i="1"/>
  <c r="AE258" i="1"/>
  <c r="AP258" i="1"/>
  <c r="L259" i="1"/>
  <c r="AP259" i="1"/>
  <c r="L260" i="1"/>
  <c r="AE260" i="1"/>
  <c r="AP260" i="1"/>
  <c r="L261" i="1"/>
  <c r="AE261" i="1"/>
  <c r="AP261" i="1"/>
  <c r="L262" i="1"/>
  <c r="AE262" i="1"/>
  <c r="AP262" i="1"/>
  <c r="L263" i="1"/>
  <c r="AE263" i="1"/>
  <c r="AP263" i="1"/>
  <c r="L264" i="1"/>
  <c r="AP264" i="1"/>
  <c r="L265" i="1"/>
  <c r="AP265" i="1"/>
  <c r="L266" i="1"/>
  <c r="AE266" i="1"/>
  <c r="AP266" i="1"/>
  <c r="L267" i="1"/>
  <c r="AE267" i="1"/>
  <c r="AP267" i="1"/>
  <c r="L268" i="1"/>
  <c r="AE268" i="1"/>
  <c r="AP268" i="1"/>
  <c r="L269" i="1"/>
  <c r="AE269" i="1"/>
  <c r="AP269" i="1"/>
  <c r="L270" i="1"/>
  <c r="AE270" i="1"/>
  <c r="AP270" i="1"/>
  <c r="L271" i="1"/>
  <c r="AE271" i="1"/>
  <c r="AP271" i="1"/>
  <c r="L272" i="1"/>
  <c r="AE272" i="1"/>
  <c r="AP272" i="1"/>
  <c r="L273" i="1"/>
  <c r="AE273" i="1"/>
  <c r="AP273" i="1"/>
  <c r="L274" i="1"/>
  <c r="AE274" i="1"/>
  <c r="AP274" i="1"/>
  <c r="L275" i="1"/>
  <c r="AP275" i="1"/>
  <c r="L276" i="1"/>
  <c r="AE276" i="1"/>
  <c r="AP276" i="1"/>
  <c r="L277" i="1"/>
  <c r="AE277" i="1"/>
  <c r="AP277" i="1"/>
  <c r="AW277" i="1"/>
  <c r="L278" i="1"/>
  <c r="AE278" i="1"/>
  <c r="AP278" i="1"/>
  <c r="L279" i="1"/>
  <c r="AE279" i="1"/>
  <c r="AP279" i="1"/>
  <c r="L280" i="1"/>
  <c r="AE280" i="1"/>
  <c r="AP280" i="1"/>
  <c r="L281" i="1"/>
  <c r="AE281" i="1"/>
  <c r="AP281" i="1"/>
  <c r="L282" i="1"/>
  <c r="AE282" i="1"/>
  <c r="AP282" i="1"/>
  <c r="L283" i="1"/>
  <c r="AE283" i="1"/>
  <c r="AP283" i="1"/>
  <c r="AW283" i="1"/>
  <c r="L284" i="1"/>
  <c r="AP284" i="1"/>
  <c r="L285" i="1"/>
  <c r="AE285" i="1"/>
  <c r="AP285" i="1"/>
  <c r="L286" i="1"/>
  <c r="AE286" i="1"/>
  <c r="AP286" i="1"/>
  <c r="AW286" i="1"/>
  <c r="L287" i="1"/>
  <c r="AE287" i="1"/>
  <c r="AP287" i="1"/>
  <c r="L288" i="1"/>
  <c r="AP288" i="1"/>
  <c r="L289" i="1"/>
  <c r="AE289" i="1"/>
  <c r="AP289" i="1"/>
  <c r="L290" i="1"/>
  <c r="AP290" i="1"/>
  <c r="AW290" i="1"/>
  <c r="L291" i="1"/>
  <c r="AE291" i="1"/>
  <c r="AP291" i="1"/>
  <c r="L292" i="1"/>
  <c r="AE292" i="1"/>
  <c r="AP292" i="1"/>
  <c r="L293" i="1"/>
  <c r="AE293" i="1"/>
  <c r="AP293" i="1"/>
  <c r="L294" i="1"/>
  <c r="AE294" i="1"/>
  <c r="AP294" i="1"/>
  <c r="L295" i="1"/>
  <c r="AE295" i="1"/>
  <c r="AP295" i="1"/>
  <c r="L296" i="1"/>
  <c r="AP296" i="1"/>
  <c r="AW296" i="1"/>
  <c r="L297" i="1"/>
  <c r="AE297" i="1"/>
  <c r="AP297" i="1"/>
  <c r="L298" i="1"/>
  <c r="AE298" i="1"/>
  <c r="AP298" i="1"/>
  <c r="L299" i="1"/>
  <c r="AP299" i="1"/>
  <c r="L300" i="1"/>
  <c r="AE300" i="1"/>
  <c r="AP300" i="1"/>
  <c r="L301" i="1"/>
  <c r="AP301" i="1"/>
  <c r="L302" i="1"/>
  <c r="AP302" i="1"/>
  <c r="L303" i="1"/>
  <c r="AE303" i="1"/>
  <c r="AP303" i="1"/>
  <c r="AW303" i="1"/>
  <c r="L304" i="1"/>
  <c r="AP304" i="1"/>
  <c r="AW304" i="1"/>
  <c r="L305" i="1"/>
  <c r="AE305" i="1"/>
  <c r="AP305" i="1"/>
  <c r="L306" i="1"/>
  <c r="AE306" i="1"/>
  <c r="AP306" i="1"/>
  <c r="L307" i="1"/>
  <c r="AE307" i="1"/>
  <c r="AP307" i="1"/>
  <c r="L308" i="1"/>
  <c r="AE308" i="1"/>
  <c r="AP308" i="1"/>
  <c r="L309" i="1"/>
  <c r="AE309" i="1"/>
  <c r="AP309" i="1"/>
  <c r="L310" i="1"/>
  <c r="AE310" i="1"/>
  <c r="AP310" i="1"/>
  <c r="L311" i="1"/>
  <c r="AE311" i="1"/>
  <c r="AP311" i="1"/>
  <c r="AW311" i="1"/>
  <c r="L312" i="1"/>
  <c r="AE312" i="1"/>
  <c r="L313" i="1"/>
  <c r="AE313" i="1"/>
  <c r="AP313" i="1"/>
  <c r="L314" i="1"/>
  <c r="AE314" i="1"/>
  <c r="AP314" i="1"/>
  <c r="L315" i="1"/>
  <c r="AE315" i="1"/>
  <c r="AP315" i="1"/>
  <c r="L316" i="1"/>
  <c r="AE316" i="1"/>
  <c r="AP316" i="1"/>
  <c r="L317" i="1"/>
  <c r="AE317" i="1"/>
  <c r="AP317" i="1"/>
  <c r="AW317" i="1"/>
  <c r="L318" i="1"/>
  <c r="AE318" i="1"/>
  <c r="AP318" i="1"/>
  <c r="L319" i="1"/>
  <c r="AE319" i="1"/>
  <c r="AP319" i="1"/>
  <c r="L320" i="1"/>
  <c r="AP320" i="1"/>
  <c r="L321" i="1"/>
  <c r="AE321" i="1"/>
  <c r="AP321" i="1"/>
  <c r="L322" i="1"/>
  <c r="AE322" i="1"/>
  <c r="AP322" i="1"/>
  <c r="L323" i="1"/>
  <c r="AP323" i="1"/>
  <c r="L324" i="1"/>
  <c r="AE324" i="1"/>
  <c r="AP324" i="1"/>
  <c r="L325" i="1"/>
  <c r="AE325" i="1"/>
  <c r="AP325" i="1"/>
  <c r="L326" i="1"/>
  <c r="AE326" i="1"/>
  <c r="AP326" i="1"/>
  <c r="AW326" i="1"/>
  <c r="L327" i="1"/>
  <c r="AE327" i="1"/>
  <c r="AP327" i="1"/>
  <c r="L328" i="1"/>
  <c r="AE328" i="1"/>
  <c r="AP328" i="1"/>
  <c r="AW328" i="1"/>
  <c r="L329" i="1"/>
  <c r="AE329" i="1"/>
  <c r="AP329" i="1"/>
  <c r="L330" i="1"/>
  <c r="AE330" i="1"/>
  <c r="AP330" i="1"/>
  <c r="L331" i="1"/>
  <c r="AE331" i="1"/>
  <c r="AP331" i="1"/>
  <c r="L332" i="1"/>
  <c r="AE332" i="1"/>
  <c r="AP332" i="1"/>
  <c r="L333" i="1"/>
  <c r="AE333" i="1"/>
  <c r="AP333" i="1"/>
  <c r="L334" i="1"/>
  <c r="AE334" i="1"/>
  <c r="AP334" i="1"/>
  <c r="L335" i="1"/>
  <c r="AE335" i="1"/>
  <c r="AP335" i="1"/>
  <c r="L336" i="1"/>
  <c r="AE336" i="1"/>
  <c r="AP336" i="1"/>
  <c r="L337" i="1"/>
  <c r="AE337" i="1"/>
  <c r="AP337" i="1"/>
  <c r="L338" i="1"/>
  <c r="AE338" i="1"/>
  <c r="AP338" i="1"/>
  <c r="L339" i="1"/>
  <c r="AP339" i="1"/>
  <c r="L340" i="1"/>
  <c r="AE340" i="1"/>
  <c r="AP340" i="1"/>
  <c r="L341" i="1"/>
  <c r="AE341" i="1"/>
  <c r="AP341" i="1"/>
  <c r="L342" i="1"/>
  <c r="AE342" i="1"/>
  <c r="AP342" i="1"/>
  <c r="L343" i="1"/>
  <c r="AE343" i="1"/>
  <c r="AP343" i="1"/>
  <c r="L344" i="1"/>
  <c r="AE344" i="1"/>
  <c r="AP344" i="1"/>
  <c r="L345" i="1"/>
  <c r="AE345" i="1"/>
  <c r="AP345" i="1"/>
  <c r="L346" i="1"/>
  <c r="AE346" i="1"/>
  <c r="AP346" i="1"/>
  <c r="L347" i="1"/>
  <c r="AE347" i="1"/>
  <c r="AP347" i="1"/>
  <c r="L348" i="1"/>
  <c r="AE348" i="1"/>
  <c r="AP348" i="1"/>
  <c r="L349" i="1"/>
  <c r="AE349" i="1"/>
  <c r="AP349" i="1"/>
  <c r="L350" i="1"/>
  <c r="AE350" i="1"/>
  <c r="AP350" i="1"/>
  <c r="L351" i="1"/>
  <c r="AE351" i="1"/>
  <c r="AP351" i="1"/>
  <c r="L352" i="1"/>
  <c r="AE352" i="1"/>
  <c r="AP352" i="1"/>
  <c r="L353" i="1"/>
  <c r="AP353" i="1"/>
  <c r="L354" i="1"/>
  <c r="AE354" i="1"/>
  <c r="AP354" i="1"/>
  <c r="L355" i="1"/>
  <c r="AE355" i="1"/>
  <c r="AP355" i="1"/>
  <c r="AW355" i="1"/>
  <c r="L356" i="1"/>
  <c r="AP356" i="1"/>
  <c r="AW356" i="1"/>
  <c r="L357" i="1"/>
  <c r="AE357" i="1"/>
  <c r="AP357" i="1"/>
  <c r="L358" i="1"/>
  <c r="AE358" i="1"/>
  <c r="AP358" i="1"/>
  <c r="AW358" i="1"/>
  <c r="L359" i="1"/>
  <c r="AE359" i="1"/>
  <c r="AP359" i="1"/>
  <c r="L360" i="1"/>
  <c r="AE360" i="1"/>
  <c r="AP360" i="1"/>
  <c r="L361" i="1"/>
  <c r="AE361" i="1"/>
  <c r="AP361" i="1"/>
  <c r="L362" i="1"/>
  <c r="AE362" i="1"/>
  <c r="AP362" i="1"/>
  <c r="L363" i="1"/>
  <c r="AE363" i="1"/>
  <c r="AP363" i="1"/>
  <c r="AW363" i="1"/>
  <c r="L364" i="1"/>
  <c r="AE364" i="1"/>
  <c r="AP364" i="1"/>
  <c r="L365" i="1"/>
  <c r="AE365" i="1"/>
  <c r="AP365" i="1"/>
  <c r="L366" i="1"/>
  <c r="AP366" i="1"/>
  <c r="L367" i="1"/>
  <c r="AE367" i="1"/>
  <c r="AP367" i="1"/>
  <c r="L368" i="1"/>
  <c r="AE368" i="1"/>
  <c r="AP368" i="1"/>
  <c r="L369" i="1"/>
  <c r="AE369" i="1"/>
  <c r="AP369" i="1"/>
  <c r="AW369" i="1"/>
  <c r="L370" i="1"/>
  <c r="AE370" i="1"/>
  <c r="AP370" i="1"/>
  <c r="L371" i="1"/>
  <c r="AE371" i="1"/>
  <c r="AP371" i="1"/>
  <c r="L372" i="1"/>
  <c r="AE372" i="1"/>
  <c r="AP372" i="1"/>
  <c r="L373" i="1"/>
  <c r="AE373" i="1"/>
  <c r="AP373" i="1"/>
  <c r="L374" i="1"/>
  <c r="AE374" i="1"/>
  <c r="AP374" i="1"/>
  <c r="BN374" i="1"/>
  <c r="L375" i="1"/>
  <c r="L376" i="1"/>
  <c r="AE376" i="1"/>
  <c r="AP376" i="1"/>
  <c r="L377" i="1"/>
  <c r="AE377" i="1"/>
  <c r="AP377" i="1"/>
  <c r="L378" i="1"/>
  <c r="AP378" i="1"/>
  <c r="L379" i="1"/>
  <c r="AP379" i="1"/>
  <c r="L380" i="1"/>
  <c r="L381" i="1"/>
  <c r="AP381" i="1"/>
  <c r="L382" i="1"/>
  <c r="AE382" i="1"/>
  <c r="AP382" i="1"/>
  <c r="L383" i="1"/>
  <c r="L384" i="1"/>
  <c r="AE384" i="1"/>
  <c r="AP384" i="1"/>
  <c r="AW384" i="1"/>
  <c r="L385" i="1"/>
  <c r="L386" i="1"/>
  <c r="L387" i="1"/>
  <c r="AP387" i="1"/>
  <c r="L388" i="1"/>
  <c r="AE388" i="1"/>
  <c r="AP388" i="1"/>
  <c r="AW388" i="1"/>
  <c r="L389" i="1"/>
  <c r="AE389" i="1"/>
  <c r="AP389" i="1"/>
  <c r="L390" i="1"/>
  <c r="L391" i="1"/>
  <c r="AE391" i="1"/>
  <c r="AP391" i="1"/>
  <c r="L392" i="1"/>
  <c r="AE392" i="1"/>
  <c r="AP392" i="1"/>
  <c r="L393" i="1"/>
  <c r="L394" i="1"/>
  <c r="AE394" i="1"/>
  <c r="AP394" i="1"/>
  <c r="L395" i="1"/>
  <c r="AE395" i="1"/>
  <c r="AP395" i="1"/>
  <c r="L396" i="1"/>
  <c r="L397" i="1"/>
  <c r="L398" i="1"/>
  <c r="L399" i="1"/>
  <c r="AE399" i="1"/>
  <c r="AP399" i="1"/>
  <c r="AW399" i="1"/>
  <c r="L400" i="1"/>
  <c r="AE400" i="1"/>
  <c r="AP400" i="1"/>
  <c r="L401" i="1"/>
  <c r="AE401" i="1"/>
  <c r="AP401" i="1"/>
  <c r="L402" i="1"/>
  <c r="AE402" i="1"/>
  <c r="AP402" i="1"/>
  <c r="L403" i="1"/>
  <c r="AP403" i="1"/>
  <c r="AW403" i="1"/>
  <c r="L404" i="1"/>
  <c r="L405" i="1"/>
  <c r="L406" i="1"/>
  <c r="AE406" i="1"/>
  <c r="AP406" i="1"/>
  <c r="L407" i="1"/>
  <c r="AE407" i="1"/>
  <c r="AP407" i="1"/>
  <c r="L408" i="1"/>
  <c r="AE408" i="1"/>
  <c r="L409" i="1"/>
  <c r="AE409" i="1"/>
  <c r="AP409" i="1"/>
  <c r="L410" i="1"/>
  <c r="AE410" i="1"/>
  <c r="AP410" i="1"/>
  <c r="L411" i="1"/>
  <c r="L412" i="1"/>
  <c r="AP412" i="1"/>
  <c r="L413" i="1"/>
  <c r="AE413" i="1"/>
  <c r="AP413" i="1"/>
  <c r="L414" i="1"/>
  <c r="AE414" i="1"/>
  <c r="AP414" i="1"/>
  <c r="L415" i="1"/>
  <c r="AE415" i="1"/>
  <c r="AP415" i="1"/>
  <c r="L416" i="1"/>
  <c r="AE416" i="1"/>
  <c r="L417" i="1"/>
  <c r="L418" i="1"/>
  <c r="AE418" i="1"/>
  <c r="L419" i="1"/>
  <c r="AE419" i="1"/>
  <c r="AP419" i="1"/>
  <c r="L420" i="1"/>
  <c r="AE420" i="1"/>
  <c r="AP420" i="1"/>
  <c r="L421" i="1"/>
  <c r="AE421" i="1"/>
  <c r="AP421" i="1"/>
  <c r="L422" i="1"/>
  <c r="AE422" i="1"/>
  <c r="AP422" i="1"/>
  <c r="L423" i="1"/>
  <c r="L424" i="1"/>
  <c r="AE424" i="1"/>
  <c r="L425" i="1"/>
  <c r="AE425" i="1"/>
</calcChain>
</file>

<file path=xl/sharedStrings.xml><?xml version="1.0" encoding="utf-8"?>
<sst xmlns="http://schemas.openxmlformats.org/spreadsheetml/2006/main" count="21641" uniqueCount="6135">
  <si>
    <t>Pkid</t>
  </si>
  <si>
    <t>Email</t>
  </si>
  <si>
    <t>Password</t>
  </si>
  <si>
    <t>ProfileFor</t>
  </si>
  <si>
    <t>FirstName</t>
  </si>
  <si>
    <t>LastName</t>
  </si>
  <si>
    <t>isMale</t>
  </si>
  <si>
    <t>dob</t>
  </si>
  <si>
    <t>CountryId</t>
  </si>
  <si>
    <t>StateId</t>
  </si>
  <si>
    <t>CityId</t>
  </si>
  <si>
    <t>Mobile</t>
  </si>
  <si>
    <t>MaritalStatus</t>
  </si>
  <si>
    <t>NoofSon</t>
  </si>
  <si>
    <t>NoofDaughter</t>
  </si>
  <si>
    <t>Height</t>
  </si>
  <si>
    <t>Gotra</t>
  </si>
  <si>
    <t>OriginalSurname</t>
  </si>
  <si>
    <t>EducationalLevel</t>
  </si>
  <si>
    <t>EducationField</t>
  </si>
  <si>
    <t>HighestDegreeName</t>
  </si>
  <si>
    <t>collegeName</t>
  </si>
  <si>
    <t>OtherDegree</t>
  </si>
  <si>
    <t>EducationMedium</t>
  </si>
  <si>
    <t>Occupation</t>
  </si>
  <si>
    <t>WorkingArea</t>
  </si>
  <si>
    <t>OrganizationDetails</t>
  </si>
  <si>
    <t>Disability</t>
  </si>
  <si>
    <t>DisabilityDetails</t>
  </si>
  <si>
    <t>Description</t>
  </si>
  <si>
    <t>alternateNo</t>
  </si>
  <si>
    <t>FamilyType</t>
  </si>
  <si>
    <t>FatherName</t>
  </si>
  <si>
    <t>MotherName</t>
  </si>
  <si>
    <t>GrandfatherName</t>
  </si>
  <si>
    <t>Samaj</t>
  </si>
  <si>
    <t>Address</t>
  </si>
  <si>
    <t>ResideSince</t>
  </si>
  <si>
    <t>FatherOccupation</t>
  </si>
  <si>
    <t>FatherWorkingAs</t>
  </si>
  <si>
    <t>FatherOrganizationDetails</t>
  </si>
  <si>
    <t>FatherMobileNo</t>
  </si>
  <si>
    <t>MotherActivity</t>
  </si>
  <si>
    <t>NoOfBrother</t>
  </si>
  <si>
    <t>MarriedBrother</t>
  </si>
  <si>
    <t>MamaName</t>
  </si>
  <si>
    <t>MamaAddress</t>
  </si>
  <si>
    <t>MamaVillage</t>
  </si>
  <si>
    <t>MamaPhnNo</t>
  </si>
  <si>
    <t>PartnerAge</t>
  </si>
  <si>
    <t>PartnerMaritalStatus</t>
  </si>
  <si>
    <t>PartnerHeightFrom</t>
  </si>
  <si>
    <t>PartnerHeightTo</t>
  </si>
  <si>
    <t>PartnerCountryId</t>
  </si>
  <si>
    <t>PartnerStateId</t>
  </si>
  <si>
    <t>PartnerCityId</t>
  </si>
  <si>
    <t>PartnerEduLevel</t>
  </si>
  <si>
    <t>PartnerEduField</t>
  </si>
  <si>
    <t>PartnerEduMedium</t>
  </si>
  <si>
    <t>PartnerOccupation</t>
  </si>
  <si>
    <t>PartnerWorkingArea</t>
  </si>
  <si>
    <t>PartnerManglik</t>
  </si>
  <si>
    <t>PartnerFamilyType</t>
  </si>
  <si>
    <t>PartnerIsDisable</t>
  </si>
  <si>
    <t>IsHoroscopeMatch</t>
  </si>
  <si>
    <t>PartnerExpectation</t>
  </si>
  <si>
    <t>BirthCountryId</t>
  </si>
  <si>
    <t>BirthCity</t>
  </si>
  <si>
    <t>TimeOfBirth</t>
  </si>
  <si>
    <t>IsTimeOfBirthExact</t>
  </si>
  <si>
    <t>Rashi</t>
  </si>
  <si>
    <t>Manglik</t>
  </si>
  <si>
    <t>UploadedKundali</t>
  </si>
  <si>
    <t>UploadedPhoto</t>
  </si>
  <si>
    <t>UploadedID</t>
  </si>
  <si>
    <t>UploadedAddressProof</t>
  </si>
  <si>
    <t>mamaornana</t>
  </si>
  <si>
    <t>Noofsister</t>
  </si>
  <si>
    <t>Marriedsister</t>
  </si>
  <si>
    <t>DateOfJoin</t>
  </si>
  <si>
    <t>IsEmailApproved</t>
  </si>
  <si>
    <t>IsDocumentUploaded</t>
  </si>
  <si>
    <t>IsDocumentApproved</t>
  </si>
  <si>
    <t>FinalApprovalStatus</t>
  </si>
  <si>
    <t>LastLoginDateTime</t>
  </si>
  <si>
    <t>ProfileViewed</t>
  </si>
  <si>
    <t>NativePlace</t>
  </si>
  <si>
    <t>LocationPreference</t>
  </si>
  <si>
    <t>jklimbani@gmail.com</t>
  </si>
  <si>
    <t>Limban1980i</t>
  </si>
  <si>
    <t>Self</t>
  </si>
  <si>
    <t>Jignesh</t>
  </si>
  <si>
    <t>Limbani</t>
  </si>
  <si>
    <t>Maharastra</t>
  </si>
  <si>
    <t>Mumbai</t>
  </si>
  <si>
    <t>Divorced</t>
  </si>
  <si>
    <t>LimbaniMulshakha Mandalot</t>
  </si>
  <si>
    <t>Bachelors</t>
  </si>
  <si>
    <t>Science</t>
  </si>
  <si>
    <t>BSC</t>
  </si>
  <si>
    <t>Complete English</t>
  </si>
  <si>
    <t>Professional</t>
  </si>
  <si>
    <t>Training Professional (Others)</t>
  </si>
  <si>
    <t>AMDOCS DVCI</t>
  </si>
  <si>
    <t>Interests: Religious History and Literature.   Hobbies: Anthropology and Analytical thinking.</t>
  </si>
  <si>
    <t>Nuclear</t>
  </si>
  <si>
    <t>Karamshi</t>
  </si>
  <si>
    <t>Hemlata</t>
  </si>
  <si>
    <t>Govindbhai</t>
  </si>
  <si>
    <t>Laxmi narayan</t>
  </si>
  <si>
    <t>6, New Vandana CHS, Agra Road, Kalyan (W)</t>
  </si>
  <si>
    <t>Business</t>
  </si>
  <si>
    <t>NULL</t>
  </si>
  <si>
    <t>Leo Brothers, 16/A Girija SHankar Mkt, Zunjarrao Nagar, Station Rd, Kalyan (west)</t>
  </si>
  <si>
    <t>Homemaker</t>
  </si>
  <si>
    <t>Himmatlal Ratanshi Khetani</t>
  </si>
  <si>
    <t>R. K. Patel Wadi, Opp. Ghatkopar Railway Station, Ghatkopar (W)</t>
  </si>
  <si>
    <t>Moti Virani</t>
  </si>
  <si>
    <t>25-35</t>
  </si>
  <si>
    <t>Never Married,Divorced,Widowed,Awaiting Divorce,Annulled</t>
  </si>
  <si>
    <t>Doesnot Matter</t>
  </si>
  <si>
    <t>Need to be Mature and of a cool and stable mindset. Be able to offer friendliness and demand respect as and when necessary.</t>
  </si>
  <si>
    <t>Kalyan</t>
  </si>
  <si>
    <t>Makar</t>
  </si>
  <si>
    <t>No</t>
  </si>
  <si>
    <t>image/20141207_06325057.jpg</t>
  </si>
  <si>
    <t>image/20141207_06361623.jpg</t>
  </si>
  <si>
    <t>Mama</t>
  </si>
  <si>
    <t>Nagviri</t>
  </si>
  <si>
    <t>-Select-</t>
  </si>
  <si>
    <t>snehapatel.jgd@gmail.com</t>
  </si>
  <si>
    <t>bhavin27680</t>
  </si>
  <si>
    <t>Others</t>
  </si>
  <si>
    <t>Niraj</t>
  </si>
  <si>
    <t>Patel</t>
  </si>
  <si>
    <t>Vadiya&amp;nbsp;&lt;b&gt;Mulshakha&lt;/b&gt; &amp;nbsp;Lari</t>
  </si>
  <si>
    <t>Masters</t>
  </si>
  <si>
    <t>Commerce</t>
  </si>
  <si>
    <t>mcom</t>
  </si>
  <si>
    <t>siws</t>
  </si>
  <si>
    <t>Customer Support / BPO / KPO Professional</t>
  </si>
  <si>
    <t>Loves music, family person</t>
  </si>
  <si>
    <t>+91-</t>
  </si>
  <si>
    <t>Joint</t>
  </si>
  <si>
    <t>Laxmikant wadia</t>
  </si>
  <si>
    <t>meena patel</t>
  </si>
  <si>
    <t>Bhimji Jivraj wadia</t>
  </si>
  <si>
    <t>101 b wing shubharabhm complex plot no 19 sec 20 kharghar navi mumbai</t>
  </si>
  <si>
    <t>Retired</t>
  </si>
  <si>
    <t>22-26</t>
  </si>
  <si>
    <t>Never Married</t>
  </si>
  <si>
    <t>6,7,8,9,10,11,12,13,14,15,16,17,18,19,20,3,21,22,23,24,25,26,27,28,29,30,32,33,34,35,36,37,38,39,40,41,42,43,4,44,45,46,54,47,48,49,50,51,52,55,57,58,56,59,60,61,62,63,64,65,66,67,68,69,70,71,72,73,74,75,77,76,78,79,80,81,82,83,84,85,86,87,88,89,90,91,92,93,1,95,96,97,98,99,100,101,102,103,104,105,106,107,108,109,110,111,112,113,114,115,116,117,118,119,199,120,121,122,123,124,125,126,127,128,129,130,131,132,133,134,135,136,137,138,139,140,141,142,143,144,145,146,147,148,149,150,53,151,152,153,154,155,156,157,158,159,160,161,162,163,164,165,166,167,173,174,175,176,177,178,179,180,181,182,183,184,185,186,187,188,168,169,170,171,172,189,190,191,192,193,194,196,195,197,198,200,201,202,203,204,205,206,207,208,209,210,211,212,214,2,216,217,218,219,213,31,220,221,222,223,224</t>
  </si>
  <si>
    <t>21,8,22,23,9,24,25,26,27,10,28,2,11,29,30,12,13,14,31,15,3,32,33,34,35,16,36,17,18,37,19,4,38,5,39,1</t>
  </si>
  <si>
    <t>371,52,370,409,4,395,346,211,419,174,27,232,374,243,212,282,420,201,389,42,316,191,244,68,78,18,79,317,158,375,339,192,28,148,80,29,318,30,19,20,233,193,3,258,202,421,69,149,150,21,194,81,482,82,195,70,422,390,31,391,468,107,454,196,423,159,71,151,213,283,331,126,245,259,465,83,241,136,304,376,347,160,332,116,487,424,246,137,15,72,473,469,161,32,162,53,333,222,33,197,127,299,474,284,247,73,34,484,152,377,105,128,459,285,129,305,260,261,425,262,354,263,264,300,319,130,286,22,54,175,223,108,444,117,445,446,163,426,6,214,366,138,74,367,234,131,265,139,266,427,84,378,235,153,140,470,43,204,109,267,456,268,269,85,379,306,380,164,165,132,428,110,479,205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25,208,356,357,467,94,75,449,8,95,463,156,276,485,9,310,381,277,59,369,432,433,122,10,96,450,477,47,106,60,12,417,341,342,61,434,435,486,186,144,187,302,123,38,112,436,251,188,451,209,76,383,358,478,384,364,189,325,242,326,7,198,97,39,171,437,295,296,62,327,394,297,63,311,135,64,461,438,312,462,124,113,385,199,386,387,452,458,98,145,352,405,77,200,65,399,210,439,460,481,335,483,252,146,353,440,99,100,343,313,157,471,278,219,279,2,298,147,464,125,101,102,314,400,114,40,66,328,103,5,41,104,336,253,254,190,227,182,337,280,228,229,48,183,359,172,344,220,373,329,173,457,338,315,388,418,407,230,472,49,50,67,51,441,442,345,360,115,365,443,255,256,257,361</t>
  </si>
  <si>
    <t>No Manglik</t>
  </si>
  <si>
    <t>Should b gud by nature n should respect n b able to mingle well wit my family</t>
  </si>
  <si>
    <t>khombhadi</t>
  </si>
  <si>
    <t>Any country</t>
  </si>
  <si>
    <t>dayanipankaj@gmail.com</t>
  </si>
  <si>
    <t>pankajdayani1</t>
  </si>
  <si>
    <t>Pankaj</t>
  </si>
  <si>
    <t>Dayani</t>
  </si>
  <si>
    <t>Gujrat</t>
  </si>
  <si>
    <t>Ahmedabad</t>
  </si>
  <si>
    <t>Rudani&amp;nbsp;&lt;b&gt;Mulshakha&lt;/b&gt; &amp;nbsp;Shirvi</t>
  </si>
  <si>
    <t>Diploma</t>
  </si>
  <si>
    <t>Computers/ IT</t>
  </si>
  <si>
    <t>COPA</t>
  </si>
  <si>
    <t>industrial training institute</t>
  </si>
  <si>
    <t>b.com progress</t>
  </si>
  <si>
    <t>Gujarathi (till School) + English</t>
  </si>
  <si>
    <t>Software Developer / Programmer</t>
  </si>
  <si>
    <t>hobbies is play cricket</t>
  </si>
  <si>
    <t>Ramnik Bhai</t>
  </si>
  <si>
    <t>Jaya Ben</t>
  </si>
  <si>
    <t>Lalji Bhai</t>
  </si>
  <si>
    <t>Dhavda mota ta:- Nakhatrana dist:- Kutch</t>
  </si>
  <si>
    <t>Shaw Mills</t>
  </si>
  <si>
    <t>18-18</t>
  </si>
  <si>
    <t>i have choose a good partner.</t>
  </si>
  <si>
    <t>Hour:Minute:Select</t>
  </si>
  <si>
    <t>Kanya</t>
  </si>
  <si>
    <t>Dhavda Mota</t>
  </si>
  <si>
    <t>hareshbhavani_hyd@yahoo.com</t>
  </si>
  <si>
    <t>haresh</t>
  </si>
  <si>
    <t>patel</t>
  </si>
  <si>
    <t>Madhya Pradesh</t>
  </si>
  <si>
    <t>Bhopal</t>
  </si>
  <si>
    <t>Bhawani&amp;nbsp;&lt;b&gt;Mulshakha&lt;/b&gt; &amp;nbsp;Dani</t>
  </si>
  <si>
    <t>m.com</t>
  </si>
  <si>
    <t>gmdc commerce collage nakhatarana</t>
  </si>
  <si>
    <t>ooooo</t>
  </si>
  <si>
    <t>Business Owner / Entrepreneur</t>
  </si>
  <si>
    <t>Bhoomi door.bhopal</t>
  </si>
  <si>
    <t>I am cool and I loved my famlly..</t>
  </si>
  <si>
    <t>babubhai</t>
  </si>
  <si>
    <t>hemalata</t>
  </si>
  <si>
    <t>k.s.patel</t>
  </si>
  <si>
    <t>no</t>
  </si>
  <si>
    <t>25-25</t>
  </si>
  <si>
    <t>Sanskary...</t>
  </si>
  <si>
    <t>kutchh</t>
  </si>
  <si>
    <t>image/20170807_04521425.jpg</t>
  </si>
  <si>
    <t>image/20170807_04522449.jpg</t>
  </si>
  <si>
    <t>virani moti</t>
  </si>
  <si>
    <t>artipokar88@gmail.com</t>
  </si>
  <si>
    <t>artipokar123</t>
  </si>
  <si>
    <t>Arti</t>
  </si>
  <si>
    <t>Pokar</t>
  </si>
  <si>
    <t>B.Com</t>
  </si>
  <si>
    <t>Service</t>
  </si>
  <si>
    <t>Sr. Manager / Manager</t>
  </si>
  <si>
    <t>I enjoy listening music and cooking</t>
  </si>
  <si>
    <t>Pravinbhai Pokar</t>
  </si>
  <si>
    <t>Jaya Pokar</t>
  </si>
  <si>
    <t>Damji Pokar</t>
  </si>
  <si>
    <t>303, Paragji-Sundarji Building, near Police chowki, N S Road, Mulund West, Mumbai</t>
  </si>
  <si>
    <t>Jai Narayan Enterprise, Mulund, Mumbai</t>
  </si>
  <si>
    <t>27-30</t>
  </si>
  <si>
    <t>Bachelors,Masters,Diploma,Doctorate</t>
  </si>
  <si>
    <t>The partner should be understanding, caring and respectful.</t>
  </si>
  <si>
    <t>Khirsara  Kutch</t>
  </si>
  <si>
    <t>11:0:AM</t>
  </si>
  <si>
    <t>Select</t>
  </si>
  <si>
    <t>image/20150102_10300976.jpg</t>
  </si>
  <si>
    <t>image/20150102_10302635.jpg</t>
  </si>
  <si>
    <t>Khirsara</t>
  </si>
  <si>
    <t>kamlesh1707patel@gmail.com</t>
  </si>
  <si>
    <t>qwerty123</t>
  </si>
  <si>
    <t>Brother</t>
  </si>
  <si>
    <t>kamleshkumar P</t>
  </si>
  <si>
    <t>Gujarat</t>
  </si>
  <si>
    <t>Surat</t>
  </si>
  <si>
    <t>Less than 10th (SSC)</t>
  </si>
  <si>
    <t>Management</t>
  </si>
  <si>
    <t>SSC</t>
  </si>
  <si>
    <t>Hindi (till School) + English</t>
  </si>
  <si>
    <t>Sri Kailash harware and Building materials, A -63, bhulabhai Desai park, Laxmikant main road, katargam, Surat</t>
  </si>
  <si>
    <t>I am a very simple, caring, talented, understanding, trustworthy and  kind hearted human being. I come from an upper middle class family.  The most important thing in my life is religious believes, moral values &amp; respect for elders. I am modern thinker but also believe in good values given by our ancestors.  I love cricket, going on trips with friends, listening to classical music &amp; watching latest movies. I believe in the motto ‘Live and let live’.</t>
  </si>
  <si>
    <t>Praveen Gopal Limbani</t>
  </si>
  <si>
    <t>Deepa Praveen Limbani</t>
  </si>
  <si>
    <t>Gopal Pachan Limbani</t>
  </si>
  <si>
    <t>49, akshar raw house, near BAPS mandir, amroli, Surat</t>
  </si>
  <si>
    <t>Passed Away</t>
  </si>
  <si>
    <t>House Wife</t>
  </si>
  <si>
    <t>Khimji Dhamji Pachan Pokar</t>
  </si>
  <si>
    <t>laxmi marble, 58B/1, gandhi nagar, annupurpalayam(PO), avinasi road, tripur 641652</t>
  </si>
  <si>
    <t>gaduli</t>
  </si>
  <si>
    <t>18-32</t>
  </si>
  <si>
    <t>Never Married,Divorced,Widowed</t>
  </si>
  <si>
    <t>Simple and humble, mature enough to run the family with good care.(Looking for Marital Status like Never Married\Divorced\Awaiting Divorce)</t>
  </si>
  <si>
    <t>Kallakurichi</t>
  </si>
  <si>
    <t>Mithun</t>
  </si>
  <si>
    <t>image/20150209_22075743.jpg</t>
  </si>
  <si>
    <t>image/20150209_22033339.jpg</t>
  </si>
  <si>
    <t>image/20150210_20012813.jpg</t>
  </si>
  <si>
    <t>Khombadi</t>
  </si>
  <si>
    <t>shri.bharatmpatel@gmail.com</t>
  </si>
  <si>
    <t>bharat28121954</t>
  </si>
  <si>
    <t>Daughter</t>
  </si>
  <si>
    <t>Trupti</t>
  </si>
  <si>
    <t>Chabhaiya</t>
  </si>
  <si>
    <t>Dhule</t>
  </si>
  <si>
    <t>Chhabhaiya &amp;nbsp;&lt;b&gt;Mulshakha&lt;/b&gt; &amp;nbsp;Mandaviya</t>
  </si>
  <si>
    <t>MBM computer</t>
  </si>
  <si>
    <t>NMU</t>
  </si>
  <si>
    <t>Interior Designer</t>
  </si>
  <si>
    <t>Marathi English</t>
  </si>
  <si>
    <t>Studying</t>
  </si>
  <si>
    <t>Teacher</t>
  </si>
  <si>
    <t>I am friendly person. I like visiting beautiful places and watching movies.</t>
  </si>
  <si>
    <t>Bharat</t>
  </si>
  <si>
    <t>Kastur</t>
  </si>
  <si>
    <t>Manilal</t>
  </si>
  <si>
    <t>97, nateshwar society, wakharkar nagar,dhule.</t>
  </si>
  <si>
    <t>Boss</t>
  </si>
  <si>
    <t>Durga saw mill, railway station road, nardana ,Dhule</t>
  </si>
  <si>
    <t>homemaker</t>
  </si>
  <si>
    <t>Prabhulal Samji Samani</t>
  </si>
  <si>
    <t>Sk patel &amp; co. fafadih rd, raipur, Cg</t>
  </si>
  <si>
    <t>Vithon</t>
  </si>
  <si>
    <t>Bachelors,Masters,Doctorate</t>
  </si>
  <si>
    <t>Doesnot Matter,Complete English</t>
  </si>
  <si>
    <t>Business,Professional</t>
  </si>
  <si>
    <t>he is like me. friendly. rich and smart like me.</t>
  </si>
  <si>
    <t>image/20150214_19414925.jpg</t>
  </si>
  <si>
    <t>image/20150214_19415786.jpg</t>
  </si>
  <si>
    <t>Nakhatrana</t>
  </si>
  <si>
    <t>hiteshpatel255@ymail.com</t>
  </si>
  <si>
    <t>9737765511patel</t>
  </si>
  <si>
    <t>hitesh</t>
  </si>
  <si>
    <t>Barodra</t>
  </si>
  <si>
    <t>Maiyat&amp;nbsp;&lt;b&gt;Mulshakha&lt;/b&gt; &amp;nbsp;Sakariya</t>
  </si>
  <si>
    <t>Less than 12th (HSC)</t>
  </si>
  <si>
    <t>fybcom</t>
  </si>
  <si>
    <t>vnsgu</t>
  </si>
  <si>
    <t>Complete Gujarathi</t>
  </si>
  <si>
    <t>Admin Professional</t>
  </si>
  <si>
    <t>Jay jalaram saw mill rajplpla</t>
  </si>
  <si>
    <t>Hindi movie  Hindi song old   New</t>
  </si>
  <si>
    <t>mavji bhai</t>
  </si>
  <si>
    <t>damayanti</t>
  </si>
  <si>
    <t>bhavanjibhai</t>
  </si>
  <si>
    <t>22-22</t>
  </si>
  <si>
    <t>1,2,3,4,5,8,9,10,11,12,13,14,15,16,17,18,19,21,22,23,24,25,26,27,28,29,30,31,32,33,34,35,36,37,38,39</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</si>
  <si>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t>
  </si>
  <si>
    <t>Yes</t>
  </si>
  <si>
    <t>Kark</t>
  </si>
  <si>
    <t>image/20150216_05460601.jpg</t>
  </si>
  <si>
    <t>image/20150216_05462764.jpg</t>
  </si>
  <si>
    <t>ravapar navavas</t>
  </si>
  <si>
    <t>vimaldholu27@gmail.com</t>
  </si>
  <si>
    <t>Son</t>
  </si>
  <si>
    <t xml:space="preserve">vimal </t>
  </si>
  <si>
    <t>dholu</t>
  </si>
  <si>
    <t>Karnataka</t>
  </si>
  <si>
    <t>Bangalore</t>
  </si>
  <si>
    <t>Narasingani&amp;nbsp;&lt;b&gt;Mulshakha&lt;/b&gt; &amp;nbsp;Dholu</t>
  </si>
  <si>
    <t>hsc</t>
  </si>
  <si>
    <t>employed</t>
  </si>
  <si>
    <t>shankar timber &amp; ply chunchaghatta main road konankunte post bangalore 560062</t>
  </si>
  <si>
    <t>watching movies , sports</t>
  </si>
  <si>
    <t>dhirajlal dholu</t>
  </si>
  <si>
    <t>kamala ben dholu</t>
  </si>
  <si>
    <t>shivaji bhai dholu</t>
  </si>
  <si>
    <t>1-118 , ramani sherry  vithon - 370675 tal- nakhatrana dist- kutch</t>
  </si>
  <si>
    <t>house wife</t>
  </si>
  <si>
    <t>hiren patel</t>
  </si>
  <si>
    <t>navasari</t>
  </si>
  <si>
    <t>20-24</t>
  </si>
  <si>
    <t>Complete Gujarathi,Complete Hindi</t>
  </si>
  <si>
    <t>knows cooking &amp; house hold work</t>
  </si>
  <si>
    <t>vithon</t>
  </si>
  <si>
    <t>12:2:AM</t>
  </si>
  <si>
    <t>Vrushabh</t>
  </si>
  <si>
    <t>image/20150216_051657334.jpg</t>
  </si>
  <si>
    <t>image/20150216_051657323.jpg</t>
  </si>
  <si>
    <t>mileshpatel13@gmail.com</t>
  </si>
  <si>
    <t>8goforit3</t>
  </si>
  <si>
    <t>milesh</t>
  </si>
  <si>
    <t>Nakarani&amp;nbsp;&lt;b&gt;Mulshakha&lt;/b&gt; &amp;nbsp;Mokhat</t>
  </si>
  <si>
    <t>Arts</t>
  </si>
  <si>
    <t>BA</t>
  </si>
  <si>
    <t>gujarat university</t>
  </si>
  <si>
    <t>Jelly food industries At-kubadthal,daskroi, Ahmedabad.  V'Vaah studio  Odhav, Ahmedabad.</t>
  </si>
  <si>
    <t>Im simple &amp; positive man, music, dancing, acting, hosting, pc work,make new frnds.</t>
  </si>
  <si>
    <t>valjibhai</t>
  </si>
  <si>
    <t>manjulaben</t>
  </si>
  <si>
    <t>keshrabhai</t>
  </si>
  <si>
    <t>(1) Sherpurakampa, taluka-Dholka, Dist.-Ahmedabad  (2) KKPS ODHAV SAMAJVADI, NEAR JAIN DERASAR, B/H. MORLIDHAR SOC., CHHOTALAL CHAL, ODHAV, AHMEDABAD</t>
  </si>
  <si>
    <t>23-29</t>
  </si>
  <si>
    <t>Never Married,Divorced,Widowed,Awaiting Divorce</t>
  </si>
  <si>
    <t>she shuld be Good understanding,loving,smart,caring.</t>
  </si>
  <si>
    <t>Dholka,Ahmedabad</t>
  </si>
  <si>
    <t>Simha or Sinh</t>
  </si>
  <si>
    <t>image/20150216_22332387.jpg</t>
  </si>
  <si>
    <t>image/20150216_22333909.jpg</t>
  </si>
  <si>
    <t>sanyara</t>
  </si>
  <si>
    <t>naimesh.uniworldedusoft@gmail.com</t>
  </si>
  <si>
    <t>kalariya123</t>
  </si>
  <si>
    <t>Naimesh</t>
  </si>
  <si>
    <t>Kalariya</t>
  </si>
  <si>
    <t>Kalariya&amp;nbsp;&lt;b&gt;Mulshakha&lt;/b&gt; &amp;nbsp;Bhakka</t>
  </si>
  <si>
    <t>B.A</t>
  </si>
  <si>
    <t>Gujarat University</t>
  </si>
  <si>
    <t>Diploma in Advance Computer Arts</t>
  </si>
  <si>
    <t>Web / UX Designers</t>
  </si>
  <si>
    <t>KshemtechMedia</t>
  </si>
  <si>
    <t>Learn Technology, Traveling &amp; Reading some books</t>
  </si>
  <si>
    <t>Tulsidas</t>
  </si>
  <si>
    <t>Jayaben</t>
  </si>
  <si>
    <t>Ramjibhai</t>
  </si>
  <si>
    <t>14, Ranjitpura, khadak Navi Vasahat, At-Kharod, Ta-virpur, Diast-Kheda</t>
  </si>
  <si>
    <t>25-27</t>
  </si>
  <si>
    <t>Sanskr</t>
  </si>
  <si>
    <t>Sathamba</t>
  </si>
  <si>
    <t>Vrushchik</t>
  </si>
  <si>
    <t>image/20150402_01145716.jpg</t>
  </si>
  <si>
    <t>image/20150402_01152545.jpg</t>
  </si>
  <si>
    <t>Vigodi</t>
  </si>
  <si>
    <t>Deep7562@gmail.com</t>
  </si>
  <si>
    <t>VIJAY9823</t>
  </si>
  <si>
    <t>Deepak</t>
  </si>
  <si>
    <t>Vaghdiya</t>
  </si>
  <si>
    <t>Malegaon</t>
  </si>
  <si>
    <t>Jabawani&amp;nbsp;&lt;b&gt;Mulshakha&lt;/b&gt; &amp;nbsp;Javatar</t>
  </si>
  <si>
    <t>B.com</t>
  </si>
  <si>
    <t>Pune University</t>
  </si>
  <si>
    <t>A watch Movies, I like Cricket</t>
  </si>
  <si>
    <t>Shankar bhai</t>
  </si>
  <si>
    <t>Kailash Ben</t>
  </si>
  <si>
    <t>Jivraj bhai</t>
  </si>
  <si>
    <t>Durga Niwas Pophale Nagar Near Jain Patra DepoSoygaon MalegaonTal:-MalegaonDist:- Nashik</t>
  </si>
  <si>
    <t>Shri Ram Saw Mill Kusumba Road Dyane  Malegaon  Tal :-Malegaon Dist:-Nashik</t>
  </si>
  <si>
    <t>Kishor Bhai Naranbhai Bhadani</t>
  </si>
  <si>
    <t>Bhestan, surat</t>
  </si>
  <si>
    <t>23-26</t>
  </si>
  <si>
    <t>I need a girl woh understand me and shold be adjust with my family and shold be a good cook.</t>
  </si>
  <si>
    <t xml:space="preserve">Malegaon </t>
  </si>
  <si>
    <t>Meen</t>
  </si>
  <si>
    <t>image/20150403_09341656.jpg</t>
  </si>
  <si>
    <t>image/20150401_02531283.jpg</t>
  </si>
  <si>
    <t>image/20150401_02590892.jpg</t>
  </si>
  <si>
    <t>Paneli</t>
  </si>
  <si>
    <t>umiyamatrimony@gmail.com</t>
  </si>
  <si>
    <t>abc12345</t>
  </si>
  <si>
    <t>Mahak</t>
  </si>
  <si>
    <t>Indore</t>
  </si>
  <si>
    <t>surya timber mart,  245,G.N.T market,  indore  mp</t>
  </si>
  <si>
    <t>simple n understanding</t>
  </si>
  <si>
    <t>dana bhai patel</t>
  </si>
  <si>
    <t>Narmada patel</t>
  </si>
  <si>
    <t>Megji nakrani</t>
  </si>
  <si>
    <t>surya timber mart245, G.N.T marketDhar RoadIndoreM.P</t>
  </si>
  <si>
    <t>22-25</t>
  </si>
  <si>
    <t>she should be caring and understanding</t>
  </si>
  <si>
    <t>2:17:AM</t>
  </si>
  <si>
    <t>image/20150218_032732864.jpg</t>
  </si>
  <si>
    <t>image/20150218_032732863.jpg</t>
  </si>
  <si>
    <t>netra</t>
  </si>
  <si>
    <t>pavanindriya@gmail.com</t>
  </si>
  <si>
    <t>pavan2112</t>
  </si>
  <si>
    <t>pavan</t>
  </si>
  <si>
    <t>patidar</t>
  </si>
  <si>
    <t>MHYUH</t>
  </si>
  <si>
    <t>MUHY</t>
  </si>
  <si>
    <t>Dadaga&amp;nbsp;&lt;b&gt;Mulshakha&lt;/b&gt; &amp;nbsp;Rushat</t>
  </si>
  <si>
    <t>Engineering/ Technology</t>
  </si>
  <si>
    <t>MASTER DEGREE</t>
  </si>
  <si>
    <t>DAVV</t>
  </si>
  <si>
    <t>MCA</t>
  </si>
  <si>
    <t>QRS SOLUTIONS</t>
  </si>
  <si>
    <t>NO</t>
  </si>
  <si>
    <t>MAHESH</t>
  </si>
  <si>
    <t>KUNTA</t>
  </si>
  <si>
    <t>RAJARAM</t>
  </si>
  <si>
    <t>12 MUYA</t>
  </si>
  <si>
    <t>FARMER</t>
  </si>
  <si>
    <t>Doesnot Matter,Others</t>
  </si>
  <si>
    <t>SHAJAPUR</t>
  </si>
  <si>
    <t>9:16:AM</t>
  </si>
  <si>
    <t>image/20150218_215212474.jpg</t>
  </si>
  <si>
    <t>image/20150218_215212473.jpg</t>
  </si>
  <si>
    <t>BROTHER</t>
  </si>
  <si>
    <t>umeshpatel559@gmail.com</t>
  </si>
  <si>
    <t>umesh559</t>
  </si>
  <si>
    <t>Umesh</t>
  </si>
  <si>
    <t>Raigad</t>
  </si>
  <si>
    <t>Diploma in IT</t>
  </si>
  <si>
    <t>Dr. BATU.lonere,Raigad</t>
  </si>
  <si>
    <t>Banking Professional</t>
  </si>
  <si>
    <t>K m patel  Shrivardhan ,Raigad 402110</t>
  </si>
  <si>
    <t>Polio on left leg</t>
  </si>
  <si>
    <t>Joy full person</t>
  </si>
  <si>
    <t>Keshavlal</t>
  </si>
  <si>
    <t>Devasi</t>
  </si>
  <si>
    <t>Gopal wood industries,At/post-bhoste,tal-Shrivardhan Raigad 402110</t>
  </si>
  <si>
    <t>Madhavji gopal sankhala</t>
  </si>
  <si>
    <t>Same as above</t>
  </si>
  <si>
    <t>Ratadiya</t>
  </si>
  <si>
    <t>22-29</t>
  </si>
  <si>
    <t>She should be careing person</t>
  </si>
  <si>
    <t>Vigodi kutch</t>
  </si>
  <si>
    <t>image/20150223_10514381.jpg</t>
  </si>
  <si>
    <t>image/20150223_10562172.jpg</t>
  </si>
  <si>
    <t>Nana</t>
  </si>
  <si>
    <t>kalpesh7up@gmail.com</t>
  </si>
  <si>
    <t>kalpesh9960</t>
  </si>
  <si>
    <t>Hitesh</t>
  </si>
  <si>
    <t>Solapur</t>
  </si>
  <si>
    <t>Limbani&amp;nbsp;&lt;b&gt;Mulshakha&lt;/b&gt; &amp;nbsp;Mandalot</t>
  </si>
  <si>
    <t>Education</t>
  </si>
  <si>
    <t>10th</t>
  </si>
  <si>
    <t>Shree Krishna Ply &amp; Hardware. Near S T Stand,  Kurduwadi.</t>
  </si>
  <si>
    <t>Electronic Gadget</t>
  </si>
  <si>
    <t>Dayalal</t>
  </si>
  <si>
    <t>Jaya</t>
  </si>
  <si>
    <t>Ratansi</t>
  </si>
  <si>
    <t>null</t>
  </si>
  <si>
    <t>Near S Stand, Shree Krishna sawmill, KurduwadiTal- Madha Dist- Solapur. Pin-413208</t>
  </si>
  <si>
    <t>Shree krishna Saw mill. Near S T Stand Kurduwadi, Tal.-Madha Dist.-Solapur. Pin.-413208</t>
  </si>
  <si>
    <t>26-36</t>
  </si>
  <si>
    <t>None</t>
  </si>
  <si>
    <t>Kurduwadi</t>
  </si>
  <si>
    <t>image/20150327_05271396.jpg</t>
  </si>
  <si>
    <t>image/20150306_21171960.jpg</t>
  </si>
  <si>
    <t>piyushrudani13@gmail.com</t>
  </si>
  <si>
    <t>piyushrudani</t>
  </si>
  <si>
    <t>Piyush</t>
  </si>
  <si>
    <t>Rudani</t>
  </si>
  <si>
    <t>Pune</t>
  </si>
  <si>
    <t>RudaniMulshakha Shirvi</t>
  </si>
  <si>
    <t>Undergraduate</t>
  </si>
  <si>
    <t>HSC</t>
  </si>
  <si>
    <t>GSEB Board</t>
  </si>
  <si>
    <t>Shree Construction Chinchwad Pune-33.</t>
  </si>
  <si>
    <t>I'm a boy with caring and loving nature, peaceful mind, likes to have fun. Cool with nature and likes to make people happy(specially my family members). Respect elders and believes in God.</t>
  </si>
  <si>
    <t>Jayendra Rudani also knwn as Maganbhai</t>
  </si>
  <si>
    <t>Taraben Rudani</t>
  </si>
  <si>
    <t>Nanjibhai Rudani</t>
  </si>
  <si>
    <t>sr no.6/1/4, flat no.5, Jalaram niwas, near juna jakat naka, chinchwad, pune-33</t>
  </si>
  <si>
    <t>Vibhuti Construction Chinchwad pune-33.</t>
  </si>
  <si>
    <t>Housewife</t>
  </si>
  <si>
    <t>Dhirajlal Shivji Narshinghani</t>
  </si>
  <si>
    <t>21-26</t>
  </si>
  <si>
    <t>A girl with loving and smiling nature. I give respects to parents and elder so I'm expecting from her the same.</t>
  </si>
  <si>
    <t>Angiya Nana</t>
  </si>
  <si>
    <t>image/20150604_02031719.jpg</t>
  </si>
  <si>
    <t>image/20150604_04412206.jpg</t>
  </si>
  <si>
    <t>image/20150531_10562860.jpg</t>
  </si>
  <si>
    <t>amrut500@gmail.com</t>
  </si>
  <si>
    <t>purvi9323070633</t>
  </si>
  <si>
    <t>Purvi</t>
  </si>
  <si>
    <t>CA first year cleared</t>
  </si>
  <si>
    <t>Mumbai University</t>
  </si>
  <si>
    <t>Student</t>
  </si>
  <si>
    <t>Music, travelling, dancing, cooking</t>
  </si>
  <si>
    <t>Amrut Pokar</t>
  </si>
  <si>
    <t>Mamata Pokar</t>
  </si>
  <si>
    <t>Narshibhai Pokar</t>
  </si>
  <si>
    <t>500, Lily wing, Flower Valley, Khadakpada, Kalyan(W)</t>
  </si>
  <si>
    <t>Electronics Showroom, Banquet Hall, Construction Business</t>
  </si>
  <si>
    <t>Ceremony Banquets, Surya Estate, Kalyan Bhiwandi Road, Near Durgadi bridge, Kon village, Kalyan(W), Maharashtra</t>
  </si>
  <si>
    <t>Arvind Khimji Chavan</t>
  </si>
  <si>
    <t>Basmatnagar, Nanded, Maharashtra</t>
  </si>
  <si>
    <t>Khombhadi</t>
  </si>
  <si>
    <t>24-30</t>
  </si>
  <si>
    <t>Never Married, Divorced , Awaiting Divorce, Widowed, Annulled</t>
  </si>
  <si>
    <t>Well setteled</t>
  </si>
  <si>
    <t>image/20150305_23513934.jpg</t>
  </si>
  <si>
    <t>image/20150305_23531005.jpg</t>
  </si>
  <si>
    <t>Kadiya Mota</t>
  </si>
  <si>
    <t>sankhalahitesh90@gmail.com</t>
  </si>
  <si>
    <t>hiteshpatel90</t>
  </si>
  <si>
    <t>Sankhala</t>
  </si>
  <si>
    <t>Shankhala&amp;nbsp;&lt;b&gt;Mulshakha&lt;/b&gt; &amp;nbsp;Manavar</t>
  </si>
  <si>
    <t>tweleveth</t>
  </si>
  <si>
    <t>Janki alluminium and fiber door shop</t>
  </si>
  <si>
    <t>i am a simple peson</t>
  </si>
  <si>
    <t>Dahyalal devji sankhala</t>
  </si>
  <si>
    <t>Laxmi ben dahyalal sankhala</t>
  </si>
  <si>
    <t>Devji bhai sankhala</t>
  </si>
  <si>
    <t>2129/2131 harsh banglows, dindoli kharvasha main road, dindoli, surat</t>
  </si>
  <si>
    <t>20-20</t>
  </si>
  <si>
    <t>Less than 10th (SSC),Less than 12th (HSC),Undergraduate</t>
  </si>
  <si>
    <t>Doesnot Matter,Complete English,Complete Gujarathi</t>
  </si>
  <si>
    <t>surat</t>
  </si>
  <si>
    <t>image/20150306_224310414.jpg</t>
  </si>
  <si>
    <t>image/20150306_224310393.jpg</t>
  </si>
  <si>
    <t>mukundbhaipatel6@gmail.com</t>
  </si>
  <si>
    <t>mukundpatel68</t>
  </si>
  <si>
    <t xml:space="preserve">Mayur </t>
  </si>
  <si>
    <t>Nakrani</t>
  </si>
  <si>
    <t>Naroda Amdavad</t>
  </si>
  <si>
    <t>M.com</t>
  </si>
  <si>
    <t>HNGU</t>
  </si>
  <si>
    <t>Accounting Professional (Others)</t>
  </si>
  <si>
    <t>KPS group escendum BPO, 7th floor.  GNFC tower, Bodakdev,  S.G. Highway, Amdavad</t>
  </si>
  <si>
    <t>reading, Photography and creation on computer, Travelling..</t>
  </si>
  <si>
    <t>Mukundbhai Nakrani</t>
  </si>
  <si>
    <t>Ramilaben Nakrani</t>
  </si>
  <si>
    <t>Ramjibhai Nakrani</t>
  </si>
  <si>
    <t>C-4, Sanket flates. NR. Vrujbhumi soc. opp- Emrald banquet. galaxy road. Naroda- Amdavad. 382330</t>
  </si>
  <si>
    <t>consultant of refrigerations and part time accountant</t>
  </si>
  <si>
    <t>Home based</t>
  </si>
  <si>
    <t>House wife</t>
  </si>
  <si>
    <t>Kamlesh bhai Jethalal Limbani</t>
  </si>
  <si>
    <t>Jindva road, at po Rakhiyal station Ta. Dahegam. dist. Gandhinagar Gujarat</t>
  </si>
  <si>
    <t>Bhadli. ta. Nakhatrana</t>
  </si>
  <si>
    <t>21-23</t>
  </si>
  <si>
    <t>Doesnot Matter,Undergraduate,Bachelors,Masters,Diploma</t>
  </si>
  <si>
    <t>Doesnot Matter,Studying,Service</t>
  </si>
  <si>
    <t>just humble and respective to parents, knowledge of households. if she has degree and wants to do Job she can...</t>
  </si>
  <si>
    <t>Himatnagar</t>
  </si>
  <si>
    <t>image/20160201_04163109.jpg</t>
  </si>
  <si>
    <t>image/20151211_01483936.jpg</t>
  </si>
  <si>
    <t>image/20151211_01472813.jpg</t>
  </si>
  <si>
    <t>Devpar yax Taluko Nakhatrana</t>
  </si>
  <si>
    <t>bhavaniashwin60@gmail.com</t>
  </si>
  <si>
    <t>PATELASHWIN</t>
  </si>
  <si>
    <t>Ashwin</t>
  </si>
  <si>
    <t>Bhavani</t>
  </si>
  <si>
    <t>gujrat</t>
  </si>
  <si>
    <t>borsad</t>
  </si>
  <si>
    <t>Consultant / Supervisor / Team Leads</t>
  </si>
  <si>
    <t>506/GIDC..vasna borsad(anand) Sree sharda industry</t>
  </si>
  <si>
    <t>I'm simple caring boy</t>
  </si>
  <si>
    <t>Dharamshi bhavani</t>
  </si>
  <si>
    <t>Mangala ben</t>
  </si>
  <si>
    <t>Lakhamshi dhanji</t>
  </si>
  <si>
    <t>506/GIDC...vasna(borsad)sree sharda industry</t>
  </si>
  <si>
    <t>Sree sharda industry Borsad</t>
  </si>
  <si>
    <t>22-30</t>
  </si>
  <si>
    <t>Never Married,Divorced,Awaiting Divorce</t>
  </si>
  <si>
    <t>A girl who cares for family with love and affection A simple caring girl</t>
  </si>
  <si>
    <t>Trichengode</t>
  </si>
  <si>
    <t>Mesh</t>
  </si>
  <si>
    <t>image/20150619_07413676.jpg</t>
  </si>
  <si>
    <t>image/20150619_07452498.jpg</t>
  </si>
  <si>
    <t>Rasaliya</t>
  </si>
  <si>
    <t>pcpatel456@gmail.com</t>
  </si>
  <si>
    <t>abcd1234</t>
  </si>
  <si>
    <t>PRAKASH</t>
  </si>
  <si>
    <t>PATEL</t>
  </si>
  <si>
    <t>Kathlal</t>
  </si>
  <si>
    <t>Makani &amp;nbsp;&lt;b&gt;Mulshakha&lt;/b&gt; &amp;nbsp;Gothi</t>
  </si>
  <si>
    <t>B.TECH</t>
  </si>
  <si>
    <t>PACIFIC UNIVERSITY</t>
  </si>
  <si>
    <t>Hotel &amp; Hospitality Professional</t>
  </si>
  <si>
    <t>PATEL TRADING CO. VIP FOOD ZONE</t>
  </si>
  <si>
    <t>I AM SIMPLE PERSON.I LIKE TO LIVE SIMPLICITY WITH OTHER.I AM NOT A SPORT MAN BUT SOME TIMES I PLAY CRICKET ,VOLLEYBALL ETC.</t>
  </si>
  <si>
    <t>CHANDUBHAI</t>
  </si>
  <si>
    <t>PREMILABEN</t>
  </si>
  <si>
    <t>VASHRAMBHAI</t>
  </si>
  <si>
    <t>AT-RAMPURALAT,PO-KATHANATA-KATHLAL,DI-KHEDAGUJARAT-387640</t>
  </si>
  <si>
    <t>SERVICE AS A SECRETARY OF RAMPURALAT SEVA SAHKARI MANDALI LIMITED</t>
  </si>
  <si>
    <t>PATEL TRADING CO.</t>
  </si>
  <si>
    <t>AS A GRAMYA SAHAIKA OF TRIBHUVANDAS FOUNDATION ,ANAND</t>
  </si>
  <si>
    <t>ARVINDBHAI RAMJIBHAI NAKRANI</t>
  </si>
  <si>
    <t>4,MAA GAYATRI TIMBER,NEW G.N.T. WOOD MARKET  NEAR DISTRICT HOSPITAL,   INDORE, (MADHYA PRADESH)</t>
  </si>
  <si>
    <t>MOTI VIRANI KUTCHH</t>
  </si>
  <si>
    <t>21-30</t>
  </si>
  <si>
    <t>SWEET AND GENEROUS</t>
  </si>
  <si>
    <t>AHMEDABAD</t>
  </si>
  <si>
    <t>image/20150317_04365802.jpg</t>
  </si>
  <si>
    <t>image/20150317_04365042.jpg</t>
  </si>
  <si>
    <t>image/20150317_04375527.jpg</t>
  </si>
  <si>
    <t>KHEDOI KOTDA</t>
  </si>
  <si>
    <t>chiragpatel99130@gmail.com</t>
  </si>
  <si>
    <t>chirag</t>
  </si>
  <si>
    <t>chhabhaiya</t>
  </si>
  <si>
    <t>Mechanical</t>
  </si>
  <si>
    <t>geetanjali collage rajasthan</t>
  </si>
  <si>
    <t>mtech</t>
  </si>
  <si>
    <t>Company Secretary</t>
  </si>
  <si>
    <t>study</t>
  </si>
  <si>
    <t>Playing games</t>
  </si>
  <si>
    <t>Pravinbhai</t>
  </si>
  <si>
    <t>Madhuben</t>
  </si>
  <si>
    <t>manjibhai</t>
  </si>
  <si>
    <t>B1 Gopi valabha apartment modasa</t>
  </si>
  <si>
    <t>businessman</t>
  </si>
  <si>
    <t>18-25</t>
  </si>
  <si>
    <t>Sanskari</t>
  </si>
  <si>
    <t>modasa</t>
  </si>
  <si>
    <t>Hour:Minute:AM</t>
  </si>
  <si>
    <t>image/20150318_214701494.jpg</t>
  </si>
  <si>
    <t>image/20150318_214701473.jpg</t>
  </si>
  <si>
    <t>bhuje</t>
  </si>
  <si>
    <t>Hitesh.c.patel24@gmail.com</t>
  </si>
  <si>
    <t>hiteshmanani5</t>
  </si>
  <si>
    <t>manani</t>
  </si>
  <si>
    <t>Tumkur</t>
  </si>
  <si>
    <t>Surani (Bhagat)&amp;nbsp;&lt;b&gt;Mulshakha&lt;/b&gt; &amp;nbsp;Bhoowa</t>
  </si>
  <si>
    <t>Gujarat uni.</t>
  </si>
  <si>
    <t>Bhagyalaxmi trading, n.h. 206,   gubbi road,   bheemsandra, tumkur- 572107</t>
  </si>
  <si>
    <t>I like reading, making good friends</t>
  </si>
  <si>
    <t>chhaganlal</t>
  </si>
  <si>
    <t>savitaben</t>
  </si>
  <si>
    <t>kanjibhai</t>
  </si>
  <si>
    <t>Bhagyalaxmi trading, n.h. 206 ,  gubbi road, bheemsandra, tumkur</t>
  </si>
  <si>
    <t>jentilal naranbhai bhavani</t>
  </si>
  <si>
    <t>Naroda. Ahmedabad</t>
  </si>
  <si>
    <t>rasaliya</t>
  </si>
  <si>
    <t>22-28</t>
  </si>
  <si>
    <t>I need honest wife who taking care of my femily</t>
  </si>
  <si>
    <t>ahmedabad</t>
  </si>
  <si>
    <t>image/20150321_01295327.jpg</t>
  </si>
  <si>
    <t>image/20150321_01302963.jpg</t>
  </si>
  <si>
    <t>gunjanpatel513@gmail.com</t>
  </si>
  <si>
    <t>gudchi123</t>
  </si>
  <si>
    <t>Gunjan</t>
  </si>
  <si>
    <t>Surani (Bhagat)Mulshakha Bhoowa</t>
  </si>
  <si>
    <t>PGDBA HRM</t>
  </si>
  <si>
    <t>SCDL Pune</t>
  </si>
  <si>
    <t>CCC</t>
  </si>
  <si>
    <t>Human Resources Professional</t>
  </si>
  <si>
    <t>Steelplus Hajira</t>
  </si>
  <si>
    <t>Hi!!! First of all, Thank you for looking into my profile.. Here I am!!  My name is Gunjan Patel. Friends calls me Guddu as its simple and cool. I Have completed Post Graduate Diploma in Human Resource Management. To say a few more words about me, I am well educated, very well behaved and matured yet fun loving and outgoing person. Additionally, I love travelling, sight seeing, watching movies. I also like listening to the music and Dance as well ( Esp. Garba). To stay fit and healthy I run and walk sometimes and I am very friendly, social, generous. I love and respect my family and friends.   I shall give the same respect and love to the family and friends of the person I am going to marry with. I am looking for an intelligent, smart, and fun loving person who can understand me and my values. A person who loves me, cares for me and my family and in return he will have a surety of the same qualities from me.   Thank you for looking my profile!!!</t>
  </si>
  <si>
    <t>Arjunbhai Patel</t>
  </si>
  <si>
    <t>Bhagawatiben Patel</t>
  </si>
  <si>
    <t>Ladhabhai Bhagat</t>
  </si>
  <si>
    <t>15 Maharshi Arvind Soc, adajan, surat</t>
  </si>
  <si>
    <t>27-32</t>
  </si>
  <si>
    <t>Complete English,Complete Gujarathi</t>
  </si>
  <si>
    <t>He should be smart, intellectual, fun loving belive in being first friend then partner</t>
  </si>
  <si>
    <t>katwa, kolkatta</t>
  </si>
  <si>
    <t>image/20150412_00290336.jpg</t>
  </si>
  <si>
    <t>image/20150412_00294639.jpg</t>
  </si>
  <si>
    <t>kalayanpar</t>
  </si>
  <si>
    <t>vruti_pethani19@yahoo.com</t>
  </si>
  <si>
    <t>chrom121pro..</t>
  </si>
  <si>
    <t>vrutika</t>
  </si>
  <si>
    <t>NakaraniMulshakha Mokhat</t>
  </si>
  <si>
    <t>MBA</t>
  </si>
  <si>
    <t>Bsc Biotechnology</t>
  </si>
  <si>
    <t>IAS / IRS / IES / IFS</t>
  </si>
  <si>
    <t>I am simplistic, open minded, creative and fun loving person. Reading, listening music, dance, travelling with family, creative writing are my hobbies and interest.</t>
  </si>
  <si>
    <t>Narsi Patel</t>
  </si>
  <si>
    <t>Kaushalya Patel</t>
  </si>
  <si>
    <t>Ramji Devjibhai Patel</t>
  </si>
  <si>
    <t>1 A-J Scheme No. 71, Near Gumasta Nagar Indore</t>
  </si>
  <si>
    <t>Timber Business</t>
  </si>
  <si>
    <t>N.R Patel &amp; Co. 245/3 GNT Market, Labriya Bheru Dhar Road Indore</t>
  </si>
  <si>
    <t>26-28</t>
  </si>
  <si>
    <t>My life partner should be open minded, understanding, educated, independent person. He should be a non smoker and non alcoholic.</t>
  </si>
  <si>
    <t>image/20150328_23471816.jpg</t>
  </si>
  <si>
    <t>image/20150328_23474758.jpg</t>
  </si>
  <si>
    <t>Netra</t>
  </si>
  <si>
    <t>harrypatel044@gmail.com</t>
  </si>
  <si>
    <t>hardikpatel44</t>
  </si>
  <si>
    <t>Sister</t>
  </si>
  <si>
    <t>Namrata</t>
  </si>
  <si>
    <t>BHUJ</t>
  </si>
  <si>
    <t>Diwani&amp;nbsp;&lt;b&gt;Mulshakha&lt;/b&gt; &amp;nbsp;Diwani</t>
  </si>
  <si>
    <t>Bachelor of Arts</t>
  </si>
  <si>
    <t>Kutch University</t>
  </si>
  <si>
    <t>Indian Space Research Organization</t>
  </si>
  <si>
    <t>I know what i am and what i am not.</t>
  </si>
  <si>
    <t>Jayantilal</t>
  </si>
  <si>
    <t>Valji Bhai</t>
  </si>
  <si>
    <t>60/B,Jadavji Nagar,College Road</t>
  </si>
  <si>
    <t>Syndicate Bank</t>
  </si>
  <si>
    <t>Gangaram Mavji Padmani</t>
  </si>
  <si>
    <t>Service,Business,Professional</t>
  </si>
  <si>
    <t>should be loyal,honest,good caliber,handsome,resourceful,with good family values</t>
  </si>
  <si>
    <t>image/20150802_00075187.jpg</t>
  </si>
  <si>
    <t>image/20150802_00081412.jpg</t>
  </si>
  <si>
    <t>patelvir17@gmail.com</t>
  </si>
  <si>
    <t>pokarvir1728</t>
  </si>
  <si>
    <t xml:space="preserve">VIRAL </t>
  </si>
  <si>
    <t>BACHELOR IN ELECTRICAL ENGG</t>
  </si>
  <si>
    <t>UNIVERSITY OF PUNE</t>
  </si>
  <si>
    <t>Sales Professional</t>
  </si>
  <si>
    <t>MAHARASHTRA MULTI DISTRIBUTORS LTD  PUNE</t>
  </si>
  <si>
    <t>I AM QUITE SIMPLE  WITH POSITIVE ATTITUDE  ; MY HOBBIES ARE TO WRITE  SHORT STORIES, LISTEN TO MUSIC ; AND TO  PLAY GAMES</t>
  </si>
  <si>
    <t>late. NARSHI JIVRAJ PATEL</t>
  </si>
  <si>
    <t>NARMADABEN NARSHI PATEL</t>
  </si>
  <si>
    <t>JIVRAJ KANJIBHAI PATEL</t>
  </si>
  <si>
    <t>371,Kap kaneri , satyanarayan enterprises, beside gore hospital , near kalyan naka , Bhiwandi</t>
  </si>
  <si>
    <t>SATYANARAYAN ENTERPRISES  371,Kap kaneri ,  beside gore hospital , near kalyan naka , Bhiwandi</t>
  </si>
  <si>
    <t>PART TIME EMBROIDERY WORKS</t>
  </si>
  <si>
    <t>21-25</t>
  </si>
  <si>
    <t>I seek a beautiful girl. My life partner, my one coquette, the answer to my love's duet; who will walks along with me a distance long journey</t>
  </si>
  <si>
    <t>BHIWANDI</t>
  </si>
  <si>
    <t>image/20150330_07295326.jpg</t>
  </si>
  <si>
    <t>image/20150330_07300969.jpg</t>
  </si>
  <si>
    <t>KOTADA JAGODAR</t>
  </si>
  <si>
    <t>dipesh_rudani@yahoo.co.in</t>
  </si>
  <si>
    <t>ahipr2646g</t>
  </si>
  <si>
    <t>DIPESH</t>
  </si>
  <si>
    <t>RUDANI</t>
  </si>
  <si>
    <t>B.COM</t>
  </si>
  <si>
    <t>GUJARAT UNIVERSITY</t>
  </si>
  <si>
    <t>N. P. PATEL ASSOCIATES (C.A.) Partner.</t>
  </si>
  <si>
    <t>PARTNERSHIP WITH NARESH PATEL (CA) IN N. P. PATEL &amp; ASSOCIATES.</t>
  </si>
  <si>
    <t>VALJI DANA RUDANI</t>
  </si>
  <si>
    <t>GANGABEN RUDANI</t>
  </si>
  <si>
    <t>DANA MADHA RUDANI</t>
  </si>
  <si>
    <t>A-703, SHIVAM COMPLEX, OPP. FATIMA SCHOOL, OPP. BHARAT GAS GODOWN, BELAVALI, BADLAPUR WEST - 421 503</t>
  </si>
  <si>
    <t>TULSHI SHAMJI POKAR</t>
  </si>
  <si>
    <t>A-2/203, SWASTIK GARDEN, POKHRAN ROAD NO.2, NEAR VOLTAS CO., THANE WEST - 400 601</t>
  </si>
  <si>
    <t>MOTA RATADIYA</t>
  </si>
  <si>
    <t>20-30</t>
  </si>
  <si>
    <t>WELL UNDERSTAND, WELL HELPFULL AND BEST PARTNER</t>
  </si>
  <si>
    <t>KURBAI</t>
  </si>
  <si>
    <t>image/20151130_23565727.jpg</t>
  </si>
  <si>
    <t>image/20151130_23571002.jpg</t>
  </si>
  <si>
    <t>rushi26@gmail.com</t>
  </si>
  <si>
    <t>saibaba26</t>
  </si>
  <si>
    <t xml:space="preserve">Rushi </t>
  </si>
  <si>
    <t>BSCNT</t>
  </si>
  <si>
    <t>Sikkim Manipal University/Nagpur University</t>
  </si>
  <si>
    <t>MCSA</t>
  </si>
  <si>
    <t>Hardware &amp; Networking professional</t>
  </si>
  <si>
    <t>Godrej Agrovet Limited, Pirojshanagar, Eastern Express Highway, Gate No 2, Vikhroli East, Mumbai</t>
  </si>
  <si>
    <t>My son is a fun loving, kind hearted, faithful, religious, caring..too hardworking hates unfaithfulness...etc. love Playing Musical Instruments, Surfing Internet, playing cricket, football.</t>
  </si>
  <si>
    <t>Navin Prabhudas Pokar</t>
  </si>
  <si>
    <t>Madhubala Navin Pokar</t>
  </si>
  <si>
    <t>Prabhudas Lalji Pokar</t>
  </si>
  <si>
    <t>Rustomjee Athena ‘C’ Wing Flat No 1401,  Near Lodha Paradise, Off Nashik Highway,  Majiwada Thane, West-400601</t>
  </si>
  <si>
    <t>Developer &amp; Realtors</t>
  </si>
  <si>
    <t>Multicon Builders, Rustomjee Athena ‘C’ Wing Flat No 1401,  Near Lodha Paradise, Off Nashik Highway,  Majiwada Thane, West-400601</t>
  </si>
  <si>
    <t>Mavji Dhanji Nakrani Patel</t>
  </si>
  <si>
    <t>Pravin Mavji Nakrani Patel Patel Society, 5th Floor, Vallabh Baug Lane, Ghatkopar East, Mumbai</t>
  </si>
  <si>
    <t>She should be fun loving family oriented, caring, kind also should be trustworthy, religious...</t>
  </si>
  <si>
    <t>Thane</t>
  </si>
  <si>
    <t>Tula</t>
  </si>
  <si>
    <t>image/20150518_10112645.jpg</t>
  </si>
  <si>
    <t>image/20150405_09084723.jpg</t>
  </si>
  <si>
    <t>image/20150403_11352933.jpg</t>
  </si>
  <si>
    <t>Kotda Jadodar</t>
  </si>
  <si>
    <t>rahulpatel120587@gmail.com</t>
  </si>
  <si>
    <t>R12051987</t>
  </si>
  <si>
    <t>Rahul</t>
  </si>
  <si>
    <t>ssc</t>
  </si>
  <si>
    <t>k b vira high school</t>
  </si>
  <si>
    <t>Agent / Broker / Trader / Contractor</t>
  </si>
  <si>
    <t>C/22 , Sudama Complex , Rajaji Road , Mhatre Nager , Dombivali(E)</t>
  </si>
  <si>
    <t>i play cricket , i watch movie .....etc</t>
  </si>
  <si>
    <t>Bharat pokar</t>
  </si>
  <si>
    <t>Sharda pokar</t>
  </si>
  <si>
    <t>Umarshi pokar</t>
  </si>
  <si>
    <t>C/22 , Sudama Complex , Rajaji Road , Mhatre Nager , Dombivali (E)</t>
  </si>
  <si>
    <t>21-27</t>
  </si>
  <si>
    <t>simpal girl</t>
  </si>
  <si>
    <t>Mumbai (Ghatkopar)</t>
  </si>
  <si>
    <t>image/20150409_11241302.jpg</t>
  </si>
  <si>
    <t>image/20150406_06354299.jpg</t>
  </si>
  <si>
    <t>image/20150406_06513580.jpg</t>
  </si>
  <si>
    <t>Virani Moti</t>
  </si>
  <si>
    <t>vaishali.pokar115@gmail.com</t>
  </si>
  <si>
    <t>ditipokar</t>
  </si>
  <si>
    <t>vaishali</t>
  </si>
  <si>
    <t>pokar</t>
  </si>
  <si>
    <t>MBA IN HR</t>
  </si>
  <si>
    <t>UNIVERSITY OF MUMBAI</t>
  </si>
  <si>
    <t>UPL LTD COMPANY , KHAR(WEST)</t>
  </si>
  <si>
    <t>LIKE TOWATCH MOVIES N EXPLORE PLACES</t>
  </si>
  <si>
    <t>ANIL SHANTILAL POKAR</t>
  </si>
  <si>
    <t>TULSA ANIL POKAR</t>
  </si>
  <si>
    <t>SHANTILAL VALJI POKAR</t>
  </si>
  <si>
    <t>B/2 TRIMURTI BLDG,ELCHIWALA COMPOUND,M.G.ROAD,GHATKOPAR(WEST),MUMBAI-400086</t>
  </si>
  <si>
    <t>29-35</t>
  </si>
  <si>
    <t>Masters,Diploma,Doctorate</t>
  </si>
  <si>
    <t>SHOULD BE WELL EDUCATED ,WELL EARNING, SHOULD BE WELL SETTLED N GOOD MANNERED.</t>
  </si>
  <si>
    <t>mumbai</t>
  </si>
  <si>
    <t>image/20150426_22571088.jpg</t>
  </si>
  <si>
    <t>image/20150426_22572341.jpg</t>
  </si>
  <si>
    <t>VITHON</t>
  </si>
  <si>
    <t>kishorpatel24679@gmail.com</t>
  </si>
  <si>
    <t>9978245632abcd</t>
  </si>
  <si>
    <t>Kishor</t>
  </si>
  <si>
    <t>Graduation</t>
  </si>
  <si>
    <t>S S P Jain college</t>
  </si>
  <si>
    <t>Homeekart Retail. 105 safal prelude, opp-SPIPA,Coorporate road, Prahladnagar, Satellite. Ahmedabad-380015</t>
  </si>
  <si>
    <t>I am  Simple and love to spend my life freely.I love watching movies and listen to music a lot.</t>
  </si>
  <si>
    <t>Ravjibhai Gopalbhai Patel</t>
  </si>
  <si>
    <t>Bhanuben Ravjibhai Patel</t>
  </si>
  <si>
    <t>Lt Gopalbhai Patel</t>
  </si>
  <si>
    <t>C-9 Vrajnandan Banglow Near Aarohi Villa, Front of Ragulila party Plot, S.P. Ring Road</t>
  </si>
  <si>
    <t>Just Looks after the business status</t>
  </si>
  <si>
    <t>27-34</t>
  </si>
  <si>
    <t>Doesnot Matter,Less than 12th (HSC)</t>
  </si>
  <si>
    <t>Complete Gujarathi,Hindi (till School) + English</t>
  </si>
  <si>
    <t>Doesnot Matter,Homemaker</t>
  </si>
  <si>
    <t>No Expectation</t>
  </si>
  <si>
    <t>Bhuj</t>
  </si>
  <si>
    <t>7:7:AM</t>
  </si>
  <si>
    <t>image/20150409_072104414.jpg</t>
  </si>
  <si>
    <t>image/20150409_072104403.jpg</t>
  </si>
  <si>
    <t>rasiya821@gmail.com</t>
  </si>
  <si>
    <t>rahul82012</t>
  </si>
  <si>
    <t xml:space="preserve">Rahul </t>
  </si>
  <si>
    <t>Michigan</t>
  </si>
  <si>
    <t>Detroit</t>
  </si>
  <si>
    <t>Master</t>
  </si>
  <si>
    <t>Northwestern Polytechnic University USA</t>
  </si>
  <si>
    <t>Electronics / Telecom Engineer</t>
  </si>
  <si>
    <t>I am an electronics engineer, pursuing my master from USA. I believe in simple living and high thinking.My area of interest is circuit designing and understand the latest technologies. My hobbies is to watch and playing cricket, travelling, spiritual meditation.</t>
  </si>
  <si>
    <t>Natvarlal</t>
  </si>
  <si>
    <t>Harshitaben</t>
  </si>
  <si>
    <t>Kanjibhai</t>
  </si>
  <si>
    <t>Railway station,uttarsanda,nadiad,kheda,387370</t>
  </si>
  <si>
    <t>Manager</t>
  </si>
  <si>
    <t>Navbharat Seeds Pvt Ltd,Ahmedabad</t>
  </si>
  <si>
    <t>making "jula"</t>
  </si>
  <si>
    <t>Chhagan bhai ravji bhai nakrani</t>
  </si>
  <si>
    <t>bopal,ahmedabad</t>
  </si>
  <si>
    <t>amalai kampa</t>
  </si>
  <si>
    <t>Undergraduate,Bachelors,Masters,Diploma,Doctorate</t>
  </si>
  <si>
    <t>At least graduate level study,cool nature, less temper, simple and stylish, passionate about her work, family caring,nice in cooking i like to give freedom to her to do whatever she want to do in her life,i am always supportive to her.</t>
  </si>
  <si>
    <t>6:12:AM</t>
  </si>
  <si>
    <t>image/20150413_165953974.jpg</t>
  </si>
  <si>
    <t>image/20150413_165953973.jpg</t>
  </si>
  <si>
    <t>moti virani</t>
  </si>
  <si>
    <t>naresh.rudani4all@gmail.com</t>
  </si>
  <si>
    <t>sreeram123</t>
  </si>
  <si>
    <t>Naresh</t>
  </si>
  <si>
    <t>Bachelor of Computer Application</t>
  </si>
  <si>
    <t>Bangalore University</t>
  </si>
  <si>
    <t xml:space="preserve"> GSN Games  - Address : No. 31, Grape Garden, 1st Floor, 17th H Main Rd, Koramangala 6 Block, Koramangala, Bengalore, Karnataka 560095</t>
  </si>
  <si>
    <t>I belong to middle class family. The most important thing in my life is religious believes, moral values &amp; respect for elders. I am modern thinker but also believe in good values given by our ancestors.  I have always been an achiever; be it professional life or sports or any other field in my life.  I would describe myself as someone who is honest, caring, intelligent, hardworking, and ambitious. I have a great sense of humour. I am an easy going person &amp; don’t get easily disturbed by down’s in my life. I also love Travelling, sports, Music e.tc;  I think family as the first priority of my life. I think 2 years down the life I should be happily settled, a lovely soulmate with all the blessings of our parents &amp; relatives.</t>
  </si>
  <si>
    <t>Laljibhai</t>
  </si>
  <si>
    <t>Manjulaben</t>
  </si>
  <si>
    <t>Mavjibhai</t>
  </si>
  <si>
    <t>GMDC High School Road, Virani (Moti), Tal. Nakhatrana, Dist. Kutch (Bhuj), Gujarat, India</t>
  </si>
  <si>
    <t>NA</t>
  </si>
  <si>
    <t>20-29</t>
  </si>
  <si>
    <t>Very loving, caring, Pro-active, talkative and beautiful. Given her beliefs and value system in life, she is going to be an inspiring, compatible and enviable life companion in each and every eventuality. Should have family as an first priority. Who comes with religious believes, moral values &amp; respect for elders.</t>
  </si>
  <si>
    <t>9:15:PM</t>
  </si>
  <si>
    <t>image/20150421_16344581.jpg</t>
  </si>
  <si>
    <t>image/20150421_16345447.jpg</t>
  </si>
  <si>
    <t>krunalpatel1018@gmail.com</t>
  </si>
  <si>
    <t>erpatel1018</t>
  </si>
  <si>
    <t>Krunal</t>
  </si>
  <si>
    <t>Baroda</t>
  </si>
  <si>
    <t xml:space="preserve">KhimaniMulshakha Karnavat </t>
  </si>
  <si>
    <t>BE in Electronics and Communication</t>
  </si>
  <si>
    <t>Gujarat Technical University Gujarat</t>
  </si>
  <si>
    <t>Diploma in EC</t>
  </si>
  <si>
    <t>Sonal Seeds Corporation, Baroda</t>
  </si>
  <si>
    <t>My hobbies is playing outdoor and in door game &amp; traveling , listen music, watching movie.</t>
  </si>
  <si>
    <t>Kanubhai</t>
  </si>
  <si>
    <t>chandrikaben</t>
  </si>
  <si>
    <t>jivrajbhai</t>
  </si>
  <si>
    <t>At- Bhanthala LatPo-BhanthalaTa-BalasinorDist-Mahisagar, Gujrat</t>
  </si>
  <si>
    <t>house wifi</t>
  </si>
  <si>
    <t>Jentibhai Chetanbhai Chaudhry</t>
  </si>
  <si>
    <t>At-  Gadhadakampa, po - ghadhada , arvalli , Gujarat</t>
  </si>
  <si>
    <t>Angiyari</t>
  </si>
  <si>
    <t>Doesnot Matter,Less than High School</t>
  </si>
  <si>
    <t>i want my life partner is belive in join &amp; loving family .</t>
  </si>
  <si>
    <t>balasinor</t>
  </si>
  <si>
    <t>image/20180324_23341687.jpg</t>
  </si>
  <si>
    <t>image/20180403_03181584.jpg</t>
  </si>
  <si>
    <t>image/20180403_03194232.jpg</t>
  </si>
  <si>
    <t>chakar kotada</t>
  </si>
  <si>
    <t>praveenpatel598@gmail.com</t>
  </si>
  <si>
    <t>praveen123</t>
  </si>
  <si>
    <t>Praveen</t>
  </si>
  <si>
    <t>Gandhidham</t>
  </si>
  <si>
    <t>Bcom</t>
  </si>
  <si>
    <t>Dr. Hari Singh Gour Sagar University</t>
  </si>
  <si>
    <t>Complete Hindi</t>
  </si>
  <si>
    <t>Mahesh Wood Products, Gandhidham</t>
  </si>
  <si>
    <t>Gardening/Cooking</t>
  </si>
  <si>
    <t>Chhaganbhai Patel</t>
  </si>
  <si>
    <t>Heeraben Patel</t>
  </si>
  <si>
    <t>Premjibhai Patel</t>
  </si>
  <si>
    <t>DC-5, Plot no-154, Adipur, Ghandhidham</t>
  </si>
  <si>
    <t>24-31</t>
  </si>
  <si>
    <t>Well mannered and loving person</t>
  </si>
  <si>
    <t>Jabalpur</t>
  </si>
  <si>
    <t>6:2:Select</t>
  </si>
  <si>
    <t>image/20150516_175425114.jpg</t>
  </si>
  <si>
    <t>image/20150516_175425103.jpg</t>
  </si>
  <si>
    <t>Lakshmipar Netra</t>
  </si>
  <si>
    <t>kantip970@gmail.com</t>
  </si>
  <si>
    <t>kanti123</t>
  </si>
  <si>
    <t>Kanti</t>
  </si>
  <si>
    <t>B.com complete</t>
  </si>
  <si>
    <t>Dr. Hari singh Gour University Sagar</t>
  </si>
  <si>
    <t>Mahesh Wood Product  Plot no. 557, Mithi rohar gandhidham kutchh, gujrat</t>
  </si>
  <si>
    <t>create new business &amp; satisfied my client</t>
  </si>
  <si>
    <t>Chhagan Bhai Patel</t>
  </si>
  <si>
    <t>Heera Ben Patel</t>
  </si>
  <si>
    <t>Premji Bhai Patel</t>
  </si>
  <si>
    <t>R.NO-408, 4 TH FLOOR, PLOT NO-3,SECTOR-1, OSLO CIRCLE, GANDHIDHAM, KUTCHH,370201</t>
  </si>
  <si>
    <t>22-33</t>
  </si>
  <si>
    <t>371,52,370,409,4,395,346,211,419,174,27,232,374,243,212,282,420,201,389,42,316,191,244,68,78,18,79,317,158,375,339,192,28,148,80,29,318,30,19,20,233,193,3,258,202,421,69,149,150,21,194,81,482,82,195,70,422,390,31,391,468,107,454,196,423,159,71,151,213,283,331,126,245,259,465,83,241,136,304,376,347,160,332,116,487,424,246,137,15,72,473,469,161,32,162,53,333,222,33,197,127,299,474,284,247,73,34,484,152,377,105,128,459,285,129,305,260,261,425,262,354,263,264,300,319,130,286,22,54,175,223,108,444,117,445,446,163,426,488,6,214,366,138,74,367,234,131,265,139,266,427,84,378,235,153,140,470,43,204,109,267,456,268,269,85,379,306,380,164,165,132,428,110,479,205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25,208,356,357,467,94,75,449,8,95,463,156,276,485,9,310,381,277,59,369,432,433,122,10,96,450,477,47,106,60,12,417,341,342,61,434,435,486,186,144,187,302,123,38,112,436,251,188,451,209,76,383,358,478,384,364,189,325,242,326,7,198,97,39,171,437,295,296,62,327,394,297,63,311,135,64,461,438,312,462,124,113,385,199,386,387,452,458,98,145,352,405,77,200,65,399,210,439,460,481,335,483,252,146,353,440,99,100,343,313,157,471,278,219,279,2,298,147,464,125,101,102,314,400,114,40,66,328,103,5,41,104,336,253,254,190,227,182,337,280,228,229,48,183,359,172,344,220,373,329,173,457,338,315,388,418,407,230,472,49,50,67,51,441,442,345,360,115,365,443,255,256,257,361</t>
  </si>
  <si>
    <t>OBEDIENT, HOUSEHOLD</t>
  </si>
  <si>
    <t>image/20150520_04305902.jpg</t>
  </si>
  <si>
    <t>image/20150520_04311370.jpg</t>
  </si>
  <si>
    <t>Laxmipur</t>
  </si>
  <si>
    <t>girish.patel02@yahoo.co.in</t>
  </si>
  <si>
    <t>girish123</t>
  </si>
  <si>
    <t>Girish</t>
  </si>
  <si>
    <t>Mavani</t>
  </si>
  <si>
    <t>Bharuch</t>
  </si>
  <si>
    <t>MBA runing</t>
  </si>
  <si>
    <t>HNG Uni.</t>
  </si>
  <si>
    <t>Computer</t>
  </si>
  <si>
    <t>Firmenich ( MNC) SEZ Dahej, Bharuch. GUJARAT</t>
  </si>
  <si>
    <t>Chess  &amp; Cricket</t>
  </si>
  <si>
    <t>Dahyabhai</t>
  </si>
  <si>
    <t>arunaben</t>
  </si>
  <si>
    <t>karamshibhai</t>
  </si>
  <si>
    <t>Narnarayan Society,Bholav,Bharuch.</t>
  </si>
  <si>
    <t>Agri. Dolpur kampa, Dhansura, Sabar kantha</t>
  </si>
  <si>
    <t>Modasa</t>
  </si>
  <si>
    <t>image/20150523_22015364.jpg</t>
  </si>
  <si>
    <t>image/20150523_21595738.jpg</t>
  </si>
  <si>
    <t>Deshalpar</t>
  </si>
  <si>
    <t>pokar_manthan@yahoo.com</t>
  </si>
  <si>
    <t>krisha000000</t>
  </si>
  <si>
    <t>manthan</t>
  </si>
  <si>
    <t>B E I T</t>
  </si>
  <si>
    <t>mumbai university</t>
  </si>
  <si>
    <t>Non IT Engineer (Others)</t>
  </si>
  <si>
    <t>W.N.S company / vikroli(mumbai)</t>
  </si>
  <si>
    <t>Well educated, Mature Person, peaceful &amp; very good nature / reading and listening to music</t>
  </si>
  <si>
    <t>suresh</t>
  </si>
  <si>
    <t>pushpa</t>
  </si>
  <si>
    <t>shivji</t>
  </si>
  <si>
    <t>3, AMRUTBEN CHAWL NO.1,, NEAR CRIME BRANCH,, L B S MARG,, OPP. SWASTIK HARDWARE, GHATKOPAR, MUMBAI SUBURBAN-400086, MUMBAI, MAHARASHTRA</t>
  </si>
  <si>
    <t>dharmesh patel</t>
  </si>
  <si>
    <t>20-26</t>
  </si>
  <si>
    <t>INTELLIGENT,VERSATILE in nature, honest, down-to-earthwith a good sense of responsibility &amp; respect the importance of trust &amp; love</t>
  </si>
  <si>
    <t>10:55:PM</t>
  </si>
  <si>
    <t>image/20150608_10453773.jpg</t>
  </si>
  <si>
    <t>image/20150610_23293368.jpg</t>
  </si>
  <si>
    <t>NAKHATRANA</t>
  </si>
  <si>
    <t>tarunpatel578@gmail.com</t>
  </si>
  <si>
    <t>tarunpatel1</t>
  </si>
  <si>
    <t>Tarun</t>
  </si>
  <si>
    <t>Chhabhaiya</t>
  </si>
  <si>
    <t>Orissa</t>
  </si>
  <si>
    <t>Sambalpur</t>
  </si>
  <si>
    <t>Panchayat collage</t>
  </si>
  <si>
    <t>Yogeshwar Electrical Store, Near pvt bus stand,NH 6 Bargarh,</t>
  </si>
  <si>
    <t>hello there,i am tarun, my family and i have been residing in Bargarh for 10 years now,my father and i operate our electrical store whilst my elder brother handles our manufacturing section (plastic). i am hardworking, open minded,down to earth. my hobbies include cricket,travelling,surfing over the net,singing, watching movies and the list goes on.kindly feel free to contact me for further info.</t>
  </si>
  <si>
    <t>Shyamjibhai Chhabhaiya</t>
  </si>
  <si>
    <t>Damiyantiben S Chhabhaiya</t>
  </si>
  <si>
    <t>Lalji Chhabhaiya</t>
  </si>
  <si>
    <t>Milan Bihar, Batli Chok, Near sai multi specialist hospital. Bargarh</t>
  </si>
  <si>
    <t>Yogeshwar electrical Store</t>
  </si>
  <si>
    <t>housewife</t>
  </si>
  <si>
    <t>Jagdish Megji Keshrani</t>
  </si>
  <si>
    <t>Om nagar, kodki road, mankuva</t>
  </si>
  <si>
    <t>Mankuva</t>
  </si>
  <si>
    <t>looking forward for a beautiful,"sanskari" and talented partner, who will compliment me as my better half.</t>
  </si>
  <si>
    <t>anandpar</t>
  </si>
  <si>
    <t>10:15:PM</t>
  </si>
  <si>
    <t>image/20150531_052732014.jpg</t>
  </si>
  <si>
    <t>image/20150605_21142259.jpg</t>
  </si>
  <si>
    <t>anandpar-yax</t>
  </si>
  <si>
    <t>patel.vipul836@hotmail.com</t>
  </si>
  <si>
    <t>123@vipul</t>
  </si>
  <si>
    <t>Vipul</t>
  </si>
  <si>
    <t>Khimani&amp;nbsp;&lt;b&gt;Mulshakha&lt;/b&gt; &amp;nbsp;Karnavat</t>
  </si>
  <si>
    <t>Gujarat Technological University</t>
  </si>
  <si>
    <t>SSC,HSC,B.Com</t>
  </si>
  <si>
    <t>Softwer And Website Devloper</t>
  </si>
  <si>
    <t>mosaic Design institute, Sak WebSolution Pvt Ltd</t>
  </si>
  <si>
    <t>I am Interested Coputer Related Study And outdor Game</t>
  </si>
  <si>
    <t>Jagdishbhai</t>
  </si>
  <si>
    <t>Kailashben</t>
  </si>
  <si>
    <t>Ratibhai</t>
  </si>
  <si>
    <t>AT-Kharikampa, PO- Napda</t>
  </si>
  <si>
    <t>Service,BMS union Minister</t>
  </si>
  <si>
    <t>S.T depot Khedbrahma</t>
  </si>
  <si>
    <t>18-24</t>
  </si>
  <si>
    <t>Doesnot Matter,Less than 10th (SSC),Less than 12th (HSC),Undergraduate,Bachelors,Masters,Diploma</t>
  </si>
  <si>
    <t>Doesnot Matter,Complete English,Complete Gujarathi,Complete Hindi,Gujarathi (till School) + English,Hindi (till School) + English,Others</t>
  </si>
  <si>
    <t>Doesnot Matter,Studying,Service,Business,Professional,Homemaker,Others</t>
  </si>
  <si>
    <t>fgfd</t>
  </si>
  <si>
    <t>Himmatnagar</t>
  </si>
  <si>
    <t>1:45:AM</t>
  </si>
  <si>
    <t>image/20150625_014106254.jpg</t>
  </si>
  <si>
    <t>image/20150625_014106253.jpg</t>
  </si>
  <si>
    <t>Khedoi</t>
  </si>
  <si>
    <t>nitinlimbani.463@gmail.com</t>
  </si>
  <si>
    <t>nl384013</t>
  </si>
  <si>
    <t>Nitin</t>
  </si>
  <si>
    <t>Kolhapur</t>
  </si>
  <si>
    <t>Shivaji University Kolhapur</t>
  </si>
  <si>
    <t>Hari Om Enterprises, Yelane (malkapur) Shahuwadi,  Kolhapur-415101</t>
  </si>
  <si>
    <t>I am a simple boy....</t>
  </si>
  <si>
    <t>Harilal valji limbani</t>
  </si>
  <si>
    <t>Premila limbani</t>
  </si>
  <si>
    <t>Valji bhai limbani</t>
  </si>
  <si>
    <t>Yelane (malkapur) Shahuwadi,  Kolhapur Maharashtra-415101</t>
  </si>
  <si>
    <t>20-25</t>
  </si>
  <si>
    <t>I need a caring and loving partner</t>
  </si>
  <si>
    <t>10:30:AM</t>
  </si>
  <si>
    <t>image/20150711_043224614.jpg</t>
  </si>
  <si>
    <t>image/20150711_043224593.jpg</t>
  </si>
  <si>
    <t>Rampar netra</t>
  </si>
  <si>
    <t>hitendrapatel1985@gmail.com</t>
  </si>
  <si>
    <t>Nilam</t>
  </si>
  <si>
    <t>Gandhinagar</t>
  </si>
  <si>
    <t>bachelors</t>
  </si>
  <si>
    <t>kadi campus gandhinagar</t>
  </si>
  <si>
    <t>Not working</t>
  </si>
  <si>
    <t>umiya traders</t>
  </si>
  <si>
    <t>cooking</t>
  </si>
  <si>
    <t>Vinodbhai</t>
  </si>
  <si>
    <t>lilaben</t>
  </si>
  <si>
    <t>khetabhai</t>
  </si>
  <si>
    <t>5'Omkar Residency.Pethapur (Gandhinagar)</t>
  </si>
  <si>
    <t>Umiya Traders Gandhinagar Mawdi Road At-post.pethapur.</t>
  </si>
  <si>
    <t>Amrut lal pachanbhai Chabhaiya</t>
  </si>
  <si>
    <t>Benglor (patel Timbar)</t>
  </si>
  <si>
    <t>Kutch</t>
  </si>
  <si>
    <t>Never Married,Annulled</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</si>
  <si>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488</t>
  </si>
  <si>
    <t>Doesnot Matter,Bachelors,Masters,Diploma,Doctorate</t>
  </si>
  <si>
    <t>smart ,no bad habbites ,</t>
  </si>
  <si>
    <t>gandhinagar</t>
  </si>
  <si>
    <t>image/20150715_23405032.jpg</t>
  </si>
  <si>
    <t>image/20150715_23410485.jpg</t>
  </si>
  <si>
    <t>Jadodar Kotada</t>
  </si>
  <si>
    <t>limbanitodharmesh@gmail.com</t>
  </si>
  <si>
    <t>girish9817</t>
  </si>
  <si>
    <t>Dharmesh</t>
  </si>
  <si>
    <t>Jalgaon</t>
  </si>
  <si>
    <t>B.Cs</t>
  </si>
  <si>
    <t>Y.C. C sillod college</t>
  </si>
  <si>
    <t>Pvc pipe manufacturing industries &amp; saw mill  Golegaon Aurangabad</t>
  </si>
  <si>
    <t>I love to work and book reading</t>
  </si>
  <si>
    <t>Dineshbhai patel</t>
  </si>
  <si>
    <t>Jayshreeben patel</t>
  </si>
  <si>
    <t>Narayanbhai Ratansibhai Limbani</t>
  </si>
  <si>
    <t>Aurangabad-Jalgaon Road,  post-golegaon , taluka-sillod,  Aurangabad -431112</t>
  </si>
  <si>
    <t>21-24</t>
  </si>
  <si>
    <t>High School,Undergraduate,Bachelors,Masters</t>
  </si>
  <si>
    <t>Good natured and cultured</t>
  </si>
  <si>
    <t>Golegaon</t>
  </si>
  <si>
    <t>image/20150716_06215583.jpg</t>
  </si>
  <si>
    <t>image/20150716_06222277.jpg</t>
  </si>
  <si>
    <t>Nana kadiya</t>
  </si>
  <si>
    <t>patel_deepak08@yahoo.com</t>
  </si>
  <si>
    <t>9408255068d</t>
  </si>
  <si>
    <t xml:space="preserve">Dipak </t>
  </si>
  <si>
    <t xml:space="preserve">Limbani </t>
  </si>
  <si>
    <t>nadiad</t>
  </si>
  <si>
    <t>Finance</t>
  </si>
  <si>
    <t>R.B.SCHOOL</t>
  </si>
  <si>
    <t>Limbani Timber Mart. Nr essar patrol pump, kamla chokdi . NadiAd, Dis-kheda Gujarat -387320.</t>
  </si>
  <si>
    <t>Hi i...am Deepak patel I am funloving person with passion for my work .I liveing small family with good family values and back ground . And I am looking for a similar personality And a nice wife. ....... Study &amp; work experiance. ....... I have completed my mba in marketing &amp; finance with dueL specilization and thn 1.5 yr doin a job in banking sector and now i am in my own business . Manufacturing unit of wooden pallets and wooden handicraft . That's it for my introduction if u know more about me plz leav a msg or connect.......</t>
  </si>
  <si>
    <t>Rameshbhai</t>
  </si>
  <si>
    <t>Bhagvatiben</t>
  </si>
  <si>
    <t>Manjibhai</t>
  </si>
  <si>
    <t>B-16,Parth nagar society, manjipura road, Nadiad.</t>
  </si>
  <si>
    <t>Limbani Timber Mart.</t>
  </si>
  <si>
    <t>House wofe</t>
  </si>
  <si>
    <t>Davjibhai khimjibhai bhavani</t>
  </si>
  <si>
    <t>Banglore</t>
  </si>
  <si>
    <t>Gaduli</t>
  </si>
  <si>
    <t>24-28</t>
  </si>
  <si>
    <t>I am looking for a soulmate, who is understanding, down to earth, lives and enjoys every moment of life, who will be my best friend for life.. !!</t>
  </si>
  <si>
    <t>4:55:AM</t>
  </si>
  <si>
    <t>Angsik(Partial)</t>
  </si>
  <si>
    <t>image/20150717_23283818.jpg</t>
  </si>
  <si>
    <t>image/20150717_23284568.jpg</t>
  </si>
  <si>
    <t>yogee_28@yahoo.com</t>
  </si>
  <si>
    <t>chakudikhushi1</t>
  </si>
  <si>
    <t xml:space="preserve">Sunil </t>
  </si>
  <si>
    <t>Gorani</t>
  </si>
  <si>
    <t>Nagpur</t>
  </si>
  <si>
    <t>Halapani&amp;nbsp;&lt;b&gt;Mulshakha&lt;/b&gt; &amp;nbsp;Gogada</t>
  </si>
  <si>
    <t>Architecture</t>
  </si>
  <si>
    <t>Diploma in Interior Designng</t>
  </si>
  <si>
    <t>MIT PUNE UNIVERSITY</t>
  </si>
  <si>
    <t>ARCX INTERIORS, VED BHUMI, LAKKADGUNJ,NAGPUR</t>
  </si>
  <si>
    <t>I like to travel and explore new places,I am passionate for my profession and love spending time to explore it in and out,Spending time with my family and friends is something I enjoy.</t>
  </si>
  <si>
    <t>Mohanbhai</t>
  </si>
  <si>
    <t>Damayantiben</t>
  </si>
  <si>
    <t>Hirjibhai Nathubhai</t>
  </si>
  <si>
    <t>56,Krishna villa,opp Kutchi Visa Bhawan ,A.V.G layout,Nagpur</t>
  </si>
  <si>
    <t>Pragati Sales,lakkadgunj Nagpur</t>
  </si>
  <si>
    <t>Purshottam kanji dholu</t>
  </si>
  <si>
    <t>Ajanta Saw mills,Mungeli road, Bilaspur</t>
  </si>
  <si>
    <t>Nagalpar</t>
  </si>
  <si>
    <t>25-31</t>
  </si>
  <si>
    <t>We would prefer somerone who is a responsible individual, fun loving, caring,understanding,good nature, respects elders...</t>
  </si>
  <si>
    <t>image/20150716_05524679.jpg</t>
  </si>
  <si>
    <t>image/20150716_09133369.jpg</t>
  </si>
  <si>
    <t>devisar</t>
  </si>
  <si>
    <t>pareshpatel074@gmail.com</t>
  </si>
  <si>
    <t>paresg111</t>
  </si>
  <si>
    <t>Paresh P Patel</t>
  </si>
  <si>
    <t>DHOLU</t>
  </si>
  <si>
    <t>Bhusawal</t>
  </si>
  <si>
    <t>Msc. InformationTechnology</t>
  </si>
  <si>
    <t>NMU University</t>
  </si>
  <si>
    <t>Bsc. computer Science</t>
  </si>
  <si>
    <t>J.P.Eco-Tech manufacturer of CLC Blocks plot no.10, behind radha krishna hotel, varangaon road, bhusawal, dist- jalgaon maharashtra.</t>
  </si>
  <si>
    <t>i am open minded and simple living guy, believe in karma.</t>
  </si>
  <si>
    <t>Purushottam Narayanbhai Dholu</t>
  </si>
  <si>
    <t>Tara Purushottambhai Dholu</t>
  </si>
  <si>
    <t>Narayan Laljibhai Dholu</t>
  </si>
  <si>
    <t>Plot no.10, shenphad wadi, near Sarode hospital,Bhusaval</t>
  </si>
  <si>
    <t>Shri Gajanan Saw Mill, TimberMarket Area, Bhusawal.</t>
  </si>
  <si>
    <t>Dinesh Narshibhai Limbani</t>
  </si>
  <si>
    <t>Laxmi Vijay Saw Mill, Wardha Maharashtra</t>
  </si>
  <si>
    <t>she must be friendly and helpfull.</t>
  </si>
  <si>
    <t>Bhusaval</t>
  </si>
  <si>
    <t>image/20150719_23053581.jpg</t>
  </si>
  <si>
    <t>image/20150719_23054753.jpg</t>
  </si>
  <si>
    <t>arcx.interiors@gmail.com</t>
  </si>
  <si>
    <t>Naina</t>
  </si>
  <si>
    <t>Fashion</t>
  </si>
  <si>
    <t>B.Sc in Fashion Designing</t>
  </si>
  <si>
    <t>INIFD,ANNAMALAI UNIVERSITY</t>
  </si>
  <si>
    <t>Vodafone UK ( Vodafone Shared Services ), PUNE.</t>
  </si>
  <si>
    <t>I like playing Basketball and Badminton,Gardening , Cooking nature-lover ,travelling,reading books, movies and listening to music.</t>
  </si>
  <si>
    <t>C-101,Pritam Complex,Sudarshan Chowk,near Harhihar Mandir,Bhandara rd,Nagpur</t>
  </si>
  <si>
    <t>Pragati Sales, Bhandara Road lakkadgunj, Nagpur</t>
  </si>
  <si>
    <t>Ajanta saw mill Bilaspur</t>
  </si>
  <si>
    <t>29-33</t>
  </si>
  <si>
    <t>Doesnot Matter,Bachelors</t>
  </si>
  <si>
    <t>Must be a responsible human being, caring,good sense of humour,understanding...</t>
  </si>
  <si>
    <t>image/20150719_021645224.jpg</t>
  </si>
  <si>
    <t>image/20150719_021645203.jpg</t>
  </si>
  <si>
    <t>maltisengani2304@gmail.com</t>
  </si>
  <si>
    <t>chichu2304</t>
  </si>
  <si>
    <t>bharti</t>
  </si>
  <si>
    <t>Sengani</t>
  </si>
  <si>
    <t>s.y.bcom</t>
  </si>
  <si>
    <t>Royal.commerce n science college</t>
  </si>
  <si>
    <t>fashion desighning</t>
  </si>
  <si>
    <t>Chartered Accountant</t>
  </si>
  <si>
    <t>P.virji n.company</t>
  </si>
  <si>
    <t>Hi i m.bharti patel i was working in.a CA firm.from last four years in mumbai.my.education.was.in.mumbai only now.we r sifted to surat.i m.a simple.living.girl with.a high thinking.n want boy also.same...simlpe n.shober but should b sharp.by mind.n.shoft.by heart.who understand.the some.one s feelings</t>
  </si>
  <si>
    <t>Ladharam.dhanji bhanji sengani</t>
  </si>
  <si>
    <t>manglaben.ladharam.sengani</t>
  </si>
  <si>
    <t>dhanji bhanji.sengani</t>
  </si>
  <si>
    <t>vrjbhumi society 107.tower.no 7..near madhavbaag..surat.</t>
  </si>
  <si>
    <t>Doing job</t>
  </si>
  <si>
    <t>No.housewife</t>
  </si>
  <si>
    <t>khetsi ramji.rudani</t>
  </si>
  <si>
    <t>Debpar yaksh</t>
  </si>
  <si>
    <t>devpar yaksh</t>
  </si>
  <si>
    <t>32-37</t>
  </si>
  <si>
    <t>Doesnot Matter,Service,Business</t>
  </si>
  <si>
    <t>Muje ek aisa jeevansathi chahiye jo pehele mera dost bne phir ek hubby bcz ek achha dost achha hubby bn skta hai..bs simple in nature but should smarter by eveything.in short allrounder guy who make our life like heaven.bs.itna hi chahiye nothing.much</t>
  </si>
  <si>
    <t>Dhanu</t>
  </si>
  <si>
    <t>image/20150721_07235309.jpg</t>
  </si>
  <si>
    <t>image/20150730_01215915.jpg</t>
  </si>
  <si>
    <t>jainish.bhojani21@yahoo.com</t>
  </si>
  <si>
    <t>Jainish</t>
  </si>
  <si>
    <t>Bhojani</t>
  </si>
  <si>
    <t>B.A(Special English)</t>
  </si>
  <si>
    <t>Grow More Institutes of Arts</t>
  </si>
  <si>
    <t>At/Po:Takhatgadh,Ta:Prantij,Dis:Sabarkantha,Gujarat.</t>
  </si>
  <si>
    <t>Hi I am Jainish Bhojani and i comes from near Himatnagar.And i intersted in Army field and my hobby play Wollyball,Music,And And Running</t>
  </si>
  <si>
    <t>Sureshbhai</t>
  </si>
  <si>
    <t>Avantikaben</t>
  </si>
  <si>
    <t>Vasarambhai</t>
  </si>
  <si>
    <t>At/Po:Takhatgadh,Ta:Prantij,Dis:Sabarkantha,Gujarat.Pin383210</t>
  </si>
  <si>
    <t>Sureshbhai Vasrambhai Patel. At/Po:Takhatgadh,Ta:Prantij,Dis:Sabarkantha,Gujarat</t>
  </si>
  <si>
    <t>18-22</t>
  </si>
  <si>
    <t>Army</t>
  </si>
  <si>
    <t>image/20150725_05134919.jpg</t>
  </si>
  <si>
    <t>image/20150725_05135852.jpg</t>
  </si>
  <si>
    <t>Khedui</t>
  </si>
  <si>
    <t>ptsankhla@gmail.com</t>
  </si>
  <si>
    <t>paresh9898</t>
  </si>
  <si>
    <t>Paresh</t>
  </si>
  <si>
    <t>Sankhla</t>
  </si>
  <si>
    <t>Morbi</t>
  </si>
  <si>
    <t>Vajaria Investment SHAREKHAN  Near Sardar bag patrol pump Morbi</t>
  </si>
  <si>
    <t>painting.singing.playing cricket. i am a simple man.  i have chosen to live a simple life, I do not like any kind of addiction,i do not eat out at all interested, i choose the house is simple and easy meal .</t>
  </si>
  <si>
    <t>TULSIDAS</t>
  </si>
  <si>
    <t>LAKSHMIBEN</t>
  </si>
  <si>
    <t>GOPALBHAI</t>
  </si>
  <si>
    <t>Swami narayan</t>
  </si>
  <si>
    <t>SAHJANAND BHAVAN, VISHVKARMA SOCIETY, RAVAPAR ROAD MORBI</t>
  </si>
  <si>
    <t>BABULAL MAVJI GHOGHARI</t>
  </si>
  <si>
    <t>SNEH  RESIDENCY VISHVKARMA SOCIETY, RAVAPAR ROAD MORBI</t>
  </si>
  <si>
    <t>GADANI</t>
  </si>
  <si>
    <t>26-35</t>
  </si>
  <si>
    <t>Simple and humble, mature enough to run the family with good care, loving and responsible person,</t>
  </si>
  <si>
    <t>RAVAPAR KUTCH</t>
  </si>
  <si>
    <t>image/20150726_08254934.jpg</t>
  </si>
  <si>
    <t>image/20150726_08261328.jpg</t>
  </si>
  <si>
    <t>RAVAPAR</t>
  </si>
  <si>
    <t>vickypatel512@gmail.com</t>
  </si>
  <si>
    <t>bhavesh9665928989</t>
  </si>
  <si>
    <t>Bhavesh</t>
  </si>
  <si>
    <t>ShankhalaMulshakha Manavar</t>
  </si>
  <si>
    <t>BCA</t>
  </si>
  <si>
    <t>Vidyasagar college warora</t>
  </si>
  <si>
    <t>Bhagwan saw mill, rangnath chowk, jatra road, wani</t>
  </si>
  <si>
    <t>Iam fun loving and simple boy...</t>
  </si>
  <si>
    <t>Ratansibhai</t>
  </si>
  <si>
    <t>Taragauri</t>
  </si>
  <si>
    <t>Bhimjibhai</t>
  </si>
  <si>
    <t>Near nursinh gym, jatra road, wani</t>
  </si>
  <si>
    <t>Owner</t>
  </si>
  <si>
    <t>Jagdishbhai dahyabhai bhawani</t>
  </si>
  <si>
    <t>Near dhuni wala math, Near Honda Show Room,nagpur road, wardha</t>
  </si>
  <si>
    <t>matthal</t>
  </si>
  <si>
    <t>Simple and friendly with everyone. ...</t>
  </si>
  <si>
    <t>wani</t>
  </si>
  <si>
    <t>image/20150804_03495094.jpg</t>
  </si>
  <si>
    <t>image/20150803_00552593.jpg</t>
  </si>
  <si>
    <t>image/20150804_03404227.jpg</t>
  </si>
  <si>
    <t>Ugedi</t>
  </si>
  <si>
    <t>patel.kaushik786@gmail.com</t>
  </si>
  <si>
    <t>9428834877kaushik</t>
  </si>
  <si>
    <t xml:space="preserve">kaushik </t>
  </si>
  <si>
    <t>makani</t>
  </si>
  <si>
    <t>persumining</t>
  </si>
  <si>
    <t>gtu</t>
  </si>
  <si>
    <t>Accel frontline ltd,  5,khemka house ,nr. driving cinema road , gurukul, ahmedabad</t>
  </si>
  <si>
    <t>my hobby is to watch movies , playing cricket , read articles etc and much more.</t>
  </si>
  <si>
    <t>Ishwar bhai s/o devram bhai makani</t>
  </si>
  <si>
    <t>kamla ben</t>
  </si>
  <si>
    <t>devram bhai</t>
  </si>
  <si>
    <t>kaushik patel gadhda kampa, post:gadhda,ta:modasa,dist:arravalli,gujrat</t>
  </si>
  <si>
    <t>farmer</t>
  </si>
  <si>
    <t>careful person withgood nature</t>
  </si>
  <si>
    <t>idar</t>
  </si>
  <si>
    <t>12:55:PM</t>
  </si>
  <si>
    <t>kotda</t>
  </si>
  <si>
    <t>sejal9992@gmail.com</t>
  </si>
  <si>
    <t>Ganga@2108</t>
  </si>
  <si>
    <t>sandeep</t>
  </si>
  <si>
    <t>bbm</t>
  </si>
  <si>
    <t>Bangalore university</t>
  </si>
  <si>
    <t>nil</t>
  </si>
  <si>
    <t>FynWagon Dollars colony. Balaji wood industries.(since 30 years).</t>
  </si>
  <si>
    <t>watching news  and being self-dependent</t>
  </si>
  <si>
    <t>chandulal kanji patel</t>
  </si>
  <si>
    <t>ganga chandulal patel</t>
  </si>
  <si>
    <t>kanji devsi patel</t>
  </si>
  <si>
    <t>BTM 2nd stage, Bangalore</t>
  </si>
  <si>
    <t>22-27</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</si>
  <si>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488,489,490,491,492,493,494,495,496,497,498</t>
  </si>
  <si>
    <t>good nature and adaptive to the culture</t>
  </si>
  <si>
    <t>image/20150820_09353944.jpg</t>
  </si>
  <si>
    <t>image/20150820_09360598.jpg</t>
  </si>
  <si>
    <t>virani</t>
  </si>
  <si>
    <t>vivek285@gmail.com</t>
  </si>
  <si>
    <t>letme285</t>
  </si>
  <si>
    <t>Vivek</t>
  </si>
  <si>
    <t>B Com, MBA, C A Final</t>
  </si>
  <si>
    <t>Music - playing tabla, listening songs Travel</t>
  </si>
  <si>
    <t>Pravinbhai D Patel</t>
  </si>
  <si>
    <t>Shardaben P Patel</t>
  </si>
  <si>
    <t>Dahyabhai J Patel</t>
  </si>
  <si>
    <t>24 State Bank Of India Officers Society,Narayan Nagar,Paldi,Gujarat 380007</t>
  </si>
  <si>
    <t>21-29</t>
  </si>
  <si>
    <t>371,52,370,409,4,395,346,211,419,174,27,232,374,243,212,282,420,201,389,42,316,191,244,68,78,18,79,317,158,375,339,192,28,148,80,29,318,30,19,20,233,193,3,258,202,421,69,149,150,21,194,81,482,82,195,70,422,390,31,391,468,107,454,196,498,423,159,71,151,213,283,331,126,245,259,497,465,83,241,136,304,376,347,160,332,116,487,424,246,137,15,72,473,469,161,32,162,53,333,222,33,197,127,299,474,284,247,73,34,484,152,377,105,128,459,285,129,305,260,261,425,262,354,263,264,300,319,130,286,22,54,175,223,108,444,117,445,446,163,426,488,6,214,366,138,74,367,493,234,131,265,139,495,266,427,84,378,235,153,140,470,43,204,109,267,456,268,269,85,379,306,380,164,165,132,428,110,479,205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25,208,356,357,489,467,94,75,449,8,95,463,156,490,276,485,9,310,381,277,59,369,432,433,122,10,496,96,450,477,47,106,60,12,417,341,342,61,434,435,486,186,144,187,302,123,38,112,436,251,188,451,209,76,383,358,478,384,364,189,325,494,242,326,7,198,97,39,171,437,295,296,62,327,394,297,63,311,135,64,461,438,312,462,124,113,385,199,386,387,452,458,98,145,352,405,77,200,65,399,210,439,460,481,335,483,252,146,353,440,99,100,343,313,157,471,278,219,279,2,298,147,464,125,101,102,314,400,114,40,66,328,103,5,491,41,104,336,253,254,190,227,182,337,280,228,229,48,183,359,172,344,220,373,329,173,457,338,315,388,418,407,230,492,472,49,50,67,51,441,442,345,360,115,365,443,255,256,257,361</t>
  </si>
  <si>
    <t>Down to earth, mature, good level of mutual understanding</t>
  </si>
  <si>
    <t>image/20150811_093916474.jpg</t>
  </si>
  <si>
    <t>image/20150811_093916433.jpg</t>
  </si>
  <si>
    <t>Gadani</t>
  </si>
  <si>
    <t>piyushpokar17@gmail.com</t>
  </si>
  <si>
    <t>pc9879897147</t>
  </si>
  <si>
    <t>piyush</t>
  </si>
  <si>
    <t>event &amp; management</t>
  </si>
  <si>
    <t>Public Relations Professional</t>
  </si>
  <si>
    <t>reading , tarveling</t>
  </si>
  <si>
    <t>chandubhai</t>
  </si>
  <si>
    <t>madhuben</t>
  </si>
  <si>
    <t>arjanbhai</t>
  </si>
  <si>
    <t>shri hari bunglows, hadiyol road , himmatnagar ,gujarat</t>
  </si>
  <si>
    <t>resnet marketing pvt.ltd</t>
  </si>
  <si>
    <t>Never Married,Divorced</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</si>
  <si>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488,489,490,491,492,493,494,495,496,497,498,499</t>
  </si>
  <si>
    <t>High School</t>
  </si>
  <si>
    <t>be happy</t>
  </si>
  <si>
    <t>vadali</t>
  </si>
  <si>
    <t>image/20150817_04463082.jpg</t>
  </si>
  <si>
    <t>image/20150817_04140718.jpg</t>
  </si>
  <si>
    <t>kurbai</t>
  </si>
  <si>
    <t>shivang.patel503@gmail.com</t>
  </si>
  <si>
    <t>Shivang007</t>
  </si>
  <si>
    <t>shivang</t>
  </si>
  <si>
    <t>B.E</t>
  </si>
  <si>
    <t>GTU</t>
  </si>
  <si>
    <t>well understanding person</t>
  </si>
  <si>
    <t>dineshbhai patel</t>
  </si>
  <si>
    <t>parulben patel</t>
  </si>
  <si>
    <t>shamjibhai patel</t>
  </si>
  <si>
    <t>3,shyamnagar society malpru road,modasa</t>
  </si>
  <si>
    <t>19-22</t>
  </si>
  <si>
    <t>Gujarathi (till School) + English,Hindi (till School) + English</t>
  </si>
  <si>
    <t>well understanding</t>
  </si>
  <si>
    <t>vadodara</t>
  </si>
  <si>
    <t>image/20150902_12202361.gif</t>
  </si>
  <si>
    <t>image/20150902_12210083.gif</t>
  </si>
  <si>
    <t>jiyapar magavana</t>
  </si>
  <si>
    <t>jadavanirajesh@gmail.com</t>
  </si>
  <si>
    <t>RAJESHKUMAR</t>
  </si>
  <si>
    <t>JADAVANI</t>
  </si>
  <si>
    <t>NAKHATRANA COLLEGE GUJARAT UNIVERSITY</t>
  </si>
  <si>
    <t>PGDCA</t>
  </si>
  <si>
    <t>Dputy Conservator of Forest-Bhuj</t>
  </si>
  <si>
    <t>LEFT LEG LOWER DISABILITY</t>
  </si>
  <si>
    <t>LISTENING OLD SONG</t>
  </si>
  <si>
    <t>JADAVANI MANILAL PREMAJI</t>
  </si>
  <si>
    <t>JADAVANI PARVATIBEN MANILAL</t>
  </si>
  <si>
    <t>JADAVANI PREMAJI DHANAJI</t>
  </si>
  <si>
    <t>TO-GHADULIJADAVANI FALIYUTA-LAKHAPATDIST KACHCHH370627</t>
  </si>
  <si>
    <t>SAW MILL</t>
  </si>
  <si>
    <t>HOUSE WIFE</t>
  </si>
  <si>
    <t>21-36</t>
  </si>
  <si>
    <t>SHE IS A SIMPLE AND UNDERSTAND ME</t>
  </si>
  <si>
    <t>GHADULI</t>
  </si>
  <si>
    <t>9:45:PM</t>
  </si>
  <si>
    <t>image/20150911_090011354.jpg</t>
  </si>
  <si>
    <t>image/20150923_04524051.jpg</t>
  </si>
  <si>
    <t>vikash patel4140@gmail.com</t>
  </si>
  <si>
    <t>vikash</t>
  </si>
  <si>
    <t>tejaspatel2091@gmai.com</t>
  </si>
  <si>
    <t>tejas2091</t>
  </si>
  <si>
    <t>Tejas</t>
  </si>
  <si>
    <t>Rangani</t>
  </si>
  <si>
    <t>Rangani&amp;nbsp;&lt;b&gt;Mulshakha&lt;/b&gt; &amp;nbsp;Amrutiya</t>
  </si>
  <si>
    <t>B.Tech</t>
  </si>
  <si>
    <t>Pacific Institute of Engineering</t>
  </si>
  <si>
    <t>Civil</t>
  </si>
  <si>
    <t>Civil Engineer</t>
  </si>
  <si>
    <t>Aakar Infrastructure Ahmedabad</t>
  </si>
  <si>
    <t>Bike Riding, Listening Music, Playing Outdoor Games, etc..</t>
  </si>
  <si>
    <t>Ishwar bhai</t>
  </si>
  <si>
    <t>Krishna ben</t>
  </si>
  <si>
    <t>Purshottam bhai</t>
  </si>
  <si>
    <t>At. Kheroj kampa, Post.chiboda Ta.Bhiloda Dist. S.K Gujarat.</t>
  </si>
  <si>
    <t>Ashish Vidhyalay  Bhiloda.</t>
  </si>
  <si>
    <t>371,52,370,409,4,395,346,211,419,174,27,232,374,243,212,282,420,201,389,42,316,191,244,68,78,18,79,317,158,375,339,192,28,148,80,29,318,30,19,20,233,193,3,258,202,421,69,149,150,21,194,81,482,82,195,70,422,390,31,391,468,107,454,196,498,423,159,71,151,213,283,331,126,245,259,497,465,83,241,136,304,376,347,160,332,116,487,424,246,137,15,72,473,469,161,32,162,53,333,222,33,197,127,299,474,284,247,73,34,484,152,377,105,128,459,285,129,305,260,261,425,262,354,263,264,300,319,130,286,22,54,175,223,108,444,117,445,446,163,426,488,6,214,366,138,74,367,493,234,131,265,139,495,266,427,84,378,235,153,140,470,43,204,109,267,456,268,269,85,379,306,380,164,165,132,499,428,110,479,205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25,208,356,357,489,467,94,75,449,8,95,463,156,490,276,485,9,310,381,277,59,369,432,433,122,10,496,96,450,477,47,106,60,12,417,341,342,61,434,435,486,186,144,187,302,123,38,112,436,251,188,451,209,76,383,358,478,384,364,189,325,494,242,326,7,198,97,39,171,437,295,296,62,327,394,297,63,311,135,64,461,438,312,462,124,113,385,199,386,387,452,458,98,145,352,405,77,200,65,399,210,439,460,481,335,483,252,146,353,440,99,100,343,313,157,471,278,219,279,2,298,147,464,125,101,102,314,400,114,40,66,328,103,5,491,41,104,336,253,254,190,227,182,337,280,228,229,48,183,359,172,344,220,373,329,173,457,338,315,388,418,407,230,492,472,49,50,67,51,441,442,345,360,115,365,443,255,256,257,361</t>
  </si>
  <si>
    <t>Like a cool &amp;sweet nature and give a respect to elders.</t>
  </si>
  <si>
    <t>Bhiloda</t>
  </si>
  <si>
    <t>7:15:PM</t>
  </si>
  <si>
    <t>image/20150918_103710311.jpg</t>
  </si>
  <si>
    <t>image/20150918_103710424.jpg</t>
  </si>
  <si>
    <t>image/20150918_103710403.jpg</t>
  </si>
  <si>
    <t>Anasar</t>
  </si>
  <si>
    <t>patelakash317@gmail.com</t>
  </si>
  <si>
    <t>Jalarambapa04!@</t>
  </si>
  <si>
    <t>Akash</t>
  </si>
  <si>
    <t>Nadiad</t>
  </si>
  <si>
    <t>GCET V V Nagar</t>
  </si>
  <si>
    <t>Software Professional (Others)</t>
  </si>
  <si>
    <t>I</t>
  </si>
  <si>
    <t>Natvarlal Kanjibhai Pokar</t>
  </si>
  <si>
    <t>Harshitaben Natvarlal Pokar</t>
  </si>
  <si>
    <t>Kanjibhai Punjabhai Pokar</t>
  </si>
  <si>
    <t>Uttarsanda</t>
  </si>
  <si>
    <t>Navbharat Seeds, Narsanda Plant, Gujarat</t>
  </si>
  <si>
    <t>CHHAGANBHAI Ravjibhai Nakrani</t>
  </si>
  <si>
    <t>Bopal, Ahmedabad</t>
  </si>
  <si>
    <t>Amlaikampa</t>
  </si>
  <si>
    <t>20-27</t>
  </si>
  <si>
    <t>Undergraduate,Bachelors,Masters,Doctorate</t>
  </si>
  <si>
    <t>Complete English,Complete Gujarathi,Complete Hindi,Gujarathi (till School) + English,Hindi (till School) + English</t>
  </si>
  <si>
    <t>Doesnot Matter,Professional,Homemaker</t>
  </si>
  <si>
    <t>Ghh</t>
  </si>
  <si>
    <t>Kapadwanj</t>
  </si>
  <si>
    <t>image/20160320_21172845.jpg</t>
  </si>
  <si>
    <t>image/20160320_21173720.jpg</t>
  </si>
  <si>
    <t>mikkypatel4396@gmail.com</t>
  </si>
  <si>
    <t>mehul4396</t>
  </si>
  <si>
    <t>MEHUL</t>
  </si>
  <si>
    <t xml:space="preserve">NarasinganiMulshakha Dholu </t>
  </si>
  <si>
    <t>Law</t>
  </si>
  <si>
    <t>B.A.LLB 2nd year</t>
  </si>
  <si>
    <t>GWCL NAGPUR</t>
  </si>
  <si>
    <t>Patel Hardware Opp. Government Depot, Allapali Road, Ballarpur. Dist Chandrapur. Maharashtra -442701</t>
  </si>
  <si>
    <t>Born and brought up in joint family. Believe in living life with moral values. Independent, creative, self determined and sporty by nature. Love traveling and exploring new places.</t>
  </si>
  <si>
    <t>VIJAY ARJUNBHAI PATEL</t>
  </si>
  <si>
    <t>LAXMI VIJAYBHAI PATEL</t>
  </si>
  <si>
    <t>ARJUNBHAI KARSANBHAI PATEL</t>
  </si>
  <si>
    <t>Patel Hardware opp. government depo, allapali road, Ballarpur. dist Chandrapur. Maharashtra -442701</t>
  </si>
  <si>
    <t>Retail shop keeper</t>
  </si>
  <si>
    <t>23-28</t>
  </si>
  <si>
    <t>High School,Undergraduate,Bachelors,Diploma</t>
  </si>
  <si>
    <t>Should be mature enough to handle the responsibilities and relations. Should be adoptive by nature and must be straight forward in mentality.</t>
  </si>
  <si>
    <t>BALLARPUR</t>
  </si>
  <si>
    <t>image/20161218_02123603.jpg</t>
  </si>
  <si>
    <t>image/20161218_00541743.jpg</t>
  </si>
  <si>
    <t>image/20161218_00551137.jpg</t>
  </si>
  <si>
    <t>NAGALPAR</t>
  </si>
  <si>
    <t>patidarramji@gmail.com</t>
  </si>
  <si>
    <t>karachi1012</t>
  </si>
  <si>
    <t>Chirag</t>
  </si>
  <si>
    <t>Patidar</t>
  </si>
  <si>
    <t>Balaghat</t>
  </si>
  <si>
    <t>HSSC apeared</t>
  </si>
  <si>
    <t>I am assisting my father in his trading and share market operations as also property buy/sell which he has started after his retirement. Financially we are sound. Our choice is a simple girl even from poor family and education has no bar. We are only 3 members. My father has retired as Additional Chief Engineer from M.P.State Elecctricity Board (yearly pension 6.40 lakh) and now dealing in property buy/sell and share market investment and I am also involved with his occupation. This way we are earning so much to upkeep well. We all have handsome portfolio containing Land property/Bank deposits/MF/Share stock/Cash/PPF deposits..My 3 elder sisters got married and residing at Ahmedabad(wood Business), Ghatkoper Mumbai(Doctor) and Bangalore(IT proffessional). All of sisters are well settled.</t>
  </si>
  <si>
    <t>Ramji</t>
  </si>
  <si>
    <t>Kamla Devi</t>
  </si>
  <si>
    <t>Parivartan, Hanuman Chowk, Balaghat(MP) 481001</t>
  </si>
  <si>
    <t>Investment in Property/Share market</t>
  </si>
  <si>
    <t>Housewife and Investment in Property/Share market</t>
  </si>
  <si>
    <t>Shivdasbhai Govindbhai Dholu</t>
  </si>
  <si>
    <t>Kotada (Chakar), Tal- Bhuj</t>
  </si>
  <si>
    <t>Kotada Chakar Bhuj</t>
  </si>
  <si>
    <t>Doesnot Matter,Less than High School,High School,Undergraduate,Diploma</t>
  </si>
  <si>
    <t>Partner may be loving personality and good looking. She would be capable of handling home based works for a small family with only 3 permanent members and some times large no of guests once/twice a year</t>
  </si>
  <si>
    <t>Chhatarpur (MP)</t>
  </si>
  <si>
    <t>image/20151014_02310256.jpg</t>
  </si>
  <si>
    <t>image/20151016_04300487.jpg</t>
  </si>
  <si>
    <t>image/20151014_01391538.jpg</t>
  </si>
  <si>
    <t>Khedoi Anjar</t>
  </si>
  <si>
    <t>rajesh787patel@gmail.com</t>
  </si>
  <si>
    <t>9408126114r</t>
  </si>
  <si>
    <t>Rajesh</t>
  </si>
  <si>
    <t>Halpani</t>
  </si>
  <si>
    <t>Malpur</t>
  </si>
  <si>
    <t>HalapaniMulshakha Gogada</t>
  </si>
  <si>
    <t>LL.B</t>
  </si>
  <si>
    <t>HEMCHANDRACHARY NORTH GUJARAT UNI.PATAN</t>
  </si>
  <si>
    <t>C.N.C  INDO JARMAN TOOL ROOM AHMEDABAD</t>
  </si>
  <si>
    <t>H.D.F.C.BANK</t>
  </si>
  <si>
    <t>DANCING .READING. TRAVELING</t>
  </si>
  <si>
    <t>Kantibhai</t>
  </si>
  <si>
    <t>Indiraben</t>
  </si>
  <si>
    <t>Dhanjibhai</t>
  </si>
  <si>
    <t>38,shivram park society,    at&amp;po-malpur dist-aravalli</t>
  </si>
  <si>
    <t>so mill</t>
  </si>
  <si>
    <t>Kanaiya so mill , malpur</t>
  </si>
  <si>
    <t>as abouve</t>
  </si>
  <si>
    <t>malpur</t>
  </si>
  <si>
    <t>image/20151205_23415207.jpg</t>
  </si>
  <si>
    <t>image/20151205_23394180.jpg</t>
  </si>
  <si>
    <t>Nana Angiya   ta- nakhatrana katchh</t>
  </si>
  <si>
    <t>bigbhavik@gmail.com</t>
  </si>
  <si>
    <t>bhavik1988</t>
  </si>
  <si>
    <t>Bhavik</t>
  </si>
  <si>
    <t>Vasani</t>
  </si>
  <si>
    <t>MaiyatMulshakha Sakariya</t>
  </si>
  <si>
    <t>Bsc Computer Science.</t>
  </si>
  <si>
    <t>Mumbai university</t>
  </si>
  <si>
    <t>Certification on Film Appreciation</t>
  </si>
  <si>
    <t>Media Professional</t>
  </si>
  <si>
    <t>Owl Motion Pictures, Young achievers entertainment,</t>
  </si>
  <si>
    <t>An over enthusiastic guy with passion of travelling and learning languages . I'm not a great chef but love to do experiments with food, love to cook in free time, just can't live without Movies, Music.   I'm a storyteller, love to read and write stories and poems, always ready to explore new places, long drives and bike rides.</t>
  </si>
  <si>
    <t>Shivdas</t>
  </si>
  <si>
    <t>Shanta</t>
  </si>
  <si>
    <t>Karsan</t>
  </si>
  <si>
    <t>702,  Building 4I, Phase- II, Mohan Tulsi Vihar, Near Bharat College, Hendrepada, Badlapur west, Badlapur - 421503</t>
  </si>
  <si>
    <t>Kanti Karsan Dadga</t>
  </si>
  <si>
    <t>Kanti  Karsan Dadga, Mamaymora, Madvi Taluka, Kutch, Gujarat</t>
  </si>
  <si>
    <t>Mamaymora</t>
  </si>
  <si>
    <t>Undergraduate,Bachelors,Diploma</t>
  </si>
  <si>
    <t>Need someone who can look after my family and me, need understanding girl who can match my passion some how.</t>
  </si>
  <si>
    <t>image/20151101_21492714.jpg</t>
  </si>
  <si>
    <t>image/20151101_21504368.jpg</t>
  </si>
  <si>
    <t>Nani Virani</t>
  </si>
  <si>
    <t xml:space="preserve">amitlimbani121@gmail.com </t>
  </si>
  <si>
    <t xml:space="preserve">Amit </t>
  </si>
  <si>
    <t xml:space="preserve">limbani </t>
  </si>
  <si>
    <t>B.C.A</t>
  </si>
  <si>
    <t>Amit patel, Ambika vijay somill visnagar.</t>
  </si>
  <si>
    <t>Enjoy</t>
  </si>
  <si>
    <t>kiranbhai</t>
  </si>
  <si>
    <t>kamlaben</t>
  </si>
  <si>
    <t>bhanghibhai</t>
  </si>
  <si>
    <t>Ambika vijay somill dagala road visnagar</t>
  </si>
  <si>
    <t>dealer ship</t>
  </si>
  <si>
    <t>Kiranbhai, Ambika vijay somill dagala road visnagar</t>
  </si>
  <si>
    <t>My mom sopertad and he so  sensitive. So</t>
  </si>
  <si>
    <t>Visnagar</t>
  </si>
  <si>
    <t>image/20151123_05115400.jpg</t>
  </si>
  <si>
    <t>image/20151123_05121061.jpg</t>
  </si>
  <si>
    <t>Rampar</t>
  </si>
  <si>
    <t>chintanptl95@gmail.com</t>
  </si>
  <si>
    <t>rashma90</t>
  </si>
  <si>
    <t>chintan</t>
  </si>
  <si>
    <t xml:space="preserve">DiwaniMulshakha Diwani </t>
  </si>
  <si>
    <t>I'M 12th pass</t>
  </si>
  <si>
    <t>Khetani Chintan VasantBhai  5,Jogeshwari Park Society, Near Priya Cinema Krishna Nagar Ahmedabad</t>
  </si>
  <si>
    <t>traveling &amp; watching movie</t>
  </si>
  <si>
    <t>Vasant Bhai</t>
  </si>
  <si>
    <t>Parsottam Bhai</t>
  </si>
  <si>
    <t>5, Jogeshwari Park Soc, Near Priya Cinema Krishna Nagar</t>
  </si>
  <si>
    <t>Shree DhananJay Timber Mart  N H No 8 Nr Chamak Chuna Thakkarbapa Nagar , Ahmedabad</t>
  </si>
  <si>
    <t>No House Wife</t>
  </si>
  <si>
    <t>23-27</t>
  </si>
  <si>
    <t>no more expectation but i just hope she must be adjust in my family</t>
  </si>
  <si>
    <t>image/20160404_02060907.jpg</t>
  </si>
  <si>
    <t>image/20160404_02071160.jpg</t>
  </si>
  <si>
    <t>image/20160404_02080562.jpg</t>
  </si>
  <si>
    <t>nitinpatelnitin@yahoo.com</t>
  </si>
  <si>
    <t>chitralekha12345</t>
  </si>
  <si>
    <t>NITIN</t>
  </si>
  <si>
    <t>VALANI</t>
  </si>
  <si>
    <t>Chhattisgarh</t>
  </si>
  <si>
    <t>Raipur</t>
  </si>
  <si>
    <t>M TECH</t>
  </si>
  <si>
    <t>NIT TRICHY</t>
  </si>
  <si>
    <t>Mechanical / Production Engineer</t>
  </si>
  <si>
    <t>Mott MacDonald Noeda Delhi</t>
  </si>
  <si>
    <t>I AM OPEN MINDED, WELL EDUCATED &amp; INDEPENDENT PERSON, CURRENTLY LIVING IN CHENNAI. I WORK IN A MNC. I JUST LOVE TO EXPLORE NEW PLACES.  HOBBIES INCLUDE WATCHING MOVIES, TREKKING, TOURS TO HILL STATIONS.</t>
  </si>
  <si>
    <t>JAYANTI BHAI Valani</t>
  </si>
  <si>
    <t>NARMADA BEN</t>
  </si>
  <si>
    <t>RAVJI BHAI</t>
  </si>
  <si>
    <t>SHREE TRADERS, (Dall Mill ) INDIRA TIMBER MARKET,P O WRS COLONY, BHANPURIRAIPUR</t>
  </si>
  <si>
    <t>OWNER</t>
  </si>
  <si>
    <t>SHREE TRADERS, (Dall Mill) INDIRA TIMBER MARKET, P O WRS COLONY, BHANPURI RAIPUR</t>
  </si>
  <si>
    <t>KHIMJI ARJAN DIWANI</t>
  </si>
  <si>
    <t>M/S K B PATEL  CO. FAFADIH, RAIPUR</t>
  </si>
  <si>
    <t>VIRANI  MOTI</t>
  </si>
  <si>
    <t>RAIPUR</t>
  </si>
  <si>
    <t>image/20151119_10025847.jpg</t>
  </si>
  <si>
    <t>image/20151119_09504411.jpg</t>
  </si>
  <si>
    <t>rimspatel@gmail.com</t>
  </si>
  <si>
    <t>RIMPATEL15</t>
  </si>
  <si>
    <t>RIMPLE</t>
  </si>
  <si>
    <t>DIWANI</t>
  </si>
  <si>
    <t>BA IN HISTORY</t>
  </si>
  <si>
    <t>kelkar college mumbai university</t>
  </si>
  <si>
    <t>DIPLOMA IN INTERIOR DESIGNING COURSE</t>
  </si>
  <si>
    <t>I am creative and artistic kind of person , good nature , helpful and caring.... i like to read , painting and listing to music....</t>
  </si>
  <si>
    <t>DILIP . DINESH .DIWANI</t>
  </si>
  <si>
    <t>RUKSHMANI . DILIP . DIWANI</t>
  </si>
  <si>
    <t>DINESHBHAI .  DAYARAM.  DIWANI</t>
  </si>
  <si>
    <t>701 neelkanth valley , kolshet road thane west</t>
  </si>
  <si>
    <t>Should have GOOD SENSE OF HUMOR , SMART , GOOD CHARACTER , HARD WORKING , HELPFUL ,CARING AND LOVING NATURE.</t>
  </si>
  <si>
    <t>ghatkopar mumbai</t>
  </si>
  <si>
    <t>image/20151206_17513469.jpg</t>
  </si>
  <si>
    <t>image/20151206_17514693.jpg</t>
  </si>
  <si>
    <t>KOTADA JOAODAR</t>
  </si>
  <si>
    <t>tets@test.com</t>
  </si>
  <si>
    <t>test1234</t>
  </si>
  <si>
    <t>first</t>
  </si>
  <si>
    <t>(Special Registration for Girls)</t>
  </si>
  <si>
    <t>state</t>
  </si>
  <si>
    <t>city</t>
  </si>
  <si>
    <t>-&amp;nbsp;&lt;b&gt;&lt;/b&gt; &amp;nbsp;Mulshakha</t>
  </si>
  <si>
    <t>18-70</t>
  </si>
  <si>
    <t>mitspatidar35@gmail.com</t>
  </si>
  <si>
    <t>palak0956</t>
  </si>
  <si>
    <t>Mitesh</t>
  </si>
  <si>
    <t>AutoCAD</t>
  </si>
  <si>
    <t>SDM Construction, Himatnagar World education, Himatnagar</t>
  </si>
  <si>
    <t>Reading Dancing Drawing Drama</t>
  </si>
  <si>
    <t>Dasharathbhai</t>
  </si>
  <si>
    <t>Minaben</t>
  </si>
  <si>
    <t>Haribhai</t>
  </si>
  <si>
    <t>51, anant vihar society, sahakari jin road, himatnagar</t>
  </si>
  <si>
    <t>Narmada fertilizer, Ranasan, ta-talod</t>
  </si>
  <si>
    <t>Jayendrbhai hansrajbhai nakarani</t>
  </si>
  <si>
    <t>Badamkampa</t>
  </si>
  <si>
    <t>Joyful Intelligent Well adjacent Innocent</t>
  </si>
  <si>
    <t>Takhatgardh</t>
  </si>
  <si>
    <t>image/20151202_00355406.jpg</t>
  </si>
  <si>
    <t>image/20151201_23553273.jpg</t>
  </si>
  <si>
    <t>Dhavada mota</t>
  </si>
  <si>
    <t>urmil.infinity@gmail.com</t>
  </si>
  <si>
    <t>urmil@123</t>
  </si>
  <si>
    <t>Urmil</t>
  </si>
  <si>
    <t>M.Com</t>
  </si>
  <si>
    <t>PGDBM</t>
  </si>
  <si>
    <t>INFINITY SOLUTION Shop no.4, Shreeji flat, B/s. Pallav Hospital, Nr. Rly crossing, Maninagar (E), Ahmedabad-380008</t>
  </si>
  <si>
    <t>Hello,I have my own Business with name of INFINITY SOLUTION. I am working with many segment under one roof. We are dealing in IT Base Product &amp; Tours n Travels Business. Nature wise I believe in Independent Thought &amp; update my self as per time. There are four Members in my family.Father - Retire Due to physically Disturbance, Mother - Housewife, Sister - Private Tutor with English Medium. My all Family Members are Supportive, Down to Earth, attached with each other and mentally strong. My nature is believe in Today, Enjoy each moment of life in any situation, I never get disappointment or Negative thought in my mind in any situation, I would like to Travel with Friends, Watching Movie, Reading Bio-Graphy of successful Persons. I like Punjabi, South Indian, Chinese, and Gujarati Food. I would like to marry a girl have a quality of confident &amp; clear with her thoughts, independent, loving, caring, and easily mixture with new atmosphere and family members.</t>
  </si>
  <si>
    <t>Naresh Akhaibhai Patel</t>
  </si>
  <si>
    <t>Narmadaben Nareshkumar Patel</t>
  </si>
  <si>
    <t>Akhaibhai Shivganbhai Patel</t>
  </si>
  <si>
    <t>20, Sahajanand Park, Opp Vaibhav Hall, Highway, Isanpur, Ahmedabad- 382443</t>
  </si>
  <si>
    <t>Home Maker</t>
  </si>
  <si>
    <t>She have Independent thought, Carring, Adjustable with Family Members. If She want to do Work after merriage is Appritiative.</t>
  </si>
  <si>
    <t>image/20151207_01334817.jpg</t>
  </si>
  <si>
    <t>image/20151207_01335658.jpg</t>
  </si>
  <si>
    <t>Dhareshi</t>
  </si>
  <si>
    <t>vishal1989.rockslife@gmail.com</t>
  </si>
  <si>
    <t>v2191989</t>
  </si>
  <si>
    <t>Vishal</t>
  </si>
  <si>
    <t>BBA</t>
  </si>
  <si>
    <t>B Y K College of commerce Nashik</t>
  </si>
  <si>
    <t>Grabvia.com</t>
  </si>
  <si>
    <t>I Dont Care About Popularity. I Live in Reality. Based On Originality. Forget Looks. I Respect Personality ...!!</t>
  </si>
  <si>
    <t>Dineshbhai Haribhai Limbani</t>
  </si>
  <si>
    <t>Nitaben Dineshbhai Limbani</t>
  </si>
  <si>
    <t>Haribhai Vishrambhai Limbani</t>
  </si>
  <si>
    <t>F-16 Patel Nagar Surat Olpad Road Jahangirpura.Surat</t>
  </si>
  <si>
    <t>Hardware Showroom</t>
  </si>
  <si>
    <t>Dilip Shivjibhai Pokar</t>
  </si>
  <si>
    <t>Lasalgaon,Nasik</t>
  </si>
  <si>
    <t>Mathal</t>
  </si>
  <si>
    <t>-</t>
  </si>
  <si>
    <t>6:10:AM</t>
  </si>
  <si>
    <t>image/20151207_01412112.jpg</t>
  </si>
  <si>
    <t>image/20151207_01413058.jpg</t>
  </si>
  <si>
    <t>sagarvpatel92@gmail.com</t>
  </si>
  <si>
    <t>SagarPatel12091992</t>
  </si>
  <si>
    <t>Sagar</t>
  </si>
  <si>
    <t>Masters Degree</t>
  </si>
  <si>
    <t>Travel Music</t>
  </si>
  <si>
    <t>Vishrambhai Halpani</t>
  </si>
  <si>
    <t>Jayshree Halpani</t>
  </si>
  <si>
    <t>Dhanjibhai Halpani</t>
  </si>
  <si>
    <t>D/3, 1st Flr, Gaurav Nagar, Chendhare, Alibag-Rewas Road, Alibag, Tal-Alibag, Dist-Raigad</t>
  </si>
  <si>
    <t>Shop</t>
  </si>
  <si>
    <t>Sagar Construction, Alibag</t>
  </si>
  <si>
    <t>Rameshbhai Vishrambhai Chhabhaiyya</t>
  </si>
  <si>
    <t>Ghoti, Igatpuri</t>
  </si>
  <si>
    <t>Devisar</t>
  </si>
  <si>
    <t>Doesnot Matter,High School,Undergraduate,Bachelors,Masters,Diploma,Doctorate</t>
  </si>
  <si>
    <t>Complete English,Gujarathi (till School) + English,Hindi (till School) + English</t>
  </si>
  <si>
    <t>Simple, Descent, able to maintain happiness within family</t>
  </si>
  <si>
    <t>Alibag</t>
  </si>
  <si>
    <t>Kumbha</t>
  </si>
  <si>
    <t>image/20171217_10273948.jpg</t>
  </si>
  <si>
    <t>image/20171217_10271565.jpg</t>
  </si>
  <si>
    <t>image/20171217_10265419.jpg</t>
  </si>
  <si>
    <t>Haripura, Nirona</t>
  </si>
  <si>
    <t>rahulpatel28@gmail.com</t>
  </si>
  <si>
    <t>plywood</t>
  </si>
  <si>
    <t>RAHUL</t>
  </si>
  <si>
    <t>B COM</t>
  </si>
  <si>
    <t>PUNE</t>
  </si>
  <si>
    <t>LIMBANI PLYWOOD   TAPASWI PLAZA SHOP NO 17 ,CHINCHWAD PUNE 411019</t>
  </si>
  <si>
    <t>A</t>
  </si>
  <si>
    <t>HARESH PATEL</t>
  </si>
  <si>
    <t>NIRMALA PATEL</t>
  </si>
  <si>
    <t>NANJI PATEL</t>
  </si>
  <si>
    <t>LIMBANI PLYWOOD</t>
  </si>
  <si>
    <t>23-30</t>
  </si>
  <si>
    <t>CHINCHWAD</t>
  </si>
  <si>
    <t>image/20151212_07164060.jpg</t>
  </si>
  <si>
    <t>image/20151212_07184381.jpg</t>
  </si>
  <si>
    <t>DEVISAR</t>
  </si>
  <si>
    <t>miteshmakani1989@gmail.com</t>
  </si>
  <si>
    <t>Makani</t>
  </si>
  <si>
    <t>GSHSEB</t>
  </si>
  <si>
    <t>SERVICES FOR INDIAN ARMY</t>
  </si>
  <si>
    <t>INDIAN ARMY</t>
  </si>
  <si>
    <t>MUVI, TRAVEL,</t>
  </si>
  <si>
    <t>HASHMUKH BHAI</t>
  </si>
  <si>
    <t>MANI BEN</t>
  </si>
  <si>
    <t>VALJI BHAI</t>
  </si>
  <si>
    <t>SREE RAMNAGAR,  PO - TALWANA,  TA - MANDVI,  DIS - KUTCH,  GUJRAT</t>
  </si>
  <si>
    <t>TRANSPORT</t>
  </si>
  <si>
    <t>UMIYA TRANSPORT SREE RAMNAGAR,  PO - TALWANA,  TA - MANDVI,  DIS - KUTCH, GUJRAT</t>
  </si>
  <si>
    <t>RAMJI BHAI ARJAN RANGANI</t>
  </si>
  <si>
    <t>MADANPURA, PO- KODAY, TA - MANDVI, DIS - KUTCH, GUJARAT</t>
  </si>
  <si>
    <t>MADANPURA</t>
  </si>
  <si>
    <t>18-28</t>
  </si>
  <si>
    <t>NATHING SPECIAL</t>
  </si>
  <si>
    <t>TALWANA</t>
  </si>
  <si>
    <t>12:15:PM</t>
  </si>
  <si>
    <t>image/20151217_235839304.jpg</t>
  </si>
  <si>
    <t>image/20151217_235839283.jpg</t>
  </si>
  <si>
    <t>gogarijayantibhai@gmail.com</t>
  </si>
  <si>
    <t>akruti64</t>
  </si>
  <si>
    <t>H</t>
  </si>
  <si>
    <t>(Only Limited Details)</t>
  </si>
  <si>
    <t>Ghoghari&amp;nbsp;&lt;b&gt;Mulshakha&lt;/b&gt; &amp;nbsp;Majithiya</t>
  </si>
  <si>
    <t>PGDM</t>
  </si>
  <si>
    <t>MS UNIVERSITY</t>
  </si>
  <si>
    <t>Jayantibhai</t>
  </si>
  <si>
    <t>Shardaben</t>
  </si>
  <si>
    <t>Ravajibhai</t>
  </si>
  <si>
    <t>8/A Laxminarayan Society, Radhanpur Road, Mahesana</t>
  </si>
  <si>
    <t>image/20151230_01380447.jpg</t>
  </si>
  <si>
    <t>image/20151230_01381573.jpg</t>
  </si>
  <si>
    <t>Dayapar</t>
  </si>
  <si>
    <t>mehulpa2@gmail.com</t>
  </si>
  <si>
    <t>mehul9764343620</t>
  </si>
  <si>
    <t>mehul</t>
  </si>
  <si>
    <t>ramjiyani</t>
  </si>
  <si>
    <t>RamajiyaniMulshakha Bhemat</t>
  </si>
  <si>
    <t>DCE</t>
  </si>
  <si>
    <t>tilak maharasthra university</t>
  </si>
  <si>
    <t>Playing  cricket</t>
  </si>
  <si>
    <t>simple</t>
  </si>
  <si>
    <t>kurbai bhuj</t>
  </si>
  <si>
    <t>image/20160318_02053384.jpg</t>
  </si>
  <si>
    <t>image/20160318_02062264.jpg</t>
  </si>
  <si>
    <t>kethanpatel765@gmail.com</t>
  </si>
  <si>
    <t>ket021293</t>
  </si>
  <si>
    <t>ketan</t>
  </si>
  <si>
    <t>bhawani</t>
  </si>
  <si>
    <t>12th PASS</t>
  </si>
  <si>
    <t>OSMANI UNIVERSITY</t>
  </si>
  <si>
    <t>INTRESTED IN SPORTS</t>
  </si>
  <si>
    <t>BABULAL BHAI BHANJI BHAI BHAWANI</t>
  </si>
  <si>
    <t>SAVITHA BEN BABULAI BHAWANI</t>
  </si>
  <si>
    <t>BHANJI KHETA BHAWANI</t>
  </si>
  <si>
    <t>H NO A 7 KARAMVIR  sunder van society manjipura road nadiad</t>
  </si>
  <si>
    <t>kanti bhai megji bhai limbani</t>
  </si>
  <si>
    <t>sanker vijay saw mill , pune banglore road shirwal</t>
  </si>
  <si>
    <t>siyot</t>
  </si>
  <si>
    <t>must b good looking should be careble</t>
  </si>
  <si>
    <t>banglore</t>
  </si>
  <si>
    <t>image/20160116_013541174.jpg</t>
  </si>
  <si>
    <t>image/20160116_013541163.jpg</t>
  </si>
  <si>
    <t>Mehulrangani.62086@gmail.com</t>
  </si>
  <si>
    <t>mehul143141</t>
  </si>
  <si>
    <t>Mehul</t>
  </si>
  <si>
    <t>12th passed</t>
  </si>
  <si>
    <t>Cricket</t>
  </si>
  <si>
    <t>Jivrajbhai</t>
  </si>
  <si>
    <t>Pushpaben</t>
  </si>
  <si>
    <t>Mavji bhai</t>
  </si>
  <si>
    <t>Manjipura  road nadiad opp Navbandhu  park</t>
  </si>
  <si>
    <t>Parbat hanshraj</t>
  </si>
  <si>
    <t>Madhurai Tamil nadu</t>
  </si>
  <si>
    <t>Laxmipar</t>
  </si>
  <si>
    <t>Simply and caring</t>
  </si>
  <si>
    <t>image/20160204_233504204.jpg</t>
  </si>
  <si>
    <t>image/20160204_233504173.jpg</t>
  </si>
  <si>
    <t>shubhpatel50@gmail.com</t>
  </si>
  <si>
    <t>mahbuhsp007</t>
  </si>
  <si>
    <t>Shubham</t>
  </si>
  <si>
    <t>B.E In Computer Science</t>
  </si>
  <si>
    <t>Amravati University</t>
  </si>
  <si>
    <t>Attra Infotech Pvt Ltd. Hosur Road,Hongasandra,AMR Tech Park-2,Bangalore-560068.</t>
  </si>
  <si>
    <t>I am an extrovert person with a simple living and high thinking. Hobbies are playing Cricket,Table-Tennis and Listening to music.</t>
  </si>
  <si>
    <t>Jayantilal Patel</t>
  </si>
  <si>
    <t>Vanita Patel</t>
  </si>
  <si>
    <t>Gopal Patel</t>
  </si>
  <si>
    <t>Satighat Road,Shastri Nagar,Sharda Vijay Saw Mill,Ward No-18,Wani,Dist-Yavatmal,Maharashtra-445304</t>
  </si>
  <si>
    <t>Sharda Vijay Saw Mill.</t>
  </si>
  <si>
    <t>Prakash Chunnilal Diwani</t>
  </si>
  <si>
    <t>Bharat Traders,MadanMahal,Jabalpur,Madhya Pradesh.</t>
  </si>
  <si>
    <t>Virani</t>
  </si>
  <si>
    <t>Studying,Service,Professional</t>
  </si>
  <si>
    <t>It would be great and plus to have a partner with the same profession.</t>
  </si>
  <si>
    <t>Wani</t>
  </si>
  <si>
    <t>image/20160213_06415791.jpg</t>
  </si>
  <si>
    <t>image/20160213_06423583.jpg</t>
  </si>
  <si>
    <t>bharatpatelpune@gmail.com</t>
  </si>
  <si>
    <t>ps180574</t>
  </si>
  <si>
    <t xml:space="preserve">Bharat </t>
  </si>
  <si>
    <t>Psychology</t>
  </si>
  <si>
    <t>Psychologist</t>
  </si>
  <si>
    <t>Brainware Solutions</t>
  </si>
  <si>
    <t>This is my son's profile. We are a broad thinking family. We have only one son and two daughter. Both daughter are married. We are not orthodox so expect our daughter as such. My son like to have activity in sport and take social activity. He is interest in politic too. He is more engage with student so have thinking of current generation.</t>
  </si>
  <si>
    <t>Khetalal Patel</t>
  </si>
  <si>
    <t>kasturben patel</t>
  </si>
  <si>
    <t>Purshottam Patel</t>
  </si>
  <si>
    <t>A/9, jalyavu vihar, Sec-6, PCNTDA, moshi pradhikaran, Pune</t>
  </si>
  <si>
    <t>Shahajanand Plywood, Ckahan</t>
  </si>
  <si>
    <t>House wife,</t>
  </si>
  <si>
    <t>Shankarlal Ramani</t>
  </si>
  <si>
    <t>Petlad, Gujarat</t>
  </si>
  <si>
    <t>This can be talk later.</t>
  </si>
  <si>
    <t xml:space="preserve">bhuj </t>
  </si>
  <si>
    <t>image/20160220_063806254.jpg</t>
  </si>
  <si>
    <t>image/20160220_063806253.jpg</t>
  </si>
  <si>
    <t>brjshpatel47@gmail.com</t>
  </si>
  <si>
    <t>BKPATEL</t>
  </si>
  <si>
    <t>Nikul</t>
  </si>
  <si>
    <t>B. B. A</t>
  </si>
  <si>
    <t>Hngu</t>
  </si>
  <si>
    <t>Infinium Toyota, ahmedabad</t>
  </si>
  <si>
    <t>Playing cricket</t>
  </si>
  <si>
    <t>Keshavlal Patel</t>
  </si>
  <si>
    <t>Bhikhiben Patel</t>
  </si>
  <si>
    <t>Mafatlal Patel</t>
  </si>
  <si>
    <t>Vastral, ahmedabad</t>
  </si>
  <si>
    <t>merchant</t>
  </si>
  <si>
    <t>Ashopalav store</t>
  </si>
  <si>
    <t>Well educated</t>
  </si>
  <si>
    <t>Unjha</t>
  </si>
  <si>
    <t>7:6:PM</t>
  </si>
  <si>
    <t>Patelutsav7@gmail.com</t>
  </si>
  <si>
    <t>utsav786</t>
  </si>
  <si>
    <t>Utsav</t>
  </si>
  <si>
    <t>B.E. in Computer Engineering</t>
  </si>
  <si>
    <t>Thank you for landing in to my profile. I have completed bachelor in computer engineering and currently I am working in IT company as a Manager from last two years now.</t>
  </si>
  <si>
    <t>Chandrakantbhai</t>
  </si>
  <si>
    <t>Daxaben</t>
  </si>
  <si>
    <t>Babubhai</t>
  </si>
  <si>
    <t>Naroda</t>
  </si>
  <si>
    <t>Doesnot Matter,Undergraduate</t>
  </si>
  <si>
    <t>Looking forward to a perfect life partner who hold my hand in every ups and downs in the life.</t>
  </si>
  <si>
    <t>image/20161229_20311223.jpg</t>
  </si>
  <si>
    <t>Nani-Virani</t>
  </si>
  <si>
    <t>piyushnakrani23@gmail.com</t>
  </si>
  <si>
    <t>piyush@1234</t>
  </si>
  <si>
    <t>PIYUSH</t>
  </si>
  <si>
    <t>NAKRANI</t>
  </si>
  <si>
    <t>COMPANY SECRETARY</t>
  </si>
  <si>
    <t>ICSI</t>
  </si>
  <si>
    <t>SLB INDIA.BIZ MADHAV AVENUE, SHOP NO. 5 AND 6, OPP. JAHNAVI ARCADE,  ODHAV RING ROAD CIRCLE, ODHAV VASTRAL RING ROAD, AHMEDABAD</t>
  </si>
  <si>
    <t>I AM SIMPLE LIVING PERSON WITH HIGH MORAL AND BELIEVE IN HARD WORK. I LIKE TO LISTEN MUSIC AND READ HISTORY AND HOLY BOOKS.</t>
  </si>
  <si>
    <t>NAKRANI KANTILAL KHIMJIBHAI</t>
  </si>
  <si>
    <t>NAKRANI DAXABEN KHIMJIBHAI</t>
  </si>
  <si>
    <t>KHIMJIBHAI NARANBHAI NAKRANI</t>
  </si>
  <si>
    <t>30, DHARMANANDAN SOCIETY, KANABHA, AHMEDABAD</t>
  </si>
  <si>
    <t>LALJIBHAI REMJIBHAI SHANKHALA</t>
  </si>
  <si>
    <t>AT POST NETRA, NAKHATRAN, KUTCH</t>
  </si>
  <si>
    <t>NETRA</t>
  </si>
  <si>
    <t>BELIEVE IN FAMILY VALUES AND MORALITY</t>
  </si>
  <si>
    <t>RAWAPAR</t>
  </si>
  <si>
    <t>3:15:AM</t>
  </si>
  <si>
    <t>image/20170411_23330524.jpg</t>
  </si>
  <si>
    <t>image/20170411_23352064.jpg</t>
  </si>
  <si>
    <t>Rnp53113@gmail.com</t>
  </si>
  <si>
    <t>ronak2002</t>
  </si>
  <si>
    <t>Ronak</t>
  </si>
  <si>
    <t>Govt.poly.himatnagar</t>
  </si>
  <si>
    <t>milk &amp; sweet product manufacturing plant in modasa..                                                        Shree sairam developers , pune</t>
  </si>
  <si>
    <t>Business, Social activity , sport , travelling, shopping</t>
  </si>
  <si>
    <t>Natavar bhai</t>
  </si>
  <si>
    <t>Hemalatta</t>
  </si>
  <si>
    <t>Tulsibhai</t>
  </si>
  <si>
    <t>Dhanpura kampa, bayad, arvalli, s.k, Gujarat</t>
  </si>
  <si>
    <t>Social</t>
  </si>
  <si>
    <t>Farming</t>
  </si>
  <si>
    <t>Swadhyay parivar</t>
  </si>
  <si>
    <t>Bharatbhai haribahi limbani</t>
  </si>
  <si>
    <t>Banikampa , dhansura , arvalli, s.k,Gujarat</t>
  </si>
  <si>
    <t>Banikampa</t>
  </si>
  <si>
    <t>18-23</t>
  </si>
  <si>
    <t>Mature &amp; well understanding</t>
  </si>
  <si>
    <t>Dhanpurakampa</t>
  </si>
  <si>
    <t>image/20160410_00031121.jpg</t>
  </si>
  <si>
    <t>image/20160410_00072957.jpg</t>
  </si>
  <si>
    <t>Bhadli</t>
  </si>
  <si>
    <t>Dayanipankaj143@gmail.com</t>
  </si>
  <si>
    <t>pankaj1994</t>
  </si>
  <si>
    <t>graduation</t>
  </si>
  <si>
    <t>kutch university</t>
  </si>
  <si>
    <t>computer operating programing asst</t>
  </si>
  <si>
    <t>Play cricket Read book</t>
  </si>
  <si>
    <t>Ramnikbhai Patel</t>
  </si>
  <si>
    <t>Jayaben Patel</t>
  </si>
  <si>
    <t>Laljibhai Patel</t>
  </si>
  <si>
    <t>At &amp; Po dhavda mota, near laxminarayan temple, ta- nakhatrana, dist - kutch (bhuj)</t>
  </si>
  <si>
    <t>19-21</t>
  </si>
  <si>
    <t>Does't matter</t>
  </si>
  <si>
    <t>bhuj</t>
  </si>
  <si>
    <t>6:45:PM</t>
  </si>
  <si>
    <t>Dhavda mota</t>
  </si>
  <si>
    <t>rudaninirav565@gmail.com</t>
  </si>
  <si>
    <t>nrudani007</t>
  </si>
  <si>
    <t>Nirav</t>
  </si>
  <si>
    <t>T.Y.B.COM</t>
  </si>
  <si>
    <t>S.K.Somaiya</t>
  </si>
  <si>
    <t>Medical / Healthcare Professional (Others)</t>
  </si>
  <si>
    <t>Shop No.10,Ekta Chemist,Devidyal Road,Mulund-West Mumbai</t>
  </si>
  <si>
    <t>Hiiiiiee I am Nirav Rudani 30yrs old my hobies is playing cricket,football listening music watching movies etc</t>
  </si>
  <si>
    <t>Mansukh Haribhai Rudani</t>
  </si>
  <si>
    <t>Meena Mansukh Rudani</t>
  </si>
  <si>
    <t>Harji Shivgan Rudani</t>
  </si>
  <si>
    <t>K Wing 7th floor 701/702 Vardhman Nagar Dr.R.P.Road Opp.Ravi Kiran Hotel,Mulund-West,Mumbai-400080</t>
  </si>
  <si>
    <t>image/20181003_06561252.jpg</t>
  </si>
  <si>
    <t>image/20181003_06553908.jpg</t>
  </si>
  <si>
    <t>Jiyapar</t>
  </si>
  <si>
    <t>joinmemadhu@yahoo.in</t>
  </si>
  <si>
    <t>benmadhu07</t>
  </si>
  <si>
    <t>Dr. Mohini</t>
  </si>
  <si>
    <t>Bhagat(Only Limited Details)</t>
  </si>
  <si>
    <t>Nasik</t>
  </si>
  <si>
    <t>Doctorate</t>
  </si>
  <si>
    <t>Medicine</t>
  </si>
  <si>
    <t>MBBS</t>
  </si>
  <si>
    <t>Doctor</t>
  </si>
  <si>
    <t>Reading,dancing,music,drawing,social service,swimmimg</t>
  </si>
  <si>
    <t>Arvindkumar</t>
  </si>
  <si>
    <t>Valjibhai</t>
  </si>
  <si>
    <t>D 702, rushiraj harmony, near gangapur police station, gangapur road, nasik, maharashtra</t>
  </si>
  <si>
    <t>Must be a Doctor and living in a big city with good family and no addictions</t>
  </si>
  <si>
    <t>devendra.2025@gmail.com</t>
  </si>
  <si>
    <t>devendra244</t>
  </si>
  <si>
    <t>Sangita</t>
  </si>
  <si>
    <t>Dholu</t>
  </si>
  <si>
    <t>Master of Arts</t>
  </si>
  <si>
    <t>Bed</t>
  </si>
  <si>
    <t>Shobhanaben</t>
  </si>
  <si>
    <t>Gangarambhai</t>
  </si>
  <si>
    <t>At - Demai Ta- Bayad Dist - Aravalli State - Gujarat</t>
  </si>
  <si>
    <t>Mahalaxmi Sales Corporation At - Demai Ta- Bayad Dist - Aravalli State - Gujarat 383330</t>
  </si>
  <si>
    <t>28-33</t>
  </si>
  <si>
    <t>Life partner should be a kind in nature, supportive and well settled.</t>
  </si>
  <si>
    <t>Bayad</t>
  </si>
  <si>
    <t>8:10:AM</t>
  </si>
  <si>
    <t>image/20160420_20470753.jpg</t>
  </si>
  <si>
    <t>image/20160420_20472428.jpg</t>
  </si>
  <si>
    <t>Manukua</t>
  </si>
  <si>
    <t>cabhavika1@gmail.com</t>
  </si>
  <si>
    <t>1991BRPL</t>
  </si>
  <si>
    <t>BHAVIKA</t>
  </si>
  <si>
    <t>Only Limited Details</t>
  </si>
  <si>
    <t>CHARTERED ACCOUNTANT</t>
  </si>
  <si>
    <t>Simple living and simple nature</t>
  </si>
  <si>
    <t>RAMESHBHAI MANJIBHAI LIMBANI</t>
  </si>
  <si>
    <t>BHAGVATIBEN</t>
  </si>
  <si>
    <t>MANJIBHAI</t>
  </si>
  <si>
    <t>PARTNAGAR 1 NADIAD</t>
  </si>
  <si>
    <t>LIMBANI TIMBER MART</t>
  </si>
  <si>
    <t>HOMEMAKER</t>
  </si>
  <si>
    <t>24-27</t>
  </si>
  <si>
    <t>Masters,Doctorate</t>
  </si>
  <si>
    <t>Service,Business</t>
  </si>
  <si>
    <t>Understanding</t>
  </si>
  <si>
    <t>image/20160520_05450230.jpg</t>
  </si>
  <si>
    <t>image/20160520_05464638.jpg</t>
  </si>
  <si>
    <t>GADULI</t>
  </si>
  <si>
    <t>nayanidhiren.may9@gmail.com</t>
  </si>
  <si>
    <t>dhiren73103</t>
  </si>
  <si>
    <t>Dhirendra</t>
  </si>
  <si>
    <t>Nayani</t>
  </si>
  <si>
    <t>graduatuate</t>
  </si>
  <si>
    <t>kutch univarcity</t>
  </si>
  <si>
    <t>cloth marchand</t>
  </si>
  <si>
    <t>Near b.k.vidhayalaya  Khetani faliyu Kotda.jadodar Pin coad-: 370605 Nakhtrana Kutch</t>
  </si>
  <si>
    <t>My hobbies  Playhing cricket</t>
  </si>
  <si>
    <t>Rameshchandra</t>
  </si>
  <si>
    <t>jayshreeben</t>
  </si>
  <si>
    <t>Near-: b.k.vidhayalay Khetani faliyu Kotda.jadodar Pin coad:- 370 605 Nakhtrana  Kutch</t>
  </si>
  <si>
    <t>farming</t>
  </si>
  <si>
    <t>kotda laxminarayan samar mantri</t>
  </si>
  <si>
    <t>Rameshchandra jivraj Nayani Kotda.jadodar Nakhtrana  Kutch</t>
  </si>
  <si>
    <t>Houswife</t>
  </si>
  <si>
    <t>21-21</t>
  </si>
  <si>
    <t>No regarding</t>
  </si>
  <si>
    <t>kotda jadodar</t>
  </si>
  <si>
    <t>6:13:AM</t>
  </si>
  <si>
    <t>image/20160422_200418484.jpg</t>
  </si>
  <si>
    <t>image/20160422_200418483.jpg</t>
  </si>
  <si>
    <t>nakhtrana</t>
  </si>
  <si>
    <t>cparasiya@gmail.com</t>
  </si>
  <si>
    <t>chaitali90</t>
  </si>
  <si>
    <t>C</t>
  </si>
  <si>
    <t>Patel(Only Limited Details)</t>
  </si>
  <si>
    <t>Navsari</t>
  </si>
  <si>
    <t>Parasiya&amp;nbsp;&lt;b&gt;Mulshakha&lt;/b&gt; &amp;nbsp;Bhakka</t>
  </si>
  <si>
    <t>CA Inter</t>
  </si>
  <si>
    <t>CA inter</t>
  </si>
  <si>
    <t>26-26</t>
  </si>
  <si>
    <t xml:space="preserve">mp25121991@gmail.com </t>
  </si>
  <si>
    <t>mehul2512</t>
  </si>
  <si>
    <t>Mithal</t>
  </si>
  <si>
    <t>patel(Only Limited Details)</t>
  </si>
  <si>
    <t>Mysore</t>
  </si>
  <si>
    <t>Devendra limbani</t>
  </si>
  <si>
    <t>Bhagvathi</t>
  </si>
  <si>
    <t>Manji mulji limbani</t>
  </si>
  <si>
    <t>Sri vijaylaxmi saw mill Huliyar road Hosdurga - 577527</t>
  </si>
  <si>
    <t>22-23</t>
  </si>
  <si>
    <t>makanijinkal87@gmail.com</t>
  </si>
  <si>
    <t>Jinkal</t>
  </si>
  <si>
    <t>Makani(Only Limited Details)</t>
  </si>
  <si>
    <t>BCA complete</t>
  </si>
  <si>
    <t>I have interested in all field . frii minded girl.</t>
  </si>
  <si>
    <t xml:space="preserve">Jigar1990 </t>
  </si>
  <si>
    <t>jigar2810</t>
  </si>
  <si>
    <t>Jigar</t>
  </si>
  <si>
    <t>BaBed</t>
  </si>
  <si>
    <t>Jigar Patel At post Aniyor kampa Ta malpur  Dist arvalli</t>
  </si>
  <si>
    <t>Volibool</t>
  </si>
  <si>
    <t>Ramanbhai</t>
  </si>
  <si>
    <t>Ratanben</t>
  </si>
  <si>
    <t>Khetabhai</t>
  </si>
  <si>
    <t>At post Aniyor kampa Ta malpur  Dist Arvalli</t>
  </si>
  <si>
    <t>Ramanbhai khetabhai Patel At post Aniyor kampa Ta malpur  Dist Arvalli</t>
  </si>
  <si>
    <t>Bhagat maganbhai shivaji bhai</t>
  </si>
  <si>
    <t>At Adalpura kampa Ta Dhansura  Dist Arvalli</t>
  </si>
  <si>
    <t>Nakhtrana</t>
  </si>
  <si>
    <t>Any</t>
  </si>
  <si>
    <t>8:19:AM</t>
  </si>
  <si>
    <t>image/20160511_230747481.jpg</t>
  </si>
  <si>
    <t>image/20160511_230748144.jpg</t>
  </si>
  <si>
    <t>image/20160511_230748123.jpg</t>
  </si>
  <si>
    <t>vipsun22@gmail.com</t>
  </si>
  <si>
    <t>comfortable123</t>
  </si>
  <si>
    <t>VIPUL</t>
  </si>
  <si>
    <t>Bhagat&amp;nbsp;&lt;b&gt;Mulshakha&lt;/b&gt; &amp;nbsp;Lahuot</t>
  </si>
  <si>
    <t>PRIVE SECTOR  CERTIFICATE</t>
  </si>
  <si>
    <t>NO COLLEGE</t>
  </si>
  <si>
    <t>NO DEGREE</t>
  </si>
  <si>
    <t>14 JALARAM SOCIETY MEGHRAJ ROAD MODASA DIS ARVALLI</t>
  </si>
  <si>
    <t>PLAYING FOOTBALL LONG TENIS  AND KNOWLEDGE OF COMPUTER</t>
  </si>
  <si>
    <t>HANSRAJBHAI</t>
  </si>
  <si>
    <t>KAILLASHBEN</t>
  </si>
  <si>
    <t>LADHABHAI</t>
  </si>
  <si>
    <t>14 JALARAM SOCIETY MEGHRAJ ROAD MODASA</t>
  </si>
  <si>
    <t>PHARMACY STORE</t>
  </si>
  <si>
    <t>HANSRAJBHAI LADHA BHAI PATEL 14 JALARAM SOCIETY MEGHRAJ ROAD MODASA</t>
  </si>
  <si>
    <t>RAMESHBHAI MAVIJIBHAI</t>
  </si>
  <si>
    <t>AT POST MADAPUR KAMPA TAL  MODASA DIS ARVALLI</t>
  </si>
  <si>
    <t>MADAPUR KAMPA  MODASA</t>
  </si>
  <si>
    <t>25-30</t>
  </si>
  <si>
    <t>WELL ATLEST PHARMACY LICENCE MUST BE IF SHE HAVE THEN  IF EDUCATED GIRL RESPONCE WILL GOOD  THEN I DONT MIND</t>
  </si>
  <si>
    <t xml:space="preserve">KASARPURA KAMPA </t>
  </si>
  <si>
    <t>image/20160528_04585089.jpg</t>
  </si>
  <si>
    <t>image/20160528_04542441.jpg</t>
  </si>
  <si>
    <t>image/20160528_04544416.jpg</t>
  </si>
  <si>
    <t>DAJAPAR</t>
  </si>
  <si>
    <t>pmehul77@gmail.com</t>
  </si>
  <si>
    <t>mehul1991</t>
  </si>
  <si>
    <t>RAMANI</t>
  </si>
  <si>
    <t>Ramani&amp;nbsp;&lt;b&gt;Mulshakha&lt;/b&gt; &amp;nbsp;Gami</t>
  </si>
  <si>
    <t>BCOM</t>
  </si>
  <si>
    <t>VMV COLLAGE</t>
  </si>
  <si>
    <t>RIGHT NOW I AM WORKING WITH  MAHALAXMI INFRACONTRECT PVT LTD AS A SENIOUR ACCOUNT OFFICER.</t>
  </si>
  <si>
    <t>MY NATURE  IS SO SIM PAL AND MY HOBBIES IS PLAYING CRICKET AND MAKING TOUR PLANS AND ENJOY WITH MY FAMILY AND FRIENDS.</t>
  </si>
  <si>
    <t>SURESH RAMANI</t>
  </si>
  <si>
    <t>BHANU BEN RAMANI</t>
  </si>
  <si>
    <t>SHIVDAS RAMANI</t>
  </si>
  <si>
    <t>PLOT NO 185, AABHA COLONYBHARWADA ROAD, NEAR NAGPURE SCHOOL KALAMNA,NAGPUR, MH 440035</t>
  </si>
  <si>
    <t>IN SAW MILL</t>
  </si>
  <si>
    <t>SHE IS HOUSEWIFE.</t>
  </si>
  <si>
    <t>CHANDULAL POKAR</t>
  </si>
  <si>
    <t>JALARAM DEPO BATRAJIPURAM VISAKHAPATNAM AP</t>
  </si>
  <si>
    <t>RAWAPER</t>
  </si>
  <si>
    <t>I WAS FOUND MY PARTNER LOOKS LIKE  SO SIMPLA AND BEST NATURE IN LIVE WITH ME.</t>
  </si>
  <si>
    <t>NAGPUR</t>
  </si>
  <si>
    <t>3:5:AM</t>
  </si>
  <si>
    <t>image/20160521_232901904.jpg</t>
  </si>
  <si>
    <t>image/20160521_232901893.jpg</t>
  </si>
  <si>
    <t>NAKHTRANA</t>
  </si>
  <si>
    <t>hiten.patel.isl@gamil.com</t>
  </si>
  <si>
    <t>22346hitman</t>
  </si>
  <si>
    <t>hiten</t>
  </si>
  <si>
    <t>diploma in ISL</t>
  </si>
  <si>
    <t>ply</t>
  </si>
  <si>
    <t>I have done diploma in INDIAN SIGN LANGUAGE . I am very calm,friendly nature, open minded and practical person, My hobbies/interests travelling,movies, video games, health &amp; fitness, cardio workout, cricket, badminton, chess.. THANKS FOR Visiting my profile</t>
  </si>
  <si>
    <t>Devshi bhai patel</t>
  </si>
  <si>
    <t>Parvati ben patel</t>
  </si>
  <si>
    <t>Lalji bhai patel</t>
  </si>
  <si>
    <t>225 k indore</t>
  </si>
  <si>
    <t>good nature</t>
  </si>
  <si>
    <t>image/20160527_063950594.jpg</t>
  </si>
  <si>
    <t>image/20160527_063950573.jpg</t>
  </si>
  <si>
    <t>ravapar</t>
  </si>
  <si>
    <t>patelarpita130995@gmail.com</t>
  </si>
  <si>
    <t>manjula1234</t>
  </si>
  <si>
    <t>Educated,good looking,open minded.</t>
  </si>
  <si>
    <t>mata na madh</t>
  </si>
  <si>
    <t>vikasbathani9694@gmail.com</t>
  </si>
  <si>
    <t>vikas@9694</t>
  </si>
  <si>
    <t>VIKAS</t>
  </si>
  <si>
    <t>BATHANI</t>
  </si>
  <si>
    <t>CA IPCC</t>
  </si>
  <si>
    <t>KSKV KUTCH UNIVERSITY</t>
  </si>
  <si>
    <t>GOLDEN ERA GROUP OF INDUSTRIES BLOCK NO.21, BEDKUVA NAJIK, VYARA,  DIST-TAPI</t>
  </si>
  <si>
    <t>IMPROVE MYSELF DAY TO DAY,  ABOUT HOBBIES- READING BOOKS-MAGAZINES, TRAVELLING, BIKE RIDING, CRICKET, SWIMMING &amp; MANY MORE....</t>
  </si>
  <si>
    <t>PARSOTAMBHAI</t>
  </si>
  <si>
    <t>VIJYABEN</t>
  </si>
  <si>
    <t>RAMJIBHAI</t>
  </si>
  <si>
    <t>MOTI VIRANI,TA.NAKHATRANA,DIST.KUTCH</t>
  </si>
  <si>
    <t>ABKKP CENTRAL OFFICE, PATIDAR VIDHYARTHI BHAVAN, NAKHATRAN KUTCH</t>
  </si>
  <si>
    <t>HARIBHAI VELJIBHAI CHHABHAIYA</t>
  </si>
  <si>
    <t>SHOP NO.9-10, THAKORDWAR SOC.4, OPP.BALAJI KRUPA SOC., PALANPUR ROAD, ADAJAN, SURAT PALANPUR ROAD, ADAJAN, SURAT</t>
  </si>
  <si>
    <t>NANI ARAL</t>
  </si>
  <si>
    <t>KIND IN A NATURE...</t>
  </si>
  <si>
    <t>image/20161203_02430913.jpg</t>
  </si>
  <si>
    <t>image/20161203_02424286.jpg</t>
  </si>
  <si>
    <t>MOTI VIRANI</t>
  </si>
  <si>
    <t>Bharatpatel.bp434@gmail.com</t>
  </si>
  <si>
    <t>bharat7779</t>
  </si>
  <si>
    <t xml:space="preserve">Diwani </t>
  </si>
  <si>
    <t>Goa</t>
  </si>
  <si>
    <t>Margoa</t>
  </si>
  <si>
    <t>Rabindra mahavidyalaya college</t>
  </si>
  <si>
    <t>Annapurna trading, shop no. AG5,ludovic appts, navelim, Madgao  Goa</t>
  </si>
  <si>
    <t>Like to make friends  and have a friendly  nature.  Like to play cricket</t>
  </si>
  <si>
    <t>Amratlal  Diwani</t>
  </si>
  <si>
    <t>Kasturben  Diwani</t>
  </si>
  <si>
    <t>Dhanji Diwani</t>
  </si>
  <si>
    <t>House no.  88A,zariwado  davorlim ,  Madgao, Goa</t>
  </si>
  <si>
    <t>24-36</t>
  </si>
  <si>
    <t>Friendly nature. And adjustable with family</t>
  </si>
  <si>
    <t xml:space="preserve">Devpar </t>
  </si>
  <si>
    <t>image/20160605_05363635.jpg</t>
  </si>
  <si>
    <t>image/20160605_05351428.jpg</t>
  </si>
  <si>
    <t>Devpar  (yax)</t>
  </si>
  <si>
    <t>nikhillppatel@gmail.com</t>
  </si>
  <si>
    <t>nano8055</t>
  </si>
  <si>
    <t>Varsha</t>
  </si>
  <si>
    <t>Gorani(Only Limited Details)</t>
  </si>
  <si>
    <t>Nursing/ Health Sciences</t>
  </si>
  <si>
    <t>BHMS</t>
  </si>
  <si>
    <t>Shantilal</t>
  </si>
  <si>
    <t>Savita</t>
  </si>
  <si>
    <t>Megjilal gorani</t>
  </si>
  <si>
    <t>Shankar vijay saw mill, market yard,mohol,solapur 413213  Solapur ( Maharashtra ) India</t>
  </si>
  <si>
    <t>I want to marry someone who meets most of my preferences which I have noted here</t>
  </si>
  <si>
    <t>mohol</t>
  </si>
  <si>
    <t>np2604095@gmail.com</t>
  </si>
  <si>
    <t>N8758926240</t>
  </si>
  <si>
    <t>NIKUL</t>
  </si>
  <si>
    <t>BHUPENDRABHAI</t>
  </si>
  <si>
    <t>D.PHARM</t>
  </si>
  <si>
    <t>SHRI SHIVAJI SCIENCE UNIVERSITY</t>
  </si>
  <si>
    <t>jay ganesh groups of companies</t>
  </si>
  <si>
    <t>I JUST LIKE TO MAKE NEW FRIENDS, AND MY HOBBIES IS MY DUTY THAT"S IT  AND SOMETIMES TRAVELING MANY PLACES LIKE TO SPEND MORE TIMES WITH FAMILIES N FRIENDS I LIKE EVERY GAMES</t>
  </si>
  <si>
    <t>URMILABEN</t>
  </si>
  <si>
    <t>BHIMJIBHAI</t>
  </si>
  <si>
    <t>SIDDHI VINAYAK RESIDENCY,NEAR SAI CHOWK,NEW NARODA</t>
  </si>
  <si>
    <t>SELF SERVICE IN OFFICE</t>
  </si>
  <si>
    <t>SUN INFRASTRUCTURE</t>
  </si>
  <si>
    <t>ONLY HOUSEWIFE</t>
  </si>
  <si>
    <t>NARENDRABHAI RAVJIBHAI RAMJIYANI</t>
  </si>
  <si>
    <t>UMAPARK SOCIETY,DAHEGHAM</t>
  </si>
  <si>
    <t>DAHEGHAM</t>
  </si>
  <si>
    <t>JUST ONLY UNDERSTANDING PARTNER</t>
  </si>
  <si>
    <t>KAPADWANJ</t>
  </si>
  <si>
    <t>3:14:AM</t>
  </si>
  <si>
    <t>image/20160613_054815951.jpg</t>
  </si>
  <si>
    <t>image/20180530_06374540.jpg</t>
  </si>
  <si>
    <t>image/20180530_06381121.jpg</t>
  </si>
  <si>
    <t>np17592@gmail.com</t>
  </si>
  <si>
    <t>Mynameis92</t>
  </si>
  <si>
    <t>Anand</t>
  </si>
  <si>
    <t>Designer (Others)</t>
  </si>
  <si>
    <t>Infobizzs Services Pvt Ltd</t>
  </si>
  <si>
    <t>My Hobbies are Playing with Musical Instrument (key Board) , Photography, Photo Editing (in Photoshop).</t>
  </si>
  <si>
    <t>Dineshbhai Keshavlal Patel</t>
  </si>
  <si>
    <t>Jayshreeben Dineshbhai Patel</t>
  </si>
  <si>
    <t>Keshavlal Mavajibhai Patel</t>
  </si>
  <si>
    <t>9, Pramukhraj Park, Jitodia Road, Anand. - 388001</t>
  </si>
  <si>
    <t>Fabricator</t>
  </si>
  <si>
    <t>Nitin Sales. G-11, Silver Point, Nr. Raj shivalaya cinema,  Anand. - 388001</t>
  </si>
  <si>
    <t>Bachelors,Masters</t>
  </si>
  <si>
    <t>she should be educated. doesn't matter if she Don't have Master Degree.</t>
  </si>
  <si>
    <t>khirasara</t>
  </si>
  <si>
    <t>patelgirishhalpani@gmail.com</t>
  </si>
  <si>
    <t>lovehoney27</t>
  </si>
  <si>
    <t>Pune univercity</t>
  </si>
  <si>
    <t>Poona sugar Depot</t>
  </si>
  <si>
    <t>hi, i am belong to middle class family, we have nuclear family, i love to listing music in my spear time and spend time with my friends. i am looking for person who is support me and stand with me in any situation of life. ya some bed thing happen with my past which i discuss when we decide to meet.</t>
  </si>
  <si>
    <t>Naran patel</t>
  </si>
  <si>
    <t>Laxmi Patel</t>
  </si>
  <si>
    <t>Valji Patel</t>
  </si>
  <si>
    <t>Manik moti complex D-13/14, pune mumbai highway, katraj pune</t>
  </si>
  <si>
    <t>manager</t>
  </si>
  <si>
    <t>wagholi,pune</t>
  </si>
  <si>
    <t>26-29</t>
  </si>
  <si>
    <t>Service,Business,Professional,Homemaker,Others</t>
  </si>
  <si>
    <t>she should be good in nature and give respect to my family and down to earth.</t>
  </si>
  <si>
    <t>image/20160622_09500000.jpg</t>
  </si>
  <si>
    <t>image/20160622_09300684.jpg</t>
  </si>
  <si>
    <t>image/20160622_09311219.jpg</t>
  </si>
  <si>
    <t>dhavalparsia@live.com</t>
  </si>
  <si>
    <t>dhaval87</t>
  </si>
  <si>
    <t>Dhaval</t>
  </si>
  <si>
    <t>B.Sc</t>
  </si>
  <si>
    <t>St.Xavier's college</t>
  </si>
  <si>
    <t>Uday Ply &amp; Laminate</t>
  </si>
  <si>
    <t>I am putting this profile for my son.</t>
  </si>
  <si>
    <t>Rajesh Patel</t>
  </si>
  <si>
    <t>Hetal Patel</t>
  </si>
  <si>
    <t>Shamjibhai Patel</t>
  </si>
  <si>
    <t>12/1 mohan nagar society Naroda</t>
  </si>
  <si>
    <t>18-29</t>
  </si>
  <si>
    <t>Divorced,Widowed,Awaiting Divorce,Annulled</t>
  </si>
  <si>
    <t>Bachelors,Masters,Diploma</t>
  </si>
  <si>
    <t>We are looking to add more family member.</t>
  </si>
  <si>
    <t>image/20170128_22553970.jpg</t>
  </si>
  <si>
    <t>image/20170128_22555392.jpg</t>
  </si>
  <si>
    <t>nana angia</t>
  </si>
  <si>
    <t>Shrutipatel212@Gmail.com</t>
  </si>
  <si>
    <t>shruti30</t>
  </si>
  <si>
    <t>Shruti</t>
  </si>
  <si>
    <t>Oras</t>
  </si>
  <si>
    <t>Ayurvedic doctor</t>
  </si>
  <si>
    <t>Goa university</t>
  </si>
  <si>
    <t>Interested in working professional, artists, travelling, interact with new people</t>
  </si>
  <si>
    <t>mayur12345331@gmail.com</t>
  </si>
  <si>
    <t>mayur123</t>
  </si>
  <si>
    <t>mayur</t>
  </si>
  <si>
    <t>Andhra Pradesh</t>
  </si>
  <si>
    <t>Hyderabad</t>
  </si>
  <si>
    <t>gujratvunivercuty</t>
  </si>
  <si>
    <t>Tirupathi hardwer nd ply  Jagathgirigutta Hyderabad</t>
  </si>
  <si>
    <t>I like it sing a song n plying cricket</t>
  </si>
  <si>
    <t>Arvind bhai</t>
  </si>
  <si>
    <t>Gauvri ben</t>
  </si>
  <si>
    <t>Arjan bhai</t>
  </si>
  <si>
    <t>Surya nagar  Chinthal  Hydrabad</t>
  </si>
  <si>
    <t>Hardwer nd plywood</t>
  </si>
  <si>
    <t>Tirupathi hardwer nd ply Jagathgirigutta Hyderabad</t>
  </si>
  <si>
    <t>prabhudas Ramani</t>
  </si>
  <si>
    <t>Chinthal  Hyderabad</t>
  </si>
  <si>
    <t>sherpura kampa</t>
  </si>
  <si>
    <t>Good nature</t>
  </si>
  <si>
    <t>kapdwanj gujrat</t>
  </si>
  <si>
    <t>12:30:PM</t>
  </si>
  <si>
    <t>image/20160701_021914764.jpg</t>
  </si>
  <si>
    <t>kotda chakar</t>
  </si>
  <si>
    <t>GUJRATENTERPRISES09@GMAIL.COM</t>
  </si>
  <si>
    <t>RINKU123</t>
  </si>
  <si>
    <t>R</t>
  </si>
  <si>
    <t>PATEL(Only Limited Details)</t>
  </si>
  <si>
    <t>Bhubaneswar</t>
  </si>
  <si>
    <t>B COM 2ND YEAR</t>
  </si>
  <si>
    <t>HAND &amp; LEGS  FINGER R NOT FULLY DEVELOPED</t>
  </si>
  <si>
    <t>STUDY</t>
  </si>
  <si>
    <t>NARAYAN PATEL</t>
  </si>
  <si>
    <t>MEGHJI BHAI PATEL</t>
  </si>
  <si>
    <t>26-34</t>
  </si>
  <si>
    <t>lalitpatel1911@gmail.com</t>
  </si>
  <si>
    <t>ok</t>
  </si>
  <si>
    <t>govindbhai</t>
  </si>
  <si>
    <t>kantaben</t>
  </si>
  <si>
    <t>harji bhai</t>
  </si>
  <si>
    <t>Sree hari Krishna saw mill Anjar kutch</t>
  </si>
  <si>
    <t>Doesnot Matter,Less than 10th (SSC)</t>
  </si>
  <si>
    <t>anjar</t>
  </si>
  <si>
    <t>Hour:15:AM</t>
  </si>
  <si>
    <t>image/20160703_221155344.jpg</t>
  </si>
  <si>
    <t>image/20160703_221155333.jpg</t>
  </si>
  <si>
    <t>aamara</t>
  </si>
  <si>
    <t>patelbhagwandas24@gmail.com</t>
  </si>
  <si>
    <t>Payal</t>
  </si>
  <si>
    <t>Ramani(Only Limited Details)</t>
  </si>
  <si>
    <t>Ghadani</t>
  </si>
  <si>
    <t>umesh.asanjo@gmail.com</t>
  </si>
  <si>
    <t>maiyat89umesh</t>
  </si>
  <si>
    <t>Maiyat</t>
  </si>
  <si>
    <t>Kachchh University</t>
  </si>
  <si>
    <t>Construction Site Management</t>
  </si>
  <si>
    <t>Asanjo Infrastructure Ltd 801, Luxuria Business Hub, Besides Dumas Resort, Near VR Mall, Dumas Road, Vesu, Surat – 395007. Gujarat - INDIA</t>
  </si>
  <si>
    <t>I am modest, but hard working and I consistently sets firm goals for myself. "I am confident in my abilities" Hobbies:-Drive The Car,Playing Cricket,Reading,</t>
  </si>
  <si>
    <t>Jayantilal Kanjibhai Maiyat</t>
  </si>
  <si>
    <t>Bhagvatiben Jayantilal Maiyat</t>
  </si>
  <si>
    <t>Kanjibhai Shivdasbhai Maiyat</t>
  </si>
  <si>
    <t>Mahadev Saw Mill, Kadodara Bardoli Road, Gangadhara-Bardoli Dist:-Surat</t>
  </si>
  <si>
    <t>Chaganlal Kanjibhai Vagadiya</t>
  </si>
  <si>
    <t>Shree Bhavani Saw Mill Sankagiri,Dist:-Salem(Tamilnadu)</t>
  </si>
  <si>
    <t>Ravapar</t>
  </si>
  <si>
    <t>(1)Respect people around her (2)Good sense of humor (can help reduce a lot of stress) (3)Open Minded (4)Lives and enjoys every moment of life, who will be my best friend for life..</t>
  </si>
  <si>
    <t>Dakor</t>
  </si>
  <si>
    <t>image/20160720_023710504.jpg</t>
  </si>
  <si>
    <t>image/20160720_023710393.jpg</t>
  </si>
  <si>
    <t>ValkaMota</t>
  </si>
  <si>
    <t>bhavikapatel194@gmail.com</t>
  </si>
  <si>
    <t>bhabika1987</t>
  </si>
  <si>
    <t>Bhavika</t>
  </si>
  <si>
    <t>fashiondesigning</t>
  </si>
  <si>
    <t>hi I m sensitive.I m foodie.I like music travelling reading dancing cooking driving.I like yoga meditation.</t>
  </si>
  <si>
    <t>Haribhai patel</t>
  </si>
  <si>
    <t>Vasantaben patel</t>
  </si>
  <si>
    <t>Kesrabhai patel</t>
  </si>
  <si>
    <t>Satsang house,new adarsh society,b/h sardar baug,sanala road,morbi.</t>
  </si>
  <si>
    <t>29-32</t>
  </si>
  <si>
    <t>Awaiting Divorce</t>
  </si>
  <si>
    <t>rich, handsome ,educated ,heighted</t>
  </si>
  <si>
    <t xml:space="preserve">kkat_333@yahoo.com </t>
  </si>
  <si>
    <t>cashmakeuplove28</t>
  </si>
  <si>
    <t>K</t>
  </si>
  <si>
    <t>P(Only Limited Details)</t>
  </si>
  <si>
    <t>23-25</t>
  </si>
  <si>
    <t>vimalpatel893@gmail.com</t>
  </si>
  <si>
    <t>vimal8600</t>
  </si>
  <si>
    <t>VIMAL</t>
  </si>
  <si>
    <t>BCCA</t>
  </si>
  <si>
    <t>NEXUS GROUP  SHOP NO - 15-16 &amp; 9-10 SURVEY NO -32/7 MAHALAXMI HEIGHTS B-WING PIMPRI PUNE-411018</t>
  </si>
  <si>
    <t>I LIVE WITH MY FAMILY MY HOBBY IS WATCHING MOVIES &amp; PLAYING CRICKET etc</t>
  </si>
  <si>
    <t>MANILAL</t>
  </si>
  <si>
    <t>SHARDA</t>
  </si>
  <si>
    <t>PREMJI</t>
  </si>
  <si>
    <t>Address FLAT NO.205,WING-A TULSI VANDHAN APPARTMENT, SECTOR-06,MOSHI PRADHIKARAN, BHOSARI, PUNE CITY, MAHARASHTRA PIN 411026</t>
  </si>
  <si>
    <t>18-35</t>
  </si>
  <si>
    <t>I WANT TO MY PARTNER MUST LOVE ME ....</t>
  </si>
  <si>
    <t>5:40:AM</t>
  </si>
  <si>
    <t>image/20161008_05084728.jpg</t>
  </si>
  <si>
    <t>image/20161008_05082696.jpg</t>
  </si>
  <si>
    <t>RAMPAR</t>
  </si>
  <si>
    <t>kanchanpatel1982@gmail.com</t>
  </si>
  <si>
    <t>vibhore22</t>
  </si>
  <si>
    <t>Ghanshyam</t>
  </si>
  <si>
    <t>Sakhala</t>
  </si>
  <si>
    <t>Kerala</t>
  </si>
  <si>
    <t>Thiruvananthapuram</t>
  </si>
  <si>
    <t>image/20170113_04060842.jpg</t>
  </si>
  <si>
    <t>image/20170113_04062154.jpg</t>
  </si>
  <si>
    <t>mits4590@gmail.com</t>
  </si>
  <si>
    <t>82333love2mits</t>
  </si>
  <si>
    <t>Mital</t>
  </si>
  <si>
    <t>M.Pharmacy</t>
  </si>
  <si>
    <t>RUHS</t>
  </si>
  <si>
    <t>Research Scholar</t>
  </si>
  <si>
    <t>Sports and drowing</t>
  </si>
  <si>
    <t>Arvindbhai</t>
  </si>
  <si>
    <t>Hansaben</t>
  </si>
  <si>
    <t>46-B, Ganshyam society dhansura Gujrat 383310</t>
  </si>
  <si>
    <t>24-29</t>
  </si>
  <si>
    <t>......</t>
  </si>
  <si>
    <t>5:55:Select</t>
  </si>
  <si>
    <t>image/20161112_012326954.jpg</t>
  </si>
  <si>
    <t>image/20161112_012326943.jpg</t>
  </si>
  <si>
    <t>bhadlu</t>
  </si>
  <si>
    <t>Manishchhabhaiya.2013@gmail.com</t>
  </si>
  <si>
    <t>manish3337</t>
  </si>
  <si>
    <t xml:space="preserve">Manish </t>
  </si>
  <si>
    <t xml:space="preserve">Chhabhaiya </t>
  </si>
  <si>
    <t>Bsc</t>
  </si>
  <si>
    <t>H.N.G.U</t>
  </si>
  <si>
    <t>Shri T S PATEL SCIENCE COLLAGE,  AMBALIYARA</t>
  </si>
  <si>
    <t>+Music  $marriage dance Reading#</t>
  </si>
  <si>
    <t>Chandaben</t>
  </si>
  <si>
    <t>Dhanpurakampa, bayad, aravalli, gujarat</t>
  </si>
  <si>
    <t>Secretary in dudh mandali</t>
  </si>
  <si>
    <t>Haribhai ratnabhai velani</t>
  </si>
  <si>
    <t>U.S.A</t>
  </si>
  <si>
    <t>Well Mature and understanding</t>
  </si>
  <si>
    <t>7:10:Select</t>
  </si>
  <si>
    <t>image/20161120_081424974.jpg</t>
  </si>
  <si>
    <t>image/20161120_081424643.jpg</t>
  </si>
  <si>
    <t>prinedh126@hotmail.com</t>
  </si>
  <si>
    <t>neha1993</t>
  </si>
  <si>
    <t>Neha</t>
  </si>
  <si>
    <t>Ukani</t>
  </si>
  <si>
    <t>AHMC HNGU</t>
  </si>
  <si>
    <t>Internship</t>
  </si>
  <si>
    <t>Engaged</t>
  </si>
  <si>
    <t>Maganlal Hansraj Patel</t>
  </si>
  <si>
    <t>Kamlaben</t>
  </si>
  <si>
    <t>Hansraj vishram Ukani</t>
  </si>
  <si>
    <t>B27, RTO RELOCATION, BHUJ KUTCH</t>
  </si>
  <si>
    <t>Project manager - engineering</t>
  </si>
  <si>
    <t>LODHA GROUP MUMBAI</t>
  </si>
  <si>
    <t>Shannon Naran Senghani</t>
  </si>
  <si>
    <t>901, Rajaji complex dombivali Thane Maharashtra</t>
  </si>
  <si>
    <t>Padampur Mandvi</t>
  </si>
  <si>
    <t>Complete English,Gujarathi (till School) + English</t>
  </si>
  <si>
    <t>Service,Professional</t>
  </si>
  <si>
    <t>Engaged with Mr Smittkumar</t>
  </si>
  <si>
    <t>6:56:PM</t>
  </si>
  <si>
    <t>image/20161128_003908574.jpg</t>
  </si>
  <si>
    <t>image/20161128_003908543.jpg</t>
  </si>
  <si>
    <t>Bidada Mandvi</t>
  </si>
  <si>
    <t>ketan530@gmail.com</t>
  </si>
  <si>
    <t>MAAPAA9421</t>
  </si>
  <si>
    <t>Ketan</t>
  </si>
  <si>
    <t>M.Com, I.C.A</t>
  </si>
  <si>
    <t>Nagpur University</t>
  </si>
  <si>
    <t>CA (Final)</t>
  </si>
  <si>
    <t>GCV &amp; Associates (Chartered Accountant),</t>
  </si>
  <si>
    <t>Interested in Book Reading, Watching Movies and love to spend time with Family &amp; Friends</t>
  </si>
  <si>
    <t>Kirtikumar Haribhai Limbani</t>
  </si>
  <si>
    <t>Narmada Limbani</t>
  </si>
  <si>
    <t>Haribhai Limbani</t>
  </si>
  <si>
    <t>Flat No. C-500, Raghukul Appartment, Near Nehru Garden, Lakadganj, Nagpur-440008</t>
  </si>
  <si>
    <t>Kishor Gangarambhai Parasiya</t>
  </si>
  <si>
    <t>Arjunbhai &amp; Son's, Khandwa</t>
  </si>
  <si>
    <t>Nana Angiya</t>
  </si>
  <si>
    <t>25-32</t>
  </si>
  <si>
    <t>Simple and having Good Nature</t>
  </si>
  <si>
    <t>Wardha</t>
  </si>
  <si>
    <t>8:36:AM</t>
  </si>
  <si>
    <t>image/20161204_074821004.jpg</t>
  </si>
  <si>
    <t>image/20161204_074820973.jpg</t>
  </si>
  <si>
    <t>Virani (Moti)</t>
  </si>
  <si>
    <t>niral.diwani98@gmail.com</t>
  </si>
  <si>
    <t>np19101993</t>
  </si>
  <si>
    <t>Niral</t>
  </si>
  <si>
    <t>Diwani</t>
  </si>
  <si>
    <t>Gujarat university</t>
  </si>
  <si>
    <t>ND &amp; ASSOCIATES</t>
  </si>
  <si>
    <t>My hobbies are listening music and playing a games. Understanding nature. I Am Ready For  Accept the all type of challenge In Any Time In Any Where.</t>
  </si>
  <si>
    <t>Hemantbhai</t>
  </si>
  <si>
    <t>Bhagavatiben</t>
  </si>
  <si>
    <t>Devajibhai</t>
  </si>
  <si>
    <t>A-4 shiv Darshan society behind Gayatri high school naroda ahmedabad</t>
  </si>
  <si>
    <t>Shree aata maker Amrit Dhara R.O System And Service Uma tours &amp; travels</t>
  </si>
  <si>
    <t>Dharmeshbhai Velani</t>
  </si>
  <si>
    <t>Guntali deshalpar</t>
  </si>
  <si>
    <t>If she want for study or job then we all family member are agree with her and understanding nature. She has understanding nature.</t>
  </si>
  <si>
    <t>image/20161207_00205529.jpg</t>
  </si>
  <si>
    <t>image/20161207_00273710.jpg</t>
  </si>
  <si>
    <t>Moti virani</t>
  </si>
  <si>
    <t>avnishpatelgec@gmail.com</t>
  </si>
  <si>
    <t>gj9s1203</t>
  </si>
  <si>
    <t>Avnish</t>
  </si>
  <si>
    <t>Chaudhary</t>
  </si>
  <si>
    <t>M.Tech</t>
  </si>
  <si>
    <t>Dharamsinh Desai University</t>
  </si>
  <si>
    <t>BE</t>
  </si>
  <si>
    <t>Civica, Vadodara</t>
  </si>
  <si>
    <t>Thanks for reaching out. I am Software Engineer. In free time I like to  watch movies, play cricket , read movie.  For more details   https://m.facebook.com/avnishpatel1233  https://www.linkedin.com/in/avnishpatel007</t>
  </si>
  <si>
    <t>Punambhai</t>
  </si>
  <si>
    <t>Mangalaben</t>
  </si>
  <si>
    <t>Vitthalbhai</t>
  </si>
  <si>
    <t>At-RamapirKampa, Dist : Arvalli,  Gujarat</t>
  </si>
  <si>
    <t>Farmer</t>
  </si>
  <si>
    <t>Undergraduate,Bachelors,Masters,Diploma</t>
  </si>
  <si>
    <t>Broad Minded, Mature,  Peaceful Nature</t>
  </si>
  <si>
    <t>image/20161218_103739294.jpg</t>
  </si>
  <si>
    <t>image/20161218_103739283.jpg</t>
  </si>
  <si>
    <t>Darasdi</t>
  </si>
  <si>
    <t>chintanchaudhari1233@gmail.com</t>
  </si>
  <si>
    <t>Chintan</t>
  </si>
  <si>
    <t>Dhansura</t>
  </si>
  <si>
    <t>ITI</t>
  </si>
  <si>
    <t>Bhairav Construction, Surat</t>
  </si>
  <si>
    <t>Meet new people, watch movie, travelling</t>
  </si>
  <si>
    <t>At-Ramapirkampa,Ta-Dhansura,Dist-Sabarkantha,Gujarat</t>
  </si>
  <si>
    <t>25-33</t>
  </si>
  <si>
    <t>No Special Requirement</t>
  </si>
  <si>
    <t>image/20161219_075046494.jpg</t>
  </si>
  <si>
    <t>image/20161219_075046473.jpg</t>
  </si>
  <si>
    <t>Darasadi</t>
  </si>
  <si>
    <t>prafull.engg@gmail.com</t>
  </si>
  <si>
    <t>psp100.com</t>
  </si>
  <si>
    <t>prafull</t>
  </si>
  <si>
    <t>khartoum</t>
  </si>
  <si>
    <t>electrical engineering</t>
  </si>
  <si>
    <t>satara polytechnic</t>
  </si>
  <si>
    <t>Robotics Automation</t>
  </si>
  <si>
    <t>I am an electrical maintenance engineer working for samsung company placed  in sudan (North Africa ).Also handling project for Robot installation and  programming.  I like to travel  and singing. Playing chess is my first interest in playing and  reading is my hobby.  I traveled more  than 2 lac km  for my project application  including Africa  and  Dubai.</t>
  </si>
  <si>
    <t>shivagan bhai pokar</t>
  </si>
  <si>
    <t>savita ben</t>
  </si>
  <si>
    <t>karsan bhai pokar</t>
  </si>
  <si>
    <t>Ap- Kadi.  96,Ayodhya Dham Society 4  Mahesana. Gujarat.</t>
  </si>
  <si>
    <t>Saw mill .</t>
  </si>
  <si>
    <t>Panchwati Saw mill,Detroj, Opp. gujarati school Detroj char rasta . Tal- detroj, Dist -0 Ahmedabad,, Gujarat.</t>
  </si>
  <si>
    <t>Should have good nature and understanding. ready to travel with  me to abroad. should know all house hold activities.</t>
  </si>
  <si>
    <t>nani virani</t>
  </si>
  <si>
    <t>3:30:PM</t>
  </si>
  <si>
    <t>image/20161219_075425744.jpg</t>
  </si>
  <si>
    <t>image/20161219_075425723.jpg</t>
  </si>
  <si>
    <t>Nani  Virani,Dayapar.</t>
  </si>
  <si>
    <t>rohitchhabhaiya52@gmail.com</t>
  </si>
  <si>
    <t>ro121989</t>
  </si>
  <si>
    <t>Rohit</t>
  </si>
  <si>
    <t>software engineer</t>
  </si>
  <si>
    <t>aptech university</t>
  </si>
  <si>
    <t>farmar</t>
  </si>
  <si>
    <t>Agricultural Professional (Others)</t>
  </si>
  <si>
    <t>Collecting old money's, Interest to go on long drives when I fill alone.</t>
  </si>
  <si>
    <t>praveen bhai</t>
  </si>
  <si>
    <t>parvati ben</t>
  </si>
  <si>
    <t>megji bhai</t>
  </si>
  <si>
    <t>152,patelvas, laxmipar(Netra), tal-nakhatrana, bhuj.</t>
  </si>
  <si>
    <t>wood cutter</t>
  </si>
  <si>
    <t>18-27</t>
  </si>
  <si>
    <t>Be what u r</t>
  </si>
  <si>
    <t>shivupuri</t>
  </si>
  <si>
    <t>6:45:AM</t>
  </si>
  <si>
    <t>image/20161229_213403794.jpg</t>
  </si>
  <si>
    <t>image/20161229_213403793.jpg</t>
  </si>
  <si>
    <t>laxmipar(Netra), tal-nakhatrana</t>
  </si>
  <si>
    <t>rvalani4@gmail.com</t>
  </si>
  <si>
    <t xml:space="preserve">Pooja </t>
  </si>
  <si>
    <t>valani (surani bhagat)(Only Limited Details)</t>
  </si>
  <si>
    <t>gujarat</t>
  </si>
  <si>
    <t>PATEL ESTATE THASRA 388250</t>
  </si>
  <si>
    <t>Teaching</t>
  </si>
  <si>
    <t>bokareankit@gmail.com</t>
  </si>
  <si>
    <t>Bokare12345</t>
  </si>
  <si>
    <t>Ankit</t>
  </si>
  <si>
    <t>Bokare(Only Limited Details)</t>
  </si>
  <si>
    <t>Bholu3099@gmail.com</t>
  </si>
  <si>
    <t>hardik8944</t>
  </si>
  <si>
    <t>Hardik</t>
  </si>
  <si>
    <t>Twelve</t>
  </si>
  <si>
    <t>Shree Gajanan Mobile Shop Dholka</t>
  </si>
  <si>
    <t>Travelling, Photography, Cricket, Expanding Business.</t>
  </si>
  <si>
    <t>Dilipbhai</t>
  </si>
  <si>
    <t>Hariomnagar Society. Dholka</t>
  </si>
  <si>
    <t>Simple</t>
  </si>
  <si>
    <t>Dholka</t>
  </si>
  <si>
    <t>6:20:AM</t>
  </si>
  <si>
    <t>image/20170108_094711254.jpg</t>
  </si>
  <si>
    <t>image/20170108_094711243.jpg</t>
  </si>
  <si>
    <t>Mankuwa</t>
  </si>
  <si>
    <t>harshika212@gmail.com</t>
  </si>
  <si>
    <t>kartik1994</t>
  </si>
  <si>
    <t>Harshika</t>
  </si>
  <si>
    <t>Kamineni Institute Of Medical Sciences</t>
  </si>
  <si>
    <t>Reading, Listening to music</t>
  </si>
  <si>
    <t>Anil Patel</t>
  </si>
  <si>
    <t>Parul Patel</t>
  </si>
  <si>
    <t>Devsi Patel</t>
  </si>
  <si>
    <t>H.no:4-35-435,Madhavaram colony, Opp. Allwyn colony 1st phase, Kukatpally,Hyderabad 500072.</t>
  </si>
  <si>
    <t>Real Pack Wood. 4-35-435,Madhavaram Colony,Opp. Allwyn colony 1st phase, Kukatpally, Hyderabad 500072.</t>
  </si>
  <si>
    <t>24-26</t>
  </si>
  <si>
    <t>Must be a Doctor</t>
  </si>
  <si>
    <t>7:30:AM</t>
  </si>
  <si>
    <t>image/20170114_020920904.jpg</t>
  </si>
  <si>
    <t>image/20170114_020920863.jpg</t>
  </si>
  <si>
    <t>Veerani Moti</t>
  </si>
  <si>
    <t>28anuppatel@gmail.com</t>
  </si>
  <si>
    <t>Anup</t>
  </si>
  <si>
    <t>Bhawani</t>
  </si>
  <si>
    <t>Details no longer requested</t>
  </si>
  <si>
    <t>Details not longer requested</t>
  </si>
  <si>
    <t>I m good boy and my hobby is playing cricket and listening music</t>
  </si>
  <si>
    <t>Bhabhi bhai bhawani</t>
  </si>
  <si>
    <t>Leela Ben Bhawani</t>
  </si>
  <si>
    <t>Lalji bhai Bhawani</t>
  </si>
  <si>
    <t>4,aadarsh nagar society opp.keya  motors chhani jakat naka, Vadodara</t>
  </si>
  <si>
    <t>Dhanji bhai sivji bhai Bhagat</t>
  </si>
  <si>
    <t>Garba chock varmanagar kutch</t>
  </si>
  <si>
    <t>Simple and good</t>
  </si>
  <si>
    <t>Bilimora</t>
  </si>
  <si>
    <t>8:20:Select</t>
  </si>
  <si>
    <t>image/20170115_024624163.jpg</t>
  </si>
  <si>
    <t>Ghaduli</t>
  </si>
  <si>
    <t>dapolihardware@gmail.com</t>
  </si>
  <si>
    <t>Ratnagiri</t>
  </si>
  <si>
    <t>Playing Games Reading Books  Traveling</t>
  </si>
  <si>
    <t>MANGALDAS</t>
  </si>
  <si>
    <t>VANITA</t>
  </si>
  <si>
    <t>SHIVDAS</t>
  </si>
  <si>
    <t>Near Pranth Office ,Zariali  Dapoli Pin-415712 Dist-Ratnagari</t>
  </si>
  <si>
    <t>25-28</t>
  </si>
  <si>
    <t>Sansakeri , Khot Khapan Vagerni</t>
  </si>
  <si>
    <t>image/20170117_231301544.jpg</t>
  </si>
  <si>
    <t>image/20170117_231301453.jpg</t>
  </si>
  <si>
    <t>paliwad(nakhatrana)</t>
  </si>
  <si>
    <t>gbpatel7976@gmail.com</t>
  </si>
  <si>
    <t>gbpatel7976</t>
  </si>
  <si>
    <t>APURVKUMAR GHANSHYAMBHAI</t>
  </si>
  <si>
    <t>Panchseel Vidhyalay   At  Mathavkampa  As a Trustee</t>
  </si>
  <si>
    <t>PLAYING CRICKET</t>
  </si>
  <si>
    <t>GHANSHYAMBHAI BABUBHAI PATEL</t>
  </si>
  <si>
    <t>CHANDRIKABEN GHANSHYAMBHAI PATEL</t>
  </si>
  <si>
    <t>BABUBHAI JETHABHAI PATEL</t>
  </si>
  <si>
    <t>AT &amp; PO - VISHNUPURA,TA - KAPADVANJ,DIST - KHEDA, 387620</t>
  </si>
  <si>
    <t>Agriculture</t>
  </si>
  <si>
    <t>Vrundavan Traders   At - Kavathpatiya Ta- Kapadvanj , Dist - Kheda</t>
  </si>
  <si>
    <t>BHARATBHAI SOMABHAI NAKRANI</t>
  </si>
  <si>
    <t>AT &amp; POST &amp; TA - Kalol Dist - Ghandhinagar</t>
  </si>
  <si>
    <t>image/20170118_024649461.jpg</t>
  </si>
  <si>
    <t>image/20170118_024649554.jpg</t>
  </si>
  <si>
    <t>image/20170118_024649543.jpg</t>
  </si>
  <si>
    <t>MANKUVA</t>
  </si>
  <si>
    <t>hrp265ngp@gmail.com</t>
  </si>
  <si>
    <t>hrp25779ngp</t>
  </si>
  <si>
    <t xml:space="preserve">Hiren </t>
  </si>
  <si>
    <t>I am from Well to do family Traveling, Reading</t>
  </si>
  <si>
    <t>Mayaben</t>
  </si>
  <si>
    <t>Somjibhai</t>
  </si>
  <si>
    <t>265, Ashish, Satnami Nagar Layout, Near Radiance Hospital Lakadganj,</t>
  </si>
  <si>
    <t>28-32</t>
  </si>
  <si>
    <t>Famelier</t>
  </si>
  <si>
    <t>image/20170118_064931231.jpg</t>
  </si>
  <si>
    <t>image/20170118_064931294.jpg</t>
  </si>
  <si>
    <t>image/20170118_064931293.jpg</t>
  </si>
  <si>
    <t>nikhilrudani54@gmail.com</t>
  </si>
  <si>
    <t>nikhil</t>
  </si>
  <si>
    <t>rudani</t>
  </si>
  <si>
    <t>Interest</t>
  </si>
  <si>
    <t>gangaram</t>
  </si>
  <si>
    <t>govri ben</t>
  </si>
  <si>
    <t>devji</t>
  </si>
  <si>
    <t>No.687 c.b.i main road r.t nagar post bangalore-32</t>
  </si>
  <si>
    <t>27-27</t>
  </si>
  <si>
    <t>Rocksashok2255@gmail.com</t>
  </si>
  <si>
    <t>ashok321</t>
  </si>
  <si>
    <t>Ashok</t>
  </si>
  <si>
    <t>Chauhan&amp;nbsp;&lt;b&gt;Mulshakha&lt;/b&gt; &amp;nbsp;Godal</t>
  </si>
  <si>
    <t>Modeling</t>
  </si>
  <si>
    <t>Fashion Designer</t>
  </si>
  <si>
    <t>Acting, dancing, cricket, football, badminton, driving</t>
  </si>
  <si>
    <t>Govind bhai</t>
  </si>
  <si>
    <t>Narmada ben</t>
  </si>
  <si>
    <t>Devji bhai</t>
  </si>
  <si>
    <t>95,bhatwadi,vengurla,sindhudurga.(Oras)</t>
  </si>
  <si>
    <t>24-24</t>
  </si>
  <si>
    <t>Cute and smart,  good culture</t>
  </si>
  <si>
    <t>image/20170122_072402711.jpg</t>
  </si>
  <si>
    <t>image/20170122_072402794.jpg</t>
  </si>
  <si>
    <t>image/20170122_072402773.jpg</t>
  </si>
  <si>
    <t>leoajay.aj@gmail.com</t>
  </si>
  <si>
    <t>sanjay8496</t>
  </si>
  <si>
    <t>ajay</t>
  </si>
  <si>
    <t>pajwani</t>
  </si>
  <si>
    <t>Telangana</t>
  </si>
  <si>
    <t>Pajwani&amp;nbsp;&lt;b&gt;Mulshakha&lt;/b&gt; &amp;nbsp;Chapeliya</t>
  </si>
  <si>
    <t>i am a straight forward person, believe in action rather than words upholding traditional values  watching movies and listening music</t>
  </si>
  <si>
    <t>vinod pajwani</t>
  </si>
  <si>
    <t>hansa pajwani</t>
  </si>
  <si>
    <t>ramji pajwani</t>
  </si>
  <si>
    <t>flat no ; 402 , sri krishna residency, huda colony , chandanagar, hyderabad, telangana state</t>
  </si>
  <si>
    <t>must be willing to spend the life in any situation with me happily</t>
  </si>
  <si>
    <t>image/20170123_111143424.jpg</t>
  </si>
  <si>
    <t>image/20170123_111143003.jpg</t>
  </si>
  <si>
    <t>gadaani</t>
  </si>
  <si>
    <t>bhavesh9422@yahoo.com</t>
  </si>
  <si>
    <t>bhavesh8236</t>
  </si>
  <si>
    <t>Hii It,s Bhavesh Pokar I Have Completed Ma Bcom Final Year Currently I M Doing My Personal Business Of Plywood I Have 1 Brother He Is Married My Mom Is HouseWife And Dad Is Also Supporting In Business</t>
  </si>
  <si>
    <t>Rajendra Pokar</t>
  </si>
  <si>
    <t>Damyanti Pokar</t>
  </si>
  <si>
    <t>Madhovji Pokar</t>
  </si>
  <si>
    <t>Mayur Palace Plot No 16/17 Flat No,305 Trimurti Nagar Ring Road Nagpur.</t>
  </si>
  <si>
    <t>I Would Like 2 Say Only 1 Thing That She Should Handle Family...</t>
  </si>
  <si>
    <t>image/20170125_01255550.jpg</t>
  </si>
  <si>
    <t>image/20170125_01035486.jpg</t>
  </si>
  <si>
    <t>image/20170125_01045048.jpg</t>
  </si>
  <si>
    <t xml:space="preserve">Chetanya.patel@gmail.com </t>
  </si>
  <si>
    <t>patanahi0</t>
  </si>
  <si>
    <t>Chetanya</t>
  </si>
  <si>
    <t>Itarsi</t>
  </si>
  <si>
    <t>BhawaniMulshakha Dani</t>
  </si>
  <si>
    <t>Bachelor of Engineering</t>
  </si>
  <si>
    <t>Rajiv Gandhi Technical University</t>
  </si>
  <si>
    <t>Software Consultant</t>
  </si>
  <si>
    <t>LTI - Larsen &amp; Toubro Infotech, Pune</t>
  </si>
  <si>
    <t>I am a fun loving person. Always try to enjoy every moment of life.</t>
  </si>
  <si>
    <t>Ramesh Chandra Patel</t>
  </si>
  <si>
    <t>Chandrika Patel</t>
  </si>
  <si>
    <t>Lalji Bhai Patel</t>
  </si>
  <si>
    <t>Ward No. 23, Vinoba Bhave Marg, Gandhi Nagar, ITARSI, (M.P.)-461111</t>
  </si>
  <si>
    <t>Bhawani Service, Main Road, ITARSI, (M.P.)-461111</t>
  </si>
  <si>
    <t>Narsingh Bhai Patel</t>
  </si>
  <si>
    <t>MIG-29, Arving Nagar Colony, Koyla Fatak Road, Ujjain (M.P.)-456001</t>
  </si>
  <si>
    <t>Fun Loving and understanding</t>
  </si>
  <si>
    <t>ITARSI (M.P.)</t>
  </si>
  <si>
    <t>image/20170807_04472047.jpg</t>
  </si>
  <si>
    <t>image/20170807_04473218.jpg</t>
  </si>
  <si>
    <t>kanjibhaipatel88@gmail.com</t>
  </si>
  <si>
    <t>shankar1234</t>
  </si>
  <si>
    <t>Shankar</t>
  </si>
  <si>
    <t>Khandwa</t>
  </si>
  <si>
    <t>Thakarani&amp;nbsp;&lt;b&gt;Mulshakha&lt;/b&gt; &amp;nbsp;Pahan</t>
  </si>
  <si>
    <t>Cricket &amp; other sports</t>
  </si>
  <si>
    <t>shivji bhai</t>
  </si>
  <si>
    <t>jaya ben</t>
  </si>
  <si>
    <t>kanji bhai</t>
  </si>
  <si>
    <t>Kanji bhai patep&amp;co.Old indore railway line khandwa(m.p.)</t>
  </si>
  <si>
    <t>Never Married,Divorced,Widowed,Annulled</t>
  </si>
  <si>
    <t>Crarring house wife</t>
  </si>
  <si>
    <t>image/20170125_025138401.jpg</t>
  </si>
  <si>
    <t>image/20170125_025138484.jpg</t>
  </si>
  <si>
    <t>image/20170125_025138463.jpg</t>
  </si>
  <si>
    <t>tharawda</t>
  </si>
  <si>
    <t>hani881994@gmail.com</t>
  </si>
  <si>
    <t>mychoice881994</t>
  </si>
  <si>
    <t>Hetal</t>
  </si>
  <si>
    <t>I'm working as a java developer . I have positive attitude and self depended person. I interested to work my own field.  My hobbies are surfing, dancing, singing and Traveling.</t>
  </si>
  <si>
    <t>kanti bhai</t>
  </si>
  <si>
    <t>Harji bhai</t>
  </si>
  <si>
    <t>Naroda,Ahmedabad</t>
  </si>
  <si>
    <t>Nothing  Special</t>
  </si>
  <si>
    <t>jinjay</t>
  </si>
  <si>
    <t>mukeshpajwani.vmp@gmail.com</t>
  </si>
  <si>
    <t>ajay8496</t>
  </si>
  <si>
    <t>mukesh</t>
  </si>
  <si>
    <t>honesty and friendship admire me most,i love sports and listening music</t>
  </si>
  <si>
    <t>flat no 402,sri krishna residency,huda colony , chandanagar, hyderabad,telangana state.</t>
  </si>
  <si>
    <t>must be respecting,loving and willing to fulfill the journey of life happily sharing all the pretty and bitter moments equally with me</t>
  </si>
  <si>
    <t>image/20170125_215414784.jpg</t>
  </si>
  <si>
    <t>image/20170125_215414763.jpg</t>
  </si>
  <si>
    <t>gaadani</t>
  </si>
  <si>
    <t>dhabalpatel@gmail.com</t>
  </si>
  <si>
    <t>rekha.dhabal1</t>
  </si>
  <si>
    <t xml:space="preserve">Dhabal </t>
  </si>
  <si>
    <t xml:space="preserve">Patel </t>
  </si>
  <si>
    <t>Udupi</t>
  </si>
  <si>
    <t>PG Diploma</t>
  </si>
  <si>
    <t>Jadavpur University</t>
  </si>
  <si>
    <t>Shree Sharada Enterprises Opp of Hiremahalingeswara Temple, Kota- 576221</t>
  </si>
  <si>
    <t>Love to spend time with family and friends. Love outdoor games and reading books.</t>
  </si>
  <si>
    <t>Kantilal Patel</t>
  </si>
  <si>
    <t>Gangaben Patel</t>
  </si>
  <si>
    <t>Rajabhai Patel</t>
  </si>
  <si>
    <t>C/o- Shree Sharda Enterprises, Opp of Hiremahalingeswara Temple, Kota-576221</t>
  </si>
  <si>
    <t>none</t>
  </si>
  <si>
    <t>Same as mine</t>
  </si>
  <si>
    <t>Should take care of my house. So I can take care of business.</t>
  </si>
  <si>
    <t>Kolkata</t>
  </si>
  <si>
    <t>image/20170128_23053641.jpg</t>
  </si>
  <si>
    <t>image/20170128_23043077.jpg</t>
  </si>
  <si>
    <t>Nana Angia</t>
  </si>
  <si>
    <t>bhagyeshp95@gmail.com</t>
  </si>
  <si>
    <t>Bj@456789</t>
  </si>
  <si>
    <t>BhagatMulshakha Lahuot</t>
  </si>
  <si>
    <t>VP / AVP / GM / DGM</t>
  </si>
  <si>
    <t>Ambaji Timber Mart Balasinor road, Kathlal, Gujarat</t>
  </si>
  <si>
    <t>Reading, Playing Cricket</t>
  </si>
  <si>
    <t>Kamlaben Patel</t>
  </si>
  <si>
    <t>Gangdasbhai Patel</t>
  </si>
  <si>
    <t>29 umiya park soc., balasinor road, kathlal, Gujarat</t>
  </si>
  <si>
    <t>Karnavati Hardware &amp; Plywood Shop no. 5, Phuspak Flat, Smruti Mandir Canal Road, Ghodasar, Ahmedabad, Gujarat</t>
  </si>
  <si>
    <t>Dhayabhai Mavjibhai Rangani</t>
  </si>
  <si>
    <t>High School,Undergraduate,Bachelors</t>
  </si>
  <si>
    <t>Partner should be simple and caring.</t>
  </si>
  <si>
    <t>image/20170129_06231949.jpg</t>
  </si>
  <si>
    <t>image/20170129_06182440.jpg</t>
  </si>
  <si>
    <t>image/20170129_06192596.jpg</t>
  </si>
  <si>
    <t>Ukheda</t>
  </si>
  <si>
    <t>vrushabh.patel75@ymail.com</t>
  </si>
  <si>
    <t>harshit1187</t>
  </si>
  <si>
    <t>Harshit</t>
  </si>
  <si>
    <t>Automobiles Engineer</t>
  </si>
  <si>
    <t>Learning more and more about cars and related technologies.</t>
  </si>
  <si>
    <t>Narsinh</t>
  </si>
  <si>
    <t>Lila</t>
  </si>
  <si>
    <t>Chhaganlal</t>
  </si>
  <si>
    <t>602, Green Ridge-2, Shimpoli, Link Rd, Borivali (W).</t>
  </si>
  <si>
    <t>25-29</t>
  </si>
  <si>
    <t>The partner should be working and educated.</t>
  </si>
  <si>
    <t>image/20170202_09301675.jpg</t>
  </si>
  <si>
    <t>image/20170202_09313947.jpg</t>
  </si>
  <si>
    <t>Kotda Chakkar</t>
  </si>
  <si>
    <t>Vipul patel</t>
  </si>
  <si>
    <t>vipul1234</t>
  </si>
  <si>
    <t>Office administration</t>
  </si>
  <si>
    <t>Playing volleyball and cricket</t>
  </si>
  <si>
    <t>PURSHOTTAM</t>
  </si>
  <si>
    <t>VIJAYA</t>
  </si>
  <si>
    <t>HANSRAJ</t>
  </si>
  <si>
    <t>Patel saw mill. Mahaveer nagar. A/p. Hupari</t>
  </si>
  <si>
    <t>She should manege all home activities</t>
  </si>
  <si>
    <t>image/20170201_060652354.jpg</t>
  </si>
  <si>
    <t>image/20170201_060652333.jpg</t>
  </si>
  <si>
    <t>Mota kadia</t>
  </si>
  <si>
    <t>chandreshpatel155@gmail.com</t>
  </si>
  <si>
    <t>chandresh20881</t>
  </si>
  <si>
    <t>Chandresh</t>
  </si>
  <si>
    <t>N. S. Enterprises Flat no.5, Vaishnavi Building, Mahalaxmi Society, Kathe Galli, Near Trikoni Garden, Dwarka, Nashik</t>
  </si>
  <si>
    <t>Love my family</t>
  </si>
  <si>
    <t>Nanjibhai Khimjibhai Patel</t>
  </si>
  <si>
    <t>Savitaben Nanjibhai Patel</t>
  </si>
  <si>
    <t>Khimjibhai Virji bhai Patel</t>
  </si>
  <si>
    <t>Flat no. 5, 2nd floor, Vaishnavi Building, Mahalaxmi Society, Near Trikoni Garden, Lathe Galli, Dwarka,  Nashik.</t>
  </si>
  <si>
    <t>25-34</t>
  </si>
  <si>
    <t>Simple Living</t>
  </si>
  <si>
    <t>Yeola</t>
  </si>
  <si>
    <t>image/20170202_23073323.jpg</t>
  </si>
  <si>
    <t>image/20170202_23093367.jpg</t>
  </si>
  <si>
    <t>image/20170202_23095817.jpg</t>
  </si>
  <si>
    <t>Patelurvashi1194@gmail.com</t>
  </si>
  <si>
    <t>uru201194</t>
  </si>
  <si>
    <t>Urvashi</t>
  </si>
  <si>
    <t>Problem in right leg</t>
  </si>
  <si>
    <t>Mendhi designing</t>
  </si>
  <si>
    <t>Diwani giridhar patel</t>
  </si>
  <si>
    <t>Diwani gauri ben</t>
  </si>
  <si>
    <t>Jeevraj harji diwani</t>
  </si>
  <si>
    <t>H.no 502.starlite appartments idpl chintal ,hyderabad</t>
  </si>
  <si>
    <t>Jeethal velji bhavani</t>
  </si>
  <si>
    <t>Opposite sha Theatre chintal Hyderabad</t>
  </si>
  <si>
    <t>Umeedpurakampa</t>
  </si>
  <si>
    <t>Kotada</t>
  </si>
  <si>
    <t>jitendra.nakrani@gmail.com</t>
  </si>
  <si>
    <t>jaan3333</t>
  </si>
  <si>
    <t>Jitendra</t>
  </si>
  <si>
    <t>GMDC arts and commerce collage</t>
  </si>
  <si>
    <t>Pawansut Traders Near, S T Bus Stand, At. Virani Moti Ta. Nakhatrana</t>
  </si>
  <si>
    <t>connect new friends Like farm work</t>
  </si>
  <si>
    <t>Dhirajlal</t>
  </si>
  <si>
    <t>Jasodaben</t>
  </si>
  <si>
    <t>Premjibhai</t>
  </si>
  <si>
    <t>Patel vas Kadiya mota</t>
  </si>
  <si>
    <t>Valjibhai Jasabhai Limbani</t>
  </si>
  <si>
    <t>At. Dhanera Ta. Banaskantha</t>
  </si>
  <si>
    <t>Doesnot Matter,High School</t>
  </si>
  <si>
    <t>like saro swabhav</t>
  </si>
  <si>
    <t>Khombhadi Moti</t>
  </si>
  <si>
    <t>image/20170502_06112828.jpg</t>
  </si>
  <si>
    <t>image/20170502_06113843.jpg</t>
  </si>
  <si>
    <t>Urvashipatel1194@gmail.com</t>
  </si>
  <si>
    <t>Mehandi designing</t>
  </si>
  <si>
    <t>Diwani jeevraj bhai</t>
  </si>
  <si>
    <t>Starlite appts idpl chintal hyderabad</t>
  </si>
  <si>
    <t>Jeethalal velji bhavani</t>
  </si>
  <si>
    <t>Opposite to sha theatre chintal Hyderabad</t>
  </si>
  <si>
    <t>Understanding and caring</t>
  </si>
  <si>
    <t>rakeshpatelkp7@gmail.com</t>
  </si>
  <si>
    <t>27111991ready</t>
  </si>
  <si>
    <t>Rakesh</t>
  </si>
  <si>
    <t>Davanagere</t>
  </si>
  <si>
    <t>L K Kathare &amp; CO Bangalore</t>
  </si>
  <si>
    <t>I am Rakesh Patel. Very cool, calm and simple person.</t>
  </si>
  <si>
    <t>K D Patel</t>
  </si>
  <si>
    <t>Champa Ben</t>
  </si>
  <si>
    <t>D R Patel</t>
  </si>
  <si>
    <t>Ganga Nivas, Door No.704, Nataraj Layout, Harappanahalli, Davanagere District, Karnataka,Pin 583131.</t>
  </si>
  <si>
    <t>Simple girl with traditional values and to support joint family culture.</t>
  </si>
  <si>
    <t>image/20170205_002903554.jpg</t>
  </si>
  <si>
    <t>image/20170205_002903543.jpg</t>
  </si>
  <si>
    <t>ombhimani05@gmail.com</t>
  </si>
  <si>
    <t>1966ABCD</t>
  </si>
  <si>
    <t>URAVASHI</t>
  </si>
  <si>
    <t>BHIMANI</t>
  </si>
  <si>
    <t>CA</t>
  </si>
  <si>
    <t>ICAI</t>
  </si>
  <si>
    <t>KPMG BANGALORE</t>
  </si>
  <si>
    <t>Kundan</t>
  </si>
  <si>
    <t>Lakshmi</t>
  </si>
  <si>
    <t>303 Usha apartment wardhaman nagar nagpur</t>
  </si>
  <si>
    <t>Arjun Chabhaiya</t>
  </si>
  <si>
    <t>Rajpur Kolkata</t>
  </si>
  <si>
    <t>Should be independent</t>
  </si>
  <si>
    <t>Devpar</t>
  </si>
  <si>
    <t>ritesh89.rp@gmail.com</t>
  </si>
  <si>
    <t>ritesh89</t>
  </si>
  <si>
    <t>Ritesh</t>
  </si>
  <si>
    <t>B. E Biotechnology</t>
  </si>
  <si>
    <t>Saurashtra University</t>
  </si>
  <si>
    <t>Bodal chemical ltd. Ahemdabad</t>
  </si>
  <si>
    <t>my hobbies are reading,music,movie,play cricket,vollyball and travel differnt place.</t>
  </si>
  <si>
    <t>Ravji bhai</t>
  </si>
  <si>
    <t>Parvati</t>
  </si>
  <si>
    <t>Vitthal das</t>
  </si>
  <si>
    <t>101 guru krupa residency, opp. meldi maa temple, manjipura road Nadiad</t>
  </si>
  <si>
    <t>India timber mart</t>
  </si>
  <si>
    <t>Rameshbhai Nanjibhai Limbani</t>
  </si>
  <si>
    <t>Siyot</t>
  </si>
  <si>
    <t>she understand me and my family mamber.</t>
  </si>
  <si>
    <t>image/20191104_00051033.jpg</t>
  </si>
  <si>
    <t>image/20170224_08520649.jpg</t>
  </si>
  <si>
    <t>image/20170224_08512158.jpg</t>
  </si>
  <si>
    <t>halpanikiran@gmail.com</t>
  </si>
  <si>
    <t>Jaisrikrishna0819</t>
  </si>
  <si>
    <t>kiran</t>
  </si>
  <si>
    <t>Vijayawada</t>
  </si>
  <si>
    <t>PLAYING</t>
  </si>
  <si>
    <t>SHIVJI HIRJI PATEL</t>
  </si>
  <si>
    <t>PARVATHI SHIVJI PATEL</t>
  </si>
  <si>
    <t>HIRJI VISHRAM PATEL</t>
  </si>
  <si>
    <t>30-22-119/A , SEETHARAM PURAM ELURU ROAD , VIJAYAWADA 520002</t>
  </si>
  <si>
    <t>GRAHA  LAKSHMI</t>
  </si>
  <si>
    <t>vijayawad</t>
  </si>
  <si>
    <t>image/20170214_002312274.jpg</t>
  </si>
  <si>
    <t>image/20170214_002312253.jpg</t>
  </si>
  <si>
    <t>VIGODI</t>
  </si>
  <si>
    <t>nakulpatel02@gmail.com</t>
  </si>
  <si>
    <t>nakul1991</t>
  </si>
  <si>
    <t>Nakul</t>
  </si>
  <si>
    <t>Tasgaon</t>
  </si>
  <si>
    <t>b.com fy</t>
  </si>
  <si>
    <t>shivaji university</t>
  </si>
  <si>
    <t>non</t>
  </si>
  <si>
    <t>i like to learn about new things</t>
  </si>
  <si>
    <t>Bhagwandas</t>
  </si>
  <si>
    <t>Narmada</t>
  </si>
  <si>
    <t>Bhimji</t>
  </si>
  <si>
    <t>Vita road, near water tank , tasgaon</t>
  </si>
  <si>
    <t>owner</t>
  </si>
  <si>
    <t>tasgaon timber traders .Tasgaon bothra hospital guruwarpeth tasgaon</t>
  </si>
  <si>
    <t>Dhanji Hirji Bhagat</t>
  </si>
  <si>
    <t>Radhenpur chokdi Mahesana</t>
  </si>
  <si>
    <t>Kotda (J)</t>
  </si>
  <si>
    <t>who understand me n my famly</t>
  </si>
  <si>
    <t>tasgaon</t>
  </si>
  <si>
    <t>image/20170220_02323275.jpg</t>
  </si>
  <si>
    <t>image/20170220_02332660.jpg</t>
  </si>
  <si>
    <t>kotda(j)</t>
  </si>
  <si>
    <t>patelmanish.in@gmail.com</t>
  </si>
  <si>
    <t>P@$$w0rdM</t>
  </si>
  <si>
    <t>Looking for education bride.</t>
  </si>
  <si>
    <t>Kalyanji</t>
  </si>
  <si>
    <t>Ravji</t>
  </si>
  <si>
    <t>A-602, Sai Srishti Apartment, Near Amber Plaza Hall, Mira Road East - 401107</t>
  </si>
  <si>
    <t>Educated and good family background</t>
  </si>
  <si>
    <t>image/20170221_10350597.jpg</t>
  </si>
  <si>
    <t>image/20170221_10402578.jpg</t>
  </si>
  <si>
    <t>krtrading.1992@gamil.com</t>
  </si>
  <si>
    <t>kratradin.1992</t>
  </si>
  <si>
    <t>Stand tall whatever comes , Interested in building goodwill and facing challenges, All Sports chess, music,</t>
  </si>
  <si>
    <t>Chandulal</t>
  </si>
  <si>
    <t>Leela</t>
  </si>
  <si>
    <t>Ramjhi</t>
  </si>
  <si>
    <t>A-503, sunflower , flower valley , khadakpada , Kalyan (w ).</t>
  </si>
  <si>
    <t>Brod minded , practice.</t>
  </si>
  <si>
    <t>image/20170222_102126344.jpg</t>
  </si>
  <si>
    <t>image/20170222_102126333.jpg</t>
  </si>
  <si>
    <t>vigodi</t>
  </si>
  <si>
    <t xml:space="preserve">Mehulpatel8977@gmail.com </t>
  </si>
  <si>
    <t>KiritBhai dholu</t>
  </si>
  <si>
    <t>Manjulaben dholu</t>
  </si>
  <si>
    <t>Kanjibhai dholu</t>
  </si>
  <si>
    <t>A-104 shila apartment G.I.D.C Ankleshwer</t>
  </si>
  <si>
    <t>image/20170223_232100324.jpg</t>
  </si>
  <si>
    <t>image/20170223_232100313.jpg</t>
  </si>
  <si>
    <t>hetal.080592@gmail.com</t>
  </si>
  <si>
    <t>poppyseeds243</t>
  </si>
  <si>
    <t xml:space="preserve">Thakarani </t>
  </si>
  <si>
    <t>A psychology professional who loves to travel, emote, and has likes and interests in anything related to lifestyle and fashion. I wish to establish a business and a profound entity out of myself. My interest also lies in criminal psychology and food industry.   In all, wants to live life, to the fullest and would want someone I am with, also do the same.</t>
  </si>
  <si>
    <t>Jayantibhai Ramjibhai Thakarani</t>
  </si>
  <si>
    <t>Kanchan J Patel</t>
  </si>
  <si>
    <t>Ramjibhai Devsibhai Thakarani</t>
  </si>
  <si>
    <t>303-304, Bhaktisagar co-op housing society, satnami chowk, AVG layout, near durga mandir, Lakadganj, nagpur-8</t>
  </si>
  <si>
    <t>Real Estate</t>
  </si>
  <si>
    <t>Unnati Timbers  Patidar Construction pvt Ltd</t>
  </si>
  <si>
    <t>Bharat Veljibhai Bhojani</t>
  </si>
  <si>
    <t>Harinam Apt,Lakadganj, Nagpur-8</t>
  </si>
  <si>
    <t>Vithon Nakhatrana</t>
  </si>
  <si>
    <t>Doesnot Matter,Complete English,Hindi (till School) + English</t>
  </si>
  <si>
    <t>Well to do.  Simple living High thinking. ambitious and definitely hardworking.   supportive, free minded and is into intellectual things and a good conversationalist.</t>
  </si>
  <si>
    <t>image/20170314_00274901.jpg</t>
  </si>
  <si>
    <t>image/20170314_00285476.jpg</t>
  </si>
  <si>
    <t>Bhadali Nakhatrana</t>
  </si>
  <si>
    <t>pateltarun007@yahoo.com</t>
  </si>
  <si>
    <t>222323gsm</t>
  </si>
  <si>
    <t xml:space="preserve">Anjali </t>
  </si>
  <si>
    <t>Freelancer</t>
  </si>
  <si>
    <t>Hello this is anjali patel. I m in to homeopathic practise as a freelancer. My hobbies are travalling across india. Reading , movies. Many more</t>
  </si>
  <si>
    <t>Bharatbhai lakhubhai pokar</t>
  </si>
  <si>
    <t>Geeta Ben</t>
  </si>
  <si>
    <t>Lakhu Bhai Nathubhai pokar</t>
  </si>
  <si>
    <t>Umiyanagar society,kapadwanj road, ta.Dhansura Dis.Aravalli Dhansura</t>
  </si>
  <si>
    <t>Bachelors,Doctorate</t>
  </si>
  <si>
    <t>Should be well educated and well matured.</t>
  </si>
  <si>
    <t>image/20170226_011412554.jpg</t>
  </si>
  <si>
    <t>Palivad</t>
  </si>
  <si>
    <t>Pratikthakrani7@gmail.com</t>
  </si>
  <si>
    <t>pratik825</t>
  </si>
  <si>
    <t xml:space="preserve">Pratik </t>
  </si>
  <si>
    <t>Thakrani</t>
  </si>
  <si>
    <t>Travelling  is my best hobbie..</t>
  </si>
  <si>
    <t>Dineshbhai</t>
  </si>
  <si>
    <t>Vimlaben</t>
  </si>
  <si>
    <t>Savajibhai</t>
  </si>
  <si>
    <t>Kubadharol kampa  po-kubadharol Ta-vadali  DI-S.K</t>
  </si>
  <si>
    <t>Looking  good is not nessecery but  she is good in nature</t>
  </si>
  <si>
    <t>image/20170227_203806721.jpg</t>
  </si>
  <si>
    <t>image/20170227_203806804.jpg</t>
  </si>
  <si>
    <t>image/20170227_203806783.jpg</t>
  </si>
  <si>
    <t>rakeshpatel.rp52.rp@gmail.com</t>
  </si>
  <si>
    <t>r9901046477</t>
  </si>
  <si>
    <t>RAKESH</t>
  </si>
  <si>
    <t>BHAGAT</t>
  </si>
  <si>
    <t>INTRESTED IN SERCHING NEW IDEAS IN BUSINESS AND FOR FUEATURE DEVOLOPING LIKE TO SPEND TIME WITH SWEET FAMILY</t>
  </si>
  <si>
    <t>JETHALAL SAMJI BHAGAT</t>
  </si>
  <si>
    <t>BHAGVATIBEN JETHALAL BHAGAT</t>
  </si>
  <si>
    <t>SAMJI MEGHJI BHAGAT</t>
  </si>
  <si>
    <t>NO 92 OPP CHANKESHWARA TEMPLE HENNUR MAIN  ROAD KACHARAKANAHALLI BANGALORE -560084</t>
  </si>
  <si>
    <t>VANLAXMI TIMBERS MART KK HALLI BANGALORE-560084</t>
  </si>
  <si>
    <t>GOPAL RAMJI SHAKHALA</t>
  </si>
  <si>
    <t>HOSUR TAMILNADU</t>
  </si>
  <si>
    <t>UGEDI</t>
  </si>
  <si>
    <t>SHE WILL BE A GOOD CHARACTER</t>
  </si>
  <si>
    <t>HARIHAR</t>
  </si>
  <si>
    <t>image/20170302_00074940.jpg</t>
  </si>
  <si>
    <t>image/20170302_00082000.jpg</t>
  </si>
  <si>
    <t>UKHEDA</t>
  </si>
  <si>
    <t>siervee@gmail.com</t>
  </si>
  <si>
    <t>wadakhan</t>
  </si>
  <si>
    <t>Karan</t>
  </si>
  <si>
    <t>Siervee</t>
  </si>
  <si>
    <t>Rajnandgaon</t>
  </si>
  <si>
    <t>C.A</t>
  </si>
  <si>
    <t>Ravishankar University</t>
  </si>
  <si>
    <t>Spend time with with Family.  Doing Business. Visit &amp; Discover Places. Found of Songs, Garbas(Play) Want to be Busy Always.</t>
  </si>
  <si>
    <t>Nilesh</t>
  </si>
  <si>
    <t>Joyti</t>
  </si>
  <si>
    <t>C-22 Sun City ,Raaipurnaka</t>
  </si>
  <si>
    <t>Azad Timber Mart</t>
  </si>
  <si>
    <t>21-28</t>
  </si>
  <si>
    <t>N.A.</t>
  </si>
  <si>
    <t>image/20170309_103624414.jpg</t>
  </si>
  <si>
    <t>image/20170309_103624413.jpg</t>
  </si>
  <si>
    <t>Kirandivani@gmail.com</t>
  </si>
  <si>
    <t>patel108</t>
  </si>
  <si>
    <t>CHANDANI</t>
  </si>
  <si>
    <t>Music</t>
  </si>
  <si>
    <t>VIJAY BHAI</t>
  </si>
  <si>
    <t>Damayanti ben</t>
  </si>
  <si>
    <t>Vishram</t>
  </si>
  <si>
    <t>Bhuj-kutch</t>
  </si>
  <si>
    <t>image/20170310_23112785.jpg</t>
  </si>
  <si>
    <t>maitri.dhoru@gmail.com</t>
  </si>
  <si>
    <t>loveme1661994</t>
  </si>
  <si>
    <t>Maitri</t>
  </si>
  <si>
    <t>Patel  dholu(Only Limited Details)</t>
  </si>
  <si>
    <t>aum.baroda@gmail.com</t>
  </si>
  <si>
    <t>jayahiralal3709</t>
  </si>
  <si>
    <t xml:space="preserve">Maitri </t>
  </si>
  <si>
    <t>Patel Dholu</t>
  </si>
  <si>
    <t>Master of commerce</t>
  </si>
  <si>
    <t>Maharaja sayajirao univercity</t>
  </si>
  <si>
    <t>Durga construction &amp; company</t>
  </si>
  <si>
    <t>Reading,Travelling</t>
  </si>
  <si>
    <t>Hiralal Dholu</t>
  </si>
  <si>
    <t>Jayaben Hiralal Dholu</t>
  </si>
  <si>
    <t>Ramji Dholu</t>
  </si>
  <si>
    <t>9 Ashok Colony,R.v.Desi Road,baroda</t>
  </si>
  <si>
    <t>Aum industries</t>
  </si>
  <si>
    <t>pramji velji rudani</t>
  </si>
  <si>
    <t>must be educated.good in nature.always be supportive.respect elders.</t>
  </si>
  <si>
    <t>Dombivali</t>
  </si>
  <si>
    <t>image/20170310_233228414.jpg</t>
  </si>
  <si>
    <t>image/20170310_233228403.jpg</t>
  </si>
  <si>
    <t>manukava</t>
  </si>
  <si>
    <t>savandholu@yahoo.com</t>
  </si>
  <si>
    <t>kutch123</t>
  </si>
  <si>
    <t xml:space="preserve">Savan </t>
  </si>
  <si>
    <t>Originally from Mumbai , I have been living in Vadodara  for over 3 years. Doing Business as Civil Construction.</t>
  </si>
  <si>
    <t>Amrutben</t>
  </si>
  <si>
    <t>402 ananta aries, ajwa waghodia ring road, bapod, Vadodara</t>
  </si>
  <si>
    <t>Undergraduate,Bachelors,Masters</t>
  </si>
  <si>
    <t>She must be good Human being.</t>
  </si>
  <si>
    <t>image/20170311_213954114.jpg</t>
  </si>
  <si>
    <t>image/20170311_213954093.jpg</t>
  </si>
  <si>
    <t>Khushboopatel1004@Gmail.com</t>
  </si>
  <si>
    <t xml:space="preserve">Dr Khushboo </t>
  </si>
  <si>
    <t>Patel (Only Limited Details)</t>
  </si>
  <si>
    <t>MDS</t>
  </si>
  <si>
    <t>MUHS</t>
  </si>
  <si>
    <t>BDS</t>
  </si>
  <si>
    <t>Dentist</t>
  </si>
  <si>
    <t>I like travelling and exploring new places,listening to music and reading.I am a friendly,independent,honest, caring and open minded girl. A hard working &amp; accommodating individual  who believes in living life to the fullest and who believes in family values &amp;  culture but at the same time not being too tied down to it. Modern, ambitious career wise yet family oriented</t>
  </si>
  <si>
    <t>Parbatbhai Patel</t>
  </si>
  <si>
    <t>Sarla Patel</t>
  </si>
  <si>
    <t>Bhanjibhai Patel</t>
  </si>
  <si>
    <t>Khushboo bungalow near patidar bhavan gen. Vaidya nagar nashik</t>
  </si>
  <si>
    <t>Looking forward for smart,caring,understanding,ambitious and indepedent person.someone who loves to live life to its fullest and is open minded and at the same time culturally rooted.</t>
  </si>
  <si>
    <t>Nashik</t>
  </si>
  <si>
    <t>Todiya</t>
  </si>
  <si>
    <t>kiranbhojani384@gmail.com</t>
  </si>
  <si>
    <t>k9429759946</t>
  </si>
  <si>
    <t>Kiran</t>
  </si>
  <si>
    <t>Cricket, tour</t>
  </si>
  <si>
    <t>Ishvarbhai</t>
  </si>
  <si>
    <t>Vimalaben</t>
  </si>
  <si>
    <t>Nanjibhai</t>
  </si>
  <si>
    <t>25, umapark society,  Nadol road dahegam</t>
  </si>
  <si>
    <t>No expectations</t>
  </si>
  <si>
    <t>image/20170315_020017394.jpg</t>
  </si>
  <si>
    <t>image/20170315_020017373.jpg</t>
  </si>
  <si>
    <t>Khidoi</t>
  </si>
  <si>
    <t>Rajjju8461@gmail.com</t>
  </si>
  <si>
    <t>raJju1672</t>
  </si>
  <si>
    <t>Rajat</t>
  </si>
  <si>
    <t>External BBA</t>
  </si>
  <si>
    <t>Umiya Vijay Saw Mill</t>
  </si>
  <si>
    <t>Hang out, Listenin Song, Gossip, Photography</t>
  </si>
  <si>
    <t>Ashok C Patel</t>
  </si>
  <si>
    <t>Aruna A Patel</t>
  </si>
  <si>
    <t>Chimanbhai V Patel</t>
  </si>
  <si>
    <t>4, Geeta Park Society, Near Nehru Chokadi, Dehgam</t>
  </si>
  <si>
    <t>Simple Nature, Carrin Nd Sometimes Depends on Situation.</t>
  </si>
  <si>
    <t>Dehgam</t>
  </si>
  <si>
    <t>image/20170318_03080045.jpg</t>
  </si>
  <si>
    <t>image/20170317_02261442.gif</t>
  </si>
  <si>
    <t>Kalyanpar</t>
  </si>
  <si>
    <t>coolbhadresh13@gmail.com</t>
  </si>
  <si>
    <t>nakrani1991</t>
  </si>
  <si>
    <t>Master in social work</t>
  </si>
  <si>
    <t>Bhuj University</t>
  </si>
  <si>
    <t>i interest play sport and travelling.Eating verities of food</t>
  </si>
  <si>
    <t>Jayantibhai Manibhai Nakrani</t>
  </si>
  <si>
    <t>Kamlalben Jayantibhai Nakrani</t>
  </si>
  <si>
    <t>Manibhai Rajabhai Nakrani</t>
  </si>
  <si>
    <t>ishwrepura kampa,at post khiloda Tal- Bhiloda, Dist- Arrvali</t>
  </si>
  <si>
    <t>26-30</t>
  </si>
  <si>
    <t>like house wife and if divorced but not child .</t>
  </si>
  <si>
    <t>image/20170321_20035529.jpg</t>
  </si>
  <si>
    <t>image/20170321_20065413.jpg</t>
  </si>
  <si>
    <t>Bhadali</t>
  </si>
  <si>
    <t>jag10mysur@gmail.com</t>
  </si>
  <si>
    <t>000000s</t>
  </si>
  <si>
    <t>Jagdish</t>
  </si>
  <si>
    <t>Simple Down to earth person... Searching for soulmate.</t>
  </si>
  <si>
    <t>mysuru</t>
  </si>
  <si>
    <t>image/20170322_07355577.jpg</t>
  </si>
  <si>
    <t>patelsandeep9@gmail.com</t>
  </si>
  <si>
    <t>ABCD1234</t>
  </si>
  <si>
    <t>SANDEEP</t>
  </si>
  <si>
    <t>Finance Professional</t>
  </si>
  <si>
    <t>Hobbies are study and traveling.</t>
  </si>
  <si>
    <t>HARESHBHAI A DHOLU</t>
  </si>
  <si>
    <t>VANITABEN H DHOLU</t>
  </si>
  <si>
    <t>ARJANBHAI M DHOLU</t>
  </si>
  <si>
    <t>201 POOJAN APPT NEAR SBI BANK BESIDE MEGHNA PARK CITYLIGHT SURAT</t>
  </si>
  <si>
    <t>26-31</t>
  </si>
  <si>
    <t>I want to Girl Like Who will mix with my family and friend supporting me each and every condition.</t>
  </si>
  <si>
    <t>image/20170319_06564584.jpg</t>
  </si>
  <si>
    <t>image/20170319_06560388.jpg</t>
  </si>
  <si>
    <t>KOTDA CHAKKAR BHUJ</t>
  </si>
  <si>
    <t>ravanitimbers26541@gmail.com</t>
  </si>
  <si>
    <t>rp9067847761</t>
  </si>
  <si>
    <t>bharat</t>
  </si>
  <si>
    <t>Movie</t>
  </si>
  <si>
    <t>parsotambhai</t>
  </si>
  <si>
    <t>veljibhai</t>
  </si>
  <si>
    <t>104, umanagar society, Megpar borichi,</t>
  </si>
  <si>
    <t>Less than 12th (HSC),Undergraduate,Bachelors</t>
  </si>
  <si>
    <t>Gud looking;nature wise gud well house wife</t>
  </si>
  <si>
    <t>todiya</t>
  </si>
  <si>
    <t>Pratikdiwani49@gemil.com</t>
  </si>
  <si>
    <t>Pratik</t>
  </si>
  <si>
    <t>Hokey</t>
  </si>
  <si>
    <t>Kantibhaidiwani</t>
  </si>
  <si>
    <t>Savetabendiwani</t>
  </si>
  <si>
    <t>Bhimjibhaidiwani</t>
  </si>
  <si>
    <t>Didoryroad. Nashik.</t>
  </si>
  <si>
    <t>Nc</t>
  </si>
  <si>
    <t>image/20170320_05110198.jpg</t>
  </si>
  <si>
    <t>image/20170320_05114936.jpg</t>
  </si>
  <si>
    <t>Magavana</t>
  </si>
  <si>
    <t>patel_maulik_007@yahoo.com</t>
  </si>
  <si>
    <t>PAPA011256</t>
  </si>
  <si>
    <t>MAULIKKUMAR</t>
  </si>
  <si>
    <t>SHIVGANGA DEVELOPERS NAVA NARODA, AHMEDABAD.</t>
  </si>
  <si>
    <t>SPORTS, NEW ALL ACTIVITIES</t>
  </si>
  <si>
    <t>JASUBHAI</t>
  </si>
  <si>
    <t>KANTABEN</t>
  </si>
  <si>
    <t>LALJIBHAI</t>
  </si>
  <si>
    <t>AT. MADASANA KAMPA,POST. MEDHASAN,TA. MODASA, DIST. ARAVALLI,STATE. GUJARAT.- 383276</t>
  </si>
  <si>
    <t>MAINTAIN HOUSE AND MEMBER, ANY GUEST COME ON HOME AFTER GOOD WELCOME.</t>
  </si>
  <si>
    <t>MODASA</t>
  </si>
  <si>
    <t>image/20170324_23454262.jpg</t>
  </si>
  <si>
    <t>image/20170324_23460401.jpg</t>
  </si>
  <si>
    <t>Hemantpatel7008@gmail.com</t>
  </si>
  <si>
    <t>japd5273</t>
  </si>
  <si>
    <t>Hemant</t>
  </si>
  <si>
    <t>Like new challenges and exploring life</t>
  </si>
  <si>
    <t>Praveen bhai Patel</t>
  </si>
  <si>
    <t>Kamla ben Patel</t>
  </si>
  <si>
    <t>Karsan bhai Patel</t>
  </si>
  <si>
    <t>Shri Shyam Timber traders, behind anshdeep Honda showroom, near patidar bhawan, Rajnandgaon</t>
  </si>
  <si>
    <t>Must have some flexibility of giving and taking..</t>
  </si>
  <si>
    <t>image/20170325_032808964.jpg</t>
  </si>
  <si>
    <t>image/20170325_032808953.jpg</t>
  </si>
  <si>
    <t>Jai0026@yahoo.in</t>
  </si>
  <si>
    <t xml:space="preserve">Jay </t>
  </si>
  <si>
    <t>Rajasthan</t>
  </si>
  <si>
    <t>Kota</t>
  </si>
  <si>
    <t>Commerce collage</t>
  </si>
  <si>
    <t>Umiya doors</t>
  </si>
  <si>
    <t>I like to listening music</t>
  </si>
  <si>
    <t>Narenra patel</t>
  </si>
  <si>
    <t>Neeta patel</t>
  </si>
  <si>
    <t>18- a small scale industrial area</t>
  </si>
  <si>
    <t>Kanti bhai patel</t>
  </si>
  <si>
    <t>Bardoli surat</t>
  </si>
  <si>
    <t>Obiently</t>
  </si>
  <si>
    <t>image/20170326_10411930.jpg</t>
  </si>
  <si>
    <t>image/20170326_10420297.jpg</t>
  </si>
  <si>
    <t>image/20170326_10401997.jpg</t>
  </si>
  <si>
    <t>Akashrangani94@gmail.com</t>
  </si>
  <si>
    <t>aka cartoon94</t>
  </si>
  <si>
    <t>Easily matchup.  Cricket lover. Traditional and fashionable?.  Love to being clear in all situations..</t>
  </si>
  <si>
    <t>Shamjibhai</t>
  </si>
  <si>
    <t>Damyantiben</t>
  </si>
  <si>
    <t>Hirjibhai</t>
  </si>
  <si>
    <t>E-1,402 Dhanlaxmi CHS, Mohili Village Ashalpha, Ghatkopar Andheri link road, Sakinaka. Mumbai 400072</t>
  </si>
  <si>
    <t>Simplest. Can understand her responsibility.  And being clear in all thing never hide anything unwanted.</t>
  </si>
  <si>
    <t>image/20170331_122257633.jpg</t>
  </si>
  <si>
    <t>Madanpura Koday</t>
  </si>
  <si>
    <t>Cpatel7990@gmail.com</t>
  </si>
  <si>
    <t>chintan7990</t>
  </si>
  <si>
    <t>B.E mechanical</t>
  </si>
  <si>
    <t>Oriental manufacturer Pvt ltd</t>
  </si>
  <si>
    <t>.</t>
  </si>
  <si>
    <t>BhagwanDas rudani</t>
  </si>
  <si>
    <t>Manju Ben rudani</t>
  </si>
  <si>
    <t>Naran shivdas rudani</t>
  </si>
  <si>
    <t>41, Vaikunth soc, Nr bapod jakat naka, waghodia road Vadodara</t>
  </si>
  <si>
    <t>Umiya motor training school</t>
  </si>
  <si>
    <t>image/20170519_03495331.jpg</t>
  </si>
  <si>
    <t>image/20170519_03492052.jpg</t>
  </si>
  <si>
    <t>Nana angia</t>
  </si>
  <si>
    <t>hap1994@gmail.com</t>
  </si>
  <si>
    <t>14mcal106</t>
  </si>
  <si>
    <t>Patel (Shankhala)</t>
  </si>
  <si>
    <t>Master in Computer Application</t>
  </si>
  <si>
    <t>CHARUSAT UNIVERSITY</t>
  </si>
  <si>
    <t>My hobbies are  watching videos on youtube,travelling,watching films.</t>
  </si>
  <si>
    <t>Arjunbhai Bhanjibhai Patel</t>
  </si>
  <si>
    <t>Hiraben Arjunbhai Patel</t>
  </si>
  <si>
    <t>Bhanjibhai Devsibhai Patel</t>
  </si>
  <si>
    <t>Sharda Timber Mart, Near Gyanbag, Vadtal-387375, Ta-Nadiad Dist-Kheda</t>
  </si>
  <si>
    <t>Partner Should be in gujarat region.</t>
  </si>
  <si>
    <t>Vadtal</t>
  </si>
  <si>
    <t>image/20180106_05224044.jpg</t>
  </si>
  <si>
    <t>image/20180106_05205978.jpg</t>
  </si>
  <si>
    <t>image/20180106_05212366.jpg</t>
  </si>
  <si>
    <t>Ratdiya</t>
  </si>
  <si>
    <t>airforceniki13@gmail.com</t>
  </si>
  <si>
    <t>Bholu@2013</t>
  </si>
  <si>
    <t>nikita</t>
  </si>
  <si>
    <t>rangani(Only Limited Details)</t>
  </si>
  <si>
    <t>ontario</t>
  </si>
  <si>
    <t>toronto</t>
  </si>
  <si>
    <t>ashokpatel9431214677@gmail.com</t>
  </si>
  <si>
    <t>ashokpatel</t>
  </si>
  <si>
    <t>shweta</t>
  </si>
  <si>
    <t>Bihar</t>
  </si>
  <si>
    <t>Bhagalpur</t>
  </si>
  <si>
    <t>Jewellery Designer</t>
  </si>
  <si>
    <t>My daughter is a fun loving girl.She is currently working in Chennai.She likes to listen music,do cooking.She needs a guy how would respect her and her family.</t>
  </si>
  <si>
    <t>Ashok . Kumar.Patel</t>
  </si>
  <si>
    <t>Radha Ben Patel</t>
  </si>
  <si>
    <t>Arjun Bhai Patel</t>
  </si>
  <si>
    <t>Laxmi Timber Company,Shekhawat Hussain Lane,Khalifabagh,Bhagalpur,Bihar,812001</t>
  </si>
  <si>
    <t>He must be good looking.Must have a good nature and should be well educated.He should respect me and my family.</t>
  </si>
  <si>
    <t>mathal</t>
  </si>
  <si>
    <t>bombayservicestation@gmail.com</t>
  </si>
  <si>
    <t>919433707811kp</t>
  </si>
  <si>
    <t>vishal</t>
  </si>
  <si>
    <t>West Bengal</t>
  </si>
  <si>
    <t>Howrah</t>
  </si>
  <si>
    <t>BOMBAY SERVICE  STATION</t>
  </si>
  <si>
    <t>I just like being myself</t>
  </si>
  <si>
    <t>amrit lal patel</t>
  </si>
  <si>
    <t>mangla patel</t>
  </si>
  <si>
    <t>ratansi patel</t>
  </si>
  <si>
    <t>andul ,  rajmath andul howrah-711302</t>
  </si>
  <si>
    <t>shud be understanding and caring person</t>
  </si>
  <si>
    <t>howrah</t>
  </si>
  <si>
    <t>image/20170410_23391545.jpg</t>
  </si>
  <si>
    <t>image/20170410_23384320.jpg</t>
  </si>
  <si>
    <t>prreenapatel9@gmail.com</t>
  </si>
  <si>
    <t>reena111185</t>
  </si>
  <si>
    <t>Rupesh</t>
  </si>
  <si>
    <t>Maharashtra</t>
  </si>
  <si>
    <t>Travelling</t>
  </si>
  <si>
    <t>Ishwarbhai Khimji Pokar</t>
  </si>
  <si>
    <t>Shakuntalaben I Pokar</t>
  </si>
  <si>
    <t>Khimji Vishram pokar</t>
  </si>
  <si>
    <t>Flat No. 1, Swapna Vastu, Banarasi nagar, Hirawadi, Panchavati, Nashik - 422003</t>
  </si>
  <si>
    <t>She should  be a good homemaker and take care of my parents.</t>
  </si>
  <si>
    <t>image/20170412_051412504.jpg</t>
  </si>
  <si>
    <t>image/20170412_051412503.jpg</t>
  </si>
  <si>
    <t>Mangwana</t>
  </si>
  <si>
    <t>vipulpatel2688@gmail.com</t>
  </si>
  <si>
    <t>Vipulkumar</t>
  </si>
  <si>
    <t>Marathi</t>
  </si>
  <si>
    <t>My art is my hobby</t>
  </si>
  <si>
    <t>Lilaben</t>
  </si>
  <si>
    <t>Ravjibhai</t>
  </si>
  <si>
    <t>A/p- Uttur, Tal-Aajra, Dist-Kolhapur, state-Maharastra Pin code-416 220</t>
  </si>
  <si>
    <t>image/20170415_044518871.jpg</t>
  </si>
  <si>
    <t>image/20170415_044518914.jpg</t>
  </si>
  <si>
    <t>mankva</t>
  </si>
  <si>
    <t>dk.halpani@gmail.com</t>
  </si>
  <si>
    <t>halpani1234</t>
  </si>
  <si>
    <t>Dipesh</t>
  </si>
  <si>
    <t>Halapani</t>
  </si>
  <si>
    <t>Architect</t>
  </si>
  <si>
    <t>cricket,reading books,photography.</t>
  </si>
  <si>
    <t>Dineshbhai kanjibhai halapani</t>
  </si>
  <si>
    <t>Pushpa.D. halapani</t>
  </si>
  <si>
    <t>kanjibhai.N. halapani</t>
  </si>
  <si>
    <t>M/S Patel stone traders,M/S Patel tiles factory,vakharkar nagar ,parola road, Dhule, Maharashtra.Pin code no. :- 424001</t>
  </si>
  <si>
    <t>23-24</t>
  </si>
  <si>
    <t>Undergraduate,Bachelors</t>
  </si>
  <si>
    <t>interior designers, architect, civil engineering, cooking.</t>
  </si>
  <si>
    <t>Dhule,Maharashtra,India</t>
  </si>
  <si>
    <t>image/20170416_082904741.jpg</t>
  </si>
  <si>
    <t>image/20170416_082904754.jpg</t>
  </si>
  <si>
    <t>image/20170416_082904753.jpg</t>
  </si>
  <si>
    <t>Mathal (nakhtrana)</t>
  </si>
  <si>
    <t>mehul007_patel@rediffmail.com</t>
  </si>
  <si>
    <t>mptinu7777</t>
  </si>
  <si>
    <t>Sakhla Dayani</t>
  </si>
  <si>
    <t>B Y Yadav college</t>
  </si>
  <si>
    <t>Kalpataru Packing Industries &amp; Shri Krishna Medical MIDC Shiroli(P), Kolhapur- 416122</t>
  </si>
  <si>
    <t>I have good character. I cannot take cigaratte, alcohol, gutaka. I have good habbit. I have studied BCA. I completed education in English.  I am interested in learn something new &amp; good work in Social.  My hobbies are listening song, travelling, reading, watching movies, cricket, playing cricket</t>
  </si>
  <si>
    <t>Arjun</t>
  </si>
  <si>
    <t>Nathuram</t>
  </si>
  <si>
    <t>Shri Ram Hardware, 118/6B, P.B.Road, Shiroli(P), Kolhapur- 416122</t>
  </si>
  <si>
    <t>Kalpataru Packing Industries. Shri Krishna Medical. Shiroli(P), Kolhapur-416122</t>
  </si>
  <si>
    <t>Premji Parbat Bhadani</t>
  </si>
  <si>
    <t>Koregaon, Satara</t>
  </si>
  <si>
    <t>She should be friendly, Good Character. Good Habbit. Good looking. Good cook. Good understanding.</t>
  </si>
  <si>
    <t>image/20170417_09573924.jpg</t>
  </si>
  <si>
    <t>image/20170417_10053284.jpg</t>
  </si>
  <si>
    <t>image/20170417_11195745.jpg</t>
  </si>
  <si>
    <t>dhvl_patel5@yahoo.co.in</t>
  </si>
  <si>
    <t>jayaben23011990</t>
  </si>
  <si>
    <t>dhansura</t>
  </si>
  <si>
    <t>Wholesaler and supplier</t>
  </si>
  <si>
    <t>my hobbies are playing tennis, listening music, hanging out with friends, travelling and playing football.</t>
  </si>
  <si>
    <t>jayantibhai patel</t>
  </si>
  <si>
    <t>jayaben patel</t>
  </si>
  <si>
    <t>manjibhai patel</t>
  </si>
  <si>
    <t>46 ayodhya nagar society,kapadwanj road,dhansura-383310sabarkantha gujarat</t>
  </si>
  <si>
    <t>J M Patel and sons At dhansura</t>
  </si>
  <si>
    <t>will let you when contacted</t>
  </si>
  <si>
    <t>image/20170417_23000107.jpg</t>
  </si>
  <si>
    <t>image/20170417_23383897.jpg</t>
  </si>
  <si>
    <t>bhadli</t>
  </si>
  <si>
    <t xml:space="preserve">outofruls@gmail.com </t>
  </si>
  <si>
    <t>nikhil003</t>
  </si>
  <si>
    <t xml:space="preserve">Nikhil </t>
  </si>
  <si>
    <t>I am simple and regular gay.</t>
  </si>
  <si>
    <t>Prabhulal Patel</t>
  </si>
  <si>
    <t>Kanchan ben Patel</t>
  </si>
  <si>
    <t>Ramji bhai Patel</t>
  </si>
  <si>
    <t>Pune pcmc</t>
  </si>
  <si>
    <t>I want a simple person who can take care of my family</t>
  </si>
  <si>
    <t>kolkata</t>
  </si>
  <si>
    <t>image/20170417_223439413.jpg</t>
  </si>
  <si>
    <t>patel.hosh.jbp@gmail.com</t>
  </si>
  <si>
    <t>p1ssword</t>
  </si>
  <si>
    <t>Hinal</t>
  </si>
  <si>
    <t>Love to explore places and travel.</t>
  </si>
  <si>
    <t>Goverdhan Patel</t>
  </si>
  <si>
    <t>Champa Patel</t>
  </si>
  <si>
    <t>Dana Bhai Patel</t>
  </si>
  <si>
    <t>1457/ 1-A, Mahanadda, Madan Mahal Jabalpur</t>
  </si>
  <si>
    <t>Well Educated, must belong to a good family. Simple and down to earth.</t>
  </si>
  <si>
    <t>image/20170424_10592268.jpg</t>
  </si>
  <si>
    <t>image/20170424_10594237.jpg</t>
  </si>
  <si>
    <t>Dhavda</t>
  </si>
  <si>
    <t>khushalipatel111@gmail.com</t>
  </si>
  <si>
    <t>khushali7383</t>
  </si>
  <si>
    <t xml:space="preserve">khushali </t>
  </si>
  <si>
    <t>I like to read books and dance</t>
  </si>
  <si>
    <t>Dhirajbhai</t>
  </si>
  <si>
    <t>bhavnaben</t>
  </si>
  <si>
    <t>ramjibhai</t>
  </si>
  <si>
    <t>201,kushan residency , lad society road, nehrupark, vastrapur.</t>
  </si>
  <si>
    <t>22-24</t>
  </si>
  <si>
    <t>dhavda</t>
  </si>
  <si>
    <t>ankitpatel15491@yahoo.com</t>
  </si>
  <si>
    <t>jayjalaram123</t>
  </si>
  <si>
    <t>traveling, music listening, dancing</t>
  </si>
  <si>
    <t>suresh patel</t>
  </si>
  <si>
    <t>lalji bhai</t>
  </si>
  <si>
    <t>jalara saw mill , station Road padra</t>
  </si>
  <si>
    <t>loving nature, family responsibility</t>
  </si>
  <si>
    <t>image/20170429_095805124.jpg</t>
  </si>
  <si>
    <t>image/20170429_095805123.jpg</t>
  </si>
  <si>
    <t xml:space="preserve">Miteshptl173@gmail.com </t>
  </si>
  <si>
    <t>shubhampatel16</t>
  </si>
  <si>
    <t>Dr Mitesh</t>
  </si>
  <si>
    <t>Sardar patel university</t>
  </si>
  <si>
    <t>Shubham clinic</t>
  </si>
  <si>
    <t>Travelling, music, food, reading, surfing, swimming, driving,</t>
  </si>
  <si>
    <t>Narsinhbhai</t>
  </si>
  <si>
    <t>Hanshaben</t>
  </si>
  <si>
    <t>Savjibhai</t>
  </si>
  <si>
    <t>Labhpurakampa</t>
  </si>
  <si>
    <t>Same proffession wiil be a first preference..</t>
  </si>
  <si>
    <t>image/20170625_02513245.jpg</t>
  </si>
  <si>
    <t>image/20170625_02503992.jpg</t>
  </si>
  <si>
    <t>bharatpatel32@gmail.com</t>
  </si>
  <si>
    <t>BANSARI</t>
  </si>
  <si>
    <t>Chakra kotada</t>
  </si>
  <si>
    <t>Kalpeshpatel.kp857@gmail.com</t>
  </si>
  <si>
    <t>jyoti1994</t>
  </si>
  <si>
    <t>Kalpesh</t>
  </si>
  <si>
    <t>Yavatmal</t>
  </si>
  <si>
    <t>I like driving.</t>
  </si>
  <si>
    <t>Purushottam</t>
  </si>
  <si>
    <t>Jyoti</t>
  </si>
  <si>
    <t>Shetkarinagar ,ward no.3 ,wani.</t>
  </si>
  <si>
    <t>Rangnath saw mill powerhouse road wani</t>
  </si>
  <si>
    <t>Simple,beautiful .</t>
  </si>
  <si>
    <t>image/20170507_09464951.jpg</t>
  </si>
  <si>
    <t>image/20170507_09431100.jpg</t>
  </si>
  <si>
    <t>image/20170507_09481107.jpg</t>
  </si>
  <si>
    <t>narenvasani23@gmail.com</t>
  </si>
  <si>
    <t>narendra</t>
  </si>
  <si>
    <t>Riding and movies woching .  Yoga.. Jogging ..And social ectiviti...</t>
  </si>
  <si>
    <t>AMRUTLAL.K.PATEL</t>
  </si>
  <si>
    <t>JAYABEN.A.PATEL</t>
  </si>
  <si>
    <t>KHIMJIBHAI.D.PATEL</t>
  </si>
  <si>
    <t>A-50.Narnarayn bangloz.bholav.bharuch</t>
  </si>
  <si>
    <t>Does not matter...</t>
  </si>
  <si>
    <t>image/20170508_020416991.jpg</t>
  </si>
  <si>
    <t>image/20170508_020417104.jpg</t>
  </si>
  <si>
    <t>image/20170508_020417103.jpg</t>
  </si>
  <si>
    <t>bhumikp9@gmail.com</t>
  </si>
  <si>
    <t>b9730691686</t>
  </si>
  <si>
    <t>bhumik</t>
  </si>
  <si>
    <t>surani bhagat</t>
  </si>
  <si>
    <t>JALARAM NIVASH ANAND SAW MILL WAKHARKAR NAGAR DHULE</t>
  </si>
  <si>
    <t>CRICKET AND MOVIES</t>
  </si>
  <si>
    <t>NANALAL (NANJIBHAI) VISHRAM SURANI</t>
  </si>
  <si>
    <t>RUSHMANIBEN NANALAL SURANI</t>
  </si>
  <si>
    <t>VISHRAM KARSAN SURANI</t>
  </si>
  <si>
    <t>JALARAM NIVASH ,ANAND SAW MILL WAKHARKAR NAGAR,DHULE</t>
  </si>
  <si>
    <t>D/169/2 MIDC AWDHAN DHULE</t>
  </si>
  <si>
    <t>20-23</t>
  </si>
  <si>
    <t>Complete English,Complete Gujarathi,Complete Hindi,Gujarathi (till School) + English</t>
  </si>
  <si>
    <t>NO EXPECTATION</t>
  </si>
  <si>
    <t>DHULE</t>
  </si>
  <si>
    <t>image/20170513_025756304.jpg</t>
  </si>
  <si>
    <t>image/20170513_025756303.jpg</t>
  </si>
  <si>
    <t>MOTI VIRANI (NAKHATRANA) KUTCH</t>
  </si>
  <si>
    <t>rajsurani@gmail.com</t>
  </si>
  <si>
    <t>khushboo08</t>
  </si>
  <si>
    <t>Surgeon Lieutenant Ankit</t>
  </si>
  <si>
    <t>Surani</t>
  </si>
  <si>
    <t>Padmashree Dr D Y Patil Medical University</t>
  </si>
  <si>
    <t>Working with Indian Navy as  a Surgeon Lieutenant</t>
  </si>
  <si>
    <t>Listening Bollywood Music and Playing Cricket</t>
  </si>
  <si>
    <t>Harishchandra Surani</t>
  </si>
  <si>
    <t>Premila Surani</t>
  </si>
  <si>
    <t>Jeevrajbhai Surani</t>
  </si>
  <si>
    <t>D/204, ThirupatiDarshan, Patharli Road, Gograsswadi, Dombivli (E),District.  Thane,Maharashtra. 421201 - INDIA.</t>
  </si>
  <si>
    <t>Social Work</t>
  </si>
  <si>
    <t>Ramjibhai Shivdas Karsan Premjiyani</t>
  </si>
  <si>
    <t>Deshalpar Vandhay</t>
  </si>
  <si>
    <t>Sincere and qualified</t>
  </si>
  <si>
    <t>Dombivli (E) Maharashtra</t>
  </si>
  <si>
    <t>image/20170516_10112978.jpg</t>
  </si>
  <si>
    <t>harshadjabwani@gmail.com</t>
  </si>
  <si>
    <t>mehul@43</t>
  </si>
  <si>
    <t>JABWANI</t>
  </si>
  <si>
    <t>PLAYING CRICKET,WACHING MOVIES</t>
  </si>
  <si>
    <t>HARSHAD</t>
  </si>
  <si>
    <t>NARMADA</t>
  </si>
  <si>
    <t>KARSAN BHAI</t>
  </si>
  <si>
    <t>228,KAPSE CHOWK GAROBA MAIDAN NAGPUR</t>
  </si>
  <si>
    <t>NON</t>
  </si>
  <si>
    <t>image/20170516_053733064.jpg</t>
  </si>
  <si>
    <t>image/20170516_053733063.jpg</t>
  </si>
  <si>
    <t>hardikpatel131292@yahoo.in</t>
  </si>
  <si>
    <t>sureshbhaimb1312</t>
  </si>
  <si>
    <t>perth</t>
  </si>
  <si>
    <t>perth CBD</t>
  </si>
  <si>
    <t>-&amp;nbsp;&lt;b&gt;Mulshakha&lt;/b&gt; &amp;nbsp;-</t>
  </si>
  <si>
    <t>Administrative services</t>
  </si>
  <si>
    <t>not now</t>
  </si>
  <si>
    <t>sureshbhai</t>
  </si>
  <si>
    <t>Arunaben</t>
  </si>
  <si>
    <t>Bhailalbhai</t>
  </si>
  <si>
    <t>image/20170517_042658054.jpg</t>
  </si>
  <si>
    <t>image/20170517_042658053.jpg</t>
  </si>
  <si>
    <t xml:space="preserve">maheshvelani7@gmail.com </t>
  </si>
  <si>
    <t>Mahesh</t>
  </si>
  <si>
    <t>Velani</t>
  </si>
  <si>
    <t>Velani&amp;nbsp;&lt;b&gt;Mulshakha&lt;/b&gt; &amp;nbsp;Munjat</t>
  </si>
  <si>
    <t>Movie, playing cricket &amp; also read the books.</t>
  </si>
  <si>
    <t>Veljibhai</t>
  </si>
  <si>
    <t>S.no.83/1/2,C-103,rajas residency, dangat patil nagar, shivane, pune:411023.</t>
  </si>
  <si>
    <t>Complete Gujarathi,Gujarathi (till School) + English</t>
  </si>
  <si>
    <t>She is good natured, beautiful &amp; hardworking.</t>
  </si>
  <si>
    <t>image/20170519_11190973.jpg</t>
  </si>
  <si>
    <t>image/20170519_11260799.jpg</t>
  </si>
  <si>
    <t>image/20170519_11281535.jpg</t>
  </si>
  <si>
    <t>Bharaper   mandvi- kutch.</t>
  </si>
  <si>
    <t>Narendrapatel231496@gmail.com</t>
  </si>
  <si>
    <t>narendra6</t>
  </si>
  <si>
    <t>Narendra</t>
  </si>
  <si>
    <t>I am very lovely parson ...I am glad you are interested in my profile. I have completed my Masters. My outlook towards life is modern, but I'm equally grounded in our traditions. I would love to meet someone who is loyal, loving to share my life with.</t>
  </si>
  <si>
    <t>Lakhamshibhai</t>
  </si>
  <si>
    <t>Laxmiben</t>
  </si>
  <si>
    <t>Vishrambhai</t>
  </si>
  <si>
    <t>Om traders..at post mhalsakore talk.NIPHAD nashik422103</t>
  </si>
  <si>
    <t>Very simple  ..clever-honesty....person..etc..</t>
  </si>
  <si>
    <t>Mathal akhtrana gujrar</t>
  </si>
  <si>
    <t>image/20170523_123137384.jpg</t>
  </si>
  <si>
    <t>image/20170523_123137373.jpg</t>
  </si>
  <si>
    <t>Mail4sagarpatel@gmail.com</t>
  </si>
  <si>
    <t>sagar152207</t>
  </si>
  <si>
    <t>Traveling, Gaming, Some time books</t>
  </si>
  <si>
    <t>Jethabhai</t>
  </si>
  <si>
    <t>Doesnot Matter,Undergraduate,Bachelors,Masters,Diploma,Doctorate</t>
  </si>
  <si>
    <t>Doesnot Matter,Gujarathi (till School) + English</t>
  </si>
  <si>
    <t>Smart, familiar, good looking,good sense of humour</t>
  </si>
  <si>
    <t>image/20170526_00382898.jpg</t>
  </si>
  <si>
    <t>image/20170526_00390532.jpg</t>
  </si>
  <si>
    <t>patelnd92@gmail.com</t>
  </si>
  <si>
    <t>BeetelCpu1992</t>
  </si>
  <si>
    <t>Choudhary</t>
  </si>
  <si>
    <t>Interested in Graphic Design &amp; Photography</t>
  </si>
  <si>
    <t>Jayshreeben DIneshbhai Patel</t>
  </si>
  <si>
    <t>Keshavlal Mavjibhai Patel</t>
  </si>
  <si>
    <t>9, Parmukhraj Park, Jitodia Road, Anand - 388001</t>
  </si>
  <si>
    <t>Fabrication</t>
  </si>
  <si>
    <t>A girl should be well cultured.</t>
  </si>
  <si>
    <t>image/20170602_09505819.gif</t>
  </si>
  <si>
    <t>image/20170602_09213239.gif</t>
  </si>
  <si>
    <t>Khirasara (Netra)</t>
  </si>
  <si>
    <t>deepaksankhla22@gmail</t>
  </si>
  <si>
    <t>Dipak</t>
  </si>
  <si>
    <t>bachelor</t>
  </si>
  <si>
    <t>SVIT vasad from GTU</t>
  </si>
  <si>
    <t>param project maker,&amp; jaya raman engineering. add- near G.E.B vasad</t>
  </si>
  <si>
    <t>travelling, Music and spending time with friends and myself which I like most, I m an open book for very few  wise people,rest of can not read me..I think so. and I love my parents so much..  Mostly my mom.</t>
  </si>
  <si>
    <t>Late shree Jayaben</t>
  </si>
  <si>
    <t>11, Laxmi home society, S.V.I.T Collage road, vasad</t>
  </si>
  <si>
    <t>JAYARAMAN ENGINEERING, near GEB vasad</t>
  </si>
  <si>
    <t>Complete English,Complete Gujarathi,Gujarathi (till School) + English</t>
  </si>
  <si>
    <t>No more expectations i will be managed but just respect my family member..</t>
  </si>
  <si>
    <t>image/20170601_100241134.jpg</t>
  </si>
  <si>
    <t>image/20170601_100241113.jpg</t>
  </si>
  <si>
    <t>hardikravani1995@gmail.com</t>
  </si>
  <si>
    <t>hardik1995</t>
  </si>
  <si>
    <t>HARDIK</t>
  </si>
  <si>
    <t>RAVANI</t>
  </si>
  <si>
    <t>I like reading and travelling</t>
  </si>
  <si>
    <t>SHANTILAL</t>
  </si>
  <si>
    <t>MANJULA</t>
  </si>
  <si>
    <t>RAMJI</t>
  </si>
  <si>
    <t>C/o. Gayatri Traders, Near Bus Station, Opposite Telephone Exchange, A/p. Otur, Tal. Junnar, Dist. Pune - 412409</t>
  </si>
  <si>
    <t>20-22</t>
  </si>
  <si>
    <t>She should be caring and well cultured</t>
  </si>
  <si>
    <t>Otur</t>
  </si>
  <si>
    <t>image/20170613_05110210.bmp</t>
  </si>
  <si>
    <t>image/20170613_05132403.bmp</t>
  </si>
  <si>
    <t>KHOMBHDI</t>
  </si>
  <si>
    <t>geetakhetani31@gmail.com</t>
  </si>
  <si>
    <t>shinchan31</t>
  </si>
  <si>
    <t>Geeta</t>
  </si>
  <si>
    <t>Khetani</t>
  </si>
  <si>
    <t>Fashion Designing</t>
  </si>
  <si>
    <t>INIFD,university of pune</t>
  </si>
  <si>
    <t>Cs executive</t>
  </si>
  <si>
    <t>I'm a fashion designer currently working as freelancer. I'm more of a social person. Besides my hobbies are singing, traveling, reading, cooking, driving, trekking and so on.. I'm into yoga practise and somewhere to spiritual process. As I strongly believe in mental and physical stability.</t>
  </si>
  <si>
    <t>Hiralal gangaram khetani</t>
  </si>
  <si>
    <t>Vasanti Hiralal khetani</t>
  </si>
  <si>
    <t>Gangarambhai khetani</t>
  </si>
  <si>
    <t>Rudraksh app. ,MIDC,satpur,  nashik.</t>
  </si>
  <si>
    <t>Jagdish pokar</t>
  </si>
  <si>
    <t>Rudraksh residency, near suyojit lawns,MIDC, nashik</t>
  </si>
  <si>
    <t>Well settled is considerable understanding and more like a good friend. I strongly believe life is an art to live, we as humans have got one chance to live to let's live every moment with great ecstacy. Looking forward for someone as mad as me to live the journey of human life beautifully :)</t>
  </si>
  <si>
    <t>image/20170607_104146054.jpg</t>
  </si>
  <si>
    <t>image/20170607_104146033.jpg</t>
  </si>
  <si>
    <t>kirtipatel574@gmail.com</t>
  </si>
  <si>
    <t>kirtipatel574</t>
  </si>
  <si>
    <t>Kirti</t>
  </si>
  <si>
    <t>Playing cricket,  volleyball, carrom, etc</t>
  </si>
  <si>
    <t>Lalji bhai Vishram bhai Pokar</t>
  </si>
  <si>
    <t>Ruxmaniben Lalji bhai pokar</t>
  </si>
  <si>
    <t>Vishram bhai Naranbhai pokar</t>
  </si>
  <si>
    <t>Shree Sarswati Traders, At/Post:Bamaniya, Nr. Mahuva Sugar Factory, Ta:Mahuva, Dist:Surat</t>
  </si>
  <si>
    <t>Supporting  my family</t>
  </si>
  <si>
    <t>image/20170612_085317444.jpg</t>
  </si>
  <si>
    <t>image/20170612_085317433.jpg</t>
  </si>
  <si>
    <t>Aiyar</t>
  </si>
  <si>
    <t>Aashish Patel</t>
  </si>
  <si>
    <t>ashish@9736</t>
  </si>
  <si>
    <t>Ashish</t>
  </si>
  <si>
    <t>Grow More Group of Institutions Himatnagar</t>
  </si>
  <si>
    <t>I am an educated person.I am very decent &amp; emotional person.I don't believe in show up.My hobbies are cricket &amp; travel to different places.</t>
  </si>
  <si>
    <t>Jyotiben</t>
  </si>
  <si>
    <t>22 Ankur society Dhansura road At &amp; Po VadagamDist -Arvalli</t>
  </si>
  <si>
    <t>Ratilal Vashrambhai Nakrani</t>
  </si>
  <si>
    <t>Vadodara</t>
  </si>
  <si>
    <t>High School,Bachelors</t>
  </si>
  <si>
    <t>I like carring nature girl who always help &amp; support to her family &amp; don't believe in show up.</t>
  </si>
  <si>
    <t>Khambhat</t>
  </si>
  <si>
    <t>image/20170613_10051558.jpg</t>
  </si>
  <si>
    <t>image/20170613_10055302.jpg</t>
  </si>
  <si>
    <t>kesharanir@yahoo.com</t>
  </si>
  <si>
    <t>bhanjibhai123</t>
  </si>
  <si>
    <t>CHIRAG</t>
  </si>
  <si>
    <t>KESHARANI</t>
  </si>
  <si>
    <t>CxO / Chairman / Director / President</t>
  </si>
  <si>
    <t>I have completed my B.TECH with Distinctions and further studied in IMT-Dubai and BURGUNDY SCHOOL OF BUSINESS -  DIJON-FRANCE. In football I represented my school and college in state level and at present I am Partner and Director of MAPAC TECHNOLOGY (Industries).  READING BOOKS,PLAYING FOOTBALL,PLAYING MUSIC,</t>
  </si>
  <si>
    <t>Dr. RAMJI</t>
  </si>
  <si>
    <t>LAXMI</t>
  </si>
  <si>
    <t>BHANJIBHAI</t>
  </si>
  <si>
    <t>Dr. Ramji Bhanji KesharaniBhuj -Nakhtrana HighwayMankuvaBhuj-KutchPin - 370030</t>
  </si>
  <si>
    <t>18-26</t>
  </si>
  <si>
    <t>........................................................</t>
  </si>
  <si>
    <t>image/20170614_053848474.jpg</t>
  </si>
  <si>
    <t>image/20170614_053848473.jpg</t>
  </si>
  <si>
    <t>rp225981@gmail.com</t>
  </si>
  <si>
    <t>7777914488ashapura</t>
  </si>
  <si>
    <t>DILIP KUMAR</t>
  </si>
  <si>
    <t>PARSOTTAM</t>
  </si>
  <si>
    <t>Bhavnagar</t>
  </si>
  <si>
    <t>Watch movie  Playing volleyball Music</t>
  </si>
  <si>
    <t>parsottam bhai</t>
  </si>
  <si>
    <t>geetaben</t>
  </si>
  <si>
    <t>karsan bhai</t>
  </si>
  <si>
    <t>Jay Ashapura timber Lati bajar  Opp.rly crossing  Botad</t>
  </si>
  <si>
    <t>20-28</t>
  </si>
  <si>
    <t>Annulled</t>
  </si>
  <si>
    <t>My life partner should be more of a friend, compassionate, understanding, caring &amp; have a big heart. ... a person with a correct attitude</t>
  </si>
  <si>
    <t>image/20170622_023257894.jpg</t>
  </si>
  <si>
    <t>image/20170622_023257873.jpg</t>
  </si>
  <si>
    <t>Dhavak420@gmail.com</t>
  </si>
  <si>
    <t>d1h1a1v1a1l1</t>
  </si>
  <si>
    <t>Kampala</t>
  </si>
  <si>
    <t>I like riding books &amp; playing cricket</t>
  </si>
  <si>
    <t>Manjula ben</t>
  </si>
  <si>
    <t>Ratansi bhai</t>
  </si>
  <si>
    <t>A2 Aashirwad society Anand</t>
  </si>
  <si>
    <t>Civilized</t>
  </si>
  <si>
    <t>Alindra. Gujarat India</t>
  </si>
  <si>
    <t>image/20170702_11121705.jpg</t>
  </si>
  <si>
    <t>image/20170705_04481960.jpg</t>
  </si>
  <si>
    <t>image/20170705_04491590.jpg</t>
  </si>
  <si>
    <t>Vallka mota</t>
  </si>
  <si>
    <t>Patel.vishal0187@gmail.com</t>
  </si>
  <si>
    <t>vishal12</t>
  </si>
  <si>
    <t xml:space="preserve">Vishal </t>
  </si>
  <si>
    <t>I am simplistic,open mined, creative and fun loving person, Reading, Listening music, Travelling with family.</t>
  </si>
  <si>
    <t>Shantilal H Patel</t>
  </si>
  <si>
    <t>Maniben S Patel</t>
  </si>
  <si>
    <t>Late Hirjibhai M Patel</t>
  </si>
  <si>
    <t>S/5 Krishanakunj Tenament P.D.Pandya collage road ghodasar Ahmedabad</t>
  </si>
  <si>
    <t>Late javerilal hanjrajbhai bjagat</t>
  </si>
  <si>
    <t>Indore MP</t>
  </si>
  <si>
    <t>Kotda J</t>
  </si>
  <si>
    <t>My life partner should be open minded, understanding, independent person.</t>
  </si>
  <si>
    <t xml:space="preserve">Kolkata </t>
  </si>
  <si>
    <t>image/20180213_08354077.jpg</t>
  </si>
  <si>
    <t>image/20180213_08365946.jpg</t>
  </si>
  <si>
    <t>rajnikantpatelrajni@gmail.com</t>
  </si>
  <si>
    <t>Mayurmdp@5391</t>
  </si>
  <si>
    <t>Mayur</t>
  </si>
  <si>
    <t>Bhadani</t>
  </si>
  <si>
    <t>Kannad AURANGABAD</t>
  </si>
  <si>
    <t>B. Come 1st year</t>
  </si>
  <si>
    <t>I am very gentle, handsome boy.</t>
  </si>
  <si>
    <t>Manilal Kehta Bhadani</t>
  </si>
  <si>
    <t>Damyantiben Manilal Bhadani</t>
  </si>
  <si>
    <t>Kehta Narayan Bhadani</t>
  </si>
  <si>
    <t>New Patel plywood &amp; hardware, Pishor Naka, Kannad, Dist Aurangabad</t>
  </si>
  <si>
    <t>New Patel Plywood &amp; Hardware, Kannad</t>
  </si>
  <si>
    <t>Haresh Ratilal Bhavani</t>
  </si>
  <si>
    <t>Kheralu</t>
  </si>
  <si>
    <t>Navavas</t>
  </si>
  <si>
    <t>23-23</t>
  </si>
  <si>
    <t>Smart and Beautiful</t>
  </si>
  <si>
    <t>image/20170720_00194946.jpg</t>
  </si>
  <si>
    <t>image/20170720_00201019.jpg</t>
  </si>
  <si>
    <t>dvp_hmt@rediffmail.com</t>
  </si>
  <si>
    <t>girish94270</t>
  </si>
  <si>
    <t>Parth Girishbhai</t>
  </si>
  <si>
    <t>Studying at Australia in Master in Management Engineering</t>
  </si>
  <si>
    <t>Girishbhai Dholu</t>
  </si>
  <si>
    <t>Nitaben Dholu</t>
  </si>
  <si>
    <t>Manjibhai Dholu</t>
  </si>
  <si>
    <t>17-Rajtirth Township, Behind Medistar Hospital, Opp.Piplikampa Dhansura Road, Himatnagar</t>
  </si>
  <si>
    <t>Bachelors,Diploma</t>
  </si>
  <si>
    <t>Education level IT, Computer, Pharmasy, Nurshing</t>
  </si>
  <si>
    <t>image/20170711_04445390.jpg</t>
  </si>
  <si>
    <t>image/20170711_04454231.jpg</t>
  </si>
  <si>
    <t>Manukva</t>
  </si>
  <si>
    <t>devilpatel88888@gmail.com</t>
  </si>
  <si>
    <t>qwert12345</t>
  </si>
  <si>
    <t>AMIT</t>
  </si>
  <si>
    <t>POKAAR</t>
  </si>
  <si>
    <t>bcom</t>
  </si>
  <si>
    <t>v.m.v. collage</t>
  </si>
  <si>
    <t>natwar sawmill &amp; Jai maa ashapura saree</t>
  </si>
  <si>
    <t>NOT 100% PERFECT BECOZ NO ONE IS THERE 100% MY HOBBIES PLAY GAMES AND MUSIC  MAKING NEW FRDS   INTEREST IS IN MY MOTIVE AND FUTURE AND SPECIALLY IN MY FAMILY</t>
  </si>
  <si>
    <t>image/20181204_03262234.jpg</t>
  </si>
  <si>
    <t>image/20181204_03273945.jpg</t>
  </si>
  <si>
    <t>Kwm.patel@yahoo.co.in</t>
  </si>
  <si>
    <t>k9314090883</t>
  </si>
  <si>
    <t>Mitul</t>
  </si>
  <si>
    <t>Amravati</t>
  </si>
  <si>
    <t>Bank of Baroda</t>
  </si>
  <si>
    <t>Reading</t>
  </si>
  <si>
    <t>Shantilal patel</t>
  </si>
  <si>
    <t>Kapila patel</t>
  </si>
  <si>
    <t>Tejabhai patel</t>
  </si>
  <si>
    <t>Mahak sadan near gurudwara gandhinagar amravati. Pin.444606</t>
  </si>
  <si>
    <t>Real Estate Business</t>
  </si>
  <si>
    <t>If she is divorcy or widow. She should not have any child</t>
  </si>
  <si>
    <t>image/20170720_10161681.jpg</t>
  </si>
  <si>
    <t>image/20170720_10164619.jpg</t>
  </si>
  <si>
    <t>keeranpokar007@gmail.com</t>
  </si>
  <si>
    <t>k2n421993</t>
  </si>
  <si>
    <t>Cricket long drive music different types of foods</t>
  </si>
  <si>
    <t>Gangdasbhai</t>
  </si>
  <si>
    <t>Mananbhai</t>
  </si>
  <si>
    <t>Silky vatika, near kanya sala, sarsa-anand</t>
  </si>
  <si>
    <t>simple nd smart</t>
  </si>
  <si>
    <t>image/20170715_235251751.jpg</t>
  </si>
  <si>
    <t>image/20170715_235251864.jpg</t>
  </si>
  <si>
    <t>image/20170715_235251863.jpg</t>
  </si>
  <si>
    <t>dakshapatel7217@gmail.com</t>
  </si>
  <si>
    <t>dimpalpatel</t>
  </si>
  <si>
    <t>Daksha</t>
  </si>
  <si>
    <t>KHIRASARA</t>
  </si>
  <si>
    <t>image/20180209_23512200.jpg</t>
  </si>
  <si>
    <t>image/20180209_23513747.jpg</t>
  </si>
  <si>
    <t>drtwinkle6@gmail.com</t>
  </si>
  <si>
    <t>shivsagar6</t>
  </si>
  <si>
    <t>Twinkle</t>
  </si>
  <si>
    <t>Ravani</t>
  </si>
  <si>
    <t>M.D.S</t>
  </si>
  <si>
    <t>My Interest are Reading,Travelling,Music,Photography</t>
  </si>
  <si>
    <t>Chhaganbhai Ravani</t>
  </si>
  <si>
    <t>Sheelaben Ravani</t>
  </si>
  <si>
    <t>Mavjibhai Ravani</t>
  </si>
  <si>
    <t>A-102,Dharnidhar Pride,Near Science city,Behind Avirat house,Sola science city road,Ahmedabad-380060.</t>
  </si>
  <si>
    <t>Well educated,Intellectual,Independent. Preferably Post graduate Doctor</t>
  </si>
  <si>
    <t>image/20170723_074327594.jpg</t>
  </si>
  <si>
    <t>image/20170723_074327593.jpg</t>
  </si>
  <si>
    <t>Khombhdi</t>
  </si>
  <si>
    <t>rajeshsenghani@ymail.com</t>
  </si>
  <si>
    <t>rajusen1375</t>
  </si>
  <si>
    <t>Senghani</t>
  </si>
  <si>
    <t>Senghani &amp;nbsp;&lt;b&gt;Mulshakha&lt;/b&gt; &amp;nbsp;Dakotar</t>
  </si>
  <si>
    <t>Contractor</t>
  </si>
  <si>
    <t>Reading paying indore Game</t>
  </si>
  <si>
    <t>Urmilaben</t>
  </si>
  <si>
    <t>Arjan</t>
  </si>
  <si>
    <t>Flat no 8,shubh laxmi apartment chetenya shankul lakda vakhar katrap Badlapur East</t>
  </si>
  <si>
    <t>Widowed</t>
  </si>
  <si>
    <t>image/20170726_033436454.jpg</t>
  </si>
  <si>
    <t>image/20170726_033436403.jpg</t>
  </si>
  <si>
    <t>Ratnapar</t>
  </si>
  <si>
    <t>loveneshpatel@live.com</t>
  </si>
  <si>
    <t>luckie9425@</t>
  </si>
  <si>
    <t>Lovenesh</t>
  </si>
  <si>
    <t>Satna</t>
  </si>
  <si>
    <t>I am glad you are intrested in my profile. I have completed my bachelors. I am friendly and down to earth person. All in all. i am looking for a companion who would be my best friend with whom i can have intresting conversation enjoy finer things in life. I love photography and traveling</t>
  </si>
  <si>
    <t>Arjun Patel</t>
  </si>
  <si>
    <t>Jayshree Patel</t>
  </si>
  <si>
    <t>Lakhamshi Bhai Nakrani</t>
  </si>
  <si>
    <t>C/O sharda Vijay saw mill , maihar</t>
  </si>
  <si>
    <t>should be calm understanding and intelligent.</t>
  </si>
  <si>
    <t>image/20170729_233923664.jpg</t>
  </si>
  <si>
    <t>image/20170729_233923303.jpg</t>
  </si>
  <si>
    <t>Jigneshgorani98@gmail.Com</t>
  </si>
  <si>
    <t>Vijay</t>
  </si>
  <si>
    <t>Chitradurga</t>
  </si>
  <si>
    <t>B. Com</t>
  </si>
  <si>
    <t>Journalist</t>
  </si>
  <si>
    <t>Sri Laxmi saw mill  Holalkere Road Hosadurga 577527</t>
  </si>
  <si>
    <t>Playing and making new special  Visit new places</t>
  </si>
  <si>
    <t>Dayalal m gorani</t>
  </si>
  <si>
    <t>Kantha ben gorani</t>
  </si>
  <si>
    <t>Madhavji kanji gorani</t>
  </si>
  <si>
    <t>Sri laxmi sawmill holalkere road hosdurga577527</t>
  </si>
  <si>
    <t>Sri laxmi sawmill holalkere road hosdurga 577527</t>
  </si>
  <si>
    <t>Ratilal ramji velani</t>
  </si>
  <si>
    <t>#4 rajgopal road rmv 2nd stage nagashettyhalli bangalore 560094</t>
  </si>
  <si>
    <t>Caring and helpfull</t>
  </si>
  <si>
    <t>image/20170802_10073378.jpg</t>
  </si>
  <si>
    <t>image/20170802_10085428.jpg</t>
  </si>
  <si>
    <t>image/20170802_10095725.jpg</t>
  </si>
  <si>
    <t>prijesh1990@gmail.com</t>
  </si>
  <si>
    <t>upsc1990</t>
  </si>
  <si>
    <t>Prijesh</t>
  </si>
  <si>
    <t>Oracle OCP certified</t>
  </si>
  <si>
    <t>No Say</t>
  </si>
  <si>
    <t>A18 Shiwalik Greens, Bayad, Arvalli, Gujarat-383325</t>
  </si>
  <si>
    <t>Driver</t>
  </si>
  <si>
    <t>Sabarmati Gas Limited</t>
  </si>
  <si>
    <t>image/20170803_013125374.jpg</t>
  </si>
  <si>
    <t>image/20170803_013125373.jpg</t>
  </si>
  <si>
    <t>kiran.limbani8528@gmail.com</t>
  </si>
  <si>
    <t>premila2417</t>
  </si>
  <si>
    <t>Kirankumar</t>
  </si>
  <si>
    <t>Professor</t>
  </si>
  <si>
    <t>Sardar vallabhbhai patel institute of techmology, vasad - 388306</t>
  </si>
  <si>
    <t>I am a brown skinned professor who likes to watch lots of movies, travel and passionate about sleeping. I like adventurous trips and sports. I like playing all the sports rather than watching them. There is a small portion of me which likes to read some books. Interested in mythology and likes to explore more about it.</t>
  </si>
  <si>
    <t>Kantilal</t>
  </si>
  <si>
    <t>Premilaben</t>
  </si>
  <si>
    <t>At post: Jiayapar,tal: Nakhatranadist: Kutch370030</t>
  </si>
  <si>
    <t>Mature, Good looking and people friendly.</t>
  </si>
  <si>
    <t>jiyapar</t>
  </si>
  <si>
    <t>image/20170803_081525864.jpg</t>
  </si>
  <si>
    <t>image/20170803_081525853.jpg</t>
  </si>
  <si>
    <t>Deepaknisha52@gmail.com</t>
  </si>
  <si>
    <t>n6726767267</t>
  </si>
  <si>
    <t>Naveen</t>
  </si>
  <si>
    <t>Investment Professional</t>
  </si>
  <si>
    <t>Special character</t>
  </si>
  <si>
    <t>Babulal Patel</t>
  </si>
  <si>
    <t>Champa ben</t>
  </si>
  <si>
    <t>Karamsi Patel</t>
  </si>
  <si>
    <t>#1-26/2, Vishaka nagar, PERKIT, armoor-Nzb</t>
  </si>
  <si>
    <t>Less than 12th (HSC),Undergraduate,Bachelors,Masters,Diploma</t>
  </si>
  <si>
    <t>Smart</t>
  </si>
  <si>
    <t>image/20170804_051852601.jpg</t>
  </si>
  <si>
    <t>image/20170804_051852644.jpg</t>
  </si>
  <si>
    <t>image/20170804_051852643.jpg</t>
  </si>
  <si>
    <t>Kotda</t>
  </si>
  <si>
    <t>sanket.patel96@gmail.com</t>
  </si>
  <si>
    <t>Sanket@1993</t>
  </si>
  <si>
    <t>Sanket</t>
  </si>
  <si>
    <t>com</t>
  </si>
  <si>
    <t>pune</t>
  </si>
  <si>
    <t>J. P traders  Malegaon</t>
  </si>
  <si>
    <t>I'M SIMPLE PERSON WHO HAS PRACTICAL APPROACH TO EVERY LIFE PROBLEM WHICH NEEDS INTELLECTUAL STRATEGY</t>
  </si>
  <si>
    <t>PRAVIN BHANJIBHAI DIWANI</t>
  </si>
  <si>
    <t>PRAVINA PRAVINBHAI DIWANI</t>
  </si>
  <si>
    <t>BHANJI ARJANBHAI DIWANI</t>
  </si>
  <si>
    <t>OM NIWAS BEHIND GIRNA STEEL SOYGAON, MALEGAON, (NASHIK)</t>
  </si>
  <si>
    <t>J. P Traders</t>
  </si>
  <si>
    <t>I AM LOOKING FOR HONEST, INTELLIGENT &amp; SENSITIVE COMPANION TO NURTURE MY LIFE &amp; HOME WITH SECURITY , FREEDOM AND HARMONY. SHE SHOULD HAVE GOOD COMMUNICATION TO MANAGE &amp; MAINTAIN RELATIONS WITH ALL MY FAMILY MEMBERS. SHE SHOULD RESPECT ELDERS &amp; FAMILY VALUES.</t>
  </si>
  <si>
    <t>image/20170903_10171956.jpg</t>
  </si>
  <si>
    <t>Dipeshbhavani@gmail.com</t>
  </si>
  <si>
    <t>dipsbhavani93</t>
  </si>
  <si>
    <t>Believe in my self confidence I like playing cricket nd watching movies</t>
  </si>
  <si>
    <t>Hemu</t>
  </si>
  <si>
    <t>Depending on her</t>
  </si>
  <si>
    <t>image/20170808_03430274.jpg</t>
  </si>
  <si>
    <t>image/20170808_03415736.jpg</t>
  </si>
  <si>
    <t>Virani moti</t>
  </si>
  <si>
    <t>vipul21290@gmail.com</t>
  </si>
  <si>
    <t>Vimal</t>
  </si>
  <si>
    <t>Umreth</t>
  </si>
  <si>
    <t>Free minded Listing devotional songs Reading Etc</t>
  </si>
  <si>
    <t>Bhavani karshanbhai vishrambhai</t>
  </si>
  <si>
    <t>Bhavani Narmdaben karshanbhai</t>
  </si>
  <si>
    <t>Bhavani Vishrambhai bhanjibhai</t>
  </si>
  <si>
    <t>Pipadi mata mandir pase,Dist-anandUmreth-388220</t>
  </si>
  <si>
    <t>Clever Cocking expert Etc</t>
  </si>
  <si>
    <t>image/20170808_09055420.jpg</t>
  </si>
  <si>
    <t>image/20170808_09033433.jpg</t>
  </si>
  <si>
    <t>image/20170808_09040522.jpg</t>
  </si>
  <si>
    <t>Aiyar(nakhtrana)</t>
  </si>
  <si>
    <t>buntyboy.1990@gmail.com</t>
  </si>
  <si>
    <t>ravi9849164246</t>
  </si>
  <si>
    <t>Karthik</t>
  </si>
  <si>
    <t>Listening Music Watching Movies Long Drives</t>
  </si>
  <si>
    <t>Ravi lal jeevraj sankla</t>
  </si>
  <si>
    <t>Meena patel</t>
  </si>
  <si>
    <t>Jeevraj bhai lalji sankla</t>
  </si>
  <si>
    <t>1-2-25/A, Pragathinagar, Peddapalli</t>
  </si>
  <si>
    <t>Construction</t>
  </si>
  <si>
    <t>K.L Patel &amp; Co, Pragathinagar, Peddapalli 505172</t>
  </si>
  <si>
    <t>Mohanlal Meghji Patel</t>
  </si>
  <si>
    <t>Lakkadganj,Nagpur</t>
  </si>
  <si>
    <t>Netra matajina</t>
  </si>
  <si>
    <t>Studying,Service,Professional,Homemaker</t>
  </si>
  <si>
    <t>Peddapalli</t>
  </si>
  <si>
    <t>image/20170831_09062405.jpg</t>
  </si>
  <si>
    <t>image/20170831_09065903.jpg</t>
  </si>
  <si>
    <t>Desalpar guntali</t>
  </si>
  <si>
    <t>riyapatel24100201@gmail.com</t>
  </si>
  <si>
    <t>jaiumiyamaa123</t>
  </si>
  <si>
    <t>Jiten</t>
  </si>
  <si>
    <t>Sambalpur university</t>
  </si>
  <si>
    <t>Shree nathji Entr.</t>
  </si>
  <si>
    <t>Frndly,independent, calm in nature,enjoying life to d fullest</t>
  </si>
  <si>
    <t>Bhagwan das patel</t>
  </si>
  <si>
    <t>Heena ben patel</t>
  </si>
  <si>
    <t>Shivgan lal patel</t>
  </si>
  <si>
    <t>Patel cable,bhanpuri,raipur,c.g.</t>
  </si>
  <si>
    <t>Mahaveer timber &amp; plywood,Bargarh,Odisha</t>
  </si>
  <si>
    <t>Wil take care of my parents &amp; wil b frndly</t>
  </si>
  <si>
    <t>image/20170815_22314836.jpg</t>
  </si>
  <si>
    <t>image/20170815_22311064.jpg</t>
  </si>
  <si>
    <t>Mota Dhavda</t>
  </si>
  <si>
    <t>manilal@navnirman.in</t>
  </si>
  <si>
    <t>mercedesbenz1A</t>
  </si>
  <si>
    <t>Marketing Professional</t>
  </si>
  <si>
    <t>I am self-employed with a master's degree currently living in Hyderabad. I belong to nuclear family with moderate values.  People describe me as simple, kind, jovial, sweet and dynamic. My hobbies and interests are traveling, playing musical instruments, listening to music and movies.</t>
  </si>
  <si>
    <t>Manilal Patel</t>
  </si>
  <si>
    <t>Yashoda Patel</t>
  </si>
  <si>
    <t>Gopal das Patel</t>
  </si>
  <si>
    <t>Should be beautiful with good moral values and family background</t>
  </si>
  <si>
    <t>image/20170817_102019204.jpg</t>
  </si>
  <si>
    <t>image/20170817_102019193.jpg</t>
  </si>
  <si>
    <t>patelhimanshu.3631@gmail.com</t>
  </si>
  <si>
    <t>manthan3631</t>
  </si>
  <si>
    <t>HIMANSHU</t>
  </si>
  <si>
    <t>CHHABHAIYA</t>
  </si>
  <si>
    <t>IT &amp; new electronic gadgets  daily learn new tachnologys</t>
  </si>
  <si>
    <t>ANILBHAI</t>
  </si>
  <si>
    <t>RANJANBEN</t>
  </si>
  <si>
    <t>SHAMJIBHAI</t>
  </si>
  <si>
    <t>41/B VEDANT VATIKA THASRA -388250</t>
  </si>
  <si>
    <t>GOOD LOOKING</t>
  </si>
  <si>
    <t>image/20170821_023531434.jpg</t>
  </si>
  <si>
    <t>image/20170821_023531423.jpg</t>
  </si>
  <si>
    <t>dipam20divani@gmail.com</t>
  </si>
  <si>
    <t>dipam214</t>
  </si>
  <si>
    <t>kajal lakhamsi diwani</t>
  </si>
  <si>
    <t>diwani</t>
  </si>
  <si>
    <t>Akola</t>
  </si>
  <si>
    <t>BHMS DOCTOR</t>
  </si>
  <si>
    <t>NASHIK UNIVERSITY</t>
  </si>
  <si>
    <t>CCPH</t>
  </si>
  <si>
    <t>AKOLA</t>
  </si>
  <si>
    <t>DANCEING  IS  HOBBY</t>
  </si>
  <si>
    <t>LAKHAMSI ARJUN DIVANI</t>
  </si>
  <si>
    <t>PALLAVI LAKHAMSI DIVANI</t>
  </si>
  <si>
    <t>ARJUN SHIVGAN DIVANI</t>
  </si>
  <si>
    <t>SURAJDEEP APT RAM DAS PETH AKOLA</t>
  </si>
  <si>
    <t>JAGDISH INDUSTRIES PATUR ROAD AKOLA</t>
  </si>
  <si>
    <t>HOUSEWIFE</t>
  </si>
  <si>
    <t>DOCTOR ONLY</t>
  </si>
  <si>
    <t>image/20171223_23095513.jpg</t>
  </si>
  <si>
    <t>image/20171223_23110664.jpg</t>
  </si>
  <si>
    <t>image/20171223_23104349.jpg</t>
  </si>
  <si>
    <t>KADIYA NANA</t>
  </si>
  <si>
    <t>patelpragnesh735@gmail.com</t>
  </si>
  <si>
    <t>Patel99091</t>
  </si>
  <si>
    <t>Pragnesh</t>
  </si>
  <si>
    <t>Web design</t>
  </si>
  <si>
    <t>red and white multimedia education</t>
  </si>
  <si>
    <t>ThreeD design and animation</t>
  </si>
  <si>
    <t>107, royal arcade gitanjali near jivandhara hotel varachha surat</t>
  </si>
  <si>
    <t>hey, i am pragnesh and i   Everyday work to improve myself and my skills which is part of maturing and becoming better at what I do. more than i like net surfing, sports, swimming and interest in cars.</t>
  </si>
  <si>
    <t>Maganbhai Abjibhai Limbani</t>
  </si>
  <si>
    <t>Leelaben Maganbhai Limbani</t>
  </si>
  <si>
    <t>Abjibhai Jivrajbhai Limbani</t>
  </si>
  <si>
    <t>101, 102, Yogeshwar Society, near Dharam nagar A. K. road Surat, Gujarat.</t>
  </si>
  <si>
    <t>timber merchant</t>
  </si>
  <si>
    <t>Shree Ram saw mill opp. dhanhar masala factory, post patel nagar, A. K. road surat, Gujarat. PIN. 395008</t>
  </si>
  <si>
    <t>Jivrajbhai Rajabhai Sakhala</t>
  </si>
  <si>
    <t>kishan timber, opp shiva temple, ahmedabad road, kathlal, gujarat.</t>
  </si>
  <si>
    <t>Never Married,Divorced,Awaiting Divorce,Annulled</t>
  </si>
  <si>
    <t>I expect my partner to be very attentive to me. and caring for my family.</t>
  </si>
  <si>
    <t>image/20170909_09104814.jpg</t>
  </si>
  <si>
    <t>image/20170909_09075476.jpg</t>
  </si>
  <si>
    <t>priyapatel.030892@gmail.com</t>
  </si>
  <si>
    <t>sweta501</t>
  </si>
  <si>
    <t>Sweta</t>
  </si>
  <si>
    <t>My sister is a well educated B.H.M.S Doctor practicing for experience.</t>
  </si>
  <si>
    <t>Hiralal</t>
  </si>
  <si>
    <t>Arjanbhai</t>
  </si>
  <si>
    <t>A-17 Morlidhar Society,Odhav Main Road,Odhav, AhmedabadGujarat - 382415</t>
  </si>
  <si>
    <t>Abaji Samji Pokar</t>
  </si>
  <si>
    <t>I want a partner who understand me &amp; accept my family &amp; past as well.</t>
  </si>
  <si>
    <t>image/20170914_08193244.jpg</t>
  </si>
  <si>
    <t>image/20170914_07422402.jpg</t>
  </si>
  <si>
    <t>image/20170914_07424047.jpg</t>
  </si>
  <si>
    <t>brijesh.pokar@gmail.com</t>
  </si>
  <si>
    <t>nackedbitch7</t>
  </si>
  <si>
    <t>Brijesh</t>
  </si>
  <si>
    <t>I am a straightforward and down to earth person. I live my life on ethics. simplicity amazes me. I am divorced twice. I enjoy spending quality time with family. My occupation is related to Auto Customization, as i enjoy my work.</t>
  </si>
  <si>
    <t>Natvarlal Devjibhai Patel</t>
  </si>
  <si>
    <t>Nandaben Natvarlal Patel</t>
  </si>
  <si>
    <t>Devjibhai Shivjibhai Patel</t>
  </si>
  <si>
    <t>B/37, Part-2, Prerna tenament, Near paras nagar, Behind namrata society, Isanpur, Ahmedabad, Gujarat.</t>
  </si>
  <si>
    <t>26-33</t>
  </si>
  <si>
    <t>Seeking simple girl, mature enough to handle marriage. I am a family-oriented person and looking for a like-minded person. since everyone is different, i realize that there might be differences of opinions, but i would be interested in someone with realistic outlook on life</t>
  </si>
  <si>
    <t>image/20170915_010514394.jpg</t>
  </si>
  <si>
    <t>image/20170915_010514383.jpg</t>
  </si>
  <si>
    <t>Gadhshisha</t>
  </si>
  <si>
    <t>smithpatel970@gmail.com</t>
  </si>
  <si>
    <t>p@telsmit123</t>
  </si>
  <si>
    <t>Smit</t>
  </si>
  <si>
    <t>BAOU</t>
  </si>
  <si>
    <t>Myself Smit Patel. There are 3 members In my family father,  Mother and Me. I have completed BCA in 2015 from BAOU.  My Hobby is Travelling</t>
  </si>
  <si>
    <t>Indravadan</t>
  </si>
  <si>
    <t>Sunitaben</t>
  </si>
  <si>
    <t>Rasikbhai</t>
  </si>
  <si>
    <t>E/16 Jagannathpuram Flat,  Opp Lalbaug,  Manjalpur,  Vadodara</t>
  </si>
  <si>
    <t>Life Partener Friendly</t>
  </si>
  <si>
    <t>image/20170915_030148854.jpg</t>
  </si>
  <si>
    <t>image/20170915_030148833.jpg</t>
  </si>
  <si>
    <t>sarsavni</t>
  </si>
  <si>
    <t>Uravashibhimani@gmail.com</t>
  </si>
  <si>
    <t>28111993ABCD</t>
  </si>
  <si>
    <t xml:space="preserve">Uravashi </t>
  </si>
  <si>
    <t xml:space="preserve">Bhimani </t>
  </si>
  <si>
    <t>Masters 1 year</t>
  </si>
  <si>
    <t>Kpmg Bangalore</t>
  </si>
  <si>
    <t>Love to accept new challenges</t>
  </si>
  <si>
    <t>Kundan Bhimani</t>
  </si>
  <si>
    <t>Laxmi Bhimani</t>
  </si>
  <si>
    <t>Ramji Bhimani</t>
  </si>
  <si>
    <t>Should be independent and open minded</t>
  </si>
  <si>
    <t xml:space="preserve">Nagpur </t>
  </si>
  <si>
    <t>image/20170920_20553356.jpg</t>
  </si>
  <si>
    <t>image/20170920_20592919.jpg</t>
  </si>
  <si>
    <t xml:space="preserve">Jigneshpatel172194@gmail.com </t>
  </si>
  <si>
    <t>Jigs1721</t>
  </si>
  <si>
    <t xml:space="preserve">Jignesh </t>
  </si>
  <si>
    <t>Grow More Collage</t>
  </si>
  <si>
    <t>Tally Certificate</t>
  </si>
  <si>
    <t>I am single and my Interest in Reading books and get a knowledge in Economy in every day of our country.</t>
  </si>
  <si>
    <t>Pravin bhai</t>
  </si>
  <si>
    <t>Chanchal ben</t>
  </si>
  <si>
    <t>Velji bhai</t>
  </si>
  <si>
    <t>87, HariOm Nagar, Near Jalaram Mandir, Demai Road, Himatnagar</t>
  </si>
  <si>
    <t>House Contractor</t>
  </si>
  <si>
    <t>I expect from my partner that she will be Knowledgeable and she believes in God and she will be care my family because my Joint family. I also expected from my partner that she will be good Cooks.</t>
  </si>
  <si>
    <t xml:space="preserve">Himatnagar </t>
  </si>
  <si>
    <t>image/20171018_03272538.jpg</t>
  </si>
  <si>
    <t>image/20171018_03261591.jpg</t>
  </si>
  <si>
    <t>Khedoi Kotda</t>
  </si>
  <si>
    <t>jigneshp495@gmail.com</t>
  </si>
  <si>
    <t>gj01kd0121</t>
  </si>
  <si>
    <t xml:space="preserve">Chabhaiya </t>
  </si>
  <si>
    <t>Dahegam</t>
  </si>
  <si>
    <t>Siddhidata Developer</t>
  </si>
  <si>
    <t>Want to live every moment of life with joy.</t>
  </si>
  <si>
    <t>Dayarambhai</t>
  </si>
  <si>
    <t>Bhagvati ben</t>
  </si>
  <si>
    <t>Ghadge Mala near Taran Talao Nashik Road Nashik</t>
  </si>
  <si>
    <t>27-33</t>
  </si>
  <si>
    <t>Honest,jolly and home mekar. Person Who can understand me.</t>
  </si>
  <si>
    <t xml:space="preserve">Ahmedabad </t>
  </si>
  <si>
    <t>image/20171104_04234729.jpg</t>
  </si>
  <si>
    <t>image/20171104_04255497.jpg</t>
  </si>
  <si>
    <t>csmehul22@gmail.com</t>
  </si>
  <si>
    <t>MehulPatel@22111989</t>
  </si>
  <si>
    <t>Bhanvadiya</t>
  </si>
  <si>
    <t>Front End Developer</t>
  </si>
  <si>
    <t>Front-End Developer at Krish Compusoft Services Pvt. Ltd., 801, 8th Floor, Pelican House, Gujarat Chamber of Commerce and Industry Compound, Near Nataraj Cinema, Ashram Road, Ahmedabad, Gujarat 380009</t>
  </si>
  <si>
    <t>Front-End Developer at Krish Compusoft Services Pvt. Ltd. - Ahmedabad</t>
  </si>
  <si>
    <t>Rashikbhai Bavanjibhai Bhanvadiya</t>
  </si>
  <si>
    <t>Gulabben Rashikbhai Bhanvadiya</t>
  </si>
  <si>
    <t>Ravjibhai Alondra</t>
  </si>
  <si>
    <t>Arya</t>
  </si>
  <si>
    <t>Nr. Elishbridge cross road, Elishbridge, Ahmedabad.-380006.</t>
  </si>
  <si>
    <t>Farmer at Verad</t>
  </si>
  <si>
    <t>Farmer and House wife</t>
  </si>
  <si>
    <t>Doesnot Matter,Bachelors,Masters,Diploma</t>
  </si>
  <si>
    <t>Doesnot Matter,Complete English,Complete Gujarathi,Complete Hindi,Gujarathi (till School) + English,Hindi (till School) + English</t>
  </si>
  <si>
    <t>Graduate in Commerce or Science</t>
  </si>
  <si>
    <t>Verad</t>
  </si>
  <si>
    <t>image/20171105_06344581.jpg</t>
  </si>
  <si>
    <t>image/20171105_06350442.jpg</t>
  </si>
  <si>
    <t>jbpokar2211@gmail.com</t>
  </si>
  <si>
    <t>jigar2211</t>
  </si>
  <si>
    <t>JIGARKUMAR</t>
  </si>
  <si>
    <t>I looking smart Education al girls whose nature is softly harmful . My hobby in sports reading and traveling at natural places</t>
  </si>
  <si>
    <t>BABUBHAI</t>
  </si>
  <si>
    <t>MEENABEN</t>
  </si>
  <si>
    <t>KARSHANBHAI</t>
  </si>
  <si>
    <t>25,A one society,Nr shardakunj, Motipura, Himatnagar,Sabarkantha,Gujarat</t>
  </si>
  <si>
    <t>Harmfully,Talented,relative, Hopefull, natural</t>
  </si>
  <si>
    <t>image/20171114_070234594.jpg</t>
  </si>
  <si>
    <t>image/20171114_070234593.jpg</t>
  </si>
  <si>
    <t>jay_5890@yahoo.in</t>
  </si>
  <si>
    <t>jaye5hva5an1</t>
  </si>
  <si>
    <t>Jayesh</t>
  </si>
  <si>
    <t>Ontario</t>
  </si>
  <si>
    <t>Toronto</t>
  </si>
  <si>
    <t>Traveling, Driving &amp; Out-door leisure</t>
  </si>
  <si>
    <t>Shivji Khimji Vasani</t>
  </si>
  <si>
    <t>Jayaben Shivji Vasani</t>
  </si>
  <si>
    <t>Khimjibhai Harjibhai Vasani</t>
  </si>
  <si>
    <t>C/O Shree Jay Krishna Traders, Opp. Hariom Indu.Estate, Pij-Road, At Tundel  -  387230 Taluko  -  Nadiad  Dist.  -  Kheda,  Gujarat</t>
  </si>
  <si>
    <t>simple, Down to earth,  Family Oriented</t>
  </si>
  <si>
    <t>image/20171121_100244664.jpg</t>
  </si>
  <si>
    <t>image/20171121_100244663.jpg</t>
  </si>
  <si>
    <t>appu972525@gmail.com</t>
  </si>
  <si>
    <t>jayjalaram</t>
  </si>
  <si>
    <t>ankit</t>
  </si>
  <si>
    <t>Like social services. God shiva lover.</t>
  </si>
  <si>
    <t>laljibhai</t>
  </si>
  <si>
    <t>Jalaram saw mill,Station road, opposite girls school, padra</t>
  </si>
  <si>
    <t>Good in nature Respectfully for elders</t>
  </si>
  <si>
    <t>image/20180327_10160392.jpg</t>
  </si>
  <si>
    <t>image/20180327_10210476.jpg</t>
  </si>
  <si>
    <t>image/20180327_10242255.jpg</t>
  </si>
  <si>
    <t>tbpatel_2009@yahoo.co.in</t>
  </si>
  <si>
    <t>tbpatel1959</t>
  </si>
  <si>
    <t>Dimpi</t>
  </si>
  <si>
    <t>Patel Rangani</t>
  </si>
  <si>
    <t>Tribhuvan</t>
  </si>
  <si>
    <t>607/B, Raheja Green, Raheja Estate,Kulupwadi Road,Near National ParkBorivali (East)Mumbai=400066</t>
  </si>
  <si>
    <t>Chief Manager</t>
  </si>
  <si>
    <t>Bank of Baroda Baroda Corporate Centre Bandra Kurla Complex Bandra East Mumbai400051</t>
  </si>
  <si>
    <t>Should be straight forward and free from bad habits</t>
  </si>
  <si>
    <t>Desalpar Tal Bhuj</t>
  </si>
  <si>
    <t>image/20171126_05551285.jpg</t>
  </si>
  <si>
    <t>image/20171126_05554873.jpg</t>
  </si>
  <si>
    <t>Desalpar Vandhay Tal Bhuj</t>
  </si>
  <si>
    <t xml:space="preserve">bhaveshdiwani1111@gmail.com </t>
  </si>
  <si>
    <t>bh@vesh11</t>
  </si>
  <si>
    <t>I like travelling, sports and create a new contact with new person</t>
  </si>
  <si>
    <t>Maniben</t>
  </si>
  <si>
    <t>Khimajibhai</t>
  </si>
  <si>
    <t>A/p yadrav phata, sangli road Ichalkaranji</t>
  </si>
  <si>
    <t>Shree Maruti traders. Yadrav phata</t>
  </si>
  <si>
    <t>Familiar</t>
  </si>
  <si>
    <t xml:space="preserve">Jaipur (Jatavira) </t>
  </si>
  <si>
    <t>image/20171211_08324564.jpg</t>
  </si>
  <si>
    <t>image/20171211_21465080.jpg</t>
  </si>
  <si>
    <t>Jatavira</t>
  </si>
  <si>
    <t>rocks25112008@gmail.com</t>
  </si>
  <si>
    <t>rahul251189</t>
  </si>
  <si>
    <t>I'm very honest,loyal,matured,loving &amp; caring.i'm down to earth &amp; alwys respect my family.i  love sports,movies,photography &amp; travelling.</t>
  </si>
  <si>
    <t>Chandubhai</t>
  </si>
  <si>
    <t>Meenaben</t>
  </si>
  <si>
    <t>15,Nandanvan bunglows,near smruti mandir,canal road,ghodasar,ahmedabad.</t>
  </si>
  <si>
    <t>I want a partner who understands me &amp; accept my past.she must be matured,loving &amp; caring &amp; open minded.</t>
  </si>
  <si>
    <t>image/20171204_231241434.jpg</t>
  </si>
  <si>
    <t>image/20171204_231241383.jpg</t>
  </si>
  <si>
    <t>Ketanpatel5050@gmail.com</t>
  </si>
  <si>
    <t>ketan12345</t>
  </si>
  <si>
    <t xml:space="preserve">Ketan </t>
  </si>
  <si>
    <t>Plywood and hardware shop</t>
  </si>
  <si>
    <t>Intrest in sports activities.</t>
  </si>
  <si>
    <t>Hari Bhai dholu</t>
  </si>
  <si>
    <t>Nanda Ben dholu</t>
  </si>
  <si>
    <t>Ramji Bhai dholu</t>
  </si>
  <si>
    <t>237 k,  Scheme no. 71 Sectore A  indore</t>
  </si>
  <si>
    <t>FAMILIER</t>
  </si>
  <si>
    <t>image/20171214_103743314.jpg</t>
  </si>
  <si>
    <t>image/20171214_103743303.jpg</t>
  </si>
  <si>
    <t>Kotda jadodhar</t>
  </si>
  <si>
    <t>gujratimatrimony2017@gmail.com</t>
  </si>
  <si>
    <t>gujmat2017</t>
  </si>
  <si>
    <t>Vaishali</t>
  </si>
  <si>
    <t>Jharkhand</t>
  </si>
  <si>
    <t>Ranchi</t>
  </si>
  <si>
    <t>I have created this profile for my younger sister Vaishali. Our family is originally from Gujarat but we are settled in Ranchi. Our all relatives resides in different cities of gujarat. My sister is an officer with a bachelor's degree working in government sector. She is employed with Allahabad Bank. She is currently living in Ranchi along with parents. Her job is transferable to groom's location after marriage. We come from a middle class, nuclear family background with moderate values. She is kind hearted, understanding, helping in nature. She likes to spend her free time with family and friends.  Vaishali is a simple, kind hearted girl who loves and respects her family a lot.She likes to spend time with her family &amp; friends.</t>
  </si>
  <si>
    <t>Kishore J Patel</t>
  </si>
  <si>
    <t>Pushpa Patel</t>
  </si>
  <si>
    <t>Jayram Bhai Patel</t>
  </si>
  <si>
    <t>10A Purulia Road, Near Jharkhand Hospital, Kanta Toli Chowk, Ranchi, Jharkhand - 834001</t>
  </si>
  <si>
    <t>We are looking for her, a person who is caring, understanding, well educated, and positive by nature. Also he would be supportive to make her all dreams true.</t>
  </si>
  <si>
    <t>image/20171218_090448164.jpg</t>
  </si>
  <si>
    <t>image/20171218_090448163.jpg</t>
  </si>
  <si>
    <t>Rajkot</t>
  </si>
  <si>
    <t>Ghanshyamraj1979@gmail.com</t>
  </si>
  <si>
    <t>Job</t>
  </si>
  <si>
    <t>Team Member / Staff</t>
  </si>
  <si>
    <t>Mohanlal patel</t>
  </si>
  <si>
    <t>Manjula Ben patel</t>
  </si>
  <si>
    <t>Dayabhai patel</t>
  </si>
  <si>
    <t>Plot no 11/2 gat no472/2 Indraprastha colony Jalgaon MH 425002</t>
  </si>
  <si>
    <t>36-36</t>
  </si>
  <si>
    <t>Divorced,Widowed</t>
  </si>
  <si>
    <t>image/20180102_060840741.jpg</t>
  </si>
  <si>
    <t>image/20180102_060840884.jpg</t>
  </si>
  <si>
    <t>image/20180102_060840883.jpg</t>
  </si>
  <si>
    <t>Suresh.umabeats@gmail.com</t>
  </si>
  <si>
    <t>suresh123</t>
  </si>
  <si>
    <t xml:space="preserve">Chandni </t>
  </si>
  <si>
    <t>Nakarani</t>
  </si>
  <si>
    <t>Working as Management professional</t>
  </si>
  <si>
    <t>A warm and ambitious person with full of life and energy combined with high morality, famjly values. My hobby is singing, acting, travelling and knowing different cultures</t>
  </si>
  <si>
    <t>Suresh nakarani</t>
  </si>
  <si>
    <t>Meeraben</t>
  </si>
  <si>
    <t>Nathubhai</t>
  </si>
  <si>
    <t>Kalawad road, rajkot</t>
  </si>
  <si>
    <t>Should be high spirited, ambitious, well cultured, with family bonding</t>
  </si>
  <si>
    <t>image/20180102_082127684.jpg</t>
  </si>
  <si>
    <t>image/20180102_082127673.jpg</t>
  </si>
  <si>
    <t>Devpar yaksh</t>
  </si>
  <si>
    <t>tarunpokar@gmail.com</t>
  </si>
  <si>
    <t>tp77tarun</t>
  </si>
  <si>
    <t xml:space="preserve">Tarun </t>
  </si>
  <si>
    <t>Bellary</t>
  </si>
  <si>
    <t>Vry hardworking n I believe in living life wit positivity n enjoy life to fullest... i do believe in karma... do good n good comes to u.... much more to say n if u lik my profile thn feel free to contact.. all the best for ur search</t>
  </si>
  <si>
    <t>Hansraj Pokar</t>
  </si>
  <si>
    <t>Parvathi</t>
  </si>
  <si>
    <t>Kanji Bhim ji Pokar</t>
  </si>
  <si>
    <t>Bhuvana building... Sindgi compound. Near Raghavendra theatre.. bellary Karnataka</t>
  </si>
  <si>
    <t>She should b calm n cool minded... should b able to deal all probs wit positivity... open minded n modern....</t>
  </si>
  <si>
    <t>image/20180116_22243681.jpg</t>
  </si>
  <si>
    <t>dxt3794@gmail.com</t>
  </si>
  <si>
    <t>Dixit6594</t>
  </si>
  <si>
    <t>Dixit</t>
  </si>
  <si>
    <t>Emerging entrepreneur</t>
  </si>
  <si>
    <t>Naranbhai</t>
  </si>
  <si>
    <t>Kesarvadi, B/h Police station Waghodia, Vadodara</t>
  </si>
  <si>
    <t>Must be supportive for my entrepreneurship.</t>
  </si>
  <si>
    <t>image/20180110_21424602.jpg</t>
  </si>
  <si>
    <t>image/20180110_21425739.jpg</t>
  </si>
  <si>
    <t>Nana angiya</t>
  </si>
  <si>
    <t>jeegar.pokar@gmail.com</t>
  </si>
  <si>
    <t>94264j29263</t>
  </si>
  <si>
    <t>Disaster Management</t>
  </si>
  <si>
    <t>Au small Finance Bank  Bhuj - Kutch</t>
  </si>
  <si>
    <t>Traveling, Reading</t>
  </si>
  <si>
    <t>MUKESHBHAI</t>
  </si>
  <si>
    <t>Karsanbhai</t>
  </si>
  <si>
    <t>Jiyapar, Ta: Nakhatrana - Kutch</t>
  </si>
  <si>
    <t>..</t>
  </si>
  <si>
    <t>image/20180117_22465629.jpg</t>
  </si>
  <si>
    <t>image/20180117_09002246.jpg</t>
  </si>
  <si>
    <t>vijaypatel5555@rediffmail.com</t>
  </si>
  <si>
    <t>rach1991</t>
  </si>
  <si>
    <t>Rachna</t>
  </si>
  <si>
    <t>Jagdalpur</t>
  </si>
  <si>
    <t>studying &amp; music</t>
  </si>
  <si>
    <t>Ramnik lal Patel</t>
  </si>
  <si>
    <t>Prabha Ben Patel</t>
  </si>
  <si>
    <t>Late Shri Manu Bhai Patel</t>
  </si>
  <si>
    <t>Nayapara , Jagdalpur (C.G.)</t>
  </si>
  <si>
    <t>well educated</t>
  </si>
  <si>
    <t>image/20180123_05314780.jpg</t>
  </si>
  <si>
    <t>image/20180123_05324370.jpg</t>
  </si>
  <si>
    <t>kamleshraj86@yahoo.co.in</t>
  </si>
  <si>
    <t>kamleshraj86</t>
  </si>
  <si>
    <t>Self work</t>
  </si>
  <si>
    <t>Bengali</t>
  </si>
  <si>
    <t>Self business</t>
  </si>
  <si>
    <t>Nothing</t>
  </si>
  <si>
    <t>Late. Mohanlal  patel</t>
  </si>
  <si>
    <t>Manjula ben patel</t>
  </si>
  <si>
    <t>Daya bhai patel</t>
  </si>
  <si>
    <t>56 khandesh mill   complex jalgaon</t>
  </si>
  <si>
    <t>30-38</t>
  </si>
  <si>
    <t>image/20180117_220823544.jpg</t>
  </si>
  <si>
    <t>image/20180117_220823513.jpg</t>
  </si>
  <si>
    <t>Matthal</t>
  </si>
  <si>
    <t>Smileyjigar@gmail.com</t>
  </si>
  <si>
    <t>jigar123</t>
  </si>
  <si>
    <t>Ahmednagar</t>
  </si>
  <si>
    <t>Traveling , watching movies, Typing</t>
  </si>
  <si>
    <t>Ravjibhai Gopalbhai Bhavani</t>
  </si>
  <si>
    <t>Pushpaben Ravjibhai Bhavani</t>
  </si>
  <si>
    <t>Gopalbhai kanjibhai Bhavani</t>
  </si>
  <si>
    <t>Jalna road, kushal Nagar ,Aurangabad.</t>
  </si>
  <si>
    <t>Looking Nice and Beautiful...</t>
  </si>
  <si>
    <t>image/20180118_010455804.jpg</t>
  </si>
  <si>
    <t>image/20180118_010455783.jpg</t>
  </si>
  <si>
    <t>Aiyar Ambala , Nakhtrana</t>
  </si>
  <si>
    <t>Jitupatel77777@gmail.com</t>
  </si>
  <si>
    <t>jitu9090</t>
  </si>
  <si>
    <t>Jitu pkoar</t>
  </si>
  <si>
    <t>Jitu</t>
  </si>
  <si>
    <t>Tarveling</t>
  </si>
  <si>
    <t>Laljibhai Pokar</t>
  </si>
  <si>
    <t>Ramilaben pokar</t>
  </si>
  <si>
    <t>Lakhmshibhai pokar</t>
  </si>
  <si>
    <t>19-29</t>
  </si>
  <si>
    <t>image/20180119_234134524.jpg</t>
  </si>
  <si>
    <t>image/20180119_234134473.jpg</t>
  </si>
  <si>
    <t>rahulpatel12309@gmail.com</t>
  </si>
  <si>
    <t>Rahul1282</t>
  </si>
  <si>
    <t>Rahulkumar</t>
  </si>
  <si>
    <t>Civil Engineering</t>
  </si>
  <si>
    <t>PGP in REUIM from NICMAR PUNE</t>
  </si>
  <si>
    <t>I want to become successful person in my Civil Engineering field. Fulfill my as well as my parents all dreams as soon as I complete my Master Studies . And always passionate about my work because I am workoholic person. And my hobbies are playing Cricket, Volleyball, Chess and I love to travel.</t>
  </si>
  <si>
    <t>Tulsidas Bhavani</t>
  </si>
  <si>
    <t>Jayaben Tulsidas Bhavani</t>
  </si>
  <si>
    <t>Hansrajbhai Karmashi Bhavani</t>
  </si>
  <si>
    <t>A/5 Flat no. 6, Jalvayu Vihar, Sec. No. 06, Near Spine City Mall, Moshi PCNTDA, Moshi, Pune (Maharashtra)-412405</t>
  </si>
  <si>
    <t>Always supportive, helpful and thoughtful to me and my family in every situation.</t>
  </si>
  <si>
    <t>Surat (Gujarat)</t>
  </si>
  <si>
    <t>image/20180126_22122961.jpg</t>
  </si>
  <si>
    <t>image/20180126_22125851.jpg</t>
  </si>
  <si>
    <t>Rasliya Nakhtrana</t>
  </si>
  <si>
    <t>jittu.swastik@gmail.com</t>
  </si>
  <si>
    <t>bhavna@26</t>
  </si>
  <si>
    <t xml:space="preserve">Jiten </t>
  </si>
  <si>
    <t>Chouksey Engg College</t>
  </si>
  <si>
    <t>SWASTIK PANELS, RAWABHATA IND. AREA, RAIPUR</t>
  </si>
  <si>
    <t>Watching Movies, Travelling To New Places, Learning New Things,</t>
  </si>
  <si>
    <t>MANSUKH LAL KHETANI</t>
  </si>
  <si>
    <t>BHAGWATI BEN KHETANI</t>
  </si>
  <si>
    <t>RAVJIBHAI KHETANI</t>
  </si>
  <si>
    <t>Flat No. 404, Arjuna Heights, Near Arora Dharmkanta, Bhanpuri, Raipur, (C.G.)</t>
  </si>
  <si>
    <t>High School,Undergraduate,Bachelors,Masters,Diploma</t>
  </si>
  <si>
    <t>NOTHING</t>
  </si>
  <si>
    <t>Nani aral</t>
  </si>
  <si>
    <t>image/20180125_06334112.jpg</t>
  </si>
  <si>
    <t>image/20180123_12362847.jpg</t>
  </si>
  <si>
    <t>image/20180123_12364852.jpg</t>
  </si>
  <si>
    <t>Varsha2013in@rediffmail.com</t>
  </si>
  <si>
    <t>VARSHA1234</t>
  </si>
  <si>
    <t>Sonu</t>
  </si>
  <si>
    <t>Tax return preparer</t>
  </si>
  <si>
    <t>Dr. Hari singh gour central university</t>
  </si>
  <si>
    <t>Tax practitioner</t>
  </si>
  <si>
    <t>Love to smile</t>
  </si>
  <si>
    <t>Basant bhai</t>
  </si>
  <si>
    <t>Kanta ben</t>
  </si>
  <si>
    <t>Gopal bhai</t>
  </si>
  <si>
    <t>Mahakal traders</t>
  </si>
  <si>
    <t>Must be self depended and supportive</t>
  </si>
  <si>
    <t>image/20190321_02304893.jpg</t>
  </si>
  <si>
    <t>image/20190321_02312405.jpg</t>
  </si>
  <si>
    <t>hmb108@gmail.com</t>
  </si>
  <si>
    <t>hmb123hmb</t>
  </si>
  <si>
    <t>BHAWANI</t>
  </si>
  <si>
    <t>my self confidensh</t>
  </si>
  <si>
    <t>TRAVELING, SWIMMING, READING.</t>
  </si>
  <si>
    <t>MOHANLAL JIVRAJBHAI BHAWANI</t>
  </si>
  <si>
    <t>MEENABEN MOHANLAL BHAWANI</t>
  </si>
  <si>
    <t>JIVRAJBHAI LADHHABHAI BHAWANI</t>
  </si>
  <si>
    <t>35, KAMLA BHUVAN, SANGHANI ESTATE,L.B.S. MARG, GHATKOPAR (W), MUMBAI-400086.</t>
  </si>
  <si>
    <t>KEDAR ELECTRONICS Shop No. 2, Avichal Bldg. 2, Sanghani Estate,L.B.S. Marg, Ghatkopar (W), Mumbai - 400086.</t>
  </si>
  <si>
    <t>SANSKARI &amp; GOOD NATURE.</t>
  </si>
  <si>
    <t>KHILODA KAMPA</t>
  </si>
  <si>
    <t>image/20180125_05333433.jpg</t>
  </si>
  <si>
    <t>image/20180125_05335719.jpg</t>
  </si>
  <si>
    <t>KALYANPAR</t>
  </si>
  <si>
    <t>vasant_patel008@rediffmail.com</t>
  </si>
  <si>
    <t>vp241064</t>
  </si>
  <si>
    <t>akash</t>
  </si>
  <si>
    <t>Chhindwara</t>
  </si>
  <si>
    <t>COMPLITED BE.BTECH.IN OCKLAND.NEWZEALAND. looking life partner.</t>
  </si>
  <si>
    <t>vasant bhai patel jadwani</t>
  </si>
  <si>
    <t>jyoti patel</t>
  </si>
  <si>
    <t>shri govind bhai patel</t>
  </si>
  <si>
    <t>shri sharda saw mill, station road ,umranala.dist chhindwara [m.p]</t>
  </si>
  <si>
    <t>looking uk,us,canada,nz,aus. for doing job and setell .</t>
  </si>
  <si>
    <t>image/20180129_223053014.jpg</t>
  </si>
  <si>
    <t>image/20180129_223052993.jpg</t>
  </si>
  <si>
    <t>ravapre</t>
  </si>
  <si>
    <t>jigarsankhlavirani@gmail.com</t>
  </si>
  <si>
    <t>Jig@r2790</t>
  </si>
  <si>
    <t>hello, my self Jigar. I like to learn new things from various sources, music, travelling etc.</t>
  </si>
  <si>
    <t>Jentilal</t>
  </si>
  <si>
    <t>Kasturben</t>
  </si>
  <si>
    <t>Hansrajbhai</t>
  </si>
  <si>
    <t>199, Patelwas, Vijaynagar, Virani Nani(Gadh), Ta. Mandvi Kachchh 370445</t>
  </si>
  <si>
    <t>image/20180204_05164413.bmp</t>
  </si>
  <si>
    <t>image/20180204_05160230.bmp</t>
  </si>
  <si>
    <t>Virani Nani - Gadh</t>
  </si>
  <si>
    <t>Karanpatel2688@gmail.com</t>
  </si>
  <si>
    <t>26@karan</t>
  </si>
  <si>
    <t>Painting, playing badmintant</t>
  </si>
  <si>
    <t>Parshottambhai</t>
  </si>
  <si>
    <t>Kanchanben</t>
  </si>
  <si>
    <t>5, sahakar apartment, Nr. Panchartna app. Ellorapark, Vadodara 390023</t>
  </si>
  <si>
    <t>Simple living, cering, responsible, doing job if she like.......</t>
  </si>
  <si>
    <t>image/20180208_003454734.jpg</t>
  </si>
  <si>
    <t>image/20180208_003454613.jpg</t>
  </si>
  <si>
    <t>jigar8394@gmail.com</t>
  </si>
  <si>
    <t>jigar9051</t>
  </si>
  <si>
    <t>I enjoy solving problems, troubleshooting issues, and coming up with solutions in a timely manner. I thrive in team settings, and I think my ability to effectively communicate with others is what drives my ability to solve a variety of problems.</t>
  </si>
  <si>
    <t>Devendrabhai</t>
  </si>
  <si>
    <t>Kantaben</t>
  </si>
  <si>
    <t>Gokul nagar  Near bus station gadhsisa</t>
  </si>
  <si>
    <t>Nothing any expectations</t>
  </si>
  <si>
    <t>image/20180212_10344541.jpg</t>
  </si>
  <si>
    <t>image/20180212_10342153.jpg</t>
  </si>
  <si>
    <t>Gadhasisa</t>
  </si>
  <si>
    <t>Kavya.rudani@gmail.com</t>
  </si>
  <si>
    <t>kavya1993</t>
  </si>
  <si>
    <t>Premji Bhai Rudani</t>
  </si>
  <si>
    <t>Vishram Bhai</t>
  </si>
  <si>
    <t>Patel was, near Bus Station, Devisar</t>
  </si>
  <si>
    <t>Thin</t>
  </si>
  <si>
    <t>image/20180214_12300581.jpg</t>
  </si>
  <si>
    <t>image/20180214_12302073.jpg</t>
  </si>
  <si>
    <t xml:space="preserve">patel.mahendra763@gmail.com </t>
  </si>
  <si>
    <t>ardpp5807c</t>
  </si>
  <si>
    <t>Kaushik</t>
  </si>
  <si>
    <t>Playing cricket and travelling</t>
  </si>
  <si>
    <t>Mahendra</t>
  </si>
  <si>
    <t>KALPANA</t>
  </si>
  <si>
    <t>Om apartment  Saibaba  nagar Ringroad Kharbi  squar Nagpur</t>
  </si>
  <si>
    <t>*,, *</t>
  </si>
  <si>
    <t>image/20180217_09255871.jpg</t>
  </si>
  <si>
    <t>Nani Aral</t>
  </si>
  <si>
    <t>Neha.patidar110@gmail.com</t>
  </si>
  <si>
    <t>neha1992</t>
  </si>
  <si>
    <t xml:space="preserve">Neha </t>
  </si>
  <si>
    <t>My daughter is  passionate person with clear goals,she love music and always ready to learn new things</t>
  </si>
  <si>
    <t>Ambalal</t>
  </si>
  <si>
    <t>Jyotika</t>
  </si>
  <si>
    <t>Valji</t>
  </si>
  <si>
    <t>Sanyara yax tal Nakhatrana Kachchh</t>
  </si>
  <si>
    <t>An educated person,well settled.</t>
  </si>
  <si>
    <t>image/20180222_05313501.jpg</t>
  </si>
  <si>
    <t>image/20180222_05371831.jpg</t>
  </si>
  <si>
    <t>Makani.pradeep@gmail.com</t>
  </si>
  <si>
    <t>PRADEEP31</t>
  </si>
  <si>
    <t>Pradeep</t>
  </si>
  <si>
    <t>Hii</t>
  </si>
  <si>
    <t>Mahendrabhai</t>
  </si>
  <si>
    <t>B-108 paras SOS katargam surat</t>
  </si>
  <si>
    <t>18-40</t>
  </si>
  <si>
    <t>Carring,loving,enjoying with me</t>
  </si>
  <si>
    <t>image/20180223_11133562.jpg</t>
  </si>
  <si>
    <t>image/20180223_11185122.jpg</t>
  </si>
  <si>
    <t>image/20180223_11222799.jpg</t>
  </si>
  <si>
    <t>Desalpar</t>
  </si>
  <si>
    <t>Kevalpatel207@gmail. Com</t>
  </si>
  <si>
    <t>keval@12345</t>
  </si>
  <si>
    <t xml:space="preserve">Keval </t>
  </si>
  <si>
    <t>Meet me and know about my self</t>
  </si>
  <si>
    <t>Shamalbhai</t>
  </si>
  <si>
    <t>122 nilkamal society opp galaxy cinema naroda Ahmadabad</t>
  </si>
  <si>
    <t>Understand about life and take write decision every time</t>
  </si>
  <si>
    <t>image/20180305_213111654.jpg</t>
  </si>
  <si>
    <t>image/20180305_213111643.jpg</t>
  </si>
  <si>
    <t>mm30261@gmail.com</t>
  </si>
  <si>
    <t>andhra pradesh</t>
  </si>
  <si>
    <t>hyderabad</t>
  </si>
  <si>
    <t>b.tech</t>
  </si>
  <si>
    <t>aware madhavanji</t>
  </si>
  <si>
    <t>cse</t>
  </si>
  <si>
    <t>golden door, hyderabad</t>
  </si>
  <si>
    <t>my self mahendra, m from hyderabad, m cool luking and my hobbies playing cricket, friends , travellling, chating</t>
  </si>
  <si>
    <t>jayanthilal bhawani</t>
  </si>
  <si>
    <t>vimla jayanthilal bhawani</t>
  </si>
  <si>
    <t>bhanji bhawani</t>
  </si>
  <si>
    <t>plot no.49, hyderabad</t>
  </si>
  <si>
    <t>golden door</t>
  </si>
  <si>
    <t>caring loving</t>
  </si>
  <si>
    <t>bhuj, netra</t>
  </si>
  <si>
    <t>image/20180322_09131891.jpg</t>
  </si>
  <si>
    <t>image/20180321_02234424.jpg</t>
  </si>
  <si>
    <t>image/20180320_10122798.jpg</t>
  </si>
  <si>
    <t>klt6145@gmail.com</t>
  </si>
  <si>
    <t>letap20118</t>
  </si>
  <si>
    <t>Kunal</t>
  </si>
  <si>
    <t xml:space="preserve">Makani </t>
  </si>
  <si>
    <t>patel agro tech pochampally  hyderabad</t>
  </si>
  <si>
    <t>I am straight forward  My hobbies are playing cricket and PS games</t>
  </si>
  <si>
    <t>Mohanlal makani</t>
  </si>
  <si>
    <t>Shardaben makani</t>
  </si>
  <si>
    <t>Ravji Bhai makani</t>
  </si>
  <si>
    <t>H. No 7-1-118/4&amp;5S v colony Bairamalguda Hyderabad</t>
  </si>
  <si>
    <t>proprietor</t>
  </si>
  <si>
    <t>patel agro tech  pochampally</t>
  </si>
  <si>
    <t>manilal limbani</t>
  </si>
  <si>
    <t>Caring and loving</t>
  </si>
  <si>
    <t>image/20180325_06223842.jpg</t>
  </si>
  <si>
    <t>image/20180325_06431848.jpg</t>
  </si>
  <si>
    <t>image/20180325_06473617.jpg</t>
  </si>
  <si>
    <t>pratikpatel80555@gmail.com</t>
  </si>
  <si>
    <t>Pratik@1991</t>
  </si>
  <si>
    <t>Bhagat</t>
  </si>
  <si>
    <t>M com</t>
  </si>
  <si>
    <t>Kskv Kutch uni</t>
  </si>
  <si>
    <t>Umiya Enterprise</t>
  </si>
  <si>
    <t>Reading, Traveling</t>
  </si>
  <si>
    <t>Bhimji bhai</t>
  </si>
  <si>
    <t>Kanji bhai</t>
  </si>
  <si>
    <t>Miraroad</t>
  </si>
  <si>
    <t>No Expectations in love</t>
  </si>
  <si>
    <t>Mandvi</t>
  </si>
  <si>
    <t>image/20181110_03420776.jpg</t>
  </si>
  <si>
    <t>image/20181109_00080580.jpg</t>
  </si>
  <si>
    <t>image/20181109_00053069.jpg</t>
  </si>
  <si>
    <t>Mavanivishal96@gmail.com</t>
  </si>
  <si>
    <t>mavani3830</t>
  </si>
  <si>
    <t>Monika</t>
  </si>
  <si>
    <t>Mavani&amp;nbsp;&lt;b&gt;Mulshakha&lt;/b&gt; &amp;nbsp;Tilat</t>
  </si>
  <si>
    <t>Riding</t>
  </si>
  <si>
    <t>Ashok bhaimavani</t>
  </si>
  <si>
    <t>Narmadabenmavani</t>
  </si>
  <si>
    <t>Visharambhaimavani</t>
  </si>
  <si>
    <t>Gayatritimbar mart neyar saibabatempal lakhawad road mehasana</t>
  </si>
  <si>
    <t>Responsibility</t>
  </si>
  <si>
    <t>image/20180321_220436041.jpg</t>
  </si>
  <si>
    <t>image/20180321_220436104.jpg</t>
  </si>
  <si>
    <t>image/20180321_220436093.jpg</t>
  </si>
  <si>
    <t>Patel.Kirti24@gmail.com</t>
  </si>
  <si>
    <t>kirti14728</t>
  </si>
  <si>
    <t>Music and reading. Travel</t>
  </si>
  <si>
    <t>Vishnubhai</t>
  </si>
  <si>
    <t>Trikamdas</t>
  </si>
  <si>
    <t>At po-Visalvasna.dist-patan.state- Gujrat</t>
  </si>
  <si>
    <t>image/20180328_014555384.jpg</t>
  </si>
  <si>
    <t>image/20180328_014446523.jpg</t>
  </si>
  <si>
    <t>Visalvasna</t>
  </si>
  <si>
    <t>Vipulworld03@yahoo.com</t>
  </si>
  <si>
    <t>vipnir.03</t>
  </si>
  <si>
    <t>B Tech Food tech</t>
  </si>
  <si>
    <t>Marathi english</t>
  </si>
  <si>
    <t>I  m free minded person. I like to explore new fields of learning something new , never satisfied with knowledge i have , always want  to learn something more , That's  why I like to teach also.</t>
  </si>
  <si>
    <t>Ravaji bhai khimaji diwani</t>
  </si>
  <si>
    <t>Mannen ravaji diwani</t>
  </si>
  <si>
    <t>Khimaji meghaji diwani</t>
  </si>
  <si>
    <t>Shree maruti traders , A/p yadrav fata, opp- petrol pump, ichalkaranji-sangli road , ichalkaranji-sangli. Pin - 416121</t>
  </si>
  <si>
    <t>Charming , easily mix with other, jolly, helping nature, cares for family</t>
  </si>
  <si>
    <t>image/20180329_05353653.jpg</t>
  </si>
  <si>
    <t>image/20180329_05415851.jpg</t>
  </si>
  <si>
    <t>bhaviknkn@gmail.com</t>
  </si>
  <si>
    <t>umiya@204</t>
  </si>
  <si>
    <t xml:space="preserve">BHAVIK </t>
  </si>
  <si>
    <t>SHARJAH</t>
  </si>
  <si>
    <t>I am caring, loving, understanding, trustworthy, honest and kind hearted human being. I come from a middle class family. I think family as the first priority of my life. I believe in success through hard work &amp; dedication. My motto in life is to ‘If you want something, work hard &amp; you will achieve it; there are no shot cuts’. I enjoy life to the fullest &amp; love humour. I like travelling, swimming, cooking and watching movies</t>
  </si>
  <si>
    <t>TULSIDAS RATANSI NAKARANI</t>
  </si>
  <si>
    <t>PRABHABEN TULSIDAS NAKARANI</t>
  </si>
  <si>
    <t>RATANSHI HIRJI NAKARANI</t>
  </si>
  <si>
    <t>14/B, BLDG #1, SHIVAM COMPLEX, RAJAJI RD, 3rd CROSS LANE, BEHIND PATKAR SCHOOL, RAM NAGAR, DOMBIVLI EAST,421201, THANE, MAHARASHTRA, INDIA.</t>
  </si>
  <si>
    <t>Less than 12th (HSC),Undergraduate,Bachelors,Masters,Diploma,Doctorate</t>
  </si>
  <si>
    <t>Partner must be honest, trustworthy, understanding, supportive with partner at any situation, caring, loving, responsible and not be selfish. She must be workaholic. I would prefer working partner or being self employ is OK.No bad habits like smoking or drinking as i don't do.</t>
  </si>
  <si>
    <t>image/20180405_23550936.gif</t>
  </si>
  <si>
    <t>image/20180405_23582674.gif</t>
  </si>
  <si>
    <t>VIRANI Moti</t>
  </si>
  <si>
    <t>bp7254824@gmail.com</t>
  </si>
  <si>
    <t xml:space="preserve">Bharat  </t>
  </si>
  <si>
    <t xml:space="preserve">Shankhla </t>
  </si>
  <si>
    <t>Mehsana</t>
  </si>
  <si>
    <t>Vijaylaxmi timber mart plywood ambaliyasn</t>
  </si>
  <si>
    <t>Reading, listening, playing</t>
  </si>
  <si>
    <t>Bhavanbhai patel</t>
  </si>
  <si>
    <t>Maniben patel</t>
  </si>
  <si>
    <t>Dhanjibhai patel</t>
  </si>
  <si>
    <t>Ambaliyasn Mehsana</t>
  </si>
  <si>
    <t>Babubhai karsanbhai chaudhry</t>
  </si>
  <si>
    <t>Take care of family of both sides she should support me in  all ups and downs</t>
  </si>
  <si>
    <t xml:space="preserve">Mehsana </t>
  </si>
  <si>
    <t>image/20180417_06144922.jpg</t>
  </si>
  <si>
    <t>image/20180417_17392705.jpg</t>
  </si>
  <si>
    <t>pateldip1993@gmail.com</t>
  </si>
  <si>
    <t>Yesyou123</t>
  </si>
  <si>
    <t>Architect | Businessman | Entrepreneur |</t>
  </si>
  <si>
    <t>Damodar</t>
  </si>
  <si>
    <t>Pushpa</t>
  </si>
  <si>
    <t>Kanaji</t>
  </si>
  <si>
    <t>Patel stone traders , behind cotton market, dhule</t>
  </si>
  <si>
    <t>image/20180420_12065058.jpg</t>
  </si>
  <si>
    <t>image/20180420_12070325.jpg</t>
  </si>
  <si>
    <t>ypyogesh666@gmail.com</t>
  </si>
  <si>
    <t>Yogesh</t>
  </si>
  <si>
    <t>Gondiya</t>
  </si>
  <si>
    <t>B Com Degree</t>
  </si>
  <si>
    <t>I am very honest and do business very honestly</t>
  </si>
  <si>
    <t>Himmatbhai Pokar</t>
  </si>
  <si>
    <t>Deepikaben Pokar</t>
  </si>
  <si>
    <t>Dahyalal Pokar</t>
  </si>
  <si>
    <t>Flat No.202 Kavlya Apartment Ramnagar Gondia</t>
  </si>
  <si>
    <t>I have no expectation regarding partner</t>
  </si>
  <si>
    <t>Gondia</t>
  </si>
  <si>
    <t>image/20180423_09003906.jpg</t>
  </si>
  <si>
    <t>image/20180423_08573238.jpg</t>
  </si>
  <si>
    <t>image/20180423_08585602.jpg</t>
  </si>
  <si>
    <t>Haripar</t>
  </si>
  <si>
    <t>ptl.rajeshh@gmail.com</t>
  </si>
  <si>
    <t>apbpp2786l</t>
  </si>
  <si>
    <t>rajesh</t>
  </si>
  <si>
    <t>shankhla</t>
  </si>
  <si>
    <t>hi thre thanks for visiting my profile i believe in family values and positivity.i am energetic,lively &amp; caring boy having passion for life art. .Love myself keeping fit and healthy, Very Honest,caring balance of Modern &amp; traditional values, respect elders, believe: give respect take respect.  Also enjoy travelling,  i sped some time with my Family and Friends , some time watch movies , shopping,trying new food and places</t>
  </si>
  <si>
    <t>Mohan</t>
  </si>
  <si>
    <t>Ramila</t>
  </si>
  <si>
    <t>RNO.3 KALOLA NIVAS M/A MEHTA COMP OLD MANEKLAL L.B.S.Marg AGRA ROAD GHATKOPAR W MUMBAI 400086</t>
  </si>
  <si>
    <t>MOHAN BHIMJI POKAR</t>
  </si>
  <si>
    <t>HYDRABAD</t>
  </si>
  <si>
    <t>KOTDA JADODAR</t>
  </si>
  <si>
    <t>30-35</t>
  </si>
  <si>
    <t>he should be honest , caring, with balance of Modern &amp; traditional Simple and having Good Nature</t>
  </si>
  <si>
    <t>MUMBAI</t>
  </si>
  <si>
    <t>image/20180427_11014930.jpg</t>
  </si>
  <si>
    <t>image/20180427_10562196.jpg</t>
  </si>
  <si>
    <t>image/20180427_10260264.jpg</t>
  </si>
  <si>
    <t>Ghadhsisa</t>
  </si>
  <si>
    <t>patel.ritesh0102@gmail.com</t>
  </si>
  <si>
    <t>gujju0102</t>
  </si>
  <si>
    <t>Cognizant Technology Solutions, Pune</t>
  </si>
  <si>
    <t>I am a simple person who believes in honesty &amp; moral values. I also believe in pursuing goals that brings change in the society. Music and badminton is something that keeps me motivated and healthy.</t>
  </si>
  <si>
    <t>Liladhar Patel</t>
  </si>
  <si>
    <t>Kala Patel</t>
  </si>
  <si>
    <t>Karamshi Patel</t>
  </si>
  <si>
    <t>K-401, Darshanam Antica Society, Dhanteshwar, Vadodara, Gujarat</t>
  </si>
  <si>
    <t>Stitching, Plantation</t>
  </si>
  <si>
    <t>Studying,Service,Professional,Others</t>
  </si>
  <si>
    <t>I am looking to meet someone who is open minded, should respect elders &amp; have family values. My life partner should be more of a friend.</t>
  </si>
  <si>
    <t>image/20180506_22282163.jpg</t>
  </si>
  <si>
    <t>image/20180506_22340143.jpg</t>
  </si>
  <si>
    <t>bhagatrajesh.n@gmail.com</t>
  </si>
  <si>
    <t>Raju294287</t>
  </si>
  <si>
    <t>Certification in JAVA from RPISE</t>
  </si>
  <si>
    <t>Osian Infotech Pvt. Ltd.</t>
  </si>
  <si>
    <t>listen Music, Travel,</t>
  </si>
  <si>
    <t>Naran</t>
  </si>
  <si>
    <t>Dhanvanti</t>
  </si>
  <si>
    <t>Shivgan</t>
  </si>
  <si>
    <t>Deshalpar (Vandhay), Bhuj - Kutch 370040</t>
  </si>
  <si>
    <t>Learn something new all time</t>
  </si>
  <si>
    <t>image/20180509_07532112.jpg</t>
  </si>
  <si>
    <t>image/20180509_07533475.jpg</t>
  </si>
  <si>
    <t>Umesh.bhut@gmail.com</t>
  </si>
  <si>
    <t>bhut2182</t>
  </si>
  <si>
    <t>Bhut</t>
  </si>
  <si>
    <t>Abc</t>
  </si>
  <si>
    <t>Cricket, travelling, music, all type work</t>
  </si>
  <si>
    <t>Chandu bhai</t>
  </si>
  <si>
    <t>Madhu ben</t>
  </si>
  <si>
    <t>Veraval shapar Shree harinagar block no 89 Sidc Road</t>
  </si>
  <si>
    <t>image/20180514_023006684.jpg</t>
  </si>
  <si>
    <t>image/20180514_023006673.jpg</t>
  </si>
  <si>
    <t>vmklati@gmail.com</t>
  </si>
  <si>
    <t>mk981969</t>
  </si>
  <si>
    <t>Umang</t>
  </si>
  <si>
    <t>Master Of Professional Accounting</t>
  </si>
  <si>
    <t>Central Queensland University</t>
  </si>
  <si>
    <t>Myself Umang Virendrabhai Patel , lives in Australia for study n my native place is Visnagar , MESHANA ,North GUJARAT. Right now I m studying master in professional account in Australia. I m tall ,fair, handsome n Smart.  I m interested in meeting peoples, playing chess n listeng music</t>
  </si>
  <si>
    <t>Virendrabhai  Mavjibhai Halpani</t>
  </si>
  <si>
    <t>Shardaben Virendarbhai Halpani</t>
  </si>
  <si>
    <t>Mavjibhai  Nathubhai  Halpani</t>
  </si>
  <si>
    <t>M.K. Patel &amp; Co.,Kansa char raste (sardar circle),VisnagarDIS: Meshana,North Gujarat</t>
  </si>
  <si>
    <t>M.K. PATEL &amp; Co. kansa char rasta, Visnagar, DIS: Meshana North Gujarat</t>
  </si>
  <si>
    <t>Ravjibhai Nanjibhai Limbani</t>
  </si>
  <si>
    <t>Barsol kampa  Khedbrahma  North Gujarat</t>
  </si>
  <si>
    <t>Jiyapar Yax</t>
  </si>
  <si>
    <t>Well Educated , Smart, Fair , Beautifull</t>
  </si>
  <si>
    <t xml:space="preserve">Visnagar </t>
  </si>
  <si>
    <t>image/20180514_22074952.jpg</t>
  </si>
  <si>
    <t>image/20180514_21460916.jpg</t>
  </si>
  <si>
    <t>image/20180514_21464250.jpg</t>
  </si>
  <si>
    <t>Sayra (yax)  TAL  Nakhatrana</t>
  </si>
  <si>
    <t>bipinlimbani@gmail.com</t>
  </si>
  <si>
    <t>9bhl9364</t>
  </si>
  <si>
    <t>BIPIN</t>
  </si>
  <si>
    <t>LIMBANI</t>
  </si>
  <si>
    <t>CA FINAL</t>
  </si>
  <si>
    <t>PUNE UNIVERSITY</t>
  </si>
  <si>
    <t>I've completed my graduation from Pune University and now I'm pursuing CA(Final). Currently working as a tax consultant.     I'm simple and down to earth and fun loving boy and believe in simple living &amp; high thinking. I come from middle class family. I am modern thinker but also believe in good values given by our ancestors. I love singing, listening to music and eagerness to learn something new every time.    I believe in success through hard work &amp; dedication. My motto in life is to ‘If you want something, work hard &amp; you will achieve it; there are no shot cuts’. I enjoy life to the fullest &amp; love humour. I am a progressive thinker &amp; respect each person’s space &amp; values.</t>
  </si>
  <si>
    <t>HIRALAL</t>
  </si>
  <si>
    <t>RASEELA</t>
  </si>
  <si>
    <t>C-2, SWAPNARANJAN APPT, BEHING YES BANK, PATAS ROAD, DAUND, PUNE-413801</t>
  </si>
  <si>
    <t>SHRI GAJANAN HARDWARE</t>
  </si>
  <si>
    <t>I am looking for a companion who is ready to share my responsibility and happiness. She should be caring, loving, understanding. She should stand by me in all difficult times.</t>
  </si>
  <si>
    <t>image/20180515_082323254.jpg</t>
  </si>
  <si>
    <t>image/20180515_082323243.jpg</t>
  </si>
  <si>
    <t>Dhawalpatel2008@gmail.com</t>
  </si>
  <si>
    <t>dhawal067</t>
  </si>
  <si>
    <t>Dhawal patel</t>
  </si>
  <si>
    <t>Parasiya</t>
  </si>
  <si>
    <t>Ishwar bhai patel</t>
  </si>
  <si>
    <t>Hemlata ben patel</t>
  </si>
  <si>
    <t>Babu bhai patel</t>
  </si>
  <si>
    <t>Nemavar road, khategaon dist. Dewas</t>
  </si>
  <si>
    <t>Smart educated family supporter</t>
  </si>
  <si>
    <t>image/20180516_034504624.jpg</t>
  </si>
  <si>
    <t>image/20180516_034504583.jpg</t>
  </si>
  <si>
    <t>Hiren.nakarani143@gmail.com</t>
  </si>
  <si>
    <t>Nakarani@18</t>
  </si>
  <si>
    <t>Hiren</t>
  </si>
  <si>
    <t>HariKrishna General Store--Ravapar Main Bazaar Hanumanji Mandir Same</t>
  </si>
  <si>
    <t>SportsMan Play For Cricket</t>
  </si>
  <si>
    <t>Virendra bhai Nakrani</t>
  </si>
  <si>
    <t>Rekha ben Nakrani</t>
  </si>
  <si>
    <t>Lalji Bhai Nakrani</t>
  </si>
  <si>
    <t>Navavas-Ravapar</t>
  </si>
  <si>
    <t>Farmers</t>
  </si>
  <si>
    <t>Shree Umiya Farm</t>
  </si>
  <si>
    <t>HomeMaker</t>
  </si>
  <si>
    <t>Cool</t>
  </si>
  <si>
    <t>Ravapar Kutchh</t>
  </si>
  <si>
    <t>image/20180518_23150631.jpg</t>
  </si>
  <si>
    <t>image/20180518_23153686.jpg</t>
  </si>
  <si>
    <t>image/20180518_23160200.jpg</t>
  </si>
  <si>
    <t>Niravsenghani@gmail.com</t>
  </si>
  <si>
    <t>dillusenghani9</t>
  </si>
  <si>
    <t xml:space="preserve">Nirav </t>
  </si>
  <si>
    <t>Interested in Business development and sports activities</t>
  </si>
  <si>
    <t>Navinchandra</t>
  </si>
  <si>
    <t>Meghjibhai</t>
  </si>
  <si>
    <t>Bungalow no. 06, Ilark homes prisha park society, nr. Ganshyan nagar, Mundra Kutch</t>
  </si>
  <si>
    <t>Simple and family oriented.</t>
  </si>
  <si>
    <t>image/20180519_10093302.jpg</t>
  </si>
  <si>
    <t>image/20180519_10045063.jpg</t>
  </si>
  <si>
    <t>Mandvi Durghapur</t>
  </si>
  <si>
    <t>jayeshnc25985@gmail.com</t>
  </si>
  <si>
    <t>jnc5126j</t>
  </si>
  <si>
    <t>jayesh</t>
  </si>
  <si>
    <t>chaudhari</t>
  </si>
  <si>
    <t>cricket</t>
  </si>
  <si>
    <t>narottambhai</t>
  </si>
  <si>
    <t>mangalaben</t>
  </si>
  <si>
    <t>lakhmashi</t>
  </si>
  <si>
    <t>B/202 Shila Recidency,Nr 500qurters, GIDC Ankleshwar Gujarat</t>
  </si>
  <si>
    <t>24-32</t>
  </si>
  <si>
    <t>Doesnot Matter,Less than 10th (SSC),Less than 12th (HSC)</t>
  </si>
  <si>
    <t>image/20180520_195120901.jpg</t>
  </si>
  <si>
    <t>image/20180520_195120964.jpg</t>
  </si>
  <si>
    <t>image/20180520_195120953.jpg</t>
  </si>
  <si>
    <t>nakhtana</t>
  </si>
  <si>
    <t>pravin61@gmail.com</t>
  </si>
  <si>
    <t>01@umiya</t>
  </si>
  <si>
    <t>Kndarp</t>
  </si>
  <si>
    <t>London</t>
  </si>
  <si>
    <t>B. Tech</t>
  </si>
  <si>
    <t>---</t>
  </si>
  <si>
    <t>Pravin Pokar</t>
  </si>
  <si>
    <t>Urmila Pokar</t>
  </si>
  <si>
    <t>Harilal Pokar</t>
  </si>
  <si>
    <t>Flower Valley, Block-C6, Flat-104,493/B, G.T.Road (S), Howrah 711102</t>
  </si>
  <si>
    <t>Investment Insurance Adviser</t>
  </si>
  <si>
    <t>Amratlal Mawjee Bhagat</t>
  </si>
  <si>
    <t>Arihant Enclave   Block-B1, Flat-201,Howrah 711102</t>
  </si>
  <si>
    <t>Uluberia, Howrah, West Bengal</t>
  </si>
  <si>
    <t>image/20180527_07414111.jpg</t>
  </si>
  <si>
    <t>image/20180527_07421486.jpg</t>
  </si>
  <si>
    <t>amithpatel95@rediff.com</t>
  </si>
  <si>
    <t>bang1992</t>
  </si>
  <si>
    <t>amith</t>
  </si>
  <si>
    <t>b com</t>
  </si>
  <si>
    <t>aims</t>
  </si>
  <si>
    <t>PATEL TIMBER  PEENYA JALAHALLI CROSS BANGALORE-560058</t>
  </si>
  <si>
    <t>READING BOOKS, SWIMING,PLAYING CRICKET,TRAVELING</t>
  </si>
  <si>
    <t>NANDU BHAI BHAWANI</t>
  </si>
  <si>
    <t>SARITHA BEN</t>
  </si>
  <si>
    <t>PARVATHI BEN</t>
  </si>
  <si>
    <t>#100, 1 ST B MAIN ROAD DEFENCE COLONY ,HESSARGHATTA MAIN ROAD BANGALORE 560073</t>
  </si>
  <si>
    <t>Well behaved , respecting parents,good looking and intelligent</t>
  </si>
  <si>
    <t>BABALURA</t>
  </si>
  <si>
    <t>image/20180530_01254906.jpg</t>
  </si>
  <si>
    <t>image/20180530_01174898.jpg</t>
  </si>
  <si>
    <t>image/20180530_01181580.jpg</t>
  </si>
  <si>
    <t>MAGVANA</t>
  </si>
  <si>
    <t>patelbhavesh780@yahoo.com</t>
  </si>
  <si>
    <t>Uvesh900</t>
  </si>
  <si>
    <t>I'm passionate person with clear goals, love music, playing football always ready to learn new things. Doing Freelancing in Administrator Task, Data Task, Web Research as Additional Profession.</t>
  </si>
  <si>
    <t>Vithal Bhai Patel</t>
  </si>
  <si>
    <t>Varsha Patel</t>
  </si>
  <si>
    <t>Gangdas Patel</t>
  </si>
  <si>
    <t>#86/87 Reliable Dwarka Apartment Flat 8 Upadhyay Layout, Near SBI Bank, Nagadevanahalli Bangalore 560056</t>
  </si>
  <si>
    <t>Requires Simple bride who take care of family.</t>
  </si>
  <si>
    <t>Raipur C.G.</t>
  </si>
  <si>
    <t>image/20180530_05082748.jpg</t>
  </si>
  <si>
    <t>image/20180530_05051159.jpg</t>
  </si>
  <si>
    <t>rameshpatel2596@gmail.com</t>
  </si>
  <si>
    <t>Haresh</t>
  </si>
  <si>
    <t>Book reading, listening music are my most hobbies.</t>
  </si>
  <si>
    <t>Govind Patel</t>
  </si>
  <si>
    <t>Gouri Patel</t>
  </si>
  <si>
    <t>#86/87 Relaible Dwaraka Apartment, Upadhayaya Layout,           Nagadevanahalli Banaglore 560056</t>
  </si>
  <si>
    <t>Requires someone who take care of family.</t>
  </si>
  <si>
    <t>image/20180610_23361905.jpg</t>
  </si>
  <si>
    <t>image/20180610_23362926.jpg</t>
  </si>
  <si>
    <t>soundwawe89@gmail.com</t>
  </si>
  <si>
    <t>jignesh123</t>
  </si>
  <si>
    <t>jignesh</t>
  </si>
  <si>
    <t>Sound engineering</t>
  </si>
  <si>
    <t>I  m  simple caring boy ,  painting , music , and  business</t>
  </si>
  <si>
    <t>Hansraj kanj bhavani</t>
  </si>
  <si>
    <t>Chandrika ben hansraj  bhai</t>
  </si>
  <si>
    <t>kanj ramji bhavani</t>
  </si>
  <si>
    <t>A.303 sarthi anekshi ,B/H-maruti Suzuki show room opp.dastan farm .Ahmedabad Gujarat  pin.382430</t>
  </si>
  <si>
    <t>Doesnot Matter,High School,Undergraduate</t>
  </si>
  <si>
    <t>Complete English,Complete Gujarathi,Complete Hindi</t>
  </si>
  <si>
    <t>A girl who cares for family wit love and  affection a simple caring girl</t>
  </si>
  <si>
    <t xml:space="preserve">Rashaliy </t>
  </si>
  <si>
    <t>image/20180608_00334137.jpg</t>
  </si>
  <si>
    <t>image/20180608_00344421.jpg</t>
  </si>
  <si>
    <t>image/20180608_00355865.jpg</t>
  </si>
  <si>
    <t>Rashaliya</t>
  </si>
  <si>
    <t>bhavesh343@gmail.com</t>
  </si>
  <si>
    <t>kardoshaadi123</t>
  </si>
  <si>
    <t>Chinsurah</t>
  </si>
  <si>
    <t>I am a very shy type, smiling, etc</t>
  </si>
  <si>
    <t>Lt Umesh Kumar Patel</t>
  </si>
  <si>
    <t>Mangla Patel</t>
  </si>
  <si>
    <t>Lt Tulsidas Patel</t>
  </si>
  <si>
    <t>Barabazar Chandannagar Hooghly West Bengal</t>
  </si>
  <si>
    <t>Need a good natured  kind, hardworking housewife.</t>
  </si>
  <si>
    <t>image/20180613_23271186.jpg</t>
  </si>
  <si>
    <t>image/20180613_23282650.jpg</t>
  </si>
  <si>
    <t>Jadodar Kotda</t>
  </si>
  <si>
    <t>ompatelbz@gmail.com</t>
  </si>
  <si>
    <t>Umiya123@123</t>
  </si>
  <si>
    <t>Om</t>
  </si>
  <si>
    <t>Fun loving, down to earth.  Hobbies include reading, traveling, music, cricket</t>
  </si>
  <si>
    <t>Praful</t>
  </si>
  <si>
    <t>Bina</t>
  </si>
  <si>
    <t>Ratanshi</t>
  </si>
  <si>
    <t>D 901, Tanish Orchid, Alandi, Pune, Pin-412105</t>
  </si>
  <si>
    <t>Good looking, understanding, supportive, loyal, friendly, creative, family oriented.</t>
  </si>
  <si>
    <t>image/20180611_090029194.jpg</t>
  </si>
  <si>
    <t>image/20180611_090029173.jpg</t>
  </si>
  <si>
    <t>Ludva</t>
  </si>
  <si>
    <t>pareshh2310@gmail.com</t>
  </si>
  <si>
    <t xml:space="preserve">Hareshkumar Chandulal </t>
  </si>
  <si>
    <t>M.A.</t>
  </si>
  <si>
    <t>N.G.Uni. Patan</t>
  </si>
  <si>
    <t>Vinayak Sarafi Bank Himmatnagar</t>
  </si>
  <si>
    <t>Traveling, watching movies,</t>
  </si>
  <si>
    <t>Bhavanaben</t>
  </si>
  <si>
    <t>Devrambhai</t>
  </si>
  <si>
    <t>At &amp; post-Takhatgadh Taluka-PrantijDist-sabarkantha</t>
  </si>
  <si>
    <t>Takhatgadh, Ta-Prantij, Sabarkantha.</t>
  </si>
  <si>
    <t>Laljinana</t>
  </si>
  <si>
    <t>Rashatkampa</t>
  </si>
  <si>
    <t>Rushatkampa</t>
  </si>
  <si>
    <t>30-36</t>
  </si>
  <si>
    <t>Less than High School,High School,Undergraduate,Bachelors,Masters</t>
  </si>
  <si>
    <t>Clever smart good character etc.....</t>
  </si>
  <si>
    <t xml:space="preserve">Takhatgadh </t>
  </si>
  <si>
    <t>image/20180618_10114340.jpg</t>
  </si>
  <si>
    <t>image/20180617_09470170.jpg</t>
  </si>
  <si>
    <t>image/20180617_09473360.jpg</t>
  </si>
  <si>
    <t>Kotada Chakar</t>
  </si>
  <si>
    <t>dhaval.senghaani@gmail.com</t>
  </si>
  <si>
    <t>asdfghjkl58</t>
  </si>
  <si>
    <t xml:space="preserve">DrDhaval </t>
  </si>
  <si>
    <t xml:space="preserve">Senghaani </t>
  </si>
  <si>
    <t>Senghani Mulshakha Dakotar</t>
  </si>
  <si>
    <t>Mbbs Pgddm Fellow Diabetes Diabetologist</t>
  </si>
  <si>
    <t>Royal Liverpool University NHS Trust  UK</t>
  </si>
  <si>
    <t>Diabetologist and Metabolic Physician</t>
  </si>
  <si>
    <t>Medicos, Reading. Writing, Entrepreneur,  Adventure,  Music......</t>
  </si>
  <si>
    <t>Jayshriben</t>
  </si>
  <si>
    <t>Bhavanbhai</t>
  </si>
  <si>
    <t>35/A, Shreevin Bungalow, Kutchhi Society, Khed Tasiya Road, Himmatnagar.</t>
  </si>
  <si>
    <t>Property investors</t>
  </si>
  <si>
    <t>Jivraj Ratansinh Surani</t>
  </si>
  <si>
    <t>Dombivli Mumbai</t>
  </si>
  <si>
    <t>Vitthon Kutch</t>
  </si>
  <si>
    <t>Understanding  Well educated  Have family values</t>
  </si>
  <si>
    <t xml:space="preserve">Himmatnagar </t>
  </si>
  <si>
    <t>image/20180619_22235587.jpg</t>
  </si>
  <si>
    <t>image/20180619_08254192.jpg</t>
  </si>
  <si>
    <t>image/20180619_08264619.jpg</t>
  </si>
  <si>
    <t>Kotada Chakkar</t>
  </si>
  <si>
    <t>nikidoors@gmail.com</t>
  </si>
  <si>
    <t>honey@8384</t>
  </si>
  <si>
    <t>NIKITA</t>
  </si>
  <si>
    <t>Versatile person. loves to work professionally as well as doing household work .. Hobbies include dancing, playing few sports, learning new subjects/fields.</t>
  </si>
  <si>
    <t>MADHUSUDAN P PATEL</t>
  </si>
  <si>
    <t>RUKSHAMANI M PATEL</t>
  </si>
  <si>
    <t>PACHAN JIVRAJ PATEL</t>
  </si>
  <si>
    <t># 16 1ST CROSS 6TH MAIN 2ND STAGE BTM LAYOUT NEAR KARNATAKA BANK  BANGALORE 560076</t>
  </si>
  <si>
    <t>NIKI IMPEX 28/A-1 3RD PHASE BANNERGHATTA MAIN ROAD, BTM CIRCLE, NEXT TO INFOSYS, JP NAGAR, BENGALURU, KARNATAKA 560076</t>
  </si>
  <si>
    <t>Well settled. Respectful. Good sense of humour.  Fun loving</t>
  </si>
  <si>
    <t>BANGALORE</t>
  </si>
  <si>
    <t>image/20180622_00555462.jpg</t>
  </si>
  <si>
    <t>image/20180622_00561778.jpg</t>
  </si>
  <si>
    <t>JINJAI</t>
  </si>
  <si>
    <t>hardik.patel807@gmail.com</t>
  </si>
  <si>
    <t>hardik70224</t>
  </si>
  <si>
    <t>Ashokbhai Ramanbhain Pokar</t>
  </si>
  <si>
    <t>Ansuyaben Ashokbhai Pokar</t>
  </si>
  <si>
    <t>Ramanbhai Pachanbhai Pokar</t>
  </si>
  <si>
    <t>2 Aradhna Society, Mahavirnagar, Himatnagar</t>
  </si>
  <si>
    <t>image/20180622_233025234.jpg</t>
  </si>
  <si>
    <t>image/20180622_233025233.jpg</t>
  </si>
  <si>
    <t>Aansar</t>
  </si>
  <si>
    <t>Harsukpatel@Gmail.com</t>
  </si>
  <si>
    <t>harsukpatel</t>
  </si>
  <si>
    <t>My self good presan</t>
  </si>
  <si>
    <t>Watch movies Play cricket And moor</t>
  </si>
  <si>
    <t>Shankarlal patel</t>
  </si>
  <si>
    <t>Late meena patel</t>
  </si>
  <si>
    <t>Lalji patel</t>
  </si>
  <si>
    <t>Shankarlal patel 3-6-282/A S B H colony chintal kunta K/v  rangareddy  Telangana</t>
  </si>
  <si>
    <t>28-30</t>
  </si>
  <si>
    <t>Good presan Jo ma ra saty zindagi vr na joda</t>
  </si>
  <si>
    <t>image/20180624_011436124.jpg</t>
  </si>
  <si>
    <t>image/20180624_011436003.jpg</t>
  </si>
  <si>
    <t>Davpr</t>
  </si>
  <si>
    <t>rudanimanoj1@gmail.com</t>
  </si>
  <si>
    <t>MANOJ123</t>
  </si>
  <si>
    <t>Manoj</t>
  </si>
  <si>
    <t>Advertising/ Marketing</t>
  </si>
  <si>
    <t>Tiles Marketing</t>
  </si>
  <si>
    <t>Cricket  Watch Movie Traveling</t>
  </si>
  <si>
    <t>Ramnik Lal</t>
  </si>
  <si>
    <t>Chandan Ben</t>
  </si>
  <si>
    <t>Ladharam</t>
  </si>
  <si>
    <t>Near Anandnagar Gilrs School , Nakhatrana</t>
  </si>
  <si>
    <t>Family Servise, Keep House Safe</t>
  </si>
  <si>
    <t>image/20180627_00512570.jpg</t>
  </si>
  <si>
    <t>image/20180627_00514634.jpg</t>
  </si>
  <si>
    <t>image/20180627_00520844.jpg</t>
  </si>
  <si>
    <t xml:space="preserve">Atulppatel2015@gmail.com </t>
  </si>
  <si>
    <t>gandhinagar123</t>
  </si>
  <si>
    <t>Xyz</t>
  </si>
  <si>
    <t>Home Science</t>
  </si>
  <si>
    <t>Travelling,</t>
  </si>
  <si>
    <t>Abcdefghi</t>
  </si>
  <si>
    <t>Ahdhdndnnf</t>
  </si>
  <si>
    <t>Hehrbbrh</t>
  </si>
  <si>
    <t>Jejrhfbrb</t>
  </si>
  <si>
    <t>Rjrnrbbt</t>
  </si>
  <si>
    <t>image/20180717_01172284.jpg</t>
  </si>
  <si>
    <t>image/20180717_01145290.jpg</t>
  </si>
  <si>
    <t>devanighanshyam0@gmail.com</t>
  </si>
  <si>
    <t>centuryaqua</t>
  </si>
  <si>
    <t xml:space="preserve">Ghanshyam </t>
  </si>
  <si>
    <t>Junagadh</t>
  </si>
  <si>
    <t>My Work is Passion</t>
  </si>
  <si>
    <t>Goradhanbhai</t>
  </si>
  <si>
    <t>Keshavbhai</t>
  </si>
  <si>
    <t>At : Ramgadh  Ta : Visavadar Dis : Junagadh</t>
  </si>
  <si>
    <t>sushil shankari</t>
  </si>
  <si>
    <t>image/20180705_050947213.jpg</t>
  </si>
  <si>
    <t>rajesh.ptl311989@gmail.com</t>
  </si>
  <si>
    <t>Rp03011989</t>
  </si>
  <si>
    <t>Diploma in Electronics</t>
  </si>
  <si>
    <t>Shri Shivaji Vidya Prasarak Sanstha's Bapusaheb Shivajirao  Deore College Of Diploma &amp; Engineering, Dhule</t>
  </si>
  <si>
    <t>ON</t>
  </si>
  <si>
    <t>Saraswati Saw Mill Badgujar plot near cotton market parola road ,Dhule</t>
  </si>
  <si>
    <t>Reading books &amp; Traveling</t>
  </si>
  <si>
    <t>Narayanbhai</t>
  </si>
  <si>
    <t>Shivdasbhai</t>
  </si>
  <si>
    <t>saraswati saw mill badgujar plot near cotton market parola road ,Dhule</t>
  </si>
  <si>
    <t>Sankarbhai Punjabhai Gorani</t>
  </si>
  <si>
    <t>Ragvendra nagar, kalkere ,Bengaluru</t>
  </si>
  <si>
    <t>Good Family Behavier &amp; Sailent Nature</t>
  </si>
  <si>
    <t>image/20180718_03395553.jpg</t>
  </si>
  <si>
    <t>image/20180718_03182250.jpg</t>
  </si>
  <si>
    <t>image/20180718_03190136.jpg</t>
  </si>
  <si>
    <t>dr.maulikphysio@gmail.com</t>
  </si>
  <si>
    <t>maulik5757</t>
  </si>
  <si>
    <t>DrMaulik</t>
  </si>
  <si>
    <t>Ramajiyani&amp;nbsp;&lt;b&gt;Mulshakha&lt;/b&gt; &amp;nbsp;Bhemat</t>
  </si>
  <si>
    <t>Specialist in Neuro rehab</t>
  </si>
  <si>
    <t>Physiotherapist / Occupational Therapist</t>
  </si>
  <si>
    <t>Precious Care advanced physiotherapy and neuro rehabilitation centre. 205.aarambh complex. Ankur cross road. NARANPURA. AHMEDABAD</t>
  </si>
  <si>
    <t>I am Physiotherapist by profession and have my on Advanced physiotherapy and Neuro rehabilitation centre at Ahmedabad. I love music and long drive..</t>
  </si>
  <si>
    <t>28-34</t>
  </si>
  <si>
    <t>She should be caring, understanding, loving,Broadminded.. Should be supportive.</t>
  </si>
  <si>
    <t xml:space="preserve">Dhansura </t>
  </si>
  <si>
    <t>image/20180712_05533130.jpg</t>
  </si>
  <si>
    <t>image/20180712_05530853.jpg</t>
  </si>
  <si>
    <t>Cricket, kabbadi</t>
  </si>
  <si>
    <t>Hasmukhbhai</t>
  </si>
  <si>
    <t>Narmadaben</t>
  </si>
  <si>
    <t>13,suvernapuri society, padra Opp geb Padra- jambusar road,padra</t>
  </si>
  <si>
    <t>image/20180709_042755794.jpg</t>
  </si>
  <si>
    <t>image/20180709_042755783.jpg</t>
  </si>
  <si>
    <t>Valka</t>
  </si>
  <si>
    <t>sendy2525@gmail.com</t>
  </si>
  <si>
    <t>Sandip@2525</t>
  </si>
  <si>
    <t>Sandip</t>
  </si>
  <si>
    <t>cracket ,traveling ,reading ,networking</t>
  </si>
  <si>
    <t>Chhagan bhai</t>
  </si>
  <si>
    <t>Daxa ben</t>
  </si>
  <si>
    <t>Parabatbhai</t>
  </si>
  <si>
    <t>25/ uma park so bakarol bujarang road kujad gam ahemedabad-indore highyway ahemedabad 382430</t>
  </si>
  <si>
    <t>service</t>
  </si>
  <si>
    <t>radhe krishna trading</t>
  </si>
  <si>
    <t>no coment</t>
  </si>
  <si>
    <t>image/20180819_02294933.jpg</t>
  </si>
  <si>
    <t>image/20180819_02304990.jpg</t>
  </si>
  <si>
    <t>image/20180819_02343787.jpg</t>
  </si>
  <si>
    <t>my fathers uncle</t>
  </si>
  <si>
    <t>pokarnaveen19@gmail.com</t>
  </si>
  <si>
    <t>8309170530pn</t>
  </si>
  <si>
    <t xml:space="preserve">Naveen </t>
  </si>
  <si>
    <t>Garments</t>
  </si>
  <si>
    <t>I am Naveen Pokar  &amp; I have studied B-tech &amp; I have started my garment bussiness</t>
  </si>
  <si>
    <t>Ratanshi bhai</t>
  </si>
  <si>
    <t>Vimala ben</t>
  </si>
  <si>
    <t>Karimnagar, Pincode-505001 T. S</t>
  </si>
  <si>
    <t>The partner should good</t>
  </si>
  <si>
    <t>image/20180825_03475718.jpg</t>
  </si>
  <si>
    <t>image/20180825_03501667.jpg</t>
  </si>
  <si>
    <t>Jinjay</t>
  </si>
  <si>
    <t>jaydip.pokar@gmail.com</t>
  </si>
  <si>
    <t>Jaydip@123</t>
  </si>
  <si>
    <t>Jaydip</t>
  </si>
  <si>
    <t>I m interested in studying and watching TV and cricket match and also football.. Reading Historical books and novels</t>
  </si>
  <si>
    <t>Pokar vithaldas</t>
  </si>
  <si>
    <t>Pokar manjulaben</t>
  </si>
  <si>
    <t>Pokar Nanji Bhai</t>
  </si>
  <si>
    <t>A-12/103, MICT township,nana kapaya, Mundra Kachchh 370030</t>
  </si>
  <si>
    <t>She is very good at nature and give preference to my Perent with me also</t>
  </si>
  <si>
    <t>image/20180905_195430934.jpg</t>
  </si>
  <si>
    <t>image/20180905_195430853.jpg</t>
  </si>
  <si>
    <t>Kurbai</t>
  </si>
  <si>
    <t>nirajpatel137@gmail.com</t>
  </si>
  <si>
    <t>ashakiran007</t>
  </si>
  <si>
    <t>Bargarh</t>
  </si>
  <si>
    <t>B.tech in Civil engineering</t>
  </si>
  <si>
    <t>Biju Patnaik University of technology, Bhubaneswar</t>
  </si>
  <si>
    <t>Shri Shyam ji stone crusher Bargarh,Odisha</t>
  </si>
  <si>
    <t>Hardworking punctuality dedication</t>
  </si>
  <si>
    <t>Manjula patel</t>
  </si>
  <si>
    <t>Shivdasbhai patel</t>
  </si>
  <si>
    <t>Asha Kiran residencyWard no 18Bhatli roadBargarh 768028</t>
  </si>
  <si>
    <t>Shree Shyam ji stone crusher Bargarh, Odisha</t>
  </si>
  <si>
    <t>Vishram Nanji nakrani</t>
  </si>
  <si>
    <t>Mahalaxmi saw mill Baghbahra, mahasamund Chattisgarh</t>
  </si>
  <si>
    <t>Smart intelligent and caring</t>
  </si>
  <si>
    <t>image/20180908_023559084.jpg</t>
  </si>
  <si>
    <t>image/20180908_023559053.jpg</t>
  </si>
  <si>
    <t>sejal506080@gmail.com</t>
  </si>
  <si>
    <t>Ganga2108</t>
  </si>
  <si>
    <t xml:space="preserve">Sejal </t>
  </si>
  <si>
    <t>I am a gujju girl with tinch of Bangalore smack. Always ready n open to meet every kind of soul. Love for food is from the bottom of my heart.</t>
  </si>
  <si>
    <t>Chandulal Patel</t>
  </si>
  <si>
    <t>Ganga chandulal patel</t>
  </si>
  <si>
    <t>Kanji devsi patel</t>
  </si>
  <si>
    <t>Divya Spencer, BTM 2nd stage, Bannergatta, behind shopper's stop.</t>
  </si>
  <si>
    <t>Open minded person, should always accept challenges or ups n downs, importantly self developing person.</t>
  </si>
  <si>
    <t>image/20181003_07574797.jpg</t>
  </si>
  <si>
    <t>image/20181003_07581517.jpg</t>
  </si>
  <si>
    <t>vasaniauto@gmail.com</t>
  </si>
  <si>
    <t>vasani123</t>
  </si>
  <si>
    <t>Shailesh</t>
  </si>
  <si>
    <t>n</t>
  </si>
  <si>
    <t>Vasani Nivas. , Katch</t>
  </si>
  <si>
    <t>30-34</t>
  </si>
  <si>
    <t>Doesnot Matter,Less than 10th (SSC),Less than 12th (HSC),Undergraduate,Bachelors,Masters,Diploma,Doctorate</t>
  </si>
  <si>
    <t>Vadva Kaya,</t>
  </si>
  <si>
    <t>image/20181013_213937973.jpg</t>
  </si>
  <si>
    <t>V</t>
  </si>
  <si>
    <t>bgpatel311@gmail.com</t>
  </si>
  <si>
    <t>cooltanu24</t>
  </si>
  <si>
    <t>T</t>
  </si>
  <si>
    <t>P</t>
  </si>
  <si>
    <t>Homeopathic BHMS</t>
  </si>
  <si>
    <t>I am a dedicated, hard working girl. I always do work with positivity and enthusiasm. As my study, I have completed Homeopathic and worked in PHC for 2 years and presently I am preparing for Government Exam.  As my interest, I like to read historical books. I Also like to play badminton.</t>
  </si>
  <si>
    <t>B</t>
  </si>
  <si>
    <t>G</t>
  </si>
  <si>
    <t>Vavol, Gandhinagar</t>
  </si>
  <si>
    <t>Always respect me andy family members. Always help me in any difficult situation. Always trying to make my family happy. Always dadicated towards his work.  He must set in any difficult condition.</t>
  </si>
  <si>
    <t>image/20181018_20312099.jpg</t>
  </si>
  <si>
    <t>image/20181018_20324524.jpg</t>
  </si>
  <si>
    <t>Jiyapar, Nakhatrana</t>
  </si>
  <si>
    <t>bkagathara@gmail.com</t>
  </si>
  <si>
    <t>Vaasu@9099</t>
  </si>
  <si>
    <t>BHAVESH</t>
  </si>
  <si>
    <t>KAGATHARA</t>
  </si>
  <si>
    <t>My Friends describes me as a caring, little introvert and health conscious, I love driving, chess, reading movies and music. I love to travel by road, I spent my free time on surfing or visiting friends.</t>
  </si>
  <si>
    <t>DHARMSHI BHAI</t>
  </si>
  <si>
    <t>RADHA BEN</t>
  </si>
  <si>
    <t>MOTI BHAI</t>
  </si>
  <si>
    <t>NATHUVDALATA DHROL -361210DIST JAMNAGAR</t>
  </si>
  <si>
    <t>Should value others. Working / willing to work. Should have her own point of view in every aspect of life regardless of what other thinks.</t>
  </si>
  <si>
    <t>image/20181021_084403864.jpg</t>
  </si>
  <si>
    <t>image/20181021_084403833.jpg</t>
  </si>
  <si>
    <t>Nathuvadla</t>
  </si>
  <si>
    <t>dhaval.limani@yahoo.co.in</t>
  </si>
  <si>
    <t>dhaval</t>
  </si>
  <si>
    <t>limani</t>
  </si>
  <si>
    <t>in food industry</t>
  </si>
  <si>
    <t>i would describe myself as being passionate about things that i have instrest in, focuse, and always trying to learn. i try my best to make decisions in life that reflact the qualities of indipendance and courage. i would also describe my self  as a good friend...</t>
  </si>
  <si>
    <t>masukh dhanji limani</t>
  </si>
  <si>
    <t>rajeshri mansukh limani</t>
  </si>
  <si>
    <t>dhanji vishram limani</t>
  </si>
  <si>
    <t>neelkanth park, C-19, bldg no- 1, karve road, near gokul bunglow, mhatre wadi, dombivli (west)  PIN: 421202</t>
  </si>
  <si>
    <t>looking for nice life partner and familiar. good cook.</t>
  </si>
  <si>
    <t>dombivli</t>
  </si>
  <si>
    <t>image/20181026_15283142.jpg</t>
  </si>
  <si>
    <t>image/20181026_15281999.jpg</t>
  </si>
  <si>
    <t>gadhshisha mandvi</t>
  </si>
  <si>
    <t>omshanti.yogesh@gmail.com</t>
  </si>
  <si>
    <t>8140bharat</t>
  </si>
  <si>
    <t xml:space="preserve">Bharat jayantilal </t>
  </si>
  <si>
    <t>Ramani</t>
  </si>
  <si>
    <t>I want a peace. I am clever.</t>
  </si>
  <si>
    <t>Jayantilal Ramani</t>
  </si>
  <si>
    <t>Gangaben Jayantilal Ramani</t>
  </si>
  <si>
    <t>Gaverilal Ramani</t>
  </si>
  <si>
    <t>Ramani Nagar,Kotda jadodar.Ta-Nakhatrana  Dist-Kutch</t>
  </si>
  <si>
    <t>30-40</t>
  </si>
  <si>
    <t>image/20181112_094547774.jpg</t>
  </si>
  <si>
    <t>image/20181112_094547763.jpg</t>
  </si>
  <si>
    <t>vivekpatel216@gmail.com</t>
  </si>
  <si>
    <t>vivek216</t>
  </si>
  <si>
    <t>Tally account information course</t>
  </si>
  <si>
    <t>My self Vivek Patel now am in nagpur my hobby in  business</t>
  </si>
  <si>
    <t>Dayaram</t>
  </si>
  <si>
    <t>Meghajibhai</t>
  </si>
  <si>
    <t>66, AVG-Layout New Timber Market, Lakadganj, Nagpur</t>
  </si>
  <si>
    <t>image/20181116_030330824.jpg</t>
  </si>
  <si>
    <t>image/20181116_030330813.jpg</t>
  </si>
  <si>
    <t>Netra Mataji</t>
  </si>
  <si>
    <t>sandippatel2201@gmail.com</t>
  </si>
  <si>
    <t>vadiya2201</t>
  </si>
  <si>
    <t>Vadiya</t>
  </si>
  <si>
    <t>Volleyball , Reding</t>
  </si>
  <si>
    <t>Himmatlal</t>
  </si>
  <si>
    <t>Rekhaben</t>
  </si>
  <si>
    <t>Manji</t>
  </si>
  <si>
    <t>A.p Shiradwad Jalaram saw mill,shiradwad. Tel.shirol Dist. Kolhapur</t>
  </si>
  <si>
    <t>19-26</t>
  </si>
  <si>
    <t>Gar ko or family ko achi tarh se sabhale</t>
  </si>
  <si>
    <t>image/20181116_042422454.jpg</t>
  </si>
  <si>
    <t>image/20181116_042422453.jpg</t>
  </si>
  <si>
    <t>Deshalpar Guntali</t>
  </si>
  <si>
    <t>dineshshethia@gmail.com</t>
  </si>
  <si>
    <t>dinesh1234</t>
  </si>
  <si>
    <t>Dhwani</t>
  </si>
  <si>
    <t>Shethia</t>
  </si>
  <si>
    <t>BMS</t>
  </si>
  <si>
    <t>Shri Chinai College Andheri Mumbai Univ</t>
  </si>
  <si>
    <t>IATA</t>
  </si>
  <si>
    <t>Travel &amp; Transport Professional</t>
  </si>
  <si>
    <t>SOTC Vadodara</t>
  </si>
  <si>
    <t>She is family loving, Cooperative and Generous.</t>
  </si>
  <si>
    <t>Dineshchandra Haribhai Shethia</t>
  </si>
  <si>
    <t>Premila Shethia</t>
  </si>
  <si>
    <t>Haribhai valjibhai Sehtia</t>
  </si>
  <si>
    <t>A-402, Keshav Residency, Road No. 3, TP-2, Vasant Vihar, Vasana -Bhayali Road, Vadodara - 391410</t>
  </si>
  <si>
    <t>Manager / Administrator</t>
  </si>
  <si>
    <t>Kalpataru Doors &amp; Plywood Group Thane / Mumbai and Nadiad / Gujarat</t>
  </si>
  <si>
    <t>Prabhudas Laljibhai Velani</t>
  </si>
  <si>
    <t>Soni Kampa, Tal. Dhansura, Dist. Aravalli</t>
  </si>
  <si>
    <t>Ludva Kachchha</t>
  </si>
  <si>
    <t>He should be Honest, Hard working, Self-dependent, Punctual, Co-operative, Professional and of good nature.</t>
  </si>
  <si>
    <t>Panvel, Navi Mumbai MH</t>
  </si>
  <si>
    <t>image/20181119_04541573.jpg</t>
  </si>
  <si>
    <t>image/20181119_04542382.jpg</t>
  </si>
  <si>
    <t>Gadhshisa</t>
  </si>
  <si>
    <t>adeeshpatel@outlook.com</t>
  </si>
  <si>
    <t>Default@99</t>
  </si>
  <si>
    <t>My son is in Canada and currently, he is pursuing MBA in Finance</t>
  </si>
  <si>
    <t>Jayantilal Manilal Patel</t>
  </si>
  <si>
    <t>Leela Jayantilal Patel</t>
  </si>
  <si>
    <t>A/204 shree Ram Residency Opp Nihal Khant Maha dev mandir Sadar patel chock  krishna nagar</t>
  </si>
  <si>
    <t>She should have good behavior</t>
  </si>
  <si>
    <t>image/20181118_100148764.jpg</t>
  </si>
  <si>
    <t>image/20181118_100148743.jpg</t>
  </si>
  <si>
    <t>Vithoran</t>
  </si>
  <si>
    <t>maheshpatel881@gmail.com</t>
  </si>
  <si>
    <t>mahesh29</t>
  </si>
  <si>
    <t>Maheshkumar</t>
  </si>
  <si>
    <t>Pajwani</t>
  </si>
  <si>
    <t>Latur</t>
  </si>
  <si>
    <t>Hanuman Saw Mill Parli Road, Ahmedpur Dist-Latur</t>
  </si>
  <si>
    <t>Like to roam to new places, watch movies. Interested in learning new and excited things.</t>
  </si>
  <si>
    <t>Gopal Bhimji</t>
  </si>
  <si>
    <t>Jayaben Gopal</t>
  </si>
  <si>
    <t>Bhimji Karamsi</t>
  </si>
  <si>
    <t>Hanuman Saw Mill, Parli Road, AhmedpurDist-Latur</t>
  </si>
  <si>
    <t>Hanuman Saw Mill,  Parli Road,  Ahmedpur Dist-Latur</t>
  </si>
  <si>
    <t>Gangdas Devji Limbani</t>
  </si>
  <si>
    <t>Ankleshwar Gujarat</t>
  </si>
  <si>
    <t>First of all nature matters</t>
  </si>
  <si>
    <t>Ahmedpur</t>
  </si>
  <si>
    <t>image/20181123_01012390.jpg</t>
  </si>
  <si>
    <t>image/20181123_01040082.jpg</t>
  </si>
  <si>
    <t>image/20181123_01091664.jpg</t>
  </si>
  <si>
    <t>Laxmipar Netra</t>
  </si>
  <si>
    <t>pradipbathani@yahoo.com</t>
  </si>
  <si>
    <t>Gfdsa^1234</t>
  </si>
  <si>
    <t>Pradip</t>
  </si>
  <si>
    <t>Bathani</t>
  </si>
  <si>
    <t>Kutch Univercity</t>
  </si>
  <si>
    <t>CMA-CGM</t>
  </si>
  <si>
    <t>Hobbies- Traveling, Reading (Magazine), Playing (Chess, Carrom, Cericket...etc.)</t>
  </si>
  <si>
    <t>Ishwarlal</t>
  </si>
  <si>
    <t>Bhimji Bhai</t>
  </si>
  <si>
    <t>Laxmi Home Society, NR.Vasad Bus Station, Vasad.</t>
  </si>
  <si>
    <t>Studying,Service,Business,Homemaker,Others</t>
  </si>
  <si>
    <t>Not Required</t>
  </si>
  <si>
    <t>image/20181121_23472681.jpg</t>
  </si>
  <si>
    <t>image/20181121_23474287.jpg</t>
  </si>
  <si>
    <t>Virani Moti (Taluka Nakhatrana)</t>
  </si>
  <si>
    <t>patelkalpesh3660@gmail.com</t>
  </si>
  <si>
    <t>kalpeshpokar4676</t>
  </si>
  <si>
    <t>kalpesh</t>
  </si>
  <si>
    <t>I LIKE MEETING NEW PEOPLES AND FRIENDSHIPPING WITH THEM</t>
  </si>
  <si>
    <t>KANTILAL</t>
  </si>
  <si>
    <t>GANGA</t>
  </si>
  <si>
    <t>DEVSI</t>
  </si>
  <si>
    <t>LAXMI NIWAS OPP AROMA THEATRE SHASTRI NAGAR SOYGAON MALEGAON</t>
  </si>
  <si>
    <t>SHE SHOULD BE WELL EDUCATED AND FRIENDLY NATURE</t>
  </si>
  <si>
    <t>image/20181122_224244444.jpg</t>
  </si>
  <si>
    <t>image/20181122_224244423.jpg</t>
  </si>
  <si>
    <t>up193658@gmail.com</t>
  </si>
  <si>
    <t>nitu2018</t>
  </si>
  <si>
    <t>Naitik</t>
  </si>
  <si>
    <t>I use to play cricket, and now love to travel</t>
  </si>
  <si>
    <t>Arjunbhai</t>
  </si>
  <si>
    <t>A2 Anjanee Recidency, Naroda, Ahmedabad</t>
  </si>
  <si>
    <t>Must be friendly with me and family.  Can carry on with her carrier also.</t>
  </si>
  <si>
    <t>image/20181127_075503624.jpg</t>
  </si>
  <si>
    <t>image/20181127_075503623.jpg</t>
  </si>
  <si>
    <t>vmehul703@gmail.com</t>
  </si>
  <si>
    <t>Mehul2001</t>
  </si>
  <si>
    <t>Hi I am very simple personality and I also want my better half which is honest and humble</t>
  </si>
  <si>
    <t>Ramniklal Vasani</t>
  </si>
  <si>
    <t>Shantaben Vasani</t>
  </si>
  <si>
    <t>Devjibhai Vasani</t>
  </si>
  <si>
    <t>Plot No 60 Umanivas Jadavjinagar College Road Bhuj Kutch</t>
  </si>
  <si>
    <t>I want honest as well as simple living and high thinking and loving partner</t>
  </si>
  <si>
    <t>image/20181206_091330484.jpg</t>
  </si>
  <si>
    <t>image/20181206_091330473.jpg</t>
  </si>
  <si>
    <t>Moti Rayan</t>
  </si>
  <si>
    <t xml:space="preserve">Ketan Patel </t>
  </si>
  <si>
    <t>ketan590</t>
  </si>
  <si>
    <t xml:space="preserve">Mavani Ketan Kumar </t>
  </si>
  <si>
    <t xml:space="preserve">Arvind bhai </t>
  </si>
  <si>
    <t>Music &amp; movies</t>
  </si>
  <si>
    <t>AT Ganesh kampa post shika ta. Dhansura.Dist Arvalli</t>
  </si>
  <si>
    <t>Sari sanskari Ghar sambhali shake tevi</t>
  </si>
  <si>
    <t>image/20181216_085641814.jpg</t>
  </si>
  <si>
    <t>image/20181216_085641813.jpg</t>
  </si>
  <si>
    <t>sudhirphaarmaa@gmail.com</t>
  </si>
  <si>
    <t>Sunil@5990</t>
  </si>
  <si>
    <t>Sunilkumar</t>
  </si>
  <si>
    <t>MSc</t>
  </si>
  <si>
    <t>Intas pharmaceutical as senior quality officer</t>
  </si>
  <si>
    <t>Muktaben</t>
  </si>
  <si>
    <t>Jivabhai</t>
  </si>
  <si>
    <t>C-405, Ganesh Gold, Near chenpur Godrej garden city road</t>
  </si>
  <si>
    <t>Education require</t>
  </si>
  <si>
    <t>image/20181220_05392570.jpg</t>
  </si>
  <si>
    <t>image/20181220_05401581.jpg</t>
  </si>
  <si>
    <t>patelpradip811@gmail.com</t>
  </si>
  <si>
    <t>Pradip123</t>
  </si>
  <si>
    <t>pradip</t>
  </si>
  <si>
    <t>Originally from Bhuj, I have been living in Ahmedabad for over 7 years. I am 5.8 feet tall and moderately built. My Business as a financial Advisor has made me a patient man and improved my persuasive skills! My business also keeps me on my toes as I am always trying to learn new skills to keep pace with the changing technology landscape. I especially value humor, being able to laugh at yourself, being able to communicate, culture in general, social issues, staying healthy, and the freedom to think out of the box.  Hobbies :  Travelling Meet new people brain storming</t>
  </si>
  <si>
    <t>Natavarlal Ramjibhai Patel</t>
  </si>
  <si>
    <t>Damayantiben Natavarlal Patel</t>
  </si>
  <si>
    <t>Ramjibhai Virjibhai Patel</t>
  </si>
  <si>
    <t>13,Sneh Appartment AMC staff societyB/h, Loyola Hall,Memnagar,Ahmedabad-380052</t>
  </si>
  <si>
    <t>depend on discussion while meeting</t>
  </si>
  <si>
    <t>image/20181217_02583683.jpg</t>
  </si>
  <si>
    <t>image/20181217_02585583.jpg</t>
  </si>
  <si>
    <t>pragnesh2310@gmail.com</t>
  </si>
  <si>
    <t>pragnesh23</t>
  </si>
  <si>
    <t>KINJAL</t>
  </si>
  <si>
    <t>INTERNSHIP AT MP DENTAL COLLEGE</t>
  </si>
  <si>
    <t>TRAVELLING....READING...SEE MOVIE..TV WATCHING ..PAINTING..SINGING...</t>
  </si>
  <si>
    <t>PRAGNESH RAMJIBHAI LIMBANI</t>
  </si>
  <si>
    <t>PUNITA PRAGNESHBHAI LIMBANI</t>
  </si>
  <si>
    <t>RAMJIBHAI MEGHJIBHAI LIMBANI</t>
  </si>
  <si>
    <t>PRAGNESH R PATEL 1, " ALPVIRAM " TAPOVAN GRUH SANKUL OPP. NARAYAN ESTATE NEAR SHAKTINATH TEMPLE J.B.MODY PARK ROAD BHARUCH.392001..GUJARAT</t>
  </si>
  <si>
    <t>SHOULD BE ALLOW TO DOING JOB OR START HER OWN CLINIC</t>
  </si>
  <si>
    <t>image/20181221_025533614.jpg</t>
  </si>
  <si>
    <t>image/20181221_025533513.jpg</t>
  </si>
  <si>
    <t>KHIRASARA NETRA</t>
  </si>
  <si>
    <t>dyogeshbhai@yahoo.com</t>
  </si>
  <si>
    <t>yogesh101</t>
  </si>
  <si>
    <t>yogesh</t>
  </si>
  <si>
    <t>dayani</t>
  </si>
  <si>
    <t>Dayani Gangarambhai S</t>
  </si>
  <si>
    <t>Dayani Laxmiben G</t>
  </si>
  <si>
    <t>Dayani Shamjibhai B</t>
  </si>
  <si>
    <t>UMIYA NAGAR  GURUKRUPA SOCIETY CHHOTAUDEPUR</t>
  </si>
  <si>
    <t>Less than 10th (SSC),Less than 12th (HSC),Diploma</t>
  </si>
  <si>
    <t>HI</t>
  </si>
  <si>
    <t>image/20181223_224647174.jpg</t>
  </si>
  <si>
    <t>image/20181223_224647163.jpg</t>
  </si>
  <si>
    <t>DHAVDA MOTA</t>
  </si>
  <si>
    <t>Pateljayesh511@gmail.com</t>
  </si>
  <si>
    <t>mahesh4a</t>
  </si>
  <si>
    <t>Chauhan</t>
  </si>
  <si>
    <t>Nothing special</t>
  </si>
  <si>
    <t>Traveling,and play ing game</t>
  </si>
  <si>
    <t>Waljibhai</t>
  </si>
  <si>
    <t>Patel traders ,near lic office warud</t>
  </si>
  <si>
    <t>image/20181225_052814543.jpg</t>
  </si>
  <si>
    <t>kalpeshp075@gmail.com</t>
  </si>
  <si>
    <t>987456321meet</t>
  </si>
  <si>
    <t>Gopi</t>
  </si>
  <si>
    <t>They havevitiligo disease at hand</t>
  </si>
  <si>
    <t>Interesting in travelling and music , photogenic</t>
  </si>
  <si>
    <t>Sankarlal vasantlal</t>
  </si>
  <si>
    <t>Jayaben sankarlal Patel</t>
  </si>
  <si>
    <t>Vasantlal ladharam dholu</t>
  </si>
  <si>
    <t>147 bangur avenue Block A 4th floor flat 4A near super market kolkata-700055</t>
  </si>
  <si>
    <t>We don't have any extra expectations</t>
  </si>
  <si>
    <t>image/20190117_083537101.jpg</t>
  </si>
  <si>
    <t>image/20190117_083537154.jpg</t>
  </si>
  <si>
    <t>image/20190117_083537153.jpg</t>
  </si>
  <si>
    <t>Jayeshnarottambhai@gmail.com</t>
  </si>
  <si>
    <t>jnc250985</t>
  </si>
  <si>
    <t>Chaudhari</t>
  </si>
  <si>
    <t>Narottambhai</t>
  </si>
  <si>
    <t>Manglaben</t>
  </si>
  <si>
    <t>Lakhamshi</t>
  </si>
  <si>
    <t>B/202 Shila Residency,Nr.500qurters,GIDC Ankleshwar,Bharuch,Gujarat</t>
  </si>
  <si>
    <t>Doesnot Matter,Less than 10th (SSC),Less than 12th (HSC),Undergraduate</t>
  </si>
  <si>
    <t>image/20190118_232846494.jpg</t>
  </si>
  <si>
    <t>image/20190118_232846463.jpg</t>
  </si>
  <si>
    <t>pateldeepak.777@rediffmail.com</t>
  </si>
  <si>
    <t>lifepartner2019</t>
  </si>
  <si>
    <t>DEEPAK</t>
  </si>
  <si>
    <t>MNC Company @ SURAT.</t>
  </si>
  <si>
    <t>MUSIC ENTHUTIESTIC TRAVELLING TO UNEXPLORED DESTINATIONS. TECHNOLOGY ADDICT</t>
  </si>
  <si>
    <t>RAMESHBHAI PATEL</t>
  </si>
  <si>
    <t>KALPANABEN PATEL</t>
  </si>
  <si>
    <t>KESHAVJI PATEL</t>
  </si>
  <si>
    <t>SURAT</t>
  </si>
  <si>
    <t>TIMBER MERCHANT in SURAT CITY</t>
  </si>
  <si>
    <t>Doesnot Matter,Complete English,Gujarathi (till School) + English,Hindi (till School) + English</t>
  </si>
  <si>
    <t>Studying,Service,Professional,Homemaker,Others</t>
  </si>
  <si>
    <t>MUST BE ENTHUTHIASTIC, SELF MOTIVATED, SHOULD UNDERSTAND AND MIX UP WITH MY FAMILY</t>
  </si>
  <si>
    <t>image/20190421_09220647.jpg</t>
  </si>
  <si>
    <t>image/20190421_09222089.jpg</t>
  </si>
  <si>
    <t>SAYRA</t>
  </si>
  <si>
    <t xml:space="preserve">m.bhagat1994@gmail.com </t>
  </si>
  <si>
    <t>Milan</t>
  </si>
  <si>
    <t>Surani bhagat</t>
  </si>
  <si>
    <t>I interested  in  trawling</t>
  </si>
  <si>
    <t>Bipinbhai</t>
  </si>
  <si>
    <t>Jayshreeben</t>
  </si>
  <si>
    <t>Maganbhai</t>
  </si>
  <si>
    <t>302/pavan apprtment near,mohan Nagar society</t>
  </si>
  <si>
    <t>Nature  good</t>
  </si>
  <si>
    <t>image/20190119_204111044.jpg</t>
  </si>
  <si>
    <t>image/20190119_204111023.jpg</t>
  </si>
  <si>
    <t>Lakshmipar</t>
  </si>
  <si>
    <t>dakshp.dp@gmail.com</t>
  </si>
  <si>
    <t>d9373828705</t>
  </si>
  <si>
    <t>Dakshesh</t>
  </si>
  <si>
    <t>Hey, m Dakshesh rangani here, searching for my bride which must be understanding n careing for family</t>
  </si>
  <si>
    <t>Dilip</t>
  </si>
  <si>
    <t>Valluben</t>
  </si>
  <si>
    <t>Ashapura saw mill Ap- kasal (balamwadi) Tal- kudal dist- sindhudurg Pin- 416603</t>
  </si>
  <si>
    <t>Must Be understanding and careing</t>
  </si>
  <si>
    <t>image/20190126_21492861.jpg</t>
  </si>
  <si>
    <t>image/20190122_04115022.jpg</t>
  </si>
  <si>
    <t>patelrahul611@gmail.com</t>
  </si>
  <si>
    <t>rahul7795</t>
  </si>
  <si>
    <t>I m interested in Indian Army and Cricket etc... ??I don’t need a perfect life because I want a happy and joyful life??</t>
  </si>
  <si>
    <t>Parshotambhai</t>
  </si>
  <si>
    <t>Vanitaben</t>
  </si>
  <si>
    <t>Popatbhai</t>
  </si>
  <si>
    <t>Anand gujarat</t>
  </si>
  <si>
    <t>19-24</t>
  </si>
  <si>
    <t>Always well understanding me and family</t>
  </si>
  <si>
    <t>Anandpur</t>
  </si>
  <si>
    <t>Patelnitishpatel@gmail.com</t>
  </si>
  <si>
    <t>tarunapatel92</t>
  </si>
  <si>
    <t xml:space="preserve">Nitish </t>
  </si>
  <si>
    <t>Fine Arts</t>
  </si>
  <si>
    <t>Jolly kind of person, love to travel , down to earth , other you can know after talking to me, I like reading novel ,movie freak , foodie</t>
  </si>
  <si>
    <t>Harilal Patel</t>
  </si>
  <si>
    <t>Taruna patel</t>
  </si>
  <si>
    <t>Shivjiabji padmani</t>
  </si>
  <si>
    <t>72/A/1, Khatir bazaar lane, bidhan park ,Mahesh, Hooghly.West Bengal-712202</t>
  </si>
  <si>
    <t>Down to earth , can match with me , support me, and can walk with everyone together .</t>
  </si>
  <si>
    <t>image/20190131_063927904.jpg</t>
  </si>
  <si>
    <t>image/20190131_063927903.jpg</t>
  </si>
  <si>
    <t>bhupendravagdiya11582@email.com</t>
  </si>
  <si>
    <t>bhupendra</t>
  </si>
  <si>
    <t>cricket... traveling...</t>
  </si>
  <si>
    <t>kesavlal</t>
  </si>
  <si>
    <t>Ramilaben</t>
  </si>
  <si>
    <t>nanjibhai</t>
  </si>
  <si>
    <t>petlad....sainath road</t>
  </si>
  <si>
    <t>Widowed,Awaiting Divorce</t>
  </si>
  <si>
    <t>anyway</t>
  </si>
  <si>
    <t>image/20190217_011223533.jpg</t>
  </si>
  <si>
    <t>paneli</t>
  </si>
  <si>
    <t>Jigneshpatel1226.jp@gamil.com</t>
  </si>
  <si>
    <t>J9725097143</t>
  </si>
  <si>
    <t>Sport</t>
  </si>
  <si>
    <t>Narnbhai</t>
  </si>
  <si>
    <t>Tulsiben</t>
  </si>
  <si>
    <t>Uma compalex inside corner singarva</t>
  </si>
  <si>
    <t>26-27</t>
  </si>
  <si>
    <t>Can live with everyon at home</t>
  </si>
  <si>
    <t>image/20190218_021411784.jpg</t>
  </si>
  <si>
    <t>image/20190218_021411743.jpg</t>
  </si>
  <si>
    <t>Khidoi kotda</t>
  </si>
  <si>
    <t>tppatel36@gmail.com</t>
  </si>
  <si>
    <t>020588tp</t>
  </si>
  <si>
    <t>Lucky</t>
  </si>
  <si>
    <t>Sirvi</t>
  </si>
  <si>
    <t>My best hobbies is  organic  agriculture work.</t>
  </si>
  <si>
    <t>Chandrika ben</t>
  </si>
  <si>
    <t>Narayandash</t>
  </si>
  <si>
    <t>At.Mahadevfarm,junisarotri,Post. IqbalgadhTa.AmirgadhDi.BanashkanthaPin.385135</t>
  </si>
  <si>
    <t>Iqbalgadh, banashkantha</t>
  </si>
  <si>
    <t>Simply best, notthig more.</t>
  </si>
  <si>
    <t>image/20190302_22185094.jpg</t>
  </si>
  <si>
    <t>image/20190302_22191723.jpg</t>
  </si>
  <si>
    <t>Magvana gam</t>
  </si>
  <si>
    <t>hirenlimbani71@gmail.com</t>
  </si>
  <si>
    <t>hirenlimbani5085</t>
  </si>
  <si>
    <t>Parul university</t>
  </si>
  <si>
    <t>Parul university, Waghodiya road, VADODARA</t>
  </si>
  <si>
    <t>Photography</t>
  </si>
  <si>
    <t>Patel jayantibhai</t>
  </si>
  <si>
    <t>Patel premilaben</t>
  </si>
  <si>
    <t>Patel mavjibhai</t>
  </si>
  <si>
    <t>10'pavagadh banglows,thalota roa,visnagar,mahesana</t>
  </si>
  <si>
    <t>Mahalaxmi sowmile-bhagvati new wood-kheralu road- anand nagar society same,visnagar</t>
  </si>
  <si>
    <t>As soon as possible perfect girl</t>
  </si>
  <si>
    <t>Visnagar,mahesana</t>
  </si>
  <si>
    <t>image/20190303_08141308.jpg</t>
  </si>
  <si>
    <t>image/20190303_08144374.jpg</t>
  </si>
  <si>
    <t>jpjignesh1988@gmail.com</t>
  </si>
  <si>
    <t>LLB</t>
  </si>
  <si>
    <t>Lawyer</t>
  </si>
  <si>
    <t>Practising in the field of Law.  Mantri of Gandhidham Patidar Yuvak Mandal.</t>
  </si>
  <si>
    <t>Jayantilal Karshan Halpani</t>
  </si>
  <si>
    <t>Dhanvantiben J Halpani</t>
  </si>
  <si>
    <t>Karsan Halpani</t>
  </si>
  <si>
    <t>104-105, Satyam Apt, Near Olso Circle, Sector 1,Plot No. 3, Gandhidham</t>
  </si>
  <si>
    <t>Devi Gayatri Saw Mill</t>
  </si>
  <si>
    <t>Doesnot Matter,Service,Professional</t>
  </si>
  <si>
    <t>Well educated.</t>
  </si>
  <si>
    <t>image/20190306_105923424.jpg</t>
  </si>
  <si>
    <t>image/20190306_105923413.jpg</t>
  </si>
  <si>
    <t>Nareshnayani@gmail.com</t>
  </si>
  <si>
    <t>N9427211027</t>
  </si>
  <si>
    <t>Ankit jayantilal Bhavani</t>
  </si>
  <si>
    <t>Me interest new technical in agri masinary</t>
  </si>
  <si>
    <t>At, post:moti virani</t>
  </si>
  <si>
    <t>She was work from my house</t>
  </si>
  <si>
    <t>image/20190310_052656134.jpg</t>
  </si>
  <si>
    <t>image/20190310_052656113.jpg</t>
  </si>
  <si>
    <t>nileshramani2143@gmail.com</t>
  </si>
  <si>
    <t>nilesh2143</t>
  </si>
  <si>
    <t>DTP</t>
  </si>
  <si>
    <t>Maneger in company</t>
  </si>
  <si>
    <t>Reading,traveling, Music,</t>
  </si>
  <si>
    <t>Babulal</t>
  </si>
  <si>
    <t>Varshaben</t>
  </si>
  <si>
    <t>Tirupati apartment,h no.275 kaneri,B-wing,old agra road,Bhiwandi Dist-Thane</t>
  </si>
  <si>
    <t>I am looking for a suitable partner for me.i enjoy the simple joys life has to offer and love to spend time with my family.</t>
  </si>
  <si>
    <t>image/20190317_103407034.jpg</t>
  </si>
  <si>
    <t>image/20190317_103406983.jpg</t>
  </si>
  <si>
    <t>Kadita nana</t>
  </si>
  <si>
    <t>Mrunalipatel2303@gmail.com</t>
  </si>
  <si>
    <t>asdfghjkl</t>
  </si>
  <si>
    <t xml:space="preserve">Brijesh </t>
  </si>
  <si>
    <t>Sangli</t>
  </si>
  <si>
    <t>Building material shop</t>
  </si>
  <si>
    <t>Watching movie, love to travel and eating different food.</t>
  </si>
  <si>
    <t>Hiraben</t>
  </si>
  <si>
    <t>Keshrabhai</t>
  </si>
  <si>
    <t>Shree Ganesh Traders, Police station Road,A/P-Ashta-416301 Tel-Walwa, Dist-Sangli,Maharashtra.</t>
  </si>
  <si>
    <t>Having matching ideology</t>
  </si>
  <si>
    <t>Deepakpatel91@gmail.com</t>
  </si>
  <si>
    <t>deepak91</t>
  </si>
  <si>
    <t>radhaswami institute of technology</t>
  </si>
  <si>
    <t>saraswati saw mill</t>
  </si>
  <si>
    <t>I AM DEEPAK PATEL AND I HAVE COPLETED MY BACHLORS DEGREE AND LOOKING FOR A SUITABLE LIFE PARTNER MY HOBBY IS LISTENING MUSIC</t>
  </si>
  <si>
    <t>SHANTI LAL PATEL</t>
  </si>
  <si>
    <t>RAMILA PATEL</t>
  </si>
  <si>
    <t>BHIMJI BHAI PATEL</t>
  </si>
  <si>
    <t>338/1 MADAN MAHAL NAGPUR ROAD JABALPUR</t>
  </si>
  <si>
    <t>SARASWATI SAW MILL 384 MADAN MAHAL NEAR PATIDAR SAMAJ JABALPUR</t>
  </si>
  <si>
    <t>I WANT A PARTNER WHICH IS SUITABLE FOR MY FAMILY</t>
  </si>
  <si>
    <t>jabalpur</t>
  </si>
  <si>
    <t>image/20190330_04554189.jpg</t>
  </si>
  <si>
    <t>image/20190330_04571113.jpg</t>
  </si>
  <si>
    <t>image/20190330_04564144.jpg</t>
  </si>
  <si>
    <t>DEVPAR  YAKSH</t>
  </si>
  <si>
    <t>dpatel.0779@gmail.com</t>
  </si>
  <si>
    <t>mayank14</t>
  </si>
  <si>
    <t>Dinesh</t>
  </si>
  <si>
    <t>Bytco college</t>
  </si>
  <si>
    <t>Bhagwati Enterprise, Subhash Road, Nasik Road, Nasik</t>
  </si>
  <si>
    <t>my hobbies are reading &amp; listening music</t>
  </si>
  <si>
    <t>Shankar Ratansi Sankhala</t>
  </si>
  <si>
    <t>Savita Shankar Sankhala</t>
  </si>
  <si>
    <t>Ratansi Manan Sankhala</t>
  </si>
  <si>
    <t>7/8 Laxmi Kamal Society, Datta Mandir Road, Nasik Road, Nasik.</t>
  </si>
  <si>
    <t>bhavanji ratansi diwani</t>
  </si>
  <si>
    <t>saptsarovar, yeola road, kopargaon.</t>
  </si>
  <si>
    <t>desalpar gutli</t>
  </si>
  <si>
    <t>32-40</t>
  </si>
  <si>
    <t>should be housewife or working</t>
  </si>
  <si>
    <t>image/20191030_05122145.jpg</t>
  </si>
  <si>
    <t>image/20191030_05224013.jpg</t>
  </si>
  <si>
    <t>ramanikhushi011998@gmail.com</t>
  </si>
  <si>
    <t>Khushi</t>
  </si>
  <si>
    <t>Durg</t>
  </si>
  <si>
    <t>RamaniMulshakha Gami</t>
  </si>
  <si>
    <t>Durg University</t>
  </si>
  <si>
    <t>Mu hobbies includes travelling, cooking and other activities like badminton and chess.</t>
  </si>
  <si>
    <t>Dheeraj Bhai Ramani</t>
  </si>
  <si>
    <t>Sarla Ben Ramani</t>
  </si>
  <si>
    <t>Mulji Bhai Ramani</t>
  </si>
  <si>
    <t>Durg road, Ganjpara, BALOD</t>
  </si>
  <si>
    <t>Maa Umiya Motors, Durg Road, Ganjpara Balod,Dist. BALOD</t>
  </si>
  <si>
    <t>Ratansi Khimji Divani</t>
  </si>
  <si>
    <t>Interested in traveling and other outdoor activities and should be kind hearted and caring.</t>
  </si>
  <si>
    <t>Balod</t>
  </si>
  <si>
    <t>image/20190612_09571141.jpg</t>
  </si>
  <si>
    <t>image/20190612_10140295.jpg</t>
  </si>
  <si>
    <t>Rampar Roha</t>
  </si>
  <si>
    <t>udaygodhani@17gmail.com</t>
  </si>
  <si>
    <t>uday96653</t>
  </si>
  <si>
    <t>uday</t>
  </si>
  <si>
    <t>godhani</t>
  </si>
  <si>
    <t>Bhandara</t>
  </si>
  <si>
    <t>&amp;nbsp;&lt;b&gt;Mulshakha&lt;/b&gt; &amp;nbsp;Chenchat</t>
  </si>
  <si>
    <t>hello to see my profile</t>
  </si>
  <si>
    <t>ramesh</t>
  </si>
  <si>
    <t>lata</t>
  </si>
  <si>
    <t>mohan</t>
  </si>
  <si>
    <t>indira nagar opp. malewar mar rahin home</t>
  </si>
  <si>
    <t>good understanding good nature and good looking.</t>
  </si>
  <si>
    <t>image/20190803_043239643.jpg</t>
  </si>
  <si>
    <t>jamjodhpur</t>
  </si>
  <si>
    <t>shreya5072@gmail.com</t>
  </si>
  <si>
    <t>ShReYa92</t>
  </si>
  <si>
    <t>Akshay</t>
  </si>
  <si>
    <t>SYBcom</t>
  </si>
  <si>
    <t>VNSGU</t>
  </si>
  <si>
    <t>Shree shiv shati saw mill.near ramji mandir valsad road,khergam,dist-navsari 396040</t>
  </si>
  <si>
    <t>Minor hearing problem</t>
  </si>
  <si>
    <t>Travelling,movies, eating different dishes,playing garba,photogarphy</t>
  </si>
  <si>
    <t>Maheshbhai</t>
  </si>
  <si>
    <t>Leelaben</t>
  </si>
  <si>
    <t>Kesarabhai</t>
  </si>
  <si>
    <t>Shree shiv shakti saw mill, near ramji mandir, valsad road, khergam, district-navsari.396040</t>
  </si>
  <si>
    <t>Shree shiv shakti saw mill,near ramji mandir,valsad road,</t>
  </si>
  <si>
    <t>Tejala meghji seghani</t>
  </si>
  <si>
    <t>A203 shiv complex,bhatar char rasta surat</t>
  </si>
  <si>
    <t>She must be a very good homemaker</t>
  </si>
  <si>
    <t>Valsad</t>
  </si>
  <si>
    <t>image/20190814_05040923.jpg</t>
  </si>
  <si>
    <t>image/20190814_05054540.jpg</t>
  </si>
  <si>
    <t>image/20190814_05064978.jpg</t>
  </si>
  <si>
    <t xml:space="preserve">Hareshkalariya84@gmail.com </t>
  </si>
  <si>
    <t>hareshpatel</t>
  </si>
  <si>
    <t>Haresh m patel</t>
  </si>
  <si>
    <t>Hari</t>
  </si>
  <si>
    <t>Manibai gujrati high school amravati</t>
  </si>
  <si>
    <t>Haresh m patel kadva 510.8 behind nilam hotel nagaon tal.hatkanangle nagaon kolhapur maharashtra .416122</t>
  </si>
  <si>
    <t>Panting</t>
  </si>
  <si>
    <t>Magan n patel</t>
  </si>
  <si>
    <t>Hansha m patel</t>
  </si>
  <si>
    <t>Narayan a patel</t>
  </si>
  <si>
    <t>510.8 behind nilam hotel nagaon .tal hatkanangla.nagaon.kolhapur maharashtra.416122</t>
  </si>
  <si>
    <t>Magan n patel  510.8 behind nilam hotel nagaon tal.hatkanangle nagaon kolhapur maharashtra.416122</t>
  </si>
  <si>
    <t>Life partner shiud be open minded and careable and supporing my any situation... And she axept my daughters...</t>
  </si>
  <si>
    <t>image/20190820_111658421.jpg</t>
  </si>
  <si>
    <t>image/20190821_02085004.jpg</t>
  </si>
  <si>
    <t>image/20190820_111658573.jpg</t>
  </si>
  <si>
    <t>anilkalariyapatel87@gmil.com</t>
  </si>
  <si>
    <t>anil1987</t>
  </si>
  <si>
    <t>Anil</t>
  </si>
  <si>
    <t>Kalariya patel</t>
  </si>
  <si>
    <t>Commerce degree</t>
  </si>
  <si>
    <t>Manibai gujrati High school</t>
  </si>
  <si>
    <t>510/8 behind Nilam hotel,Nagaon,tal-hatkanangle, Kolhapur, Maharashtra-416122</t>
  </si>
  <si>
    <t>Yes dissbility</t>
  </si>
  <si>
    <t>Cricket. Football. Romantic book. Comics book.</t>
  </si>
  <si>
    <t>Magan bhai</t>
  </si>
  <si>
    <t>Hansa Ben</t>
  </si>
  <si>
    <t>Narayan bhai</t>
  </si>
  <si>
    <t>510/8 behind Nilam hotel,Nagaon,tal-hatkanangle,Nagaon, Kolhapur, Maharashtra-416122</t>
  </si>
  <si>
    <t>Saw mill cutter</t>
  </si>
  <si>
    <t>Special kitchen specialist</t>
  </si>
  <si>
    <t>Never Married,Widowed</t>
  </si>
  <si>
    <t>Gujarathi (till School) + English,Hindi (till School) + English,Others</t>
  </si>
  <si>
    <t>Homemaker,Others</t>
  </si>
  <si>
    <t>My mum help in my home and in support my family</t>
  </si>
  <si>
    <t>Murtizapur</t>
  </si>
  <si>
    <t>image/20191021_05504264.jpg</t>
  </si>
  <si>
    <t>image/20191021_09010002.jpg</t>
  </si>
  <si>
    <t>image/20191021_09242843.jpg</t>
  </si>
  <si>
    <t>rahulrockptl@gmail.com</t>
  </si>
  <si>
    <t>Civil Contractor</t>
  </si>
  <si>
    <t>Badminton</t>
  </si>
  <si>
    <t>Kishor Patel</t>
  </si>
  <si>
    <t>Damyanti patel</t>
  </si>
  <si>
    <t>Hirji Bhai Patel</t>
  </si>
  <si>
    <t>202,B-Block , Ashapura Home's, Bhanpuri, Raipur</t>
  </si>
  <si>
    <t>Rameshwar Nakhtrana</t>
  </si>
  <si>
    <t>maitrydesigns@yahoo.com</t>
  </si>
  <si>
    <t>KALPESH6224</t>
  </si>
  <si>
    <t>pajvani</t>
  </si>
  <si>
    <t>simply enjoying life with joint family,,love to gossip,work comes first for me ,but in between take care of family members requirements</t>
  </si>
  <si>
    <t>mohanbhai</t>
  </si>
  <si>
    <t>laxmiben</t>
  </si>
  <si>
    <t>hansraj</t>
  </si>
  <si>
    <t>403.takshshila scty, dahad ,umargaon station</t>
  </si>
  <si>
    <t>must carrying with family value,smart ,able to make someone happy with her behaviour</t>
  </si>
  <si>
    <t>image/20190913_050147704.jpg</t>
  </si>
  <si>
    <t>image/20190913_050147673.jpg</t>
  </si>
  <si>
    <t>laxmipur,netra</t>
  </si>
  <si>
    <t>anandpatel126@gmail.com</t>
  </si>
  <si>
    <t>Anandlalu1234</t>
  </si>
  <si>
    <t>Science Professional (Others)</t>
  </si>
  <si>
    <t>Reading, sports, travelling</t>
  </si>
  <si>
    <t>DrChimanbhai</t>
  </si>
  <si>
    <t>Harjibhai</t>
  </si>
  <si>
    <t>2 Shantanu appartment, Gayatri mandir road, mahavirnagar, Himmatnagar 383001</t>
  </si>
  <si>
    <t>Purushotam Changnlal Bhavani</t>
  </si>
  <si>
    <t>Bhubneshwar</t>
  </si>
  <si>
    <t>Karboi</t>
  </si>
  <si>
    <t>Studying,Service,Business,Professional,Homemaker</t>
  </si>
  <si>
    <t>Mixing nature</t>
  </si>
  <si>
    <t>image/20190913_22433801.jpg</t>
  </si>
  <si>
    <t>Laxmipar deshlpar</t>
  </si>
  <si>
    <t xml:space="preserve">deepakslyfe@gmail.com </t>
  </si>
  <si>
    <t>Sunny@88</t>
  </si>
  <si>
    <t>Keshav Patel</t>
  </si>
  <si>
    <t>Hi, I would like to know you, if you like my profile. I am a creative professional, and into multiple art fields.</t>
  </si>
  <si>
    <t>Jivraj Patel</t>
  </si>
  <si>
    <t>C3, Gurukrupa Residency, 9th Main Padmanabhnagar, BSK 3rd Stage, Bangalore</t>
  </si>
  <si>
    <t>I just wish to know you, and if you like me, we can talk.</t>
  </si>
  <si>
    <t>namanpokar@gmail.com</t>
  </si>
  <si>
    <t>patidar8635</t>
  </si>
  <si>
    <t>VIJAY</t>
  </si>
  <si>
    <t>SIMPLE NATURE WITH HIGH VALUES . TAKE CARES OF THE PERSON WHOM HE LOVES TRAVELLING READING FITNESS</t>
  </si>
  <si>
    <t>POPATBHAI PATEL</t>
  </si>
  <si>
    <t>NEELABEN PATEL</t>
  </si>
  <si>
    <t>RATANSHIBHAI PATEL</t>
  </si>
  <si>
    <t>SHREE RAMKRUPA PLOT NO.129, VARDHAMANNAGAR SOCEITY, NAGPUR-440008</t>
  </si>
  <si>
    <t>31-36</t>
  </si>
  <si>
    <t>CARING, FUN LOVING, MATURE</t>
  </si>
  <si>
    <t>image/20191011_051307531.bmp</t>
  </si>
  <si>
    <t>image/20191011_051307734.bmp</t>
  </si>
  <si>
    <t>image/20191011_051307713.bmp</t>
  </si>
  <si>
    <t>Patelbhavin374@gmail.com</t>
  </si>
  <si>
    <t>bhavik1234567890</t>
  </si>
  <si>
    <t>Timber business</t>
  </si>
  <si>
    <t>Cricket kabbdi</t>
  </si>
  <si>
    <t>13 suvernpuri society padra</t>
  </si>
  <si>
    <t>19-25</t>
  </si>
  <si>
    <t>ME AND MY FAMILY HAPPY</t>
  </si>
  <si>
    <t>image/20200105_055848301.jpg</t>
  </si>
  <si>
    <t>image/20200105_055848384.jpg</t>
  </si>
  <si>
    <t>image/20200105_055848373.jpg</t>
  </si>
  <si>
    <t>Valka mota</t>
  </si>
  <si>
    <t>patelshail@gmail.com</t>
  </si>
  <si>
    <t>premlove537</t>
  </si>
  <si>
    <t>shailesh</t>
  </si>
  <si>
    <t>limbani</t>
  </si>
  <si>
    <t>Pharmacy</t>
  </si>
  <si>
    <t>Institute of pharmacy</t>
  </si>
  <si>
    <t>Business Management</t>
  </si>
  <si>
    <t>Pharmacist</t>
  </si>
  <si>
    <t>i wish that my future partner will be my friend, mature and beautiful for best life. i like to play outdoor games badminton and volleyball, indoor games chess and playing cards, swimming and wish to travel the whole world</t>
  </si>
  <si>
    <t>chimanbhai</t>
  </si>
  <si>
    <t>premilaben</t>
  </si>
  <si>
    <t>laxmanbhai</t>
  </si>
  <si>
    <t>44-45, shaktinagar society, near mother school, gotri road, vadodara - 390021</t>
  </si>
  <si>
    <t>28-40</t>
  </si>
  <si>
    <t>i wish my partner will be best friend, beautiful, mature and nice person to live best life</t>
  </si>
  <si>
    <t>image/20200130_231509663.jpg</t>
  </si>
  <si>
    <t>paliwad</t>
  </si>
  <si>
    <t xml:space="preserve">urjapatel308@gmail.com </t>
  </si>
  <si>
    <t>patel@home</t>
  </si>
  <si>
    <t>Urja</t>
  </si>
  <si>
    <t>Reading, cooking  blogging, travelling</t>
  </si>
  <si>
    <t>Jagdish Ravji Chhabhaiya</t>
  </si>
  <si>
    <t>Smita Jagdish Chhabhaiya</t>
  </si>
  <si>
    <t>Ravji Hirji Chhabhaiya</t>
  </si>
  <si>
    <t>New Gota, S.G Highway, Ahmedabad, Gujarat</t>
  </si>
  <si>
    <t>image/20200215_02491041.jpg</t>
  </si>
  <si>
    <t>image/20200215_02502559.jpg</t>
  </si>
  <si>
    <t>Bidada</t>
  </si>
  <si>
    <t>Div.j.patel@gmail.com</t>
  </si>
  <si>
    <t>patelshome@</t>
  </si>
  <si>
    <t>Harsh</t>
  </si>
  <si>
    <t xml:space="preserve">Chhabhaiya Mulshakha Mandaviya </t>
  </si>
  <si>
    <t>L.J University</t>
  </si>
  <si>
    <t>Schnell Technologies, Baroda</t>
  </si>
  <si>
    <t>New Gota, S,G Highway, Ahmedabad, Gujarat</t>
  </si>
  <si>
    <t>Shantilal Gangadas Vadiya</t>
  </si>
  <si>
    <t>Bavsar Timba Kampa, Himmatnagar, Sabarkantha, Gujarat</t>
  </si>
  <si>
    <t>image/20200215_02475847.jpg</t>
  </si>
  <si>
    <t>image/20200215_02415459.jpg</t>
  </si>
  <si>
    <t>harshad116@gmail.com</t>
  </si>
  <si>
    <t>9414525783h</t>
  </si>
  <si>
    <t>Nova scotia</t>
  </si>
  <si>
    <t>Halifax</t>
  </si>
  <si>
    <t>I'm just finished my MBA in international Business and working with private firm at Halifax city NS Canada.</t>
  </si>
  <si>
    <t>Harshad Bhai</t>
  </si>
  <si>
    <t>Jayshree Ben</t>
  </si>
  <si>
    <t>Jayanti Bhai</t>
  </si>
  <si>
    <t>Diesel shad road, Gandhinagar, Abu Road, Rajasthan</t>
  </si>
  <si>
    <t>She should be good looking and ready to do job in Canada or elsewhere.</t>
  </si>
  <si>
    <t>Idar</t>
  </si>
  <si>
    <t>image/20200216_07114962.jpg</t>
  </si>
  <si>
    <t>image/20200216_07145076.jpg</t>
  </si>
  <si>
    <t>Anandsar</t>
  </si>
  <si>
    <t>Bhumikpatel008@gmail.com</t>
  </si>
  <si>
    <t xml:space="preserve">Bhumik </t>
  </si>
  <si>
    <t xml:space="preserve">Surani </t>
  </si>
  <si>
    <t>Cricket, swimming, running, movies, travel, PC games</t>
  </si>
  <si>
    <t>Nanji</t>
  </si>
  <si>
    <t>Rukhmani</t>
  </si>
  <si>
    <t>Natraj talkies Dhule</t>
  </si>
  <si>
    <t xml:space="preserve">Dhule </t>
  </si>
  <si>
    <t>image/20200224_001238324.jpg</t>
  </si>
  <si>
    <t>image/20200224_001238293.jpg</t>
  </si>
  <si>
    <t>Dileshshivshakti@gmail.com</t>
  </si>
  <si>
    <t>dilesh123</t>
  </si>
  <si>
    <t>Dilesh</t>
  </si>
  <si>
    <t>Narsih bhai</t>
  </si>
  <si>
    <t>Chandrikaben</t>
  </si>
  <si>
    <t>Muljibhai</t>
  </si>
  <si>
    <t>Bilvaniya kmpa, Dhansura</t>
  </si>
  <si>
    <t>20-35</t>
  </si>
  <si>
    <t>image/20200227_072412274.jpg</t>
  </si>
  <si>
    <t>image/20200227_072412273.jpg</t>
  </si>
  <si>
    <t>nipuulp@gmail.com</t>
  </si>
  <si>
    <t>777623nik</t>
  </si>
  <si>
    <t>Nikhil Vitthalbhai</t>
  </si>
  <si>
    <t>I am a very simple, god fearing, caring, talented, understanding, trustworthy and kind hearted human being. I believe in the motto Live and let live. I hate liars. I am fun loving, down to earth and very much Optimist playing outdoor game , music,movie,food lover. national level 100m running champion.</t>
  </si>
  <si>
    <t>Vitthal Damjibhai patel</t>
  </si>
  <si>
    <t>Damayanti vitthalbhai patel</t>
  </si>
  <si>
    <t>Damji Gangdasbhai patel</t>
  </si>
  <si>
    <t>plot no-35 UMA SHANKAR BHAWAN  Opp. R N Lawn  SHREE NARAYAN NAGAR Parsodi UMRED</t>
  </si>
  <si>
    <t>image/20200410_09365986.jpg</t>
  </si>
  <si>
    <t>image/20200410_09351619.jpg</t>
  </si>
  <si>
    <t>ankpatel28@gmail.com</t>
  </si>
  <si>
    <t>@nkPatel@28</t>
  </si>
  <si>
    <t xml:space="preserve">Ankit </t>
  </si>
  <si>
    <t>I'm a Mechanical engineer. and  I have been doing Service in engineering background since 2 years. Apart from profession, I like to explore new places ,I'm bit more fitness concern person and yes  I like pets very much. Well, in my hobbies :-Travelling, music etc</t>
  </si>
  <si>
    <t>Khimjibhai Bhanjibhai Sankhala</t>
  </si>
  <si>
    <t>Urmilaben Khimjibhai Sankhala</t>
  </si>
  <si>
    <t>Bhanjibhai Devsibhai Sankhala</t>
  </si>
  <si>
    <t>C/O Sharda Timber Mart, Near Gyan bag , Vadtal-387375, TA-Nadiad  Dist-Kheda</t>
  </si>
  <si>
    <t>image/20200410_234739321.jpg</t>
  </si>
  <si>
    <t>image/20200410_234739354.jpg</t>
  </si>
  <si>
    <t>image/20200410_234739343.jpg</t>
  </si>
  <si>
    <t>Ratadiya (Ta-Nakhatrana)</t>
  </si>
  <si>
    <t>cmpatel26@yahoo.in</t>
  </si>
  <si>
    <t>Dharnidhar102</t>
  </si>
  <si>
    <t>cmpatel261963@gmail.com</t>
  </si>
  <si>
    <t>I m an Endodontist and looking for pursuing my clinical practice, and looking for an understanding and supportive life-partner who can understand the value of profession.</t>
  </si>
  <si>
    <t>Sheelaben Patel</t>
  </si>
  <si>
    <t>Mavjibhai Patel</t>
  </si>
  <si>
    <t>A/102, Dharnidhar Pride, Nr. Science City, Behind Avirat House, Science city sola road,Ahmedabad-380060</t>
  </si>
  <si>
    <t>27-31</t>
  </si>
  <si>
    <t>Intellectual and Supportive</t>
  </si>
  <si>
    <t>image/20200427_05405934.jpg</t>
  </si>
  <si>
    <t>image/20200427_05411204.jpg</t>
  </si>
  <si>
    <t>thelasthope24124@gmail.com</t>
  </si>
  <si>
    <t>hardik123</t>
  </si>
  <si>
    <t xml:space="preserve">Hardik </t>
  </si>
  <si>
    <t xml:space="preserve">Shankla </t>
  </si>
  <si>
    <t>South Australia</t>
  </si>
  <si>
    <t>Adelaide</t>
  </si>
  <si>
    <t>Quite straightforward person just looking for a partner to make a beautiful life.</t>
  </si>
  <si>
    <t>4 ANKIN PARK SOCIETY, PETLAD , GUJARAT</t>
  </si>
  <si>
    <t>Not much but just should have some qualification in some field.</t>
  </si>
  <si>
    <t>image/20200506_081310634.jpg</t>
  </si>
  <si>
    <t>image/20200506_081310613.jpg</t>
  </si>
  <si>
    <t>mankuvanikul@gmail.com</t>
  </si>
  <si>
    <t>Nikul@1991</t>
  </si>
  <si>
    <t>Nikhil</t>
  </si>
  <si>
    <t>Prabhudas</t>
  </si>
  <si>
    <t>Ansuyaben</t>
  </si>
  <si>
    <t>Kanji</t>
  </si>
  <si>
    <t>102,Parasiya Darshan, Shirgaon,Aptewadi, Badlapur (E) 421503</t>
  </si>
  <si>
    <t>?? ??? ??? ???? ?????? ?? ???? ???.?? ?????? ???? ?????? ??? ???? ???? ???? ??? ??? ???? ???? ??????? ?? ????? ??? ???.?? ?? ?????? ??? ?? ???????? ???????? ????? ???.?? ??????? ??? ??.</t>
  </si>
  <si>
    <t>image/20200525_001717621.jpg</t>
  </si>
  <si>
    <t>image/20200525_001717844.jpg</t>
  </si>
  <si>
    <t>image/20200525_001717743.jpg</t>
  </si>
  <si>
    <t>rdbhensdadia@gmail.com</t>
  </si>
  <si>
    <t>patel2158</t>
  </si>
  <si>
    <t>BHENSDADIA RUCHIT</t>
  </si>
  <si>
    <t>DAMJIBHAI</t>
  </si>
  <si>
    <t>AOCP ITI JAMNAGAR</t>
  </si>
  <si>
    <t>BUSINESS DEVLOPING</t>
  </si>
  <si>
    <t>PRABHABEN</t>
  </si>
  <si>
    <t>MAVJIBHAI</t>
  </si>
  <si>
    <t>RAJKOT</t>
  </si>
  <si>
    <t>SEM</t>
  </si>
  <si>
    <t>jamnagar</t>
  </si>
  <si>
    <t>image/20200602_00321913.jpg</t>
  </si>
  <si>
    <t>MOTI BANUGAR   JAMNAGAR</t>
  </si>
  <si>
    <t>chiragkatariya7@gmail.com</t>
  </si>
  <si>
    <t>Champ7Champ</t>
  </si>
  <si>
    <t>Katariya</t>
  </si>
  <si>
    <t>Simple Boy, Simple Living</t>
  </si>
  <si>
    <t>kishanpatel7766@gmail.com</t>
  </si>
  <si>
    <t>kishan123</t>
  </si>
  <si>
    <t>KISHAN</t>
  </si>
  <si>
    <t>KISHAN PATEL AND ASSOCIATES</t>
  </si>
  <si>
    <t>Reading Traveling Listening Music</t>
  </si>
  <si>
    <t>HARIBHAI RAVANI</t>
  </si>
  <si>
    <t>KALABEN RAVANI</t>
  </si>
  <si>
    <t>LADHABHAI RAVANI</t>
  </si>
  <si>
    <t>29/A, DHANANJAY VILA, KADI</t>
  </si>
  <si>
    <t>LAXMI ENTERPRISE</t>
  </si>
  <si>
    <t>OK</t>
  </si>
  <si>
    <t>KHOMBHADI</t>
  </si>
  <si>
    <t>image/20200531_21162257.jpg</t>
  </si>
  <si>
    <t>image/20200531_21140435.jpg</t>
  </si>
  <si>
    <t>image/20200531_21163705.jpg</t>
  </si>
  <si>
    <t>jigar4041@gmail.com</t>
  </si>
  <si>
    <t>Jigar@10</t>
  </si>
  <si>
    <t xml:space="preserve">jigar </t>
  </si>
  <si>
    <t>my hobbies histrory book reading</t>
  </si>
  <si>
    <t>dashrathbhai</t>
  </si>
  <si>
    <t>alkaben</t>
  </si>
  <si>
    <t>kantibhai</t>
  </si>
  <si>
    <t>himatnagar</t>
  </si>
  <si>
    <t>any</t>
  </si>
  <si>
    <t>asas</t>
  </si>
  <si>
    <t>kcpatel1107@gmail.com</t>
  </si>
  <si>
    <t>Kishu2020</t>
  </si>
  <si>
    <t>Kishan</t>
  </si>
  <si>
    <t>Master degree in International Business</t>
  </si>
  <si>
    <t>mina238@gmail.com</t>
  </si>
  <si>
    <t>vaishali05</t>
  </si>
  <si>
    <t>The Bhawanipur Education Society Collage</t>
  </si>
  <si>
    <t>Cooking,  Music</t>
  </si>
  <si>
    <t>Madhavjibhai</t>
  </si>
  <si>
    <t>A/501 , Nest Orchid    Althan,  Surat</t>
  </si>
  <si>
    <t>Maruti Enterprises   Bhatar , Surat.</t>
  </si>
  <si>
    <t>Ishwarbhai</t>
  </si>
  <si>
    <t>Vakaner,  Morbi , gujrat.</t>
  </si>
  <si>
    <t>Nana Angiya.</t>
  </si>
  <si>
    <t>Smart Good looking,  Intelligent  ,Good human being,</t>
  </si>
  <si>
    <t>image/20200807_09492909.jpg</t>
  </si>
  <si>
    <t>image/20200804_05115664.jpg</t>
  </si>
  <si>
    <t>image/20200804_05121564.jpg</t>
  </si>
  <si>
    <t>jigarapatel2711@gmail.com</t>
  </si>
  <si>
    <t>dhir27111995</t>
  </si>
  <si>
    <t>jigar</t>
  </si>
  <si>
    <t>savanpatel925@gmail.com</t>
  </si>
  <si>
    <t>SAVAN@1208</t>
  </si>
  <si>
    <t>Savankumar</t>
  </si>
  <si>
    <t>akundemitbos@gmail.com</t>
  </si>
  <si>
    <t>12345mkl</t>
  </si>
  <si>
    <t>jsjsjs</t>
  </si>
  <si>
    <t>kskdkd</t>
  </si>
  <si>
    <t>Chhapra</t>
  </si>
  <si>
    <t>-&amp;nbsp;&lt;b&gt;Mulshakha&lt;/b&gt; &amp;nbsp;Katwar</t>
  </si>
  <si>
    <t>jsjsjsjjs di dunia ini yang akan datang akan datang akan datang akan datang</t>
  </si>
  <si>
    <t>eiieie</t>
  </si>
  <si>
    <t>ueudu</t>
  </si>
  <si>
    <t>hshs'di dunia ini yang akan datang akan datang akan</t>
  </si>
  <si>
    <t>jsjsj di dunia ini yang akan datang</t>
  </si>
  <si>
    <t>jsjsjsjs</t>
  </si>
  <si>
    <t>shantilalpatel154@gmail.com</t>
  </si>
  <si>
    <t>Hardikswagat94</t>
  </si>
  <si>
    <t>Chandrapur</t>
  </si>
  <si>
    <t>B.E Civil Engineering</t>
  </si>
  <si>
    <t>Gondwana university</t>
  </si>
  <si>
    <t>Interest in interior and glass work and investment program</t>
  </si>
  <si>
    <t>Vimal patel</t>
  </si>
  <si>
    <t>Manilal patel</t>
  </si>
  <si>
    <t>Bhagwat appartment,Behind Bhagwat arcade,civil line,chandrapur</t>
  </si>
  <si>
    <t>Tulsibhai shamji bhai Halpani</t>
  </si>
  <si>
    <t>Jammuna no.2,Ambedkar chowk,CA road,Lakadganj,nagpur-440008</t>
  </si>
  <si>
    <t>No expectation</t>
  </si>
  <si>
    <t>image/20200710_21033789.jpg</t>
  </si>
  <si>
    <t>image/20200710_21073431.jpg</t>
  </si>
  <si>
    <t>Walka mota</t>
  </si>
  <si>
    <t xml:space="preserve">ushadpatel82@gmail.com </t>
  </si>
  <si>
    <t>ilovemyindia1947</t>
  </si>
  <si>
    <t>Vikram R</t>
  </si>
  <si>
    <t>interested watching movies, outdoors, travelling, Sports activities. Currently serving as sports conveyor for Dakshin Karnataka region</t>
  </si>
  <si>
    <t>Ramesh k pokar</t>
  </si>
  <si>
    <t>Kamala  R pokar</t>
  </si>
  <si>
    <t>Kheta J pokar</t>
  </si>
  <si>
    <t>K R Puram  samajJ k kung Outer ring road</t>
  </si>
  <si>
    <t>28-35</t>
  </si>
  <si>
    <t>Complete English,Complete Gujarathi,Complete Hindi,Gujarathi (till School) + English,Hindi (till School) + English,Others</t>
  </si>
  <si>
    <t>Should be mature enough to take the responsibility of a joint family</t>
  </si>
  <si>
    <t>Kolar</t>
  </si>
  <si>
    <t>image/20200718_05302328.jpg</t>
  </si>
  <si>
    <t>image/20200713_09523688.jpg</t>
  </si>
  <si>
    <t>image/20200713_09544664.jpg</t>
  </si>
  <si>
    <t>Mota kadiya</t>
  </si>
  <si>
    <t>koushickpatel@gmail.com</t>
  </si>
  <si>
    <t>koushik25011991</t>
  </si>
  <si>
    <t>Rithik</t>
  </si>
  <si>
    <t xml:space="preserve">Sankala </t>
  </si>
  <si>
    <t>Mangalore</t>
  </si>
  <si>
    <t>patelkoushik25011991@gmail.com</t>
  </si>
  <si>
    <t xml:space="preserve">Sandeep </t>
  </si>
  <si>
    <t>This Sandeep Patel. I had Pursued Post Graduation in Civil Engineering (Structural engineering), Currently I am employed as own and provide structural plans to builder's.  I like to listen music, travel and to solve puzzle.</t>
  </si>
  <si>
    <t>Jayanti lal Sankala</t>
  </si>
  <si>
    <t>Narmada Jayanti Sankala</t>
  </si>
  <si>
    <t>Ramji Devji Sankala</t>
  </si>
  <si>
    <t>1-3-129/A sastri nagar,nirmal, telengana Pin code 504106</t>
  </si>
  <si>
    <t>Should be from Kutch kadva patidar samaj.</t>
  </si>
  <si>
    <t>image/20200721_02012260.jpg</t>
  </si>
  <si>
    <t>image/20200721_02013439.jpg</t>
  </si>
  <si>
    <t>hirensenghani@gmail.com</t>
  </si>
  <si>
    <t>Hiren@123</t>
  </si>
  <si>
    <t>Ssc</t>
  </si>
  <si>
    <t>Describe in meeting</t>
  </si>
  <si>
    <t>Parsotam</t>
  </si>
  <si>
    <t>1103,pioneer park,dhokali naka,thane west</t>
  </si>
  <si>
    <t>22-32</t>
  </si>
  <si>
    <t>Expectation not required</t>
  </si>
  <si>
    <t>mbpatel62@gmail.com</t>
  </si>
  <si>
    <t>mb891962</t>
  </si>
  <si>
    <t>Vaibhav</t>
  </si>
  <si>
    <t>navinrpatel22@gmail.com</t>
  </si>
  <si>
    <t>navinAa123</t>
  </si>
  <si>
    <t>Mohit</t>
  </si>
  <si>
    <t>Mahabubnagar</t>
  </si>
  <si>
    <t>Sri Balaji Marketing  Ceramic store  Industrial estate  Mahabubnagar</t>
  </si>
  <si>
    <t>Iam a business person  Upper middle class family &amp; iam living with our parents having 1 brother married  &amp; I have no sisters</t>
  </si>
  <si>
    <t>Navin Patel</t>
  </si>
  <si>
    <t>Pramila Patel</t>
  </si>
  <si>
    <t>Ramesh Patel</t>
  </si>
  <si>
    <t>Sri Balaji saw millD/1 industrial estate Mahabubnagar Telangana</t>
  </si>
  <si>
    <t>Nil</t>
  </si>
  <si>
    <t>Sri Balaji saw mill Industrial estate  Mahabubnagar  Telangana</t>
  </si>
  <si>
    <t>Happy living with  family</t>
  </si>
  <si>
    <t xml:space="preserve">Mahabubnagar </t>
  </si>
  <si>
    <t>Desalpar (Guntali)</t>
  </si>
  <si>
    <t>shirviankit80@gmail.com</t>
  </si>
  <si>
    <t>8108863903Ankit</t>
  </si>
  <si>
    <t>shiravi</t>
  </si>
  <si>
    <t>Construction business</t>
  </si>
  <si>
    <t>Construction contractor</t>
  </si>
  <si>
    <t>Traveling,foods,cricket,movies,songs.</t>
  </si>
  <si>
    <t>Nanji bhai</t>
  </si>
  <si>
    <t>kanta ben</t>
  </si>
  <si>
    <t>B/408, Bingo plaza building No. 1 , shree khande vadi, Manpada road, Dombivali east. 421201</t>
  </si>
  <si>
    <t>It should be as good as the dance and the family should stay together.</t>
  </si>
  <si>
    <t>image/20200722_015139261.jpg</t>
  </si>
  <si>
    <t>image/20200722_015139354.jpg</t>
  </si>
  <si>
    <t>image/20200722_015139343.jpg</t>
  </si>
  <si>
    <t>Pooja park Bidada mandi kutch gujarat</t>
  </si>
  <si>
    <t>dineshrudani44@gmail. com</t>
  </si>
  <si>
    <t>dinesh1971</t>
  </si>
  <si>
    <t>Dineshpatel</t>
  </si>
  <si>
    <t>Chunilal Patel</t>
  </si>
  <si>
    <t>kantipatidar1@gmail.com</t>
  </si>
  <si>
    <t>8120119040kanti</t>
  </si>
  <si>
    <t>&amp;nbsp;&lt;b&gt;Mulshakha&lt;/b&gt; &amp;nbsp;Cheniya</t>
  </si>
  <si>
    <t>Indian Police Services (IPS)</t>
  </si>
  <si>
    <t>I am a Simple Living And High Thinking Girl,  I am Interested in Drawing ,Cooking ,Badminton ,Shopping and Travelling.  I am A Physically Fit and Smart Girl.</t>
  </si>
  <si>
    <t>Jaypatel6225@gmail.com</t>
  </si>
  <si>
    <t>jayesh2110</t>
  </si>
  <si>
    <t>Alpesh patel</t>
  </si>
  <si>
    <t xml:space="preserve">Mohanbhai patel </t>
  </si>
  <si>
    <t>sankalakanchan@gmail.com</t>
  </si>
  <si>
    <t>kanchan123</t>
  </si>
  <si>
    <t>Sandeep</t>
  </si>
  <si>
    <t>Vellore</t>
  </si>
  <si>
    <t>Malla reddy college of engineering</t>
  </si>
  <si>
    <t>SREE GEETHA CONSTRUCTIONS AND CONSULTANTS NIRMAL</t>
  </si>
  <si>
    <t>This is Sandeep(Rithik) Patel from Telangana. I had pursued post graduation as M-Tech under the stream of "Structural Engineering".Started my career with job title as "Civil  Engineer"for a private sector from Hyderabad. In recent time I had started my own builder work and consultant also considering with Steel Structural Designs and Architectural plans.</t>
  </si>
  <si>
    <t>Narmada Sankala</t>
  </si>
  <si>
    <t>5-10-81 Budhawarpet nirmal 504106</t>
  </si>
  <si>
    <t>MUNICIPAL COROPERATION COUNCILOR</t>
  </si>
  <si>
    <t>SREE LAXMI RICE MILL SIDDALAKUNTA NIRMAL PINCODE: 504106</t>
  </si>
  <si>
    <t>Housewive</t>
  </si>
  <si>
    <t>Narayan Bhanji Limbani</t>
  </si>
  <si>
    <t>Vishakapatanam</t>
  </si>
  <si>
    <t>19-28</t>
  </si>
  <si>
    <t>Expecting bride to be family friendly.</t>
  </si>
  <si>
    <t>Nirmal</t>
  </si>
  <si>
    <t>image/20200725_04445975.jpg</t>
  </si>
  <si>
    <t>image/20200725_04452013.jpg</t>
  </si>
  <si>
    <t>ratnani.ankit@gmail.com</t>
  </si>
  <si>
    <t>magiceye91</t>
  </si>
  <si>
    <t>Ratnani</t>
  </si>
  <si>
    <t>Automobile</t>
  </si>
  <si>
    <t>Movie, Music, Motorsports</t>
  </si>
  <si>
    <t>102, Arjun Heights, Indira Timber Market, Bhanpuri, Raipur</t>
  </si>
  <si>
    <t>image/20200725_065409664.jpg</t>
  </si>
  <si>
    <t>image/20200725_065409653.jpg</t>
  </si>
  <si>
    <t>dineshpatel138@rocketmail.com</t>
  </si>
  <si>
    <t>sneha1996</t>
  </si>
  <si>
    <t>sneha rudani</t>
  </si>
  <si>
    <t>dinesh rudani</t>
  </si>
  <si>
    <t>msc in plant biochemistry</t>
  </si>
  <si>
    <t>reading book show movies &amp; t.v</t>
  </si>
  <si>
    <t>dinesh chunilal rudani</t>
  </si>
  <si>
    <t>damyanti dinesh rudani</t>
  </si>
  <si>
    <t>chunilal punjabhai rudani</t>
  </si>
  <si>
    <t>b/4 manila society Nr.Naranpura rly crossing Naranpura Ahmedabad 380013</t>
  </si>
  <si>
    <t>well educated well setted city level area</t>
  </si>
  <si>
    <t>jiggipatel94@gmail.com</t>
  </si>
  <si>
    <t>Jiggipatel94</t>
  </si>
  <si>
    <t>Washim</t>
  </si>
  <si>
    <t>Shri Ganesh Marble</t>
  </si>
  <si>
    <t>Originally from Karanja Lad, I am ( 5'10")tall and moderately built. Beside being commerce graduate i have obsession for fitness and sports which has led me to be a businessman and an athelete.I always try to learn new skills to keep pace with the changing lifestyle. Being an extrovert I especially value humor, calm and peaceful behaviour, being able to communicate and staying healthy as well as to be creative at business.  Beside my love for traveling I have kept myself engaged in various social activities such as organising Volleyball Tournament, blood donation campaigns and representing ABKKP at various levels every year.</t>
  </si>
  <si>
    <t>Manjuben</t>
  </si>
  <si>
    <t>Umiya Niwas, Patel Marble &amp; Stone, Opp. Jesus Garden, Old bus stand road, Karanja lad</t>
  </si>
  <si>
    <t>Patel Auto Center</t>
  </si>
  <si>
    <t>Should be socially and culturally active having peacefull and calm mindset, creative in any aspect.</t>
  </si>
  <si>
    <t>Karanja lad</t>
  </si>
  <si>
    <t>image/20200904_11301641.jpg</t>
  </si>
  <si>
    <t>image/20200904_11315249.jpg</t>
  </si>
  <si>
    <t>Kadia Nana</t>
  </si>
  <si>
    <t>Drshiwani1510@gmail.com</t>
  </si>
  <si>
    <t>Indore66</t>
  </si>
  <si>
    <t xml:space="preserve">Shiwani </t>
  </si>
  <si>
    <t xml:space="preserve">Patidar </t>
  </si>
  <si>
    <t>Khargone</t>
  </si>
  <si>
    <t>&amp;nbsp;&lt;b&gt;Mulshakha&lt;/b&gt; &amp;nbsp;Mrugala</t>
  </si>
  <si>
    <t>Govt MGM medical college, indore</t>
  </si>
  <si>
    <t>Looking for relation where we can mutually support eachother.</t>
  </si>
  <si>
    <t>Radheshyam patidar</t>
  </si>
  <si>
    <t>Sadhna patidar</t>
  </si>
  <si>
    <t>Raghunath patidar</t>
  </si>
  <si>
    <t>65/9,ward 9 ,braj vihar Colony,Maheshwar</t>
  </si>
  <si>
    <t>Ganesh patidar</t>
  </si>
  <si>
    <t>Mogawa</t>
  </si>
  <si>
    <t xml:space="preserve">Maheshwar </t>
  </si>
  <si>
    <t>image/20200804_05424100.jpg</t>
  </si>
  <si>
    <t>image/20200804_05430828.jpg</t>
  </si>
  <si>
    <t>Mahetwada</t>
  </si>
  <si>
    <t>kishankumarpatel1997@gmail.com</t>
  </si>
  <si>
    <t>K65447084v@</t>
  </si>
  <si>
    <t>jitupatidar94470@gmail.com</t>
  </si>
  <si>
    <t>Satynaran</t>
  </si>
  <si>
    <t>Mandsaur</t>
  </si>
  <si>
    <t>gautam08patel@yahoo.co.in</t>
  </si>
  <si>
    <t>limbani20</t>
  </si>
  <si>
    <t>Devjibhai</t>
  </si>
  <si>
    <t>Business Travelling</t>
  </si>
  <si>
    <t>Shanjibhai</t>
  </si>
  <si>
    <t>Gangaben</t>
  </si>
  <si>
    <t>503 Shubham 2Opp pramukh residency, Chala, vapi</t>
  </si>
  <si>
    <t>45-55</t>
  </si>
  <si>
    <t>Joint family supportive</t>
  </si>
  <si>
    <t>Ghadani,nakhatrana</t>
  </si>
  <si>
    <t>hemangipokar199604@gmail.com</t>
  </si>
  <si>
    <t>Hemangi</t>
  </si>
  <si>
    <t>Travelling, Reading,etc</t>
  </si>
  <si>
    <t>Narshi</t>
  </si>
  <si>
    <t>Ansuya</t>
  </si>
  <si>
    <t>Shivji</t>
  </si>
  <si>
    <t>09,Shanti Darshan Apt. R.T.O. Corner MERI Nashik</t>
  </si>
  <si>
    <t>Self Earning,</t>
  </si>
  <si>
    <t>image/20200814_084436834.jpg</t>
  </si>
  <si>
    <t>image/20200814_084436823.jpg</t>
  </si>
  <si>
    <t>Jankpur</t>
  </si>
  <si>
    <t>shyambhut12345@gmail.com</t>
  </si>
  <si>
    <t>bhut12345</t>
  </si>
  <si>
    <t>Shyam</t>
  </si>
  <si>
    <t>Fgjdthf</t>
  </si>
  <si>
    <t>Fkgxdracb</t>
  </si>
  <si>
    <t>patelrajesh2120@yahoo.com</t>
  </si>
  <si>
    <t>miral123</t>
  </si>
  <si>
    <t>Miral</t>
  </si>
  <si>
    <t>I am interested to become IAS officer. I am preparing for UPSC</t>
  </si>
  <si>
    <t>Rajesh P patel</t>
  </si>
  <si>
    <t>Bhavana Patel</t>
  </si>
  <si>
    <t>Popatlal L patel</t>
  </si>
  <si>
    <t>170-Royalcounty. J. P. Nagar 8 th phase. Banglore</t>
  </si>
  <si>
    <t>Ashapura timber and ply. Ragvanpalya. Banglore-78</t>
  </si>
  <si>
    <t>Must be well educated and practical in life.</t>
  </si>
  <si>
    <t>image/20200818_090751081.jpg</t>
  </si>
  <si>
    <t>image/20200818_090751184.jpg</t>
  </si>
  <si>
    <t>image/20200818_090751183.jpg</t>
  </si>
  <si>
    <t>Kuldeepkalriya11@gmail.com</t>
  </si>
  <si>
    <t>KULDEEP@1243</t>
  </si>
  <si>
    <t>Kuldeep</t>
  </si>
  <si>
    <t>-&amp;nbsp;&lt;b&gt;Mulshakha&lt;/b&gt; &amp;nbsp;Vijayat</t>
  </si>
  <si>
    <t>Traaveling</t>
  </si>
  <si>
    <t>Jayantilala</t>
  </si>
  <si>
    <t>Bhavishaben</t>
  </si>
  <si>
    <t>Ratanjibhai</t>
  </si>
  <si>
    <t>To-movana  Ta-keshod Di-junagadh</t>
  </si>
  <si>
    <t>Good femly back graund</t>
  </si>
  <si>
    <t>Surastr</t>
  </si>
  <si>
    <t>tejashmakadia@outlook.com</t>
  </si>
  <si>
    <t>tejash</t>
  </si>
  <si>
    <t xml:space="preserve">Tejash </t>
  </si>
  <si>
    <t>Travelling &amp; Gaming &amp; Reading Novel</t>
  </si>
  <si>
    <t>kartik.padmani@gmail.com</t>
  </si>
  <si>
    <t>k56439798K</t>
  </si>
  <si>
    <t>Kartik</t>
  </si>
  <si>
    <t>Padmani</t>
  </si>
  <si>
    <t>I cant see with my left eye</t>
  </si>
  <si>
    <t>Jerambhai</t>
  </si>
  <si>
    <t>Kamrej</t>
  </si>
  <si>
    <t>18-30</t>
  </si>
  <si>
    <t>Shuffering from any disability</t>
  </si>
  <si>
    <t>Fulzar</t>
  </si>
  <si>
    <t xml:space="preserve">dixitvasani6838@gmail.com </t>
  </si>
  <si>
    <t>dixvasani6838</t>
  </si>
  <si>
    <t>Dixit m</t>
  </si>
  <si>
    <t>vasani</t>
  </si>
  <si>
    <t>Cricket. Dancing. Holy.futbol</t>
  </si>
  <si>
    <t>Mohanlal vasani</t>
  </si>
  <si>
    <t>Urmilaben Vasani</t>
  </si>
  <si>
    <t>Khimjibhai vasani</t>
  </si>
  <si>
    <t>Shreenath classic  F -502 Nana chiloda</t>
  </si>
  <si>
    <t>simple living, good thinking,</t>
  </si>
  <si>
    <t>Vadava kanya</t>
  </si>
  <si>
    <t>miteshdayapar@gmail.com</t>
  </si>
  <si>
    <t>Dayapar370630</t>
  </si>
  <si>
    <t>Mitesh Patel</t>
  </si>
  <si>
    <t>BhavanBhai Patel</t>
  </si>
  <si>
    <t>Line men</t>
  </si>
  <si>
    <t>Gavrment tendar</t>
  </si>
  <si>
    <t>To reach the goal</t>
  </si>
  <si>
    <t>BhavanBhai</t>
  </si>
  <si>
    <t>Santaben</t>
  </si>
  <si>
    <t>Village - Dayapar. Taluka - Lakhpat. District - Kutch. Pin - 370630 ??????? ??? ??</t>
  </si>
  <si>
    <t>Masters,Diploma</t>
  </si>
  <si>
    <t>If you have a job, or you can handle the house</t>
  </si>
  <si>
    <t>image/20200825_000109661.jpg</t>
  </si>
  <si>
    <t>patelankita2331996@gmail.com</t>
  </si>
  <si>
    <t>123patel</t>
  </si>
  <si>
    <t xml:space="preserve">Mehul </t>
  </si>
  <si>
    <t>Cricket , movie , travelling</t>
  </si>
  <si>
    <t>Hasmukh bhai samjibhai Patel</t>
  </si>
  <si>
    <t>Sunitaben hasmukhbhai patel</t>
  </si>
  <si>
    <t>Samjibhai Patel</t>
  </si>
  <si>
    <t>A/201 umadarshan residency , hanspura , near dehgam circle ahmedabad</t>
  </si>
  <si>
    <t>Good nature , understand to all</t>
  </si>
  <si>
    <t>image/20200826_070027344.jpg</t>
  </si>
  <si>
    <t>image/20200826_070027303.jpg</t>
  </si>
  <si>
    <t>akashpatel7285@gmail.com</t>
  </si>
  <si>
    <t>akashpatel1994</t>
  </si>
  <si>
    <t>Photography, traveling and reading</t>
  </si>
  <si>
    <t>Panchani.prakash15@gmail.com</t>
  </si>
  <si>
    <t>Prakash6287</t>
  </si>
  <si>
    <t>Prakash</t>
  </si>
  <si>
    <t>Panchani</t>
  </si>
  <si>
    <t>niravlimbani09@gmail.com</t>
  </si>
  <si>
    <t>Nili@001</t>
  </si>
  <si>
    <t>Construction and interior</t>
  </si>
  <si>
    <t>Our future is in our hand.</t>
  </si>
  <si>
    <t>Ankit.327272@gmail.com</t>
  </si>
  <si>
    <t>bunty7272</t>
  </si>
  <si>
    <t>Trading and RO waterplant</t>
  </si>
  <si>
    <t>A simple guy</t>
  </si>
  <si>
    <t>Shanti lal halpani</t>
  </si>
  <si>
    <t>Chanda halpani</t>
  </si>
  <si>
    <t>Ratansi halpani</t>
  </si>
  <si>
    <t>Jasmin timbers new timber market fafadih</t>
  </si>
  <si>
    <t>A simple girl with best nature and warm hearted</t>
  </si>
  <si>
    <t>Sayra</t>
  </si>
  <si>
    <t>patelvishal408.pv@gmail.com</t>
  </si>
  <si>
    <t>Reading, playing, traveling</t>
  </si>
  <si>
    <t>Shivjibhai bhavani</t>
  </si>
  <si>
    <t>Parvatiben bhavani</t>
  </si>
  <si>
    <t>Shivganbhai bhavani</t>
  </si>
  <si>
    <t>Songadh</t>
  </si>
  <si>
    <t>Good manner ,take care of family,</t>
  </si>
  <si>
    <t>image/20200904_113235944.jpg</t>
  </si>
  <si>
    <t>Kalpesh14641@gmail.com</t>
  </si>
  <si>
    <t>9944203888kp</t>
  </si>
  <si>
    <t xml:space="preserve">Kalpesh </t>
  </si>
  <si>
    <t>Tamil Nadu</t>
  </si>
  <si>
    <t>Tiruchchirappalli</t>
  </si>
  <si>
    <t>Humble man, love nature, proud to be Patel.</t>
  </si>
  <si>
    <t>Amrutlal</t>
  </si>
  <si>
    <t>ARKnagar, Chennai bay pass road, tricky.</t>
  </si>
  <si>
    <t>Less than 10th (SSC),Less than 12th (HSC)</t>
  </si>
  <si>
    <t>Humble nature</t>
  </si>
  <si>
    <t>image/20200908_23335406.jpg</t>
  </si>
  <si>
    <t>image/20200908_23342647.jpg</t>
  </si>
  <si>
    <t>Navavas ravapar</t>
  </si>
  <si>
    <t xml:space="preserve">vishalramani888@gmail.com </t>
  </si>
  <si>
    <t>vishal8388</t>
  </si>
  <si>
    <t>Longdrive watching movie</t>
  </si>
  <si>
    <t>Amrutlal meghji bhai patel</t>
  </si>
  <si>
    <t>Shanta ben Amrutlal patel</t>
  </si>
  <si>
    <t>Meghji bhai patel</t>
  </si>
  <si>
    <t>Kalka gate,station road,petlad</t>
  </si>
  <si>
    <t>bansipatel419@gmail.com</t>
  </si>
  <si>
    <t>Bansi</t>
  </si>
  <si>
    <t>Pajavani</t>
  </si>
  <si>
    <t>Dhruvip8@gmail.com</t>
  </si>
  <si>
    <t>patelsonup</t>
  </si>
  <si>
    <t xml:space="preserve">Ankita </t>
  </si>
  <si>
    <t>Cooking</t>
  </si>
  <si>
    <t>JIVANIPRATIK@GMAIL.COM</t>
  </si>
  <si>
    <t>pRATIK123456</t>
  </si>
  <si>
    <t>PRATIK</t>
  </si>
  <si>
    <t>JIVANI</t>
  </si>
  <si>
    <t>MANAGER RETAIL</t>
  </si>
  <si>
    <t>GARMENT  PVT LTD</t>
  </si>
  <si>
    <t>MY HOBBY CRICKET,REDING,COOKING,MUSIC,PHOTOGRAPHAY.GOOD FAMILY BACK 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</si>
</sst>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47" fontId="0" fillId="0" borderId="0" xfId="0" applyNumberFormat="1" applyAlignment="1">
      <alignment horizontal="left"/>
    </xf>
    <xf numFmtId="18"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9C16-2812-41B8-9B98-808AE42AFE16}">
  <dimension ref="A1:CJ425"/>
  <sheetViews>
    <sheetView tabSelected="1" topLeftCell="A46" workbookViewId="0">
      <selection activeCell="A46" sqref="A1:XFD1048576"/>
    </sheetView>
  </sheetViews>
  <sheetFormatPr defaultRowHeight="14.5" x14ac:dyDescent="0.35"/>
  <cols>
    <col min="1" max="1" width="4.81640625" style="1" bestFit="1" customWidth="1"/>
    <col min="2" max="2" width="33.08984375" style="1" bestFit="1" customWidth="1"/>
    <col min="3" max="3" width="20.26953125" style="1" bestFit="1" customWidth="1"/>
    <col min="4" max="4" width="8.90625" style="1" bestFit="1" customWidth="1"/>
    <col min="5" max="5" width="28.7265625" style="1" bestFit="1" customWidth="1"/>
    <col min="6" max="6" width="37.08984375" style="1" bestFit="1" customWidth="1"/>
    <col min="7" max="7" width="6.26953125" style="1" bestFit="1" customWidth="1"/>
    <col min="8" max="8" width="10.453125" style="1" bestFit="1" customWidth="1"/>
    <col min="9" max="9" width="9.08984375" style="1" bestFit="1" customWidth="1"/>
    <col min="10" max="10" width="14.90625" style="1" bestFit="1" customWidth="1"/>
    <col min="11" max="11" width="19.7265625" style="1" bestFit="1" customWidth="1"/>
    <col min="12" max="12" width="11.453125" style="2" bestFit="1" customWidth="1"/>
    <col min="13" max="13" width="13" style="1" bestFit="1" customWidth="1"/>
    <col min="14" max="14" width="8" style="1" bestFit="1" customWidth="1"/>
    <col min="15" max="15" width="12.6328125" style="1" bestFit="1" customWidth="1"/>
    <col min="16" max="16" width="6.1796875" style="1" bestFit="1" customWidth="1"/>
    <col min="17" max="17" width="5.54296875" style="1" bestFit="1" customWidth="1"/>
    <col min="18" max="18" width="49.90625" style="1" bestFit="1" customWidth="1"/>
    <col min="19" max="19" width="17.90625" style="1" bestFit="1" customWidth="1"/>
    <col min="20" max="20" width="28.36328125" style="1" bestFit="1" customWidth="1"/>
    <col min="21" max="21" width="37.1796875" style="1" bestFit="1" customWidth="1"/>
    <col min="22" max="22" width="90.90625" style="1" bestFit="1" customWidth="1"/>
    <col min="23" max="23" width="41.6328125" style="1" bestFit="1" customWidth="1"/>
    <col min="24" max="24" width="26.26953125" style="1" bestFit="1" customWidth="1"/>
    <col min="25" max="25" width="31.81640625" style="1" bestFit="1" customWidth="1"/>
    <col min="26" max="26" width="37.54296875" style="1" bestFit="1" customWidth="1"/>
    <col min="27" max="27" width="179.453125" style="1" bestFit="1" customWidth="1"/>
    <col min="28" max="28" width="8.36328125" style="1" bestFit="1" customWidth="1"/>
    <col min="29" max="29" width="40.90625" style="1" bestFit="1" customWidth="1"/>
    <col min="30" max="30" width="255.6328125" style="1" bestFit="1" customWidth="1"/>
    <col min="31" max="31" width="12.453125" style="1" bestFit="1" customWidth="1"/>
    <col min="32" max="32" width="24.6328125" style="1" bestFit="1" customWidth="1"/>
    <col min="33" max="33" width="36" style="1" bestFit="1" customWidth="1"/>
    <col min="34" max="34" width="35.7265625" style="1" bestFit="1" customWidth="1"/>
    <col min="35" max="35" width="30.90625" style="1" bestFit="1" customWidth="1"/>
    <col min="36" max="36" width="13.6328125" style="1" bestFit="1" customWidth="1"/>
    <col min="37" max="37" width="144.54296875" style="1" bestFit="1" customWidth="1"/>
    <col min="38" max="38" width="10.54296875" style="1" bestFit="1" customWidth="1"/>
    <col min="39" max="39" width="30.36328125" style="1" bestFit="1" customWidth="1"/>
    <col min="40" max="40" width="65.54296875" style="1" bestFit="1" customWidth="1"/>
    <col min="41" max="41" width="116.6328125" style="1" bestFit="1" customWidth="1"/>
    <col min="42" max="42" width="14.453125" style="1" bestFit="1" customWidth="1"/>
    <col min="43" max="43" width="56.54296875" style="1" bestFit="1" customWidth="1"/>
    <col min="44" max="44" width="11.54296875" style="1" bestFit="1" customWidth="1"/>
    <col min="45" max="45" width="14" style="1" bestFit="1" customWidth="1"/>
    <col min="46" max="46" width="33.7265625" style="1" bestFit="1" customWidth="1"/>
    <col min="47" max="47" width="111.81640625" style="1" bestFit="1" customWidth="1"/>
    <col min="48" max="48" width="24.90625" style="1" bestFit="1" customWidth="1"/>
    <col min="49" max="49" width="11.7265625" style="1" bestFit="1" customWidth="1"/>
    <col min="50" max="50" width="10.08984375" style="1" bestFit="1" customWidth="1"/>
    <col min="51" max="51" width="54.7265625" style="1" bestFit="1" customWidth="1"/>
    <col min="52" max="52" width="16.81640625" style="1" bestFit="1" customWidth="1"/>
    <col min="53" max="53" width="14.54296875" style="1" bestFit="1" customWidth="1"/>
    <col min="54" max="54" width="255.6328125" style="1" bestFit="1" customWidth="1"/>
    <col min="55" max="55" width="83.36328125" style="1" bestFit="1" customWidth="1"/>
    <col min="56" max="56" width="255.6328125" style="1" bestFit="1" customWidth="1"/>
    <col min="57" max="57" width="95.26953125" style="1" bestFit="1" customWidth="1"/>
    <col min="58" max="58" width="14.1796875" style="1" bestFit="1" customWidth="1"/>
    <col min="59" max="59" width="114.7265625" style="1" bestFit="1" customWidth="1"/>
    <col min="60" max="60" width="64.08984375" style="1" bestFit="1" customWidth="1"/>
    <col min="61" max="61" width="37.54296875" style="1" bestFit="1" customWidth="1"/>
    <col min="62" max="62" width="14.08984375" style="1" bestFit="1" customWidth="1"/>
    <col min="63" max="63" width="16.453125" style="1" bestFit="1" customWidth="1"/>
    <col min="64" max="64" width="14.54296875" style="1" bestFit="1" customWidth="1"/>
    <col min="65" max="65" width="16.54296875" style="1" bestFit="1" customWidth="1"/>
    <col min="66" max="66" width="255.6328125" style="1" bestFit="1" customWidth="1"/>
    <col min="67" max="67" width="13.1796875" style="1" bestFit="1" customWidth="1"/>
    <col min="68" max="68" width="27" style="1" bestFit="1" customWidth="1"/>
    <col min="69" max="69" width="17.08984375" style="1" bestFit="1" customWidth="1"/>
    <col min="70" max="70" width="16.7265625" style="1" bestFit="1" customWidth="1"/>
    <col min="71" max="71" width="12.1796875" style="1" bestFit="1" customWidth="1"/>
    <col min="72" max="72" width="14.08984375" style="1" bestFit="1" customWidth="1"/>
    <col min="73" max="73" width="29.453125" style="1" bestFit="1" customWidth="1"/>
    <col min="74" max="74" width="13.90625" style="1" bestFit="1" customWidth="1"/>
    <col min="75" max="76" width="29.453125" style="1" bestFit="1" customWidth="1"/>
    <col min="77" max="77" width="14.08984375" style="1" bestFit="1" customWidth="1"/>
    <col min="78" max="78" width="9.36328125" style="1" bestFit="1" customWidth="1"/>
    <col min="79" max="79" width="12" style="1" bestFit="1" customWidth="1"/>
    <col min="80" max="80" width="10" style="1" bestFit="1" customWidth="1"/>
    <col min="81" max="81" width="15" style="1" bestFit="1" customWidth="1"/>
    <col min="82" max="82" width="19.08984375" style="1" bestFit="1" customWidth="1"/>
    <col min="83" max="83" width="19.1796875" style="1" bestFit="1" customWidth="1"/>
    <col min="84" max="84" width="17.54296875" style="1" bestFit="1" customWidth="1"/>
    <col min="85" max="85" width="16.54296875" style="1" bestFit="1" customWidth="1"/>
    <col min="86" max="86" width="12.26953125" style="1" bestFit="1" customWidth="1"/>
    <col min="87" max="87" width="33.36328125" style="1" bestFit="1" customWidth="1"/>
    <col min="88" max="88" width="17" style="1" bestFit="1" customWidth="1"/>
    <col min="89" max="16384" width="8.7265625" style="1"/>
  </cols>
  <sheetData>
    <row r="1" spans="1:88" x14ac:dyDescent="0.35">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row>
    <row r="2" spans="1:88" x14ac:dyDescent="0.35">
      <c r="A2" s="1">
        <v>4</v>
      </c>
      <c r="B2" s="1" t="s">
        <v>88</v>
      </c>
      <c r="C2" s="1" t="s">
        <v>89</v>
      </c>
      <c r="D2" s="1" t="s">
        <v>90</v>
      </c>
      <c r="E2" s="1" t="s">
        <v>91</v>
      </c>
      <c r="F2" s="1" t="s">
        <v>92</v>
      </c>
      <c r="G2" s="1">
        <v>1</v>
      </c>
      <c r="H2" s="3">
        <v>29567</v>
      </c>
      <c r="I2" s="1">
        <v>1</v>
      </c>
      <c r="J2" s="1" t="s">
        <v>93</v>
      </c>
      <c r="K2" s="1" t="s">
        <v>94</v>
      </c>
      <c r="L2" s="2">
        <f>91-9175563167</f>
        <v>-9175563076</v>
      </c>
      <c r="M2" s="1" t="s">
        <v>95</v>
      </c>
      <c r="N2" s="1">
        <v>0</v>
      </c>
      <c r="O2" s="1">
        <v>0</v>
      </c>
      <c r="P2" s="1">
        <v>5.05</v>
      </c>
      <c r="Q2" s="1">
        <v>12</v>
      </c>
      <c r="R2" s="1" t="s">
        <v>96</v>
      </c>
      <c r="S2" s="1" t="s">
        <v>97</v>
      </c>
      <c r="T2" s="1" t="s">
        <v>98</v>
      </c>
      <c r="U2" s="1" t="s">
        <v>99</v>
      </c>
      <c r="X2" s="1" t="s">
        <v>100</v>
      </c>
      <c r="Y2" s="1" t="s">
        <v>101</v>
      </c>
      <c r="Z2" s="1" t="s">
        <v>102</v>
      </c>
      <c r="AA2" s="1" t="s">
        <v>103</v>
      </c>
      <c r="AB2" s="1">
        <v>0</v>
      </c>
      <c r="AD2" s="1" t="s">
        <v>104</v>
      </c>
      <c r="AE2" s="1">
        <f>91-9323023163</f>
        <v>-9323023072</v>
      </c>
      <c r="AF2" s="1" t="s">
        <v>105</v>
      </c>
      <c r="AG2" s="1" t="s">
        <v>106</v>
      </c>
      <c r="AH2" s="1" t="s">
        <v>107</v>
      </c>
      <c r="AI2" s="1" t="s">
        <v>108</v>
      </c>
      <c r="AJ2" s="1" t="s">
        <v>109</v>
      </c>
      <c r="AK2" s="1" t="s">
        <v>110</v>
      </c>
      <c r="AL2" s="1">
        <v>30</v>
      </c>
      <c r="AM2" s="1" t="s">
        <v>111</v>
      </c>
      <c r="AN2" s="1" t="s">
        <v>112</v>
      </c>
      <c r="AO2" s="1" t="s">
        <v>113</v>
      </c>
      <c r="AP2" s="1">
        <f>91-9821276383</f>
        <v>-9821276292</v>
      </c>
      <c r="AQ2" s="1" t="s">
        <v>114</v>
      </c>
      <c r="AR2" s="1">
        <v>2</v>
      </c>
      <c r="AS2" s="1">
        <v>0</v>
      </c>
      <c r="AT2" s="1" t="s">
        <v>115</v>
      </c>
      <c r="AU2" s="1" t="s">
        <v>116</v>
      </c>
      <c r="AV2" s="1" t="s">
        <v>117</v>
      </c>
      <c r="AW2" s="1">
        <f>91-9324283699</f>
        <v>-9324283608</v>
      </c>
      <c r="AX2" s="1" t="s">
        <v>118</v>
      </c>
      <c r="AY2" s="1" t="s">
        <v>119</v>
      </c>
      <c r="AZ2" s="1">
        <v>5.0199999999999996</v>
      </c>
      <c r="BA2" s="1">
        <v>5.07</v>
      </c>
      <c r="BE2" s="1" t="s">
        <v>120</v>
      </c>
      <c r="BG2" s="1" t="s">
        <v>120</v>
      </c>
      <c r="BH2" s="1" t="s">
        <v>120</v>
      </c>
      <c r="BJ2" s="1" t="s">
        <v>120</v>
      </c>
      <c r="BK2" s="1" t="s">
        <v>120</v>
      </c>
      <c r="BL2" s="1">
        <v>0</v>
      </c>
      <c r="BM2" s="1">
        <v>0</v>
      </c>
      <c r="BN2" s="1" t="s">
        <v>121</v>
      </c>
      <c r="BO2" s="1">
        <v>1</v>
      </c>
      <c r="BP2" s="1" t="s">
        <v>122</v>
      </c>
      <c r="BQ2" s="1" t="s">
        <v>112</v>
      </c>
      <c r="BR2" s="1">
        <v>1</v>
      </c>
      <c r="BS2" s="1" t="s">
        <v>123</v>
      </c>
      <c r="BT2" s="1" t="s">
        <v>124</v>
      </c>
      <c r="BU2" s="1" t="s">
        <v>112</v>
      </c>
      <c r="BV2" s="1" t="s">
        <v>112</v>
      </c>
      <c r="BW2" s="1" t="s">
        <v>125</v>
      </c>
      <c r="BX2" s="1" t="s">
        <v>126</v>
      </c>
      <c r="BY2" s="1" t="s">
        <v>127</v>
      </c>
      <c r="BZ2" s="1">
        <v>0</v>
      </c>
      <c r="CA2" s="1">
        <v>0</v>
      </c>
      <c r="CB2" s="4">
        <v>41980.133715277778</v>
      </c>
      <c r="CC2" s="1">
        <v>1</v>
      </c>
      <c r="CD2" s="1">
        <v>1</v>
      </c>
      <c r="CE2" s="1">
        <v>1</v>
      </c>
      <c r="CF2" s="1">
        <v>4</v>
      </c>
      <c r="CG2" s="4">
        <v>42855.67236759259</v>
      </c>
      <c r="CH2" s="1" t="s">
        <v>112</v>
      </c>
      <c r="CI2" s="1" t="s">
        <v>128</v>
      </c>
      <c r="CJ2" s="1" t="s">
        <v>129</v>
      </c>
    </row>
    <row r="3" spans="1:88" x14ac:dyDescent="0.35">
      <c r="A3" s="1">
        <v>6</v>
      </c>
      <c r="B3" s="1" t="s">
        <v>130</v>
      </c>
      <c r="C3" s="1" t="s">
        <v>131</v>
      </c>
      <c r="D3" s="1" t="s">
        <v>132</v>
      </c>
      <c r="E3" s="1" t="s">
        <v>133</v>
      </c>
      <c r="F3" s="1" t="s">
        <v>134</v>
      </c>
      <c r="G3" s="1">
        <v>1</v>
      </c>
      <c r="H3" s="3">
        <v>31528</v>
      </c>
      <c r="I3" s="1">
        <v>1</v>
      </c>
      <c r="J3" s="1" t="s">
        <v>93</v>
      </c>
      <c r="K3" s="1" t="s">
        <v>94</v>
      </c>
      <c r="L3" s="2">
        <f>91-9820915680</f>
        <v>-9820915589</v>
      </c>
      <c r="M3" s="1" t="s">
        <v>95</v>
      </c>
      <c r="N3" s="1">
        <v>0</v>
      </c>
      <c r="O3" s="1">
        <v>0</v>
      </c>
      <c r="P3" s="1">
        <v>5.1100000000000003</v>
      </c>
      <c r="Q3" s="1">
        <v>49</v>
      </c>
      <c r="R3" s="1" t="s">
        <v>135</v>
      </c>
      <c r="S3" s="1" t="s">
        <v>136</v>
      </c>
      <c r="T3" s="1" t="s">
        <v>137</v>
      </c>
      <c r="U3" s="1" t="s">
        <v>138</v>
      </c>
      <c r="V3" s="1" t="s">
        <v>139</v>
      </c>
      <c r="W3" s="1" t="s">
        <v>112</v>
      </c>
      <c r="X3" s="1" t="s">
        <v>100</v>
      </c>
      <c r="Y3" s="1" t="s">
        <v>111</v>
      </c>
      <c r="Z3" s="1" t="s">
        <v>140</v>
      </c>
      <c r="AA3" s="1" t="s">
        <v>112</v>
      </c>
      <c r="AB3" s="1">
        <v>0</v>
      </c>
      <c r="AC3" s="1" t="s">
        <v>112</v>
      </c>
      <c r="AD3" s="1" t="s">
        <v>141</v>
      </c>
      <c r="AE3" s="1" t="s">
        <v>142</v>
      </c>
      <c r="AF3" s="1" t="s">
        <v>143</v>
      </c>
      <c r="AG3" s="1" t="s">
        <v>144</v>
      </c>
      <c r="AH3" s="1" t="s">
        <v>145</v>
      </c>
      <c r="AI3" s="1" t="s">
        <v>146</v>
      </c>
      <c r="AJ3" s="1" t="s">
        <v>109</v>
      </c>
      <c r="AK3" s="1" t="s">
        <v>147</v>
      </c>
      <c r="AL3" s="1">
        <v>60</v>
      </c>
      <c r="AM3" s="1" t="s">
        <v>148</v>
      </c>
      <c r="AN3" s="1" t="s">
        <v>112</v>
      </c>
      <c r="AO3" s="1" t="s">
        <v>112</v>
      </c>
      <c r="AP3" s="1">
        <f>91-9920196155</f>
        <v>-9920196064</v>
      </c>
      <c r="AQ3" s="1" t="s">
        <v>112</v>
      </c>
      <c r="AR3" s="1">
        <v>2</v>
      </c>
      <c r="AS3" s="1">
        <v>2</v>
      </c>
      <c r="AT3" s="1" t="s">
        <v>112</v>
      </c>
      <c r="AU3" s="1" t="s">
        <v>112</v>
      </c>
      <c r="AV3" s="1" t="s">
        <v>112</v>
      </c>
      <c r="AW3" s="1" t="s">
        <v>142</v>
      </c>
      <c r="AX3" s="1" t="s">
        <v>149</v>
      </c>
      <c r="AY3" s="1" t="s">
        <v>150</v>
      </c>
      <c r="AZ3" s="1">
        <v>5.03</v>
      </c>
      <c r="BA3" s="1">
        <v>5.08</v>
      </c>
      <c r="BB3" s="1" t="s">
        <v>151</v>
      </c>
      <c r="BC3" s="1" t="s">
        <v>152</v>
      </c>
      <c r="BD3" s="1" t="s">
        <v>153</v>
      </c>
      <c r="BE3" s="1" t="s">
        <v>97</v>
      </c>
      <c r="BF3" s="1" t="s">
        <v>120</v>
      </c>
      <c r="BG3" s="1" t="s">
        <v>100</v>
      </c>
      <c r="BH3" s="1" t="s">
        <v>114</v>
      </c>
      <c r="BI3" s="1" t="s">
        <v>140</v>
      </c>
      <c r="BJ3" s="1" t="s">
        <v>154</v>
      </c>
      <c r="BK3" s="1" t="s">
        <v>120</v>
      </c>
      <c r="BL3" s="1">
        <v>0</v>
      </c>
      <c r="BM3" s="1">
        <v>1</v>
      </c>
      <c r="BN3" s="1" t="s">
        <v>155</v>
      </c>
      <c r="BO3" s="1">
        <v>0</v>
      </c>
      <c r="BP3" s="1" t="s">
        <v>112</v>
      </c>
      <c r="BQ3" s="1" t="s">
        <v>112</v>
      </c>
      <c r="BR3" s="1">
        <v>0</v>
      </c>
      <c r="BS3" s="1" t="s">
        <v>129</v>
      </c>
      <c r="BT3" s="1" t="s">
        <v>124</v>
      </c>
      <c r="BU3" s="1" t="s">
        <v>112</v>
      </c>
      <c r="BV3" s="1" t="s">
        <v>112</v>
      </c>
      <c r="BW3" s="1" t="s">
        <v>112</v>
      </c>
      <c r="BX3" s="1" t="s">
        <v>112</v>
      </c>
      <c r="BY3" s="1" t="s">
        <v>120</v>
      </c>
      <c r="BZ3" s="1">
        <v>0</v>
      </c>
      <c r="CA3" s="1">
        <v>0</v>
      </c>
      <c r="CB3" s="4">
        <v>41980.218981481485</v>
      </c>
      <c r="CC3" s="1">
        <v>1</v>
      </c>
      <c r="CD3" s="1">
        <v>1</v>
      </c>
      <c r="CE3" s="1">
        <v>1</v>
      </c>
      <c r="CF3" s="1">
        <v>1</v>
      </c>
      <c r="CG3" s="4">
        <v>43151.730733101853</v>
      </c>
      <c r="CH3" s="1" t="s">
        <v>112</v>
      </c>
      <c r="CI3" s="1" t="s">
        <v>156</v>
      </c>
      <c r="CJ3" s="1" t="s">
        <v>157</v>
      </c>
    </row>
    <row r="4" spans="1:88" x14ac:dyDescent="0.35">
      <c r="A4" s="1">
        <v>18</v>
      </c>
      <c r="B4" s="1" t="s">
        <v>158</v>
      </c>
      <c r="C4" s="1" t="s">
        <v>159</v>
      </c>
      <c r="D4" s="1" t="s">
        <v>90</v>
      </c>
      <c r="E4" s="1" t="s">
        <v>160</v>
      </c>
      <c r="F4" s="1" t="s">
        <v>161</v>
      </c>
      <c r="G4" s="1">
        <v>1</v>
      </c>
      <c r="H4" s="3">
        <v>35314</v>
      </c>
      <c r="I4" s="1">
        <v>1</v>
      </c>
      <c r="J4" s="1" t="s">
        <v>162</v>
      </c>
      <c r="K4" s="1" t="s">
        <v>163</v>
      </c>
      <c r="L4" s="2">
        <f>91-9898572875</f>
        <v>-9898572784</v>
      </c>
      <c r="M4" s="1" t="s">
        <v>150</v>
      </c>
      <c r="N4" s="1">
        <v>0</v>
      </c>
      <c r="O4" s="1">
        <v>0</v>
      </c>
      <c r="P4" s="1">
        <v>4.05</v>
      </c>
      <c r="Q4" s="1">
        <v>14</v>
      </c>
      <c r="R4" s="1" t="s">
        <v>164</v>
      </c>
      <c r="S4" s="1" t="s">
        <v>165</v>
      </c>
      <c r="T4" s="1" t="s">
        <v>166</v>
      </c>
      <c r="U4" s="1" t="s">
        <v>167</v>
      </c>
      <c r="V4" s="1" t="s">
        <v>168</v>
      </c>
      <c r="W4" s="1" t="s">
        <v>169</v>
      </c>
      <c r="X4" s="1" t="s">
        <v>170</v>
      </c>
      <c r="Y4" s="1" t="s">
        <v>111</v>
      </c>
      <c r="Z4" s="1" t="s">
        <v>171</v>
      </c>
      <c r="AB4" s="1">
        <v>0</v>
      </c>
      <c r="AD4" s="1" t="s">
        <v>172</v>
      </c>
      <c r="AE4" s="1">
        <f>91-9898572875</f>
        <v>-9898572784</v>
      </c>
      <c r="AF4" s="1" t="s">
        <v>105</v>
      </c>
      <c r="AG4" s="1" t="s">
        <v>173</v>
      </c>
      <c r="AH4" s="1" t="s">
        <v>174</v>
      </c>
      <c r="AI4" s="1" t="s">
        <v>175</v>
      </c>
      <c r="AJ4" s="1" t="s">
        <v>109</v>
      </c>
      <c r="AK4" s="1" t="s">
        <v>176</v>
      </c>
      <c r="AL4" s="1">
        <v>18</v>
      </c>
      <c r="AM4" s="1" t="s">
        <v>111</v>
      </c>
      <c r="AN4" s="1" t="s">
        <v>177</v>
      </c>
      <c r="AP4" s="1">
        <f>91-8008222245</f>
        <v>-8008222154</v>
      </c>
      <c r="AR4" s="1">
        <v>2</v>
      </c>
      <c r="AS4" s="1">
        <v>0</v>
      </c>
      <c r="AW4" s="1" t="s">
        <v>142</v>
      </c>
      <c r="AX4" s="1" t="s">
        <v>178</v>
      </c>
      <c r="AY4" s="1" t="s">
        <v>150</v>
      </c>
      <c r="AZ4" s="1">
        <v>4.01</v>
      </c>
      <c r="BA4" s="1">
        <v>4.01</v>
      </c>
      <c r="BB4" s="1" t="s">
        <v>151</v>
      </c>
      <c r="BC4" s="1" t="s">
        <v>152</v>
      </c>
      <c r="BD4" s="1" t="s">
        <v>153</v>
      </c>
      <c r="BE4" s="1" t="s">
        <v>120</v>
      </c>
      <c r="BF4" s="1" t="s">
        <v>120</v>
      </c>
      <c r="BG4" s="1" t="s">
        <v>120</v>
      </c>
      <c r="BH4" s="1" t="s">
        <v>120</v>
      </c>
      <c r="BI4" s="1" t="s">
        <v>171</v>
      </c>
      <c r="BJ4" s="1" t="s">
        <v>154</v>
      </c>
      <c r="BK4" s="1" t="s">
        <v>105</v>
      </c>
      <c r="BL4" s="1">
        <v>0</v>
      </c>
      <c r="BM4" s="1">
        <v>0</v>
      </c>
      <c r="BN4" s="1" t="s">
        <v>179</v>
      </c>
      <c r="BO4" s="1">
        <v>1</v>
      </c>
      <c r="BQ4" s="1" t="s">
        <v>180</v>
      </c>
      <c r="BR4" s="1">
        <v>0</v>
      </c>
      <c r="BS4" s="1" t="s">
        <v>181</v>
      </c>
      <c r="BT4" s="1" t="s">
        <v>124</v>
      </c>
      <c r="BV4" s="1" t="s">
        <v>112</v>
      </c>
      <c r="BY4" s="1" t="s">
        <v>120</v>
      </c>
      <c r="BZ4" s="1">
        <v>2</v>
      </c>
      <c r="CA4" s="1">
        <v>2</v>
      </c>
      <c r="CB4" s="4">
        <v>41984.182593206016</v>
      </c>
      <c r="CC4" s="1">
        <v>1</v>
      </c>
      <c r="CD4" s="1">
        <v>1</v>
      </c>
      <c r="CE4" s="1">
        <v>1</v>
      </c>
      <c r="CF4" s="1">
        <v>3</v>
      </c>
      <c r="CG4" s="1" t="s">
        <v>112</v>
      </c>
      <c r="CH4" s="1" t="s">
        <v>112</v>
      </c>
      <c r="CI4" s="1" t="s">
        <v>182</v>
      </c>
      <c r="CJ4" s="1" t="s">
        <v>157</v>
      </c>
    </row>
    <row r="5" spans="1:88" x14ac:dyDescent="0.35">
      <c r="A5" s="1">
        <v>33</v>
      </c>
      <c r="B5" s="1" t="s">
        <v>183</v>
      </c>
      <c r="C5" s="1">
        <v>8818883905</v>
      </c>
      <c r="D5" s="1" t="s">
        <v>90</v>
      </c>
      <c r="E5" s="1" t="s">
        <v>184</v>
      </c>
      <c r="F5" s="1" t="s">
        <v>185</v>
      </c>
      <c r="G5" s="1">
        <v>1</v>
      </c>
      <c r="H5" s="3">
        <v>33442</v>
      </c>
      <c r="I5" s="1">
        <v>1</v>
      </c>
      <c r="J5" s="1" t="s">
        <v>186</v>
      </c>
      <c r="K5" s="1" t="s">
        <v>187</v>
      </c>
      <c r="L5" s="2">
        <f>91-8818883905</f>
        <v>-8818883814</v>
      </c>
      <c r="M5" s="1" t="s">
        <v>150</v>
      </c>
      <c r="N5" s="1">
        <v>0</v>
      </c>
      <c r="O5" s="1">
        <v>0</v>
      </c>
      <c r="P5" s="1">
        <v>6.01</v>
      </c>
      <c r="Q5" s="1">
        <v>43</v>
      </c>
      <c r="R5" s="1" t="s">
        <v>188</v>
      </c>
      <c r="S5" s="1" t="s">
        <v>97</v>
      </c>
      <c r="T5" s="1" t="s">
        <v>137</v>
      </c>
      <c r="U5" s="1" t="s">
        <v>189</v>
      </c>
      <c r="V5" s="1" t="s">
        <v>190</v>
      </c>
      <c r="W5" s="1" t="s">
        <v>191</v>
      </c>
      <c r="X5" s="1" t="s">
        <v>170</v>
      </c>
      <c r="Y5" s="1" t="s">
        <v>111</v>
      </c>
      <c r="Z5" s="1" t="s">
        <v>192</v>
      </c>
      <c r="AA5" s="1" t="s">
        <v>193</v>
      </c>
      <c r="AB5" s="1">
        <v>0</v>
      </c>
      <c r="AD5" s="1" t="s">
        <v>194</v>
      </c>
      <c r="AE5" s="1">
        <f>91-8818883904</f>
        <v>-8818883813</v>
      </c>
      <c r="AF5" s="1" t="s">
        <v>143</v>
      </c>
      <c r="AG5" s="1" t="s">
        <v>195</v>
      </c>
      <c r="AH5" s="1" t="s">
        <v>196</v>
      </c>
      <c r="AI5" s="1" t="s">
        <v>197</v>
      </c>
      <c r="AJ5" s="1" t="s">
        <v>109</v>
      </c>
      <c r="AK5" s="1" t="s">
        <v>187</v>
      </c>
      <c r="AL5" s="1">
        <v>10</v>
      </c>
      <c r="AM5" s="1" t="s">
        <v>111</v>
      </c>
      <c r="AN5" s="1" t="s">
        <v>198</v>
      </c>
      <c r="AO5" s="1" t="s">
        <v>187</v>
      </c>
      <c r="AP5" s="1">
        <f>91-8818883903</f>
        <v>-8818883812</v>
      </c>
      <c r="AQ5" s="1" t="s">
        <v>124</v>
      </c>
      <c r="AR5" s="1">
        <v>1</v>
      </c>
      <c r="AS5" s="1">
        <v>0</v>
      </c>
      <c r="AW5" s="1" t="s">
        <v>142</v>
      </c>
      <c r="AX5" s="1" t="s">
        <v>199</v>
      </c>
      <c r="AY5" s="1" t="s">
        <v>150</v>
      </c>
      <c r="AZ5" s="1">
        <v>5.0599999999999996</v>
      </c>
      <c r="BA5" s="1">
        <v>6.03</v>
      </c>
      <c r="BB5" s="1" t="s">
        <v>151</v>
      </c>
      <c r="BC5" s="1" t="s">
        <v>152</v>
      </c>
      <c r="BD5" s="1" t="s">
        <v>153</v>
      </c>
      <c r="BE5" s="1" t="s">
        <v>120</v>
      </c>
      <c r="BF5" s="1" t="s">
        <v>120</v>
      </c>
      <c r="BG5" s="1" t="s">
        <v>120</v>
      </c>
      <c r="BH5" s="1" t="s">
        <v>120</v>
      </c>
      <c r="BI5" s="1" t="s">
        <v>192</v>
      </c>
      <c r="BJ5" s="1" t="s">
        <v>120</v>
      </c>
      <c r="BK5" s="1" t="s">
        <v>143</v>
      </c>
      <c r="BL5" s="1">
        <v>0</v>
      </c>
      <c r="BM5" s="1">
        <v>0</v>
      </c>
      <c r="BN5" s="1" t="s">
        <v>200</v>
      </c>
      <c r="BO5" s="1">
        <v>1</v>
      </c>
      <c r="BP5" s="1" t="s">
        <v>201</v>
      </c>
      <c r="BQ5" s="1" t="s">
        <v>112</v>
      </c>
      <c r="BR5" s="1">
        <v>0</v>
      </c>
      <c r="BS5" s="1" t="s">
        <v>129</v>
      </c>
      <c r="BT5" s="1" t="s">
        <v>124</v>
      </c>
      <c r="BU5" s="1" t="s">
        <v>112</v>
      </c>
      <c r="BV5" s="1" t="s">
        <v>112</v>
      </c>
      <c r="BW5" s="1" t="s">
        <v>202</v>
      </c>
      <c r="BX5" s="1" t="s">
        <v>203</v>
      </c>
      <c r="BY5" s="1" t="s">
        <v>120</v>
      </c>
      <c r="BZ5" s="1">
        <v>0</v>
      </c>
      <c r="CA5" s="1">
        <v>0</v>
      </c>
      <c r="CB5" s="4">
        <v>42002.46311542824</v>
      </c>
      <c r="CC5" s="1">
        <v>1</v>
      </c>
      <c r="CD5" s="1">
        <v>1</v>
      </c>
      <c r="CE5" s="1">
        <v>1</v>
      </c>
      <c r="CF5" s="1">
        <v>1</v>
      </c>
      <c r="CG5" s="4">
        <v>43601.470972418982</v>
      </c>
      <c r="CH5" s="1" t="s">
        <v>112</v>
      </c>
      <c r="CI5" s="1" t="s">
        <v>204</v>
      </c>
      <c r="CJ5" s="1" t="s">
        <v>157</v>
      </c>
    </row>
    <row r="6" spans="1:88" x14ac:dyDescent="0.35">
      <c r="A6" s="1">
        <v>36</v>
      </c>
      <c r="B6" s="1" t="s">
        <v>205</v>
      </c>
      <c r="C6" s="1" t="s">
        <v>206</v>
      </c>
      <c r="D6" s="1" t="s">
        <v>90</v>
      </c>
      <c r="E6" s="1" t="s">
        <v>207</v>
      </c>
      <c r="F6" s="1" t="s">
        <v>208</v>
      </c>
      <c r="G6" s="1">
        <v>0</v>
      </c>
      <c r="H6" s="3">
        <v>32360</v>
      </c>
      <c r="I6" s="1">
        <v>1</v>
      </c>
      <c r="J6" s="1" t="s">
        <v>93</v>
      </c>
      <c r="K6" s="1" t="s">
        <v>94</v>
      </c>
      <c r="L6" s="2">
        <f>91-9930131466</f>
        <v>-9930131375</v>
      </c>
      <c r="M6" s="1" t="s">
        <v>150</v>
      </c>
      <c r="N6" s="1">
        <v>0</v>
      </c>
      <c r="O6" s="1">
        <v>0</v>
      </c>
      <c r="P6" s="1">
        <v>5.05</v>
      </c>
      <c r="Q6" s="1">
        <v>10</v>
      </c>
      <c r="R6" s="1" t="s">
        <v>112</v>
      </c>
      <c r="S6" s="1" t="s">
        <v>97</v>
      </c>
      <c r="T6" s="1" t="s">
        <v>137</v>
      </c>
      <c r="U6" s="1" t="s">
        <v>209</v>
      </c>
      <c r="V6" s="1" t="s">
        <v>112</v>
      </c>
      <c r="W6" s="1" t="s">
        <v>112</v>
      </c>
      <c r="X6" s="1" t="s">
        <v>100</v>
      </c>
      <c r="Y6" s="1" t="s">
        <v>210</v>
      </c>
      <c r="Z6" s="1" t="s">
        <v>211</v>
      </c>
      <c r="AA6" s="1" t="s">
        <v>112</v>
      </c>
      <c r="AB6" s="1">
        <v>0</v>
      </c>
      <c r="AC6" s="1" t="s">
        <v>112</v>
      </c>
      <c r="AD6" s="1" t="s">
        <v>212</v>
      </c>
      <c r="AE6" s="1">
        <f>91-9029694572</f>
        <v>-9029694481</v>
      </c>
      <c r="AF6" s="1" t="s">
        <v>143</v>
      </c>
      <c r="AG6" s="1" t="s">
        <v>213</v>
      </c>
      <c r="AH6" s="1" t="s">
        <v>214</v>
      </c>
      <c r="AI6" s="1" t="s">
        <v>215</v>
      </c>
      <c r="AJ6" s="1" t="s">
        <v>109</v>
      </c>
      <c r="AK6" s="1" t="s">
        <v>216</v>
      </c>
      <c r="AL6" s="1">
        <v>3</v>
      </c>
      <c r="AM6" s="1" t="s">
        <v>111</v>
      </c>
      <c r="AN6" s="1" t="s">
        <v>112</v>
      </c>
      <c r="AO6" s="1" t="s">
        <v>217</v>
      </c>
      <c r="AP6" s="1">
        <f>91-9930131466</f>
        <v>-9930131375</v>
      </c>
      <c r="AQ6" s="1" t="s">
        <v>112</v>
      </c>
      <c r="AR6" s="1">
        <v>1</v>
      </c>
      <c r="AS6" s="1">
        <v>0</v>
      </c>
      <c r="AT6" s="1" t="s">
        <v>112</v>
      </c>
      <c r="AU6" s="1" t="s">
        <v>112</v>
      </c>
      <c r="AV6" s="1" t="s">
        <v>112</v>
      </c>
      <c r="AW6" s="1" t="s">
        <v>142</v>
      </c>
      <c r="AX6" s="1" t="s">
        <v>218</v>
      </c>
      <c r="AY6" s="1" t="s">
        <v>150</v>
      </c>
      <c r="AZ6" s="1">
        <v>5.05</v>
      </c>
      <c r="BA6" s="1">
        <v>6</v>
      </c>
      <c r="BB6" s="1" t="s">
        <v>151</v>
      </c>
      <c r="BC6" s="1" t="s">
        <v>152</v>
      </c>
      <c r="BD6" s="1" t="s">
        <v>153</v>
      </c>
      <c r="BE6" s="1" t="s">
        <v>219</v>
      </c>
      <c r="BF6" s="1" t="s">
        <v>120</v>
      </c>
      <c r="BG6" s="1" t="s">
        <v>100</v>
      </c>
      <c r="BH6" s="1" t="s">
        <v>120</v>
      </c>
      <c r="BI6" s="1" t="s">
        <v>211</v>
      </c>
      <c r="BJ6" s="1" t="s">
        <v>120</v>
      </c>
      <c r="BK6" s="1" t="s">
        <v>120</v>
      </c>
      <c r="BL6" s="1">
        <v>0</v>
      </c>
      <c r="BM6" s="1">
        <v>0</v>
      </c>
      <c r="BN6" s="1" t="s">
        <v>220</v>
      </c>
      <c r="BO6" s="1">
        <v>0</v>
      </c>
      <c r="BP6" s="1" t="s">
        <v>221</v>
      </c>
      <c r="BQ6" s="1" t="s">
        <v>222</v>
      </c>
      <c r="BR6" s="1">
        <v>0</v>
      </c>
      <c r="BS6" s="1" t="s">
        <v>223</v>
      </c>
      <c r="BT6" s="1" t="s">
        <v>124</v>
      </c>
      <c r="BU6" s="1" t="s">
        <v>112</v>
      </c>
      <c r="BV6" s="1" t="s">
        <v>112</v>
      </c>
      <c r="BW6" s="1" t="s">
        <v>224</v>
      </c>
      <c r="BX6" s="1" t="s">
        <v>225</v>
      </c>
      <c r="BY6" s="1" t="s">
        <v>120</v>
      </c>
      <c r="BZ6" s="1">
        <v>1</v>
      </c>
      <c r="CA6" s="1">
        <v>1</v>
      </c>
      <c r="CB6" s="4">
        <v>42006.397905092592</v>
      </c>
      <c r="CC6" s="1">
        <v>1</v>
      </c>
      <c r="CD6" s="1">
        <v>1</v>
      </c>
      <c r="CE6" s="1">
        <v>1</v>
      </c>
      <c r="CF6" s="1">
        <v>4</v>
      </c>
      <c r="CG6" s="4">
        <v>43611.154007951387</v>
      </c>
      <c r="CH6" s="1" t="s">
        <v>112</v>
      </c>
      <c r="CI6" s="1" t="s">
        <v>226</v>
      </c>
      <c r="CJ6" s="1" t="s">
        <v>157</v>
      </c>
    </row>
    <row r="7" spans="1:88" x14ac:dyDescent="0.35">
      <c r="A7" s="1">
        <v>56</v>
      </c>
      <c r="B7" s="1" t="s">
        <v>227</v>
      </c>
      <c r="C7" s="1" t="s">
        <v>228</v>
      </c>
      <c r="D7" s="1" t="s">
        <v>229</v>
      </c>
      <c r="E7" s="1" t="s">
        <v>230</v>
      </c>
      <c r="F7" s="1" t="s">
        <v>92</v>
      </c>
      <c r="G7" s="1">
        <v>1</v>
      </c>
      <c r="H7" s="3">
        <v>31245</v>
      </c>
      <c r="I7" s="1">
        <v>1</v>
      </c>
      <c r="J7" s="1" t="s">
        <v>231</v>
      </c>
      <c r="K7" s="1" t="s">
        <v>232</v>
      </c>
      <c r="L7" s="2">
        <f>91-9790228904</f>
        <v>-9790228813</v>
      </c>
      <c r="M7" s="1" t="s">
        <v>95</v>
      </c>
      <c r="N7" s="1">
        <v>0</v>
      </c>
      <c r="O7" s="1">
        <v>0</v>
      </c>
      <c r="P7" s="1">
        <v>5.0199999999999996</v>
      </c>
      <c r="Q7" s="1">
        <v>12</v>
      </c>
      <c r="R7" s="1" t="s">
        <v>96</v>
      </c>
      <c r="S7" s="1" t="s">
        <v>233</v>
      </c>
      <c r="T7" s="1" t="s">
        <v>234</v>
      </c>
      <c r="U7" s="1" t="s">
        <v>235</v>
      </c>
      <c r="X7" s="1" t="s">
        <v>236</v>
      </c>
      <c r="Y7" s="1" t="s">
        <v>111</v>
      </c>
      <c r="Z7" s="1" t="s">
        <v>192</v>
      </c>
      <c r="AA7" s="1" t="s">
        <v>237</v>
      </c>
      <c r="AB7" s="1">
        <v>0</v>
      </c>
      <c r="AD7" s="1" t="s">
        <v>238</v>
      </c>
      <c r="AE7" s="1">
        <f>91-9112168837</f>
        <v>-9112168746</v>
      </c>
      <c r="AF7" s="1" t="s">
        <v>143</v>
      </c>
      <c r="AG7" s="1" t="s">
        <v>239</v>
      </c>
      <c r="AH7" s="1" t="s">
        <v>240</v>
      </c>
      <c r="AI7" s="1" t="s">
        <v>241</v>
      </c>
      <c r="AJ7" s="1" t="s">
        <v>109</v>
      </c>
      <c r="AK7" s="1" t="s">
        <v>242</v>
      </c>
      <c r="AL7" s="1">
        <v>1</v>
      </c>
      <c r="AM7" s="1" t="s">
        <v>243</v>
      </c>
      <c r="AP7" s="1">
        <f>91-9940816417</f>
        <v>-9940816326</v>
      </c>
      <c r="AQ7" s="1" t="s">
        <v>244</v>
      </c>
      <c r="AR7" s="1">
        <v>1</v>
      </c>
      <c r="AS7" s="1">
        <v>0</v>
      </c>
      <c r="AT7" s="1" t="s">
        <v>245</v>
      </c>
      <c r="AU7" s="1" t="s">
        <v>246</v>
      </c>
      <c r="AV7" s="1" t="s">
        <v>247</v>
      </c>
      <c r="AW7" s="1">
        <f>91-9791603060</f>
        <v>-9791602969</v>
      </c>
      <c r="AX7" s="1" t="s">
        <v>248</v>
      </c>
      <c r="AY7" s="1" t="s">
        <v>249</v>
      </c>
      <c r="AZ7" s="1">
        <v>4</v>
      </c>
      <c r="BA7" s="1">
        <v>5.03</v>
      </c>
      <c r="BB7" s="1" t="s">
        <v>112</v>
      </c>
      <c r="BC7" s="1" t="s">
        <v>112</v>
      </c>
      <c r="BD7" s="1" t="s">
        <v>112</v>
      </c>
      <c r="BE7" s="1" t="s">
        <v>120</v>
      </c>
      <c r="BF7" s="1" t="s">
        <v>112</v>
      </c>
      <c r="BG7" s="1" t="s">
        <v>120</v>
      </c>
      <c r="BH7" s="1" t="s">
        <v>120</v>
      </c>
      <c r="BI7" s="1" t="s">
        <v>112</v>
      </c>
      <c r="BJ7" s="1" t="s">
        <v>120</v>
      </c>
      <c r="BK7" s="1" t="s">
        <v>120</v>
      </c>
      <c r="BL7" s="1">
        <v>0</v>
      </c>
      <c r="BM7" s="1">
        <v>0</v>
      </c>
      <c r="BN7" s="1" t="s">
        <v>250</v>
      </c>
      <c r="BO7" s="1">
        <v>1</v>
      </c>
      <c r="BP7" s="1" t="s">
        <v>251</v>
      </c>
      <c r="BQ7" s="5">
        <v>0.41666666666666669</v>
      </c>
      <c r="BR7" s="1">
        <v>1</v>
      </c>
      <c r="BS7" s="1" t="s">
        <v>252</v>
      </c>
      <c r="BT7" s="1" t="s">
        <v>120</v>
      </c>
      <c r="BU7" s="1" t="s">
        <v>253</v>
      </c>
      <c r="BV7" s="1" t="s">
        <v>112</v>
      </c>
      <c r="BW7" s="1" t="s">
        <v>254</v>
      </c>
      <c r="BX7" s="1" t="s">
        <v>255</v>
      </c>
      <c r="BY7" s="1" t="s">
        <v>127</v>
      </c>
      <c r="BZ7" s="1">
        <v>1</v>
      </c>
      <c r="CA7" s="1">
        <v>1</v>
      </c>
      <c r="CB7" s="4">
        <v>42044.886597222219</v>
      </c>
      <c r="CC7" s="1">
        <v>1</v>
      </c>
      <c r="CD7" s="1">
        <v>1</v>
      </c>
      <c r="CE7" s="1">
        <v>1</v>
      </c>
      <c r="CF7" s="1">
        <v>4</v>
      </c>
      <c r="CG7" s="4">
        <v>42763.291230324074</v>
      </c>
      <c r="CH7" s="1" t="s">
        <v>112</v>
      </c>
      <c r="CI7" s="1" t="s">
        <v>256</v>
      </c>
      <c r="CJ7" s="1" t="s">
        <v>223</v>
      </c>
    </row>
    <row r="8" spans="1:88" x14ac:dyDescent="0.35">
      <c r="A8" s="1">
        <v>63</v>
      </c>
      <c r="B8" s="1" t="s">
        <v>257</v>
      </c>
      <c r="C8" s="1" t="s">
        <v>258</v>
      </c>
      <c r="D8" s="1" t="s">
        <v>259</v>
      </c>
      <c r="E8" s="1" t="s">
        <v>260</v>
      </c>
      <c r="F8" s="1" t="s">
        <v>261</v>
      </c>
      <c r="G8" s="1">
        <v>0</v>
      </c>
      <c r="H8" s="3">
        <v>31938</v>
      </c>
      <c r="I8" s="1">
        <v>1</v>
      </c>
      <c r="J8" s="1" t="s">
        <v>93</v>
      </c>
      <c r="K8" s="1" t="s">
        <v>262</v>
      </c>
      <c r="L8" s="2">
        <f>91-9422787262</f>
        <v>-9422787171</v>
      </c>
      <c r="M8" s="1" t="s">
        <v>150</v>
      </c>
      <c r="N8" s="1">
        <v>0</v>
      </c>
      <c r="O8" s="1">
        <v>0</v>
      </c>
      <c r="P8" s="1">
        <v>5.04</v>
      </c>
      <c r="Q8" s="1">
        <v>5</v>
      </c>
      <c r="R8" s="1" t="s">
        <v>263</v>
      </c>
      <c r="S8" s="1" t="s">
        <v>136</v>
      </c>
      <c r="T8" s="1" t="s">
        <v>234</v>
      </c>
      <c r="U8" s="1" t="s">
        <v>264</v>
      </c>
      <c r="V8" s="1" t="s">
        <v>265</v>
      </c>
      <c r="W8" s="1" t="s">
        <v>266</v>
      </c>
      <c r="X8" s="1" t="s">
        <v>267</v>
      </c>
      <c r="Y8" s="1" t="s">
        <v>268</v>
      </c>
      <c r="Z8" s="1" t="s">
        <v>269</v>
      </c>
      <c r="AA8" s="1" t="s">
        <v>112</v>
      </c>
      <c r="AB8" s="1">
        <v>0</v>
      </c>
      <c r="AC8" s="1" t="s">
        <v>112</v>
      </c>
      <c r="AD8" s="1" t="s">
        <v>270</v>
      </c>
      <c r="AE8" s="1">
        <f>91-8888993541</f>
        <v>-8888993450</v>
      </c>
      <c r="AF8" s="1" t="s">
        <v>105</v>
      </c>
      <c r="AG8" s="1" t="s">
        <v>271</v>
      </c>
      <c r="AH8" s="1" t="s">
        <v>272</v>
      </c>
      <c r="AI8" s="1" t="s">
        <v>273</v>
      </c>
      <c r="AJ8" s="1" t="s">
        <v>109</v>
      </c>
      <c r="AK8" s="1" t="s">
        <v>274</v>
      </c>
      <c r="AL8" s="1">
        <v>45</v>
      </c>
      <c r="AM8" s="1" t="s">
        <v>111</v>
      </c>
      <c r="AN8" s="1" t="s">
        <v>275</v>
      </c>
      <c r="AO8" s="1" t="s">
        <v>276</v>
      </c>
      <c r="AP8" s="1">
        <f>91-9422787262</f>
        <v>-9422787171</v>
      </c>
      <c r="AQ8" s="1" t="s">
        <v>277</v>
      </c>
      <c r="AR8" s="1">
        <v>1</v>
      </c>
      <c r="AS8" s="1">
        <v>1</v>
      </c>
      <c r="AT8" s="1" t="s">
        <v>278</v>
      </c>
      <c r="AU8" s="1" t="s">
        <v>279</v>
      </c>
      <c r="AV8" s="1" t="s">
        <v>280</v>
      </c>
      <c r="AW8" s="1">
        <f>91-9425208982</f>
        <v>-9425208891</v>
      </c>
      <c r="AX8" s="1" t="s">
        <v>218</v>
      </c>
      <c r="AY8" s="1" t="s">
        <v>150</v>
      </c>
      <c r="AZ8" s="1">
        <v>5.0599999999999996</v>
      </c>
      <c r="BA8" s="1">
        <v>7.05</v>
      </c>
      <c r="BB8" s="1" t="s">
        <v>151</v>
      </c>
      <c r="BC8" s="1" t="s">
        <v>152</v>
      </c>
      <c r="BD8" s="1" t="s">
        <v>153</v>
      </c>
      <c r="BE8" s="1" t="s">
        <v>281</v>
      </c>
      <c r="BF8" s="1" t="s">
        <v>120</v>
      </c>
      <c r="BG8" s="1" t="s">
        <v>282</v>
      </c>
      <c r="BH8" s="1" t="s">
        <v>283</v>
      </c>
      <c r="BI8" s="1" t="s">
        <v>269</v>
      </c>
      <c r="BJ8" s="1" t="s">
        <v>154</v>
      </c>
      <c r="BK8" s="1" t="s">
        <v>105</v>
      </c>
      <c r="BL8" s="1">
        <v>0</v>
      </c>
      <c r="BM8" s="1">
        <v>0</v>
      </c>
      <c r="BN8" s="1" t="s">
        <v>284</v>
      </c>
      <c r="BO8" s="1" t="s">
        <v>112</v>
      </c>
      <c r="BP8" s="1" t="s">
        <v>112</v>
      </c>
      <c r="BQ8" s="1" t="s">
        <v>112</v>
      </c>
      <c r="BR8" s="1">
        <v>0</v>
      </c>
      <c r="BS8" s="1" t="s">
        <v>112</v>
      </c>
      <c r="BT8" s="1" t="s">
        <v>112</v>
      </c>
      <c r="BU8" s="1" t="s">
        <v>112</v>
      </c>
      <c r="BV8" s="1" t="s">
        <v>112</v>
      </c>
      <c r="BW8" s="1" t="s">
        <v>285</v>
      </c>
      <c r="BX8" s="1" t="s">
        <v>286</v>
      </c>
      <c r="BY8" s="1" t="s">
        <v>127</v>
      </c>
      <c r="BZ8" s="1">
        <v>1</v>
      </c>
      <c r="CA8" s="1">
        <v>0</v>
      </c>
      <c r="CB8" s="4">
        <v>42049.24255787037</v>
      </c>
      <c r="CC8" s="1">
        <v>1</v>
      </c>
      <c r="CD8" s="1">
        <v>1</v>
      </c>
      <c r="CE8" s="1">
        <v>1</v>
      </c>
      <c r="CF8" s="1">
        <v>1</v>
      </c>
      <c r="CG8" s="4">
        <v>43303.435042048608</v>
      </c>
      <c r="CH8" s="1" t="s">
        <v>112</v>
      </c>
      <c r="CI8" s="1" t="s">
        <v>287</v>
      </c>
      <c r="CJ8" s="1" t="s">
        <v>157</v>
      </c>
    </row>
    <row r="9" spans="1:88" x14ac:dyDescent="0.35">
      <c r="A9" s="1">
        <v>70</v>
      </c>
      <c r="B9" s="1" t="s">
        <v>288</v>
      </c>
      <c r="C9" s="1" t="s">
        <v>289</v>
      </c>
      <c r="D9" s="1" t="s">
        <v>90</v>
      </c>
      <c r="E9" s="1" t="s">
        <v>185</v>
      </c>
      <c r="F9" s="1" t="s">
        <v>290</v>
      </c>
      <c r="G9" s="1">
        <v>1</v>
      </c>
      <c r="H9" s="3">
        <v>34089</v>
      </c>
      <c r="I9" s="1">
        <v>1</v>
      </c>
      <c r="J9" s="1" t="s">
        <v>162</v>
      </c>
      <c r="K9" s="1" t="s">
        <v>291</v>
      </c>
      <c r="L9" s="2">
        <f>91-9737765511</f>
        <v>-9737765420</v>
      </c>
      <c r="M9" s="1" t="s">
        <v>150</v>
      </c>
      <c r="N9" s="1">
        <v>0</v>
      </c>
      <c r="O9" s="1">
        <v>0</v>
      </c>
      <c r="P9" s="1">
        <v>5</v>
      </c>
      <c r="Q9" s="1">
        <v>46</v>
      </c>
      <c r="R9" s="1" t="s">
        <v>292</v>
      </c>
      <c r="S9" s="1" t="s">
        <v>293</v>
      </c>
      <c r="T9" s="1" t="s">
        <v>137</v>
      </c>
      <c r="U9" s="1" t="s">
        <v>294</v>
      </c>
      <c r="V9" s="1" t="s">
        <v>295</v>
      </c>
      <c r="W9" s="1" t="s">
        <v>294</v>
      </c>
      <c r="X9" s="1" t="s">
        <v>296</v>
      </c>
      <c r="Y9" s="1" t="s">
        <v>111</v>
      </c>
      <c r="Z9" s="1" t="s">
        <v>297</v>
      </c>
      <c r="AA9" s="1" t="s">
        <v>298</v>
      </c>
      <c r="AB9" s="1">
        <v>0</v>
      </c>
      <c r="AC9" s="1" t="s">
        <v>112</v>
      </c>
      <c r="AD9" s="1" t="s">
        <v>299</v>
      </c>
      <c r="AE9" s="1">
        <f>91-9737765511</f>
        <v>-9737765420</v>
      </c>
      <c r="AF9" s="1" t="s">
        <v>143</v>
      </c>
      <c r="AG9" s="1" t="s">
        <v>300</v>
      </c>
      <c r="AH9" s="1" t="s">
        <v>301</v>
      </c>
      <c r="AI9" s="1" t="s">
        <v>302</v>
      </c>
      <c r="AJ9" s="1" t="s">
        <v>109</v>
      </c>
      <c r="AK9" s="1" t="s">
        <v>298</v>
      </c>
      <c r="AL9" s="1">
        <v>25</v>
      </c>
      <c r="AM9" s="1" t="s">
        <v>111</v>
      </c>
      <c r="AN9" s="1" t="s">
        <v>198</v>
      </c>
      <c r="AO9" s="1" t="s">
        <v>298</v>
      </c>
      <c r="AP9" s="1">
        <f>91-99983821179998300000</f>
        <v>-9.9983821179998306E+19</v>
      </c>
      <c r="AQ9" s="1">
        <v>9574780266</v>
      </c>
      <c r="AR9" s="1">
        <v>0</v>
      </c>
      <c r="AS9" s="1">
        <v>3</v>
      </c>
      <c r="AT9" s="1" t="s">
        <v>112</v>
      </c>
      <c r="AU9" s="1" t="s">
        <v>112</v>
      </c>
      <c r="AV9" s="1" t="s">
        <v>112</v>
      </c>
      <c r="AW9" s="1" t="s">
        <v>142</v>
      </c>
      <c r="AX9" s="1" t="s">
        <v>303</v>
      </c>
      <c r="AY9" s="1" t="s">
        <v>150</v>
      </c>
      <c r="AZ9" s="1">
        <v>5</v>
      </c>
      <c r="BA9" s="1">
        <v>5</v>
      </c>
      <c r="BB9" s="1" t="s">
        <v>151</v>
      </c>
      <c r="BC9" s="1" t="s">
        <v>304</v>
      </c>
      <c r="BD9" s="1" t="s">
        <v>305</v>
      </c>
      <c r="BE9" s="1" t="s">
        <v>120</v>
      </c>
      <c r="BF9" s="1" t="s">
        <v>120</v>
      </c>
      <c r="BG9" s="1" t="s">
        <v>296</v>
      </c>
      <c r="BH9" s="1" t="s">
        <v>111</v>
      </c>
      <c r="BI9" s="1" t="s">
        <v>112</v>
      </c>
      <c r="BJ9" s="1" t="s">
        <v>71</v>
      </c>
      <c r="BK9" s="1" t="s">
        <v>143</v>
      </c>
      <c r="BL9" s="1">
        <v>0</v>
      </c>
      <c r="BM9" s="1">
        <v>0</v>
      </c>
      <c r="BN9" s="1" t="s">
        <v>306</v>
      </c>
      <c r="BO9" s="1">
        <v>1</v>
      </c>
      <c r="BQ9" s="1" t="s">
        <v>112</v>
      </c>
      <c r="BR9" s="1">
        <v>0</v>
      </c>
      <c r="BS9" s="1" t="s">
        <v>307</v>
      </c>
      <c r="BT9" s="1" t="s">
        <v>124</v>
      </c>
      <c r="BU9" s="1" t="s">
        <v>112</v>
      </c>
      <c r="BV9" s="1" t="s">
        <v>112</v>
      </c>
      <c r="BW9" s="1" t="s">
        <v>308</v>
      </c>
      <c r="BX9" s="1" t="s">
        <v>309</v>
      </c>
      <c r="BY9" s="1" t="s">
        <v>120</v>
      </c>
      <c r="BZ9" s="1">
        <v>1</v>
      </c>
      <c r="CA9" s="1">
        <v>1</v>
      </c>
      <c r="CB9" s="4">
        <v>42051.091874999998</v>
      </c>
      <c r="CC9" s="1">
        <v>1</v>
      </c>
      <c r="CD9" s="1">
        <v>1</v>
      </c>
      <c r="CE9" s="1">
        <v>1</v>
      </c>
      <c r="CF9" s="1">
        <v>4</v>
      </c>
      <c r="CG9" s="4">
        <v>42791.568811226854</v>
      </c>
      <c r="CH9" s="1" t="s">
        <v>112</v>
      </c>
      <c r="CI9" s="1" t="s">
        <v>310</v>
      </c>
      <c r="CJ9" s="1" t="s">
        <v>157</v>
      </c>
    </row>
    <row r="10" spans="1:88" x14ac:dyDescent="0.35">
      <c r="A10" s="1">
        <v>72</v>
      </c>
      <c r="B10" s="1" t="s">
        <v>311</v>
      </c>
      <c r="C10" s="1">
        <v>14314327</v>
      </c>
      <c r="D10" s="1" t="s">
        <v>312</v>
      </c>
      <c r="E10" s="1" t="s">
        <v>313</v>
      </c>
      <c r="F10" s="1" t="s">
        <v>314</v>
      </c>
      <c r="G10" s="1">
        <v>1</v>
      </c>
      <c r="H10" s="3">
        <v>33209</v>
      </c>
      <c r="I10" s="1">
        <v>1</v>
      </c>
      <c r="J10" s="1" t="s">
        <v>315</v>
      </c>
      <c r="K10" s="1" t="s">
        <v>316</v>
      </c>
      <c r="L10" s="2">
        <f>91-9739427308</f>
        <v>-9739427217</v>
      </c>
      <c r="M10" s="1" t="s">
        <v>150</v>
      </c>
      <c r="N10" s="1">
        <v>0</v>
      </c>
      <c r="O10" s="1">
        <v>0</v>
      </c>
      <c r="P10" s="1">
        <v>5.04</v>
      </c>
      <c r="Q10" s="1">
        <v>38</v>
      </c>
      <c r="R10" s="1" t="s">
        <v>317</v>
      </c>
      <c r="S10" s="1" t="s">
        <v>293</v>
      </c>
      <c r="T10" s="1" t="s">
        <v>137</v>
      </c>
      <c r="U10" s="1" t="s">
        <v>318</v>
      </c>
      <c r="X10" s="1" t="s">
        <v>296</v>
      </c>
      <c r="Y10" s="1" t="s">
        <v>210</v>
      </c>
      <c r="Z10" s="1" t="s">
        <v>319</v>
      </c>
      <c r="AA10" s="1" t="s">
        <v>320</v>
      </c>
      <c r="AB10" s="1">
        <v>0</v>
      </c>
      <c r="AD10" s="1" t="s">
        <v>321</v>
      </c>
      <c r="AE10" s="1">
        <f>91-9909857414</f>
        <v>-9909857323</v>
      </c>
      <c r="AF10" s="1" t="s">
        <v>105</v>
      </c>
      <c r="AG10" s="1" t="s">
        <v>322</v>
      </c>
      <c r="AH10" s="1" t="s">
        <v>323</v>
      </c>
      <c r="AI10" s="1" t="s">
        <v>324</v>
      </c>
      <c r="AJ10" s="1" t="s">
        <v>109</v>
      </c>
      <c r="AK10" s="1" t="s">
        <v>325</v>
      </c>
      <c r="AL10" s="1">
        <v>60</v>
      </c>
      <c r="AM10" s="1" t="s">
        <v>210</v>
      </c>
      <c r="AP10" s="1">
        <f>91-9427767029</f>
        <v>-9427766938</v>
      </c>
      <c r="AQ10" s="1" t="s">
        <v>326</v>
      </c>
      <c r="AR10" s="1">
        <v>0</v>
      </c>
      <c r="AS10" s="1">
        <v>0</v>
      </c>
      <c r="AT10" s="1" t="s">
        <v>327</v>
      </c>
      <c r="AU10" s="1" t="s">
        <v>328</v>
      </c>
      <c r="AV10" s="1" t="s">
        <v>204</v>
      </c>
      <c r="AW10" s="1">
        <f>91-9408030479</f>
        <v>-9408030388</v>
      </c>
      <c r="AX10" s="1" t="s">
        <v>329</v>
      </c>
      <c r="AY10" s="1" t="s">
        <v>150</v>
      </c>
      <c r="AZ10" s="1">
        <v>5.04</v>
      </c>
      <c r="BA10" s="1">
        <v>5.04</v>
      </c>
      <c r="BB10" s="1" t="s">
        <v>151</v>
      </c>
      <c r="BC10" s="1" t="s">
        <v>152</v>
      </c>
      <c r="BD10" s="1" t="s">
        <v>153</v>
      </c>
      <c r="BE10" s="1" t="s">
        <v>120</v>
      </c>
      <c r="BF10" s="1" t="s">
        <v>120</v>
      </c>
      <c r="BG10" s="1" t="s">
        <v>330</v>
      </c>
      <c r="BH10" s="1" t="s">
        <v>120</v>
      </c>
      <c r="BI10" s="1" t="s">
        <v>132</v>
      </c>
      <c r="BJ10" s="1" t="s">
        <v>154</v>
      </c>
      <c r="BK10" s="1" t="s">
        <v>120</v>
      </c>
      <c r="BL10" s="1">
        <v>0</v>
      </c>
      <c r="BM10" s="1">
        <v>1</v>
      </c>
      <c r="BN10" s="1" t="s">
        <v>331</v>
      </c>
      <c r="BO10" s="1">
        <v>1</v>
      </c>
      <c r="BP10" s="1" t="s">
        <v>332</v>
      </c>
      <c r="BQ10" s="1" t="s">
        <v>333</v>
      </c>
      <c r="BR10" s="1">
        <v>0</v>
      </c>
      <c r="BS10" s="1" t="s">
        <v>334</v>
      </c>
      <c r="BT10" s="1" t="s">
        <v>124</v>
      </c>
      <c r="BV10" s="1" t="s">
        <v>112</v>
      </c>
      <c r="BW10" s="1" t="s">
        <v>335</v>
      </c>
      <c r="BX10" s="1" t="s">
        <v>336</v>
      </c>
      <c r="BY10" s="1" t="s">
        <v>127</v>
      </c>
      <c r="BZ10" s="1">
        <v>1</v>
      </c>
      <c r="CA10" s="1">
        <v>1</v>
      </c>
      <c r="CB10" s="4">
        <v>42051.18544552083</v>
      </c>
      <c r="CC10" s="1">
        <v>1</v>
      </c>
      <c r="CD10" s="1">
        <v>1</v>
      </c>
      <c r="CE10" s="1">
        <v>1</v>
      </c>
      <c r="CF10" s="1">
        <v>1</v>
      </c>
      <c r="CG10" s="4">
        <v>43902.41252179398</v>
      </c>
      <c r="CH10" s="1" t="s">
        <v>112</v>
      </c>
      <c r="CI10" s="1" t="s">
        <v>332</v>
      </c>
      <c r="CJ10" s="1" t="s">
        <v>157</v>
      </c>
    </row>
    <row r="11" spans="1:88" x14ac:dyDescent="0.35">
      <c r="A11" s="1">
        <v>75</v>
      </c>
      <c r="B11" s="1" t="s">
        <v>337</v>
      </c>
      <c r="C11" s="1" t="s">
        <v>338</v>
      </c>
      <c r="D11" s="1" t="s">
        <v>90</v>
      </c>
      <c r="E11" s="1" t="s">
        <v>339</v>
      </c>
      <c r="F11" s="1" t="s">
        <v>185</v>
      </c>
      <c r="G11" s="1">
        <v>1</v>
      </c>
      <c r="H11" s="3">
        <v>32641</v>
      </c>
      <c r="I11" s="1">
        <v>1</v>
      </c>
      <c r="J11" s="1" t="s">
        <v>162</v>
      </c>
      <c r="K11" s="1" t="s">
        <v>163</v>
      </c>
      <c r="L11" s="2">
        <f>91-9898737333</f>
        <v>-9898737242</v>
      </c>
      <c r="M11" s="1" t="s">
        <v>150</v>
      </c>
      <c r="N11" s="1">
        <v>0</v>
      </c>
      <c r="O11" s="1">
        <v>0</v>
      </c>
      <c r="P11" s="1">
        <v>5.05</v>
      </c>
      <c r="Q11" s="1">
        <v>11</v>
      </c>
      <c r="R11" s="1" t="s">
        <v>340</v>
      </c>
      <c r="S11" s="1" t="s">
        <v>97</v>
      </c>
      <c r="T11" s="1" t="s">
        <v>341</v>
      </c>
      <c r="U11" s="1" t="s">
        <v>342</v>
      </c>
      <c r="V11" s="1" t="s">
        <v>343</v>
      </c>
      <c r="X11" s="1" t="s">
        <v>296</v>
      </c>
      <c r="Y11" s="1" t="s">
        <v>210</v>
      </c>
      <c r="Z11" s="1" t="s">
        <v>211</v>
      </c>
      <c r="AA11" s="1" t="s">
        <v>344</v>
      </c>
      <c r="AB11" s="1">
        <v>0</v>
      </c>
      <c r="AD11" s="1" t="s">
        <v>345</v>
      </c>
      <c r="AE11" s="1">
        <f>91-8128888858</f>
        <v>-8128888767</v>
      </c>
      <c r="AF11" s="1" t="s">
        <v>143</v>
      </c>
      <c r="AG11" s="1" t="s">
        <v>346</v>
      </c>
      <c r="AH11" s="1" t="s">
        <v>347</v>
      </c>
      <c r="AI11" s="1" t="s">
        <v>348</v>
      </c>
      <c r="AJ11" s="1" t="s">
        <v>109</v>
      </c>
      <c r="AK11" s="1" t="s">
        <v>349</v>
      </c>
      <c r="AL11" s="1">
        <v>25</v>
      </c>
      <c r="AM11" s="1" t="s">
        <v>132</v>
      </c>
      <c r="AP11" s="1">
        <f>91-9327698110</f>
        <v>-9327698019</v>
      </c>
      <c r="AR11" s="1">
        <v>1</v>
      </c>
      <c r="AS11" s="1">
        <v>0</v>
      </c>
      <c r="AW11" s="1" t="s">
        <v>142</v>
      </c>
      <c r="AX11" s="1" t="s">
        <v>350</v>
      </c>
      <c r="AY11" s="1" t="s">
        <v>351</v>
      </c>
      <c r="AZ11" s="1">
        <v>5.01</v>
      </c>
      <c r="BA11" s="1">
        <v>5.0599999999999996</v>
      </c>
      <c r="BB11" s="1" t="s">
        <v>151</v>
      </c>
      <c r="BC11" s="1" t="s">
        <v>304</v>
      </c>
      <c r="BD11" s="1" t="s">
        <v>305</v>
      </c>
      <c r="BE11" s="1" t="s">
        <v>120</v>
      </c>
      <c r="BF11" s="1" t="s">
        <v>120</v>
      </c>
      <c r="BG11" s="1" t="s">
        <v>120</v>
      </c>
      <c r="BH11" s="1" t="s">
        <v>120</v>
      </c>
      <c r="BJ11" s="1" t="s">
        <v>120</v>
      </c>
      <c r="BK11" s="1" t="s">
        <v>120</v>
      </c>
      <c r="BL11" s="1">
        <v>0</v>
      </c>
      <c r="BM11" s="1">
        <v>0</v>
      </c>
      <c r="BN11" s="1" t="s">
        <v>352</v>
      </c>
      <c r="BO11" s="1">
        <v>1</v>
      </c>
      <c r="BP11" s="1" t="s">
        <v>353</v>
      </c>
      <c r="BQ11" s="1" t="s">
        <v>112</v>
      </c>
      <c r="BR11" s="1">
        <v>0</v>
      </c>
      <c r="BS11" s="1" t="s">
        <v>354</v>
      </c>
      <c r="BT11" s="1" t="s">
        <v>120</v>
      </c>
      <c r="BU11" s="1" t="s">
        <v>112</v>
      </c>
      <c r="BV11" s="1" t="s">
        <v>112</v>
      </c>
      <c r="BW11" s="1" t="s">
        <v>355</v>
      </c>
      <c r="BX11" s="1" t="s">
        <v>356</v>
      </c>
      <c r="BY11" s="1" t="s">
        <v>120</v>
      </c>
      <c r="BZ11" s="1">
        <v>1</v>
      </c>
      <c r="CA11" s="1">
        <v>1</v>
      </c>
      <c r="CB11" s="4">
        <v>42051.412604166668</v>
      </c>
      <c r="CC11" s="1">
        <v>1</v>
      </c>
      <c r="CD11" s="1">
        <v>1</v>
      </c>
      <c r="CE11" s="1">
        <v>1</v>
      </c>
      <c r="CF11" s="1">
        <v>1</v>
      </c>
      <c r="CG11" s="4">
        <v>43791.633423923609</v>
      </c>
      <c r="CH11" s="1" t="s">
        <v>112</v>
      </c>
      <c r="CI11" s="1" t="s">
        <v>357</v>
      </c>
      <c r="CJ11" s="1" t="s">
        <v>157</v>
      </c>
    </row>
    <row r="12" spans="1:88" x14ac:dyDescent="0.35">
      <c r="A12" s="1">
        <v>76</v>
      </c>
      <c r="B12" s="1" t="s">
        <v>358</v>
      </c>
      <c r="C12" s="1" t="s">
        <v>359</v>
      </c>
      <c r="D12" s="1" t="s">
        <v>90</v>
      </c>
      <c r="E12" s="1" t="s">
        <v>360</v>
      </c>
      <c r="F12" s="1" t="s">
        <v>361</v>
      </c>
      <c r="G12" s="1">
        <v>1</v>
      </c>
      <c r="H12" s="3">
        <v>32242</v>
      </c>
      <c r="I12" s="1">
        <v>1</v>
      </c>
      <c r="J12" s="1" t="s">
        <v>162</v>
      </c>
      <c r="K12" s="1" t="s">
        <v>163</v>
      </c>
      <c r="L12" s="2">
        <f>91-9429326872</f>
        <v>-9429326781</v>
      </c>
      <c r="M12" s="1" t="s">
        <v>150</v>
      </c>
      <c r="N12" s="1">
        <v>0</v>
      </c>
      <c r="O12" s="1">
        <v>0</v>
      </c>
      <c r="P12" s="1">
        <v>5.07</v>
      </c>
      <c r="Q12" s="1">
        <v>36</v>
      </c>
      <c r="R12" s="1" t="s">
        <v>362</v>
      </c>
      <c r="S12" s="1" t="s">
        <v>97</v>
      </c>
      <c r="T12" s="1" t="s">
        <v>166</v>
      </c>
      <c r="U12" s="1" t="s">
        <v>363</v>
      </c>
      <c r="V12" s="1" t="s">
        <v>364</v>
      </c>
      <c r="W12" s="1" t="s">
        <v>365</v>
      </c>
      <c r="X12" s="1" t="s">
        <v>170</v>
      </c>
      <c r="Y12" s="1" t="s">
        <v>210</v>
      </c>
      <c r="Z12" s="1" t="s">
        <v>366</v>
      </c>
      <c r="AA12" s="1" t="s">
        <v>367</v>
      </c>
      <c r="AB12" s="1">
        <v>0</v>
      </c>
      <c r="AD12" s="1" t="s">
        <v>368</v>
      </c>
      <c r="AE12" s="1" t="s">
        <v>142</v>
      </c>
      <c r="AF12" s="1" t="s">
        <v>143</v>
      </c>
      <c r="AG12" s="1" t="s">
        <v>369</v>
      </c>
      <c r="AH12" s="1" t="s">
        <v>370</v>
      </c>
      <c r="AI12" s="1" t="s">
        <v>371</v>
      </c>
      <c r="AJ12" s="1" t="s">
        <v>109</v>
      </c>
      <c r="AK12" s="1" t="s">
        <v>372</v>
      </c>
      <c r="AL12" s="1">
        <v>50</v>
      </c>
      <c r="AM12" s="1" t="s">
        <v>210</v>
      </c>
      <c r="AO12" s="1" t="s">
        <v>269</v>
      </c>
      <c r="AP12" s="1">
        <f>91-8401869272</f>
        <v>-8401869181</v>
      </c>
      <c r="AR12" s="1">
        <v>1</v>
      </c>
      <c r="AS12" s="1">
        <v>1</v>
      </c>
      <c r="AW12" s="1" t="s">
        <v>142</v>
      </c>
      <c r="AX12" s="1" t="s">
        <v>373</v>
      </c>
      <c r="AY12" s="1" t="s">
        <v>150</v>
      </c>
      <c r="AZ12" s="1">
        <v>5</v>
      </c>
      <c r="BA12" s="1">
        <v>5.07</v>
      </c>
      <c r="BB12" s="1" t="s">
        <v>151</v>
      </c>
      <c r="BC12" s="1" t="s">
        <v>152</v>
      </c>
      <c r="BD12" s="1" t="s">
        <v>153</v>
      </c>
      <c r="BE12" s="1" t="s">
        <v>120</v>
      </c>
      <c r="BF12" s="1" t="s">
        <v>120</v>
      </c>
      <c r="BG12" s="1" t="s">
        <v>120</v>
      </c>
      <c r="BH12" s="1" t="s">
        <v>120</v>
      </c>
      <c r="BI12" s="1" t="s">
        <v>366</v>
      </c>
      <c r="BJ12" s="1" t="s">
        <v>154</v>
      </c>
      <c r="BK12" s="1" t="s">
        <v>120</v>
      </c>
      <c r="BL12" s="1">
        <v>0</v>
      </c>
      <c r="BM12" s="1">
        <v>0</v>
      </c>
      <c r="BN12" s="1" t="s">
        <v>374</v>
      </c>
      <c r="BO12" s="1">
        <v>1</v>
      </c>
      <c r="BP12" s="1" t="s">
        <v>375</v>
      </c>
      <c r="BQ12" s="1" t="s">
        <v>112</v>
      </c>
      <c r="BR12" s="1">
        <v>1</v>
      </c>
      <c r="BS12" s="1" t="s">
        <v>376</v>
      </c>
      <c r="BT12" s="1" t="s">
        <v>124</v>
      </c>
      <c r="BU12" s="1" t="s">
        <v>112</v>
      </c>
      <c r="BV12" s="1" t="s">
        <v>112</v>
      </c>
      <c r="BW12" s="1" t="s">
        <v>377</v>
      </c>
      <c r="BX12" s="1" t="s">
        <v>378</v>
      </c>
      <c r="BY12" s="1" t="s">
        <v>120</v>
      </c>
      <c r="BZ12" s="1">
        <v>0</v>
      </c>
      <c r="CA12" s="1">
        <v>0</v>
      </c>
      <c r="CB12" s="4">
        <v>42051.95886554398</v>
      </c>
      <c r="CC12" s="1">
        <v>1</v>
      </c>
      <c r="CD12" s="1">
        <v>1</v>
      </c>
      <c r="CE12" s="1">
        <v>1</v>
      </c>
      <c r="CF12" s="1">
        <v>4</v>
      </c>
      <c r="CG12" s="4">
        <v>42762.648247569443</v>
      </c>
      <c r="CH12" s="1" t="s">
        <v>112</v>
      </c>
      <c r="CI12" s="1" t="s">
        <v>379</v>
      </c>
      <c r="CJ12" s="1" t="s">
        <v>157</v>
      </c>
    </row>
    <row r="13" spans="1:88" x14ac:dyDescent="0.35">
      <c r="A13" s="1">
        <v>77</v>
      </c>
      <c r="B13" s="1" t="s">
        <v>380</v>
      </c>
      <c r="C13" s="1" t="s">
        <v>381</v>
      </c>
      <c r="D13" s="1" t="s">
        <v>90</v>
      </c>
      <c r="E13" s="1" t="s">
        <v>382</v>
      </c>
      <c r="F13" s="1" t="s">
        <v>383</v>
      </c>
      <c r="G13" s="1">
        <v>1</v>
      </c>
      <c r="H13" s="3">
        <v>32684</v>
      </c>
      <c r="I13" s="1">
        <v>1</v>
      </c>
      <c r="J13" s="1" t="s">
        <v>93</v>
      </c>
      <c r="K13" s="1" t="s">
        <v>384</v>
      </c>
      <c r="L13" s="2">
        <f>91-8928103307</f>
        <v>-8928103216</v>
      </c>
      <c r="M13" s="1" t="s">
        <v>150</v>
      </c>
      <c r="N13" s="1">
        <v>0</v>
      </c>
      <c r="O13" s="1">
        <v>0</v>
      </c>
      <c r="P13" s="1">
        <v>5.1100000000000003</v>
      </c>
      <c r="Q13" s="1">
        <v>48</v>
      </c>
      <c r="R13" s="1" t="s">
        <v>385</v>
      </c>
      <c r="S13" s="1" t="s">
        <v>97</v>
      </c>
      <c r="T13" s="1" t="s">
        <v>137</v>
      </c>
      <c r="U13" s="1" t="s">
        <v>386</v>
      </c>
      <c r="V13" s="1" t="s">
        <v>387</v>
      </c>
      <c r="W13" s="1" t="s">
        <v>124</v>
      </c>
      <c r="X13" s="1" t="s">
        <v>236</v>
      </c>
      <c r="Y13" s="1" t="s">
        <v>111</v>
      </c>
      <c r="Z13" s="1" t="s">
        <v>192</v>
      </c>
      <c r="AB13" s="1">
        <v>0</v>
      </c>
      <c r="AD13" s="1" t="s">
        <v>388</v>
      </c>
      <c r="AE13" s="1">
        <f>91-9823980622</f>
        <v>-9823980531</v>
      </c>
      <c r="AF13" s="1" t="s">
        <v>105</v>
      </c>
      <c r="AG13" s="1" t="s">
        <v>389</v>
      </c>
      <c r="AH13" s="1" t="s">
        <v>390</v>
      </c>
      <c r="AI13" s="1" t="s">
        <v>391</v>
      </c>
      <c r="AJ13" s="1" t="s">
        <v>109</v>
      </c>
      <c r="AK13" s="1" t="s">
        <v>392</v>
      </c>
      <c r="AL13" s="1">
        <v>35</v>
      </c>
      <c r="AM13" s="1" t="s">
        <v>243</v>
      </c>
      <c r="AO13" s="1" t="s">
        <v>393</v>
      </c>
      <c r="AP13" s="1">
        <f>91-8928103307</f>
        <v>-8928103216</v>
      </c>
      <c r="AR13" s="1">
        <v>0</v>
      </c>
      <c r="AS13" s="1">
        <v>0</v>
      </c>
      <c r="AT13" s="1" t="s">
        <v>394</v>
      </c>
      <c r="AU13" s="1" t="s">
        <v>395</v>
      </c>
      <c r="AV13" s="1" t="s">
        <v>128</v>
      </c>
      <c r="AW13" s="1">
        <f>91-9824014233</f>
        <v>-9824014142</v>
      </c>
      <c r="AX13" s="1" t="s">
        <v>396</v>
      </c>
      <c r="AY13" s="1" t="s">
        <v>150</v>
      </c>
      <c r="AZ13" s="1">
        <v>5.0199999999999996</v>
      </c>
      <c r="BA13" s="1">
        <v>5.08</v>
      </c>
      <c r="BB13" s="1" t="s">
        <v>151</v>
      </c>
      <c r="BC13" s="1" t="s">
        <v>304</v>
      </c>
      <c r="BD13" s="1" t="s">
        <v>305</v>
      </c>
      <c r="BE13" s="1" t="s">
        <v>120</v>
      </c>
      <c r="BF13" s="1" t="s">
        <v>120</v>
      </c>
      <c r="BG13" s="1" t="s">
        <v>120</v>
      </c>
      <c r="BH13" s="1" t="s">
        <v>120</v>
      </c>
      <c r="BJ13" s="1" t="s">
        <v>154</v>
      </c>
      <c r="BK13" s="1" t="s">
        <v>120</v>
      </c>
      <c r="BL13" s="1">
        <v>0</v>
      </c>
      <c r="BM13" s="1">
        <v>0</v>
      </c>
      <c r="BN13" s="1" t="s">
        <v>397</v>
      </c>
      <c r="BO13" s="1">
        <v>1</v>
      </c>
      <c r="BP13" s="1" t="s">
        <v>398</v>
      </c>
      <c r="BQ13" s="1" t="s">
        <v>112</v>
      </c>
      <c r="BR13" s="1">
        <v>1</v>
      </c>
      <c r="BS13" s="1" t="s">
        <v>399</v>
      </c>
      <c r="BT13" s="1" t="s">
        <v>124</v>
      </c>
      <c r="BU13" s="1" t="s">
        <v>400</v>
      </c>
      <c r="BV13" s="1" t="s">
        <v>112</v>
      </c>
      <c r="BW13" s="1" t="s">
        <v>401</v>
      </c>
      <c r="BX13" s="1" t="s">
        <v>402</v>
      </c>
      <c r="BY13" s="1" t="s">
        <v>127</v>
      </c>
      <c r="BZ13" s="1">
        <v>3</v>
      </c>
      <c r="CA13" s="1">
        <v>2</v>
      </c>
      <c r="CB13" s="4">
        <v>42051.97556712963</v>
      </c>
      <c r="CC13" s="1">
        <v>1</v>
      </c>
      <c r="CD13" s="1">
        <v>1</v>
      </c>
      <c r="CE13" s="1">
        <v>1</v>
      </c>
      <c r="CF13" s="1">
        <v>1</v>
      </c>
      <c r="CG13" s="4">
        <v>43498.571256828705</v>
      </c>
      <c r="CH13" s="1" t="s">
        <v>112</v>
      </c>
      <c r="CI13" s="1" t="s">
        <v>403</v>
      </c>
      <c r="CJ13" s="1" t="s">
        <v>157</v>
      </c>
    </row>
    <row r="14" spans="1:88" x14ac:dyDescent="0.35">
      <c r="A14" s="1">
        <v>81</v>
      </c>
      <c r="B14" s="1" t="s">
        <v>404</v>
      </c>
      <c r="C14" s="1" t="s">
        <v>405</v>
      </c>
      <c r="D14" s="1" t="s">
        <v>90</v>
      </c>
      <c r="E14" s="1" t="s">
        <v>406</v>
      </c>
      <c r="F14" s="1" t="s">
        <v>134</v>
      </c>
      <c r="G14" s="1">
        <v>1</v>
      </c>
      <c r="H14" s="3">
        <v>32369</v>
      </c>
      <c r="I14" s="1">
        <v>1</v>
      </c>
      <c r="J14" s="1" t="s">
        <v>186</v>
      </c>
      <c r="K14" s="1" t="s">
        <v>407</v>
      </c>
      <c r="L14" s="2">
        <f>91-9899224666</f>
        <v>-9899224575</v>
      </c>
      <c r="M14" s="1" t="s">
        <v>150</v>
      </c>
      <c r="N14" s="1">
        <v>0</v>
      </c>
      <c r="O14" s="1">
        <v>0</v>
      </c>
      <c r="P14" s="1">
        <v>5.0999999999999996</v>
      </c>
      <c r="Q14" s="1">
        <v>11</v>
      </c>
      <c r="R14" s="1" t="s">
        <v>340</v>
      </c>
      <c r="S14" s="1" t="s">
        <v>97</v>
      </c>
      <c r="T14" s="1" t="s">
        <v>137</v>
      </c>
      <c r="U14" s="1" t="s">
        <v>386</v>
      </c>
      <c r="V14" s="1" t="s">
        <v>112</v>
      </c>
      <c r="W14" s="1" t="s">
        <v>112</v>
      </c>
      <c r="X14" s="1" t="s">
        <v>100</v>
      </c>
      <c r="Y14" s="1" t="s">
        <v>111</v>
      </c>
      <c r="Z14" s="1" t="s">
        <v>192</v>
      </c>
      <c r="AA14" s="1" t="s">
        <v>408</v>
      </c>
      <c r="AB14" s="1">
        <v>0</v>
      </c>
      <c r="AC14" s="1" t="s">
        <v>112</v>
      </c>
      <c r="AD14" s="1" t="s">
        <v>409</v>
      </c>
      <c r="AE14" s="1" t="s">
        <v>142</v>
      </c>
      <c r="AF14" s="1" t="s">
        <v>143</v>
      </c>
      <c r="AG14" s="1" t="s">
        <v>410</v>
      </c>
      <c r="AH14" s="1" t="s">
        <v>411</v>
      </c>
      <c r="AI14" s="1" t="s">
        <v>412</v>
      </c>
      <c r="AJ14" s="1" t="s">
        <v>109</v>
      </c>
      <c r="AK14" s="1" t="s">
        <v>413</v>
      </c>
      <c r="AL14" s="1">
        <v>30</v>
      </c>
      <c r="AM14" s="1" t="s">
        <v>111</v>
      </c>
      <c r="AN14" s="1" t="s">
        <v>112</v>
      </c>
      <c r="AO14" s="1" t="s">
        <v>112</v>
      </c>
      <c r="AP14" s="1">
        <f>91-9899224666</f>
        <v>-9899224575</v>
      </c>
      <c r="AQ14" s="1" t="s">
        <v>112</v>
      </c>
      <c r="AR14" s="1">
        <v>0</v>
      </c>
      <c r="AS14" s="1">
        <v>0</v>
      </c>
      <c r="AT14" s="1" t="s">
        <v>112</v>
      </c>
      <c r="AU14" s="1" t="s">
        <v>112</v>
      </c>
      <c r="AV14" s="1" t="s">
        <v>112</v>
      </c>
      <c r="AW14" s="1" t="s">
        <v>142</v>
      </c>
      <c r="AX14" s="1" t="s">
        <v>414</v>
      </c>
      <c r="AY14" s="1" t="s">
        <v>150</v>
      </c>
      <c r="AZ14" s="1">
        <v>5</v>
      </c>
      <c r="BA14" s="1">
        <v>5.05</v>
      </c>
      <c r="BB14" s="1" t="s">
        <v>151</v>
      </c>
      <c r="BC14" s="1" t="s">
        <v>304</v>
      </c>
      <c r="BD14" s="1" t="s">
        <v>305</v>
      </c>
      <c r="BE14" s="1" t="s">
        <v>97</v>
      </c>
      <c r="BF14" s="1" t="s">
        <v>120</v>
      </c>
      <c r="BG14" s="1" t="s">
        <v>100</v>
      </c>
      <c r="BH14" s="1" t="s">
        <v>120</v>
      </c>
      <c r="BI14" s="1" t="s">
        <v>112</v>
      </c>
      <c r="BJ14" s="1" t="s">
        <v>154</v>
      </c>
      <c r="BK14" s="1" t="s">
        <v>120</v>
      </c>
      <c r="BL14" s="1">
        <v>0</v>
      </c>
      <c r="BM14" s="1">
        <v>0</v>
      </c>
      <c r="BN14" s="1" t="s">
        <v>415</v>
      </c>
      <c r="BO14" s="1">
        <v>1</v>
      </c>
      <c r="BP14" s="1" t="s">
        <v>186</v>
      </c>
      <c r="BQ14" s="1" t="s">
        <v>416</v>
      </c>
      <c r="BR14" s="1">
        <v>0</v>
      </c>
      <c r="BS14" s="1" t="s">
        <v>129</v>
      </c>
      <c r="BT14" s="1" t="s">
        <v>124</v>
      </c>
      <c r="BU14" s="1" t="s">
        <v>112</v>
      </c>
      <c r="BV14" s="1" t="s">
        <v>112</v>
      </c>
      <c r="BW14" s="1" t="s">
        <v>417</v>
      </c>
      <c r="BX14" s="1" t="s">
        <v>418</v>
      </c>
      <c r="BY14" s="1" t="s">
        <v>120</v>
      </c>
      <c r="BZ14" s="1">
        <v>1</v>
      </c>
      <c r="CA14" s="1">
        <v>1</v>
      </c>
      <c r="CB14" s="4">
        <v>42053.129178240742</v>
      </c>
      <c r="CC14" s="1">
        <v>1</v>
      </c>
      <c r="CD14" s="1">
        <v>1</v>
      </c>
      <c r="CE14" s="1">
        <v>1</v>
      </c>
      <c r="CF14" s="1">
        <v>4</v>
      </c>
      <c r="CG14" s="4">
        <v>42757.267051539355</v>
      </c>
      <c r="CH14" s="1" t="s">
        <v>112</v>
      </c>
      <c r="CI14" s="1" t="s">
        <v>419</v>
      </c>
      <c r="CJ14" s="1" t="s">
        <v>157</v>
      </c>
    </row>
    <row r="15" spans="1:88" x14ac:dyDescent="0.35">
      <c r="A15" s="1">
        <v>82</v>
      </c>
      <c r="B15" s="1" t="s">
        <v>420</v>
      </c>
      <c r="C15" s="1" t="s">
        <v>421</v>
      </c>
      <c r="D15" s="1" t="s">
        <v>90</v>
      </c>
      <c r="E15" s="1" t="s">
        <v>422</v>
      </c>
      <c r="F15" s="1" t="s">
        <v>423</v>
      </c>
      <c r="G15" s="1">
        <v>1</v>
      </c>
      <c r="H15" s="3">
        <v>32132</v>
      </c>
      <c r="I15" s="1">
        <v>93</v>
      </c>
      <c r="J15" s="1" t="s">
        <v>424</v>
      </c>
      <c r="K15" s="1" t="s">
        <v>425</v>
      </c>
      <c r="L15" s="2">
        <f>91-9993511480</f>
        <v>-9993511389</v>
      </c>
      <c r="M15" s="1" t="s">
        <v>150</v>
      </c>
      <c r="N15" s="1">
        <v>0</v>
      </c>
      <c r="O15" s="1">
        <v>0</v>
      </c>
      <c r="P15" s="1">
        <v>5.0999999999999996</v>
      </c>
      <c r="Q15" s="1">
        <v>25</v>
      </c>
      <c r="R15" s="1" t="s">
        <v>426</v>
      </c>
      <c r="S15" s="1" t="s">
        <v>136</v>
      </c>
      <c r="T15" s="1" t="s">
        <v>427</v>
      </c>
      <c r="U15" s="1" t="s">
        <v>428</v>
      </c>
      <c r="V15" s="1" t="s">
        <v>429</v>
      </c>
      <c r="W15" s="1" t="s">
        <v>430</v>
      </c>
      <c r="X15" s="1" t="s">
        <v>236</v>
      </c>
      <c r="Y15" s="1" t="s">
        <v>111</v>
      </c>
      <c r="Z15" s="1" t="s">
        <v>171</v>
      </c>
      <c r="AA15" s="1" t="s">
        <v>431</v>
      </c>
      <c r="AB15" s="1">
        <v>0</v>
      </c>
      <c r="AD15" s="1" t="s">
        <v>432</v>
      </c>
      <c r="AE15" s="1" t="s">
        <v>142</v>
      </c>
      <c r="AF15" s="1" t="s">
        <v>105</v>
      </c>
      <c r="AG15" s="1" t="s">
        <v>433</v>
      </c>
      <c r="AH15" s="1" t="s">
        <v>434</v>
      </c>
      <c r="AI15" s="1" t="s">
        <v>435</v>
      </c>
      <c r="AJ15" s="1" t="s">
        <v>109</v>
      </c>
      <c r="AK15" s="1" t="s">
        <v>436</v>
      </c>
      <c r="AL15" s="1">
        <v>8</v>
      </c>
      <c r="AM15" s="1" t="s">
        <v>210</v>
      </c>
      <c r="AN15" s="1" t="s">
        <v>432</v>
      </c>
      <c r="AO15" s="1" t="s">
        <v>437</v>
      </c>
      <c r="AP15" s="1">
        <f>91-675675656765</f>
        <v>-675675656674</v>
      </c>
      <c r="AR15" s="1">
        <v>1</v>
      </c>
      <c r="AS15" s="1">
        <v>1</v>
      </c>
      <c r="AW15" s="1" t="s">
        <v>142</v>
      </c>
      <c r="AX15" s="1" t="s">
        <v>396</v>
      </c>
      <c r="AY15" s="1" t="s">
        <v>150</v>
      </c>
      <c r="AZ15" s="1">
        <v>5.01</v>
      </c>
      <c r="BA15" s="1">
        <v>5.0599999999999996</v>
      </c>
      <c r="BB15" s="1" t="s">
        <v>151</v>
      </c>
      <c r="BC15" s="1" t="s">
        <v>152</v>
      </c>
      <c r="BD15" s="1" t="s">
        <v>153</v>
      </c>
      <c r="BE15" s="1" t="s">
        <v>120</v>
      </c>
      <c r="BF15" s="1" t="s">
        <v>120</v>
      </c>
      <c r="BG15" s="1" t="s">
        <v>438</v>
      </c>
      <c r="BH15" s="1" t="s">
        <v>120</v>
      </c>
      <c r="BI15" s="1" t="s">
        <v>171</v>
      </c>
      <c r="BJ15" s="1" t="s">
        <v>120</v>
      </c>
      <c r="BK15" s="1" t="s">
        <v>120</v>
      </c>
      <c r="BL15" s="1">
        <v>0</v>
      </c>
      <c r="BM15" s="1">
        <v>0</v>
      </c>
      <c r="BN15" s="1" t="s">
        <v>432</v>
      </c>
      <c r="BO15" s="1">
        <v>1</v>
      </c>
      <c r="BP15" s="1" t="s">
        <v>439</v>
      </c>
      <c r="BQ15" s="1" t="s">
        <v>440</v>
      </c>
      <c r="BR15" s="1">
        <v>1</v>
      </c>
      <c r="BS15" s="1" t="s">
        <v>123</v>
      </c>
      <c r="BT15" s="1" t="s">
        <v>120</v>
      </c>
      <c r="BV15" s="1" t="s">
        <v>112</v>
      </c>
      <c r="BW15" s="1" t="s">
        <v>441</v>
      </c>
      <c r="BX15" s="1" t="s">
        <v>442</v>
      </c>
      <c r="BY15" s="1" t="s">
        <v>120</v>
      </c>
      <c r="BZ15" s="1">
        <v>1</v>
      </c>
      <c r="CA15" s="1">
        <v>1</v>
      </c>
      <c r="CB15" s="4">
        <v>42053.903651539353</v>
      </c>
      <c r="CC15" s="1">
        <v>1</v>
      </c>
      <c r="CD15" s="1">
        <v>1</v>
      </c>
      <c r="CE15" s="1">
        <v>1</v>
      </c>
      <c r="CF15" s="1">
        <v>3</v>
      </c>
      <c r="CG15" s="1" t="s">
        <v>112</v>
      </c>
      <c r="CH15" s="1" t="s">
        <v>112</v>
      </c>
      <c r="CI15" s="1" t="s">
        <v>443</v>
      </c>
      <c r="CJ15" s="1" t="s">
        <v>157</v>
      </c>
    </row>
    <row r="16" spans="1:88" x14ac:dyDescent="0.35">
      <c r="A16" s="1">
        <v>89</v>
      </c>
      <c r="B16" s="1" t="s">
        <v>444</v>
      </c>
      <c r="C16" s="1" t="s">
        <v>445</v>
      </c>
      <c r="D16" s="1" t="s">
        <v>90</v>
      </c>
      <c r="E16" s="1" t="s">
        <v>446</v>
      </c>
      <c r="F16" s="1" t="s">
        <v>361</v>
      </c>
      <c r="G16" s="1">
        <v>1</v>
      </c>
      <c r="H16" s="3">
        <v>31951</v>
      </c>
      <c r="I16" s="1">
        <v>1</v>
      </c>
      <c r="J16" s="1" t="s">
        <v>93</v>
      </c>
      <c r="K16" s="1" t="s">
        <v>447</v>
      </c>
      <c r="L16" s="2">
        <f>91-9850869584</f>
        <v>-9850869493</v>
      </c>
      <c r="M16" s="1" t="s">
        <v>150</v>
      </c>
      <c r="N16" s="1">
        <v>0</v>
      </c>
      <c r="O16" s="1">
        <v>0</v>
      </c>
      <c r="P16" s="1">
        <v>5.04</v>
      </c>
      <c r="Q16" s="1">
        <v>36</v>
      </c>
      <c r="R16" s="1" t="s">
        <v>362</v>
      </c>
      <c r="S16" s="1" t="s">
        <v>165</v>
      </c>
      <c r="T16" s="1" t="s">
        <v>166</v>
      </c>
      <c r="U16" s="1" t="s">
        <v>448</v>
      </c>
      <c r="V16" s="1" t="s">
        <v>449</v>
      </c>
      <c r="X16" s="1" t="s">
        <v>100</v>
      </c>
      <c r="Y16" s="1" t="s">
        <v>111</v>
      </c>
      <c r="Z16" s="1" t="s">
        <v>450</v>
      </c>
      <c r="AA16" s="1" t="s">
        <v>451</v>
      </c>
      <c r="AB16" s="1">
        <v>1</v>
      </c>
      <c r="AC16" s="1" t="s">
        <v>452</v>
      </c>
      <c r="AD16" s="1" t="s">
        <v>453</v>
      </c>
      <c r="AE16" s="1">
        <f>91-7276427901</f>
        <v>-7276427810</v>
      </c>
      <c r="AF16" s="1" t="s">
        <v>143</v>
      </c>
      <c r="AG16" s="1" t="s">
        <v>454</v>
      </c>
      <c r="AH16" s="1" t="s">
        <v>370</v>
      </c>
      <c r="AI16" s="1" t="s">
        <v>455</v>
      </c>
      <c r="AJ16" s="1" t="s">
        <v>109</v>
      </c>
      <c r="AK16" s="1" t="s">
        <v>456</v>
      </c>
      <c r="AL16" s="1">
        <v>20</v>
      </c>
      <c r="AM16" s="1" t="s">
        <v>111</v>
      </c>
      <c r="AN16" s="1" t="s">
        <v>124</v>
      </c>
      <c r="AP16" s="1">
        <f>91-9850869584</f>
        <v>-9850869493</v>
      </c>
      <c r="AQ16" s="1" t="s">
        <v>124</v>
      </c>
      <c r="AR16" s="1">
        <v>1</v>
      </c>
      <c r="AS16" s="1">
        <v>1</v>
      </c>
      <c r="AT16" s="1" t="s">
        <v>457</v>
      </c>
      <c r="AU16" s="1" t="s">
        <v>458</v>
      </c>
      <c r="AV16" s="1" t="s">
        <v>459</v>
      </c>
      <c r="AW16" s="1">
        <f>91-8007022606</f>
        <v>-8007022515</v>
      </c>
      <c r="AX16" s="1" t="s">
        <v>460</v>
      </c>
      <c r="AY16" s="1" t="s">
        <v>150</v>
      </c>
      <c r="AZ16" s="1">
        <v>4.1100000000000003</v>
      </c>
      <c r="BA16" s="1">
        <v>5.04</v>
      </c>
      <c r="BB16" s="1" t="s">
        <v>151</v>
      </c>
      <c r="BC16" s="1" t="s">
        <v>304</v>
      </c>
      <c r="BD16" s="1" t="s">
        <v>305</v>
      </c>
      <c r="BE16" s="1" t="s">
        <v>120</v>
      </c>
      <c r="BF16" s="1" t="s">
        <v>120</v>
      </c>
      <c r="BG16" s="1" t="s">
        <v>120</v>
      </c>
      <c r="BH16" s="1" t="s">
        <v>120</v>
      </c>
      <c r="BJ16" s="1" t="s">
        <v>154</v>
      </c>
      <c r="BK16" s="1" t="s">
        <v>120</v>
      </c>
      <c r="BL16" s="1">
        <v>1</v>
      </c>
      <c r="BM16" s="1">
        <v>0</v>
      </c>
      <c r="BN16" s="1" t="s">
        <v>461</v>
      </c>
      <c r="BO16" s="1">
        <v>1</v>
      </c>
      <c r="BP16" s="1" t="s">
        <v>462</v>
      </c>
      <c r="BQ16" s="1" t="s">
        <v>112</v>
      </c>
      <c r="BR16" s="1">
        <v>0</v>
      </c>
      <c r="BS16" s="1" t="s">
        <v>334</v>
      </c>
      <c r="BT16" s="1" t="s">
        <v>124</v>
      </c>
      <c r="BU16" s="1" t="s">
        <v>112</v>
      </c>
      <c r="BV16" s="1" t="s">
        <v>112</v>
      </c>
      <c r="BW16" s="1" t="s">
        <v>463</v>
      </c>
      <c r="BX16" s="1" t="s">
        <v>464</v>
      </c>
      <c r="BY16" s="1" t="s">
        <v>465</v>
      </c>
      <c r="BZ16" s="1">
        <v>2</v>
      </c>
      <c r="CA16" s="1">
        <v>2</v>
      </c>
      <c r="CB16" s="4">
        <v>42058.419594907406</v>
      </c>
      <c r="CC16" s="1">
        <v>1</v>
      </c>
      <c r="CD16" s="1">
        <v>1</v>
      </c>
      <c r="CE16" s="1">
        <v>1</v>
      </c>
      <c r="CF16" s="1">
        <v>4</v>
      </c>
      <c r="CG16" s="4">
        <v>42791.494182175928</v>
      </c>
      <c r="CH16" s="1" t="s">
        <v>112</v>
      </c>
      <c r="CI16" s="1" t="s">
        <v>379</v>
      </c>
      <c r="CJ16" s="1" t="s">
        <v>157</v>
      </c>
    </row>
    <row r="17" spans="1:88" x14ac:dyDescent="0.35">
      <c r="A17" s="1">
        <v>93</v>
      </c>
      <c r="B17" s="1" t="s">
        <v>466</v>
      </c>
      <c r="C17" s="1" t="s">
        <v>467</v>
      </c>
      <c r="D17" s="1" t="s">
        <v>229</v>
      </c>
      <c r="E17" s="1" t="s">
        <v>468</v>
      </c>
      <c r="F17" s="1" t="s">
        <v>134</v>
      </c>
      <c r="G17" s="1">
        <v>1</v>
      </c>
      <c r="H17" s="3">
        <v>29116</v>
      </c>
      <c r="I17" s="1">
        <v>1</v>
      </c>
      <c r="J17" s="1" t="s">
        <v>93</v>
      </c>
      <c r="K17" s="1" t="s">
        <v>469</v>
      </c>
      <c r="L17" s="2">
        <f>91-8983853226</f>
        <v>-8983853135</v>
      </c>
      <c r="M17" s="1" t="s">
        <v>150</v>
      </c>
      <c r="N17" s="1">
        <v>0</v>
      </c>
      <c r="O17" s="1">
        <v>0</v>
      </c>
      <c r="P17" s="1">
        <v>5.0599999999999996</v>
      </c>
      <c r="Q17" s="1">
        <v>12</v>
      </c>
      <c r="R17" s="1" t="s">
        <v>470</v>
      </c>
      <c r="S17" s="1" t="s">
        <v>233</v>
      </c>
      <c r="T17" s="1" t="s">
        <v>471</v>
      </c>
      <c r="U17" s="1" t="s">
        <v>472</v>
      </c>
      <c r="X17" s="1" t="s">
        <v>132</v>
      </c>
      <c r="Y17" s="1" t="s">
        <v>111</v>
      </c>
      <c r="Z17" s="1" t="s">
        <v>192</v>
      </c>
      <c r="AA17" s="1" t="s">
        <v>473</v>
      </c>
      <c r="AB17" s="1">
        <v>0</v>
      </c>
      <c r="AD17" s="1" t="s">
        <v>474</v>
      </c>
      <c r="AE17" s="1">
        <f>91-9890186474</f>
        <v>-9890186383</v>
      </c>
      <c r="AF17" s="1" t="s">
        <v>143</v>
      </c>
      <c r="AG17" s="1" t="s">
        <v>475</v>
      </c>
      <c r="AH17" s="1" t="s">
        <v>476</v>
      </c>
      <c r="AI17" s="1" t="s">
        <v>477</v>
      </c>
      <c r="AJ17" s="1" t="s">
        <v>478</v>
      </c>
      <c r="AK17" s="1" t="s">
        <v>479</v>
      </c>
      <c r="AL17" s="1">
        <v>60</v>
      </c>
      <c r="AM17" s="1" t="s">
        <v>111</v>
      </c>
      <c r="AN17" s="1" t="s">
        <v>198</v>
      </c>
      <c r="AO17" s="1" t="s">
        <v>480</v>
      </c>
      <c r="AP17" s="1">
        <f>91-8805983545</f>
        <v>-8805983454</v>
      </c>
      <c r="AR17" s="1">
        <v>2</v>
      </c>
      <c r="AS17" s="1">
        <v>0</v>
      </c>
      <c r="AW17" s="1" t="s">
        <v>142</v>
      </c>
      <c r="AX17" s="1" t="s">
        <v>481</v>
      </c>
      <c r="AY17" s="1" t="s">
        <v>150</v>
      </c>
      <c r="AZ17" s="1">
        <v>4.09</v>
      </c>
      <c r="BA17" s="1">
        <v>5.0599999999999996</v>
      </c>
      <c r="BB17" s="1" t="s">
        <v>151</v>
      </c>
      <c r="BC17" s="1" t="s">
        <v>304</v>
      </c>
      <c r="BD17" s="1" t="s">
        <v>305</v>
      </c>
      <c r="BE17" s="1" t="s">
        <v>120</v>
      </c>
      <c r="BF17" s="1" t="s">
        <v>120</v>
      </c>
      <c r="BG17" s="1" t="s">
        <v>120</v>
      </c>
      <c r="BH17" s="1" t="s">
        <v>120</v>
      </c>
      <c r="BJ17" s="1" t="s">
        <v>120</v>
      </c>
      <c r="BK17" s="1" t="s">
        <v>143</v>
      </c>
      <c r="BL17" s="1">
        <v>0</v>
      </c>
      <c r="BM17" s="1">
        <v>0</v>
      </c>
      <c r="BN17" s="1" t="s">
        <v>482</v>
      </c>
      <c r="BO17" s="1">
        <v>1</v>
      </c>
      <c r="BP17" s="1" t="s">
        <v>483</v>
      </c>
      <c r="BQ17" s="1" t="s">
        <v>112</v>
      </c>
      <c r="BR17" s="1">
        <v>1</v>
      </c>
      <c r="BS17" s="1" t="s">
        <v>307</v>
      </c>
      <c r="BT17" s="1" t="s">
        <v>124</v>
      </c>
      <c r="BU17" s="1" t="s">
        <v>112</v>
      </c>
      <c r="BV17" s="1" t="s">
        <v>112</v>
      </c>
      <c r="BW17" s="1" t="s">
        <v>484</v>
      </c>
      <c r="BX17" s="1" t="s">
        <v>485</v>
      </c>
      <c r="BY17" s="1" t="s">
        <v>127</v>
      </c>
      <c r="BZ17" s="1">
        <v>1</v>
      </c>
      <c r="CA17" s="1">
        <v>1</v>
      </c>
      <c r="CB17" s="4">
        <v>42061.307025462964</v>
      </c>
      <c r="CC17" s="1">
        <v>1</v>
      </c>
      <c r="CD17" s="1">
        <v>1</v>
      </c>
      <c r="CE17" s="1">
        <v>1</v>
      </c>
      <c r="CF17" s="1">
        <v>4</v>
      </c>
      <c r="CG17" s="4">
        <v>42859.635513344911</v>
      </c>
      <c r="CH17" s="1" t="s">
        <v>112</v>
      </c>
      <c r="CI17" s="1" t="s">
        <v>287</v>
      </c>
      <c r="CJ17" s="1" t="s">
        <v>157</v>
      </c>
    </row>
    <row r="18" spans="1:88" x14ac:dyDescent="0.35">
      <c r="A18" s="1">
        <v>99</v>
      </c>
      <c r="B18" s="1" t="s">
        <v>486</v>
      </c>
      <c r="C18" s="1" t="s">
        <v>487</v>
      </c>
      <c r="D18" s="1" t="s">
        <v>229</v>
      </c>
      <c r="E18" s="1" t="s">
        <v>488</v>
      </c>
      <c r="F18" s="1" t="s">
        <v>489</v>
      </c>
      <c r="G18" s="1">
        <v>1</v>
      </c>
      <c r="H18" s="3">
        <v>32306</v>
      </c>
      <c r="I18" s="1">
        <v>1</v>
      </c>
      <c r="J18" s="1" t="s">
        <v>93</v>
      </c>
      <c r="K18" s="1" t="s">
        <v>490</v>
      </c>
      <c r="L18" s="2">
        <f>91-9420008114</f>
        <v>-9420008023</v>
      </c>
      <c r="M18" s="1" t="s">
        <v>150</v>
      </c>
      <c r="N18" s="1">
        <v>0</v>
      </c>
      <c r="O18" s="1">
        <v>0</v>
      </c>
      <c r="P18" s="1">
        <v>6</v>
      </c>
      <c r="Q18" s="1">
        <v>14</v>
      </c>
      <c r="R18" s="1" t="s">
        <v>491</v>
      </c>
      <c r="S18" s="1" t="s">
        <v>492</v>
      </c>
      <c r="T18" s="1" t="s">
        <v>137</v>
      </c>
      <c r="U18" s="1" t="s">
        <v>493</v>
      </c>
      <c r="V18" s="1" t="s">
        <v>494</v>
      </c>
      <c r="X18" s="1" t="s">
        <v>170</v>
      </c>
      <c r="Y18" s="1" t="s">
        <v>111</v>
      </c>
      <c r="Z18" s="1" t="s">
        <v>192</v>
      </c>
      <c r="AA18" s="1" t="s">
        <v>495</v>
      </c>
      <c r="AB18" s="1">
        <v>0</v>
      </c>
      <c r="AD18" s="1" t="s">
        <v>496</v>
      </c>
      <c r="AE18" s="1">
        <f>91-9725140365</f>
        <v>-9725140274</v>
      </c>
      <c r="AF18" s="1" t="s">
        <v>143</v>
      </c>
      <c r="AG18" s="1" t="s">
        <v>497</v>
      </c>
      <c r="AH18" s="1" t="s">
        <v>498</v>
      </c>
      <c r="AI18" s="1" t="s">
        <v>499</v>
      </c>
      <c r="AJ18" s="1" t="s">
        <v>109</v>
      </c>
      <c r="AK18" s="1" t="s">
        <v>500</v>
      </c>
      <c r="AL18" s="1">
        <v>10</v>
      </c>
      <c r="AM18" s="1" t="s">
        <v>111</v>
      </c>
      <c r="AO18" s="1" t="s">
        <v>501</v>
      </c>
      <c r="AP18" s="1">
        <f>91-9420132771</f>
        <v>-9420132680</v>
      </c>
      <c r="AQ18" s="1" t="s">
        <v>502</v>
      </c>
      <c r="AR18" s="1">
        <v>2</v>
      </c>
      <c r="AS18" s="1">
        <v>1</v>
      </c>
      <c r="AT18" s="1" t="s">
        <v>503</v>
      </c>
      <c r="AU18" s="1" t="s">
        <v>332</v>
      </c>
      <c r="AV18" s="1" t="s">
        <v>280</v>
      </c>
      <c r="AW18" s="1">
        <f>91-9909857414</f>
        <v>-9909857323</v>
      </c>
      <c r="AX18" s="1" t="s">
        <v>504</v>
      </c>
      <c r="AY18" s="1" t="s">
        <v>150</v>
      </c>
      <c r="AZ18" s="1">
        <v>5.03</v>
      </c>
      <c r="BA18" s="1">
        <v>6</v>
      </c>
      <c r="BE18" s="1" t="s">
        <v>120</v>
      </c>
      <c r="BG18" s="1" t="s">
        <v>120</v>
      </c>
      <c r="BH18" s="1" t="s">
        <v>120</v>
      </c>
      <c r="BJ18" s="1" t="s">
        <v>120</v>
      </c>
      <c r="BK18" s="1" t="s">
        <v>120</v>
      </c>
      <c r="BL18" s="1">
        <v>0</v>
      </c>
      <c r="BM18" s="1">
        <v>0</v>
      </c>
      <c r="BN18" s="1" t="s">
        <v>505</v>
      </c>
      <c r="BO18" s="1">
        <v>1</v>
      </c>
      <c r="BP18" s="1" t="s">
        <v>506</v>
      </c>
      <c r="BQ18" s="1" t="s">
        <v>112</v>
      </c>
      <c r="BR18" s="1">
        <v>1</v>
      </c>
      <c r="BS18" s="1" t="s">
        <v>181</v>
      </c>
      <c r="BT18" s="1" t="s">
        <v>124</v>
      </c>
      <c r="BU18" s="1" t="s">
        <v>507</v>
      </c>
      <c r="BV18" s="1" t="s">
        <v>112</v>
      </c>
      <c r="BW18" s="1" t="s">
        <v>508</v>
      </c>
      <c r="BX18" s="1" t="s">
        <v>509</v>
      </c>
      <c r="BY18" s="1" t="s">
        <v>127</v>
      </c>
      <c r="BZ18" s="1">
        <v>0</v>
      </c>
      <c r="CA18" s="1">
        <v>0</v>
      </c>
      <c r="CB18" s="4">
        <v>42066.472014317129</v>
      </c>
      <c r="CC18" s="1">
        <v>1</v>
      </c>
      <c r="CD18" s="1">
        <v>1</v>
      </c>
      <c r="CE18" s="1">
        <v>1</v>
      </c>
      <c r="CF18" s="1">
        <v>1</v>
      </c>
      <c r="CG18" s="4">
        <v>43222.502813657411</v>
      </c>
      <c r="CH18" s="1" t="s">
        <v>112</v>
      </c>
      <c r="CI18" s="1" t="s">
        <v>506</v>
      </c>
      <c r="CJ18" s="1" t="s">
        <v>129</v>
      </c>
    </row>
    <row r="19" spans="1:88" x14ac:dyDescent="0.35">
      <c r="A19" s="1">
        <v>107</v>
      </c>
      <c r="B19" s="1" t="s">
        <v>510</v>
      </c>
      <c r="C19" s="1" t="s">
        <v>511</v>
      </c>
      <c r="D19" s="1" t="s">
        <v>259</v>
      </c>
      <c r="E19" s="1" t="s">
        <v>512</v>
      </c>
      <c r="F19" s="1" t="s">
        <v>208</v>
      </c>
      <c r="G19" s="1">
        <v>0</v>
      </c>
      <c r="H19" s="3">
        <v>33136</v>
      </c>
      <c r="I19" s="1">
        <v>1</v>
      </c>
      <c r="J19" s="1" t="s">
        <v>93</v>
      </c>
      <c r="K19" s="1" t="s">
        <v>94</v>
      </c>
      <c r="L19" s="2">
        <f>91-7507991535</f>
        <v>-7507991444</v>
      </c>
      <c r="M19" s="1" t="s">
        <v>95</v>
      </c>
      <c r="N19" s="1">
        <v>0</v>
      </c>
      <c r="O19" s="1">
        <v>0</v>
      </c>
      <c r="P19" s="1">
        <v>5.07</v>
      </c>
      <c r="Q19" s="1">
        <v>10</v>
      </c>
      <c r="R19" s="1" t="s">
        <v>112</v>
      </c>
      <c r="S19" s="1" t="s">
        <v>97</v>
      </c>
      <c r="T19" s="1" t="s">
        <v>137</v>
      </c>
      <c r="U19" s="1" t="s">
        <v>513</v>
      </c>
      <c r="V19" s="1" t="s">
        <v>514</v>
      </c>
      <c r="W19" s="1" t="s">
        <v>112</v>
      </c>
      <c r="X19" s="1" t="s">
        <v>170</v>
      </c>
      <c r="Y19" s="1" t="s">
        <v>268</v>
      </c>
      <c r="Z19" s="1" t="s">
        <v>515</v>
      </c>
      <c r="AA19" s="1" t="s">
        <v>112</v>
      </c>
      <c r="AB19" s="1">
        <v>0</v>
      </c>
      <c r="AC19" s="1" t="s">
        <v>112</v>
      </c>
      <c r="AD19" s="1" t="s">
        <v>516</v>
      </c>
      <c r="AE19" s="1" t="s">
        <v>142</v>
      </c>
      <c r="AF19" s="1" t="s">
        <v>143</v>
      </c>
      <c r="AG19" s="1" t="s">
        <v>517</v>
      </c>
      <c r="AH19" s="1" t="s">
        <v>518</v>
      </c>
      <c r="AI19" s="1" t="s">
        <v>519</v>
      </c>
      <c r="AJ19" s="1" t="s">
        <v>109</v>
      </c>
      <c r="AK19" s="1" t="s">
        <v>520</v>
      </c>
      <c r="AL19" s="1">
        <v>8</v>
      </c>
      <c r="AM19" s="1" t="s">
        <v>111</v>
      </c>
      <c r="AN19" s="1" t="s">
        <v>521</v>
      </c>
      <c r="AO19" s="1" t="s">
        <v>522</v>
      </c>
      <c r="AP19" s="1">
        <f>91-7507991535</f>
        <v>-7507991444</v>
      </c>
      <c r="AQ19" s="1" t="s">
        <v>112</v>
      </c>
      <c r="AR19" s="1">
        <v>1</v>
      </c>
      <c r="AS19" s="1">
        <v>0</v>
      </c>
      <c r="AT19" s="1" t="s">
        <v>523</v>
      </c>
      <c r="AU19" s="1" t="s">
        <v>524</v>
      </c>
      <c r="AV19" s="1" t="s">
        <v>525</v>
      </c>
      <c r="AW19" s="1">
        <f>91-9422966572</f>
        <v>-9422966481</v>
      </c>
      <c r="AX19" s="1" t="s">
        <v>526</v>
      </c>
      <c r="AY19" s="1" t="s">
        <v>527</v>
      </c>
      <c r="AZ19" s="1">
        <v>5.07</v>
      </c>
      <c r="BA19" s="1">
        <v>7.05</v>
      </c>
      <c r="BB19" s="1" t="s">
        <v>112</v>
      </c>
      <c r="BC19" s="1" t="s">
        <v>112</v>
      </c>
      <c r="BD19" s="1" t="s">
        <v>112</v>
      </c>
      <c r="BE19" s="1" t="s">
        <v>97</v>
      </c>
      <c r="BF19" s="1" t="s">
        <v>112</v>
      </c>
      <c r="BG19" s="1" t="s">
        <v>120</v>
      </c>
      <c r="BH19" s="1" t="s">
        <v>120</v>
      </c>
      <c r="BI19" s="1" t="s">
        <v>112</v>
      </c>
      <c r="BJ19" s="1" t="s">
        <v>154</v>
      </c>
      <c r="BK19" s="1" t="s">
        <v>120</v>
      </c>
      <c r="BL19" s="1">
        <v>0</v>
      </c>
      <c r="BM19" s="1">
        <v>1</v>
      </c>
      <c r="BN19" s="1" t="s">
        <v>528</v>
      </c>
      <c r="BO19" s="1">
        <v>1</v>
      </c>
      <c r="BP19" s="1" t="s">
        <v>122</v>
      </c>
      <c r="BQ19" s="1" t="s">
        <v>112</v>
      </c>
      <c r="BR19" s="1">
        <v>1</v>
      </c>
      <c r="BS19" s="1" t="s">
        <v>181</v>
      </c>
      <c r="BT19" s="1" t="s">
        <v>124</v>
      </c>
      <c r="BU19" s="1" t="s">
        <v>112</v>
      </c>
      <c r="BV19" s="1" t="s">
        <v>112</v>
      </c>
      <c r="BW19" s="1" t="s">
        <v>529</v>
      </c>
      <c r="BX19" s="1" t="s">
        <v>530</v>
      </c>
      <c r="BY19" s="1" t="s">
        <v>127</v>
      </c>
      <c r="BZ19" s="1">
        <v>1</v>
      </c>
      <c r="CA19" s="1">
        <v>0</v>
      </c>
      <c r="CB19" s="4">
        <v>42068.973645833335</v>
      </c>
      <c r="CC19" s="1">
        <v>1</v>
      </c>
      <c r="CD19" s="1">
        <v>1</v>
      </c>
      <c r="CE19" s="1">
        <v>1</v>
      </c>
      <c r="CF19" s="1">
        <v>4</v>
      </c>
      <c r="CG19" s="4">
        <v>42807.250653090276</v>
      </c>
      <c r="CH19" s="1" t="s">
        <v>112</v>
      </c>
      <c r="CI19" s="1" t="s">
        <v>531</v>
      </c>
      <c r="CJ19" s="1" t="s">
        <v>129</v>
      </c>
    </row>
    <row r="20" spans="1:88" x14ac:dyDescent="0.35">
      <c r="A20" s="1">
        <v>108</v>
      </c>
      <c r="B20" s="1" t="s">
        <v>532</v>
      </c>
      <c r="C20" s="1" t="s">
        <v>533</v>
      </c>
      <c r="D20" s="1" t="s">
        <v>90</v>
      </c>
      <c r="E20" s="1" t="s">
        <v>468</v>
      </c>
      <c r="F20" s="1" t="s">
        <v>534</v>
      </c>
      <c r="G20" s="1">
        <v>1</v>
      </c>
      <c r="H20" s="3">
        <v>33022</v>
      </c>
      <c r="I20" s="1">
        <v>1</v>
      </c>
      <c r="J20" s="1" t="s">
        <v>162</v>
      </c>
      <c r="K20" s="1" t="s">
        <v>232</v>
      </c>
      <c r="L20" s="2">
        <f>91-8238684484</f>
        <v>-8238684393</v>
      </c>
      <c r="M20" s="1" t="s">
        <v>150</v>
      </c>
      <c r="N20" s="1">
        <v>0</v>
      </c>
      <c r="O20" s="1">
        <v>0</v>
      </c>
      <c r="P20" s="1">
        <v>5.0599999999999996</v>
      </c>
      <c r="Q20" s="1">
        <v>16</v>
      </c>
      <c r="R20" s="1" t="s">
        <v>535</v>
      </c>
      <c r="S20" s="1" t="s">
        <v>492</v>
      </c>
      <c r="T20" s="1" t="s">
        <v>471</v>
      </c>
      <c r="U20" s="1" t="s">
        <v>536</v>
      </c>
      <c r="X20" s="1" t="s">
        <v>296</v>
      </c>
      <c r="Y20" s="1" t="s">
        <v>111</v>
      </c>
      <c r="Z20" s="1" t="s">
        <v>192</v>
      </c>
      <c r="AA20" s="1" t="s">
        <v>537</v>
      </c>
      <c r="AB20" s="1">
        <v>0</v>
      </c>
      <c r="AD20" s="1" t="s">
        <v>538</v>
      </c>
      <c r="AE20" s="1" t="s">
        <v>142</v>
      </c>
      <c r="AF20" s="1" t="s">
        <v>105</v>
      </c>
      <c r="AG20" s="1" t="s">
        <v>539</v>
      </c>
      <c r="AH20" s="1" t="s">
        <v>540</v>
      </c>
      <c r="AI20" s="1" t="s">
        <v>541</v>
      </c>
      <c r="AJ20" s="1" t="s">
        <v>109</v>
      </c>
      <c r="AK20" s="1" t="s">
        <v>542</v>
      </c>
      <c r="AL20" s="1">
        <v>10</v>
      </c>
      <c r="AM20" s="1" t="s">
        <v>111</v>
      </c>
      <c r="AP20" s="1">
        <f>91-8238684484</f>
        <v>-8238684393</v>
      </c>
      <c r="AR20" s="1">
        <v>2</v>
      </c>
      <c r="AS20" s="1">
        <v>2</v>
      </c>
      <c r="AW20" s="1" t="s">
        <v>142</v>
      </c>
      <c r="AX20" s="1" t="s">
        <v>543</v>
      </c>
      <c r="AY20" s="1" t="s">
        <v>150</v>
      </c>
      <c r="AZ20" s="1">
        <v>5</v>
      </c>
      <c r="BA20" s="1">
        <v>5.04</v>
      </c>
      <c r="BB20" s="1" t="s">
        <v>151</v>
      </c>
      <c r="BC20" s="1" t="s">
        <v>152</v>
      </c>
      <c r="BD20" s="1" t="s">
        <v>153</v>
      </c>
      <c r="BE20" s="1" t="s">
        <v>544</v>
      </c>
      <c r="BF20" s="1" t="s">
        <v>120</v>
      </c>
      <c r="BG20" s="1" t="s">
        <v>545</v>
      </c>
      <c r="BH20" s="1" t="s">
        <v>114</v>
      </c>
      <c r="BI20" s="1" t="s">
        <v>192</v>
      </c>
      <c r="BJ20" s="1" t="s">
        <v>154</v>
      </c>
      <c r="BK20" s="1" t="s">
        <v>120</v>
      </c>
      <c r="BL20" s="1">
        <v>0</v>
      </c>
      <c r="BM20" s="1">
        <v>0</v>
      </c>
      <c r="BN20" s="1" t="s">
        <v>415</v>
      </c>
      <c r="BO20" s="1">
        <v>1</v>
      </c>
      <c r="BP20" s="1" t="s">
        <v>546</v>
      </c>
      <c r="BQ20" s="1" t="s">
        <v>180</v>
      </c>
      <c r="BR20" s="1">
        <v>0</v>
      </c>
      <c r="BS20" s="1" t="s">
        <v>129</v>
      </c>
      <c r="BT20" s="1" t="s">
        <v>124</v>
      </c>
      <c r="BV20" s="1" t="s">
        <v>112</v>
      </c>
      <c r="BW20" s="1" t="s">
        <v>547</v>
      </c>
      <c r="BX20" s="1" t="s">
        <v>548</v>
      </c>
      <c r="BY20" s="1" t="s">
        <v>120</v>
      </c>
      <c r="BZ20" s="1">
        <v>0</v>
      </c>
      <c r="CA20" s="1">
        <v>0</v>
      </c>
      <c r="CB20" s="4">
        <v>42069.931881631943</v>
      </c>
      <c r="CC20" s="1">
        <v>1</v>
      </c>
      <c r="CD20" s="1">
        <v>1</v>
      </c>
      <c r="CE20" s="1">
        <v>1</v>
      </c>
      <c r="CF20" s="1">
        <v>4</v>
      </c>
      <c r="CG20" s="4">
        <v>42761.334237766205</v>
      </c>
      <c r="CH20" s="1" t="s">
        <v>112</v>
      </c>
      <c r="CI20" s="1" t="s">
        <v>419</v>
      </c>
      <c r="CJ20" s="1" t="s">
        <v>157</v>
      </c>
    </row>
    <row r="21" spans="1:88" x14ac:dyDescent="0.35">
      <c r="A21" s="1">
        <v>122</v>
      </c>
      <c r="B21" s="1" t="s">
        <v>549</v>
      </c>
      <c r="C21" s="1" t="s">
        <v>550</v>
      </c>
      <c r="D21" s="1" t="s">
        <v>312</v>
      </c>
      <c r="E21" s="1" t="s">
        <v>551</v>
      </c>
      <c r="F21" s="1" t="s">
        <v>552</v>
      </c>
      <c r="G21" s="1">
        <v>1</v>
      </c>
      <c r="H21" s="3">
        <v>34392</v>
      </c>
      <c r="I21" s="1">
        <v>1</v>
      </c>
      <c r="J21" s="1" t="s">
        <v>162</v>
      </c>
      <c r="K21" s="1" t="s">
        <v>553</v>
      </c>
      <c r="L21" s="2">
        <f>91-9601776425</f>
        <v>-9601776334</v>
      </c>
      <c r="M21" s="1" t="s">
        <v>150</v>
      </c>
      <c r="N21" s="1">
        <v>0</v>
      </c>
      <c r="O21" s="1">
        <v>0</v>
      </c>
      <c r="P21" s="1">
        <v>6.02</v>
      </c>
      <c r="Q21" s="1">
        <v>11</v>
      </c>
      <c r="R21" s="1" t="s">
        <v>340</v>
      </c>
      <c r="S21" s="1" t="s">
        <v>136</v>
      </c>
      <c r="T21" s="1" t="s">
        <v>137</v>
      </c>
      <c r="U21" s="1" t="s">
        <v>554</v>
      </c>
      <c r="V21" s="1" t="s">
        <v>555</v>
      </c>
      <c r="X21" s="1" t="s">
        <v>100</v>
      </c>
      <c r="Y21" s="1" t="s">
        <v>210</v>
      </c>
      <c r="Z21" s="1" t="s">
        <v>556</v>
      </c>
      <c r="AA21" s="1" t="s">
        <v>557</v>
      </c>
      <c r="AB21" s="1">
        <v>0</v>
      </c>
      <c r="AD21" s="1" t="s">
        <v>558</v>
      </c>
      <c r="AE21" s="1">
        <f>91-9429084069</f>
        <v>-9429083978</v>
      </c>
      <c r="AF21" s="1" t="s">
        <v>105</v>
      </c>
      <c r="AG21" s="1" t="s">
        <v>559</v>
      </c>
      <c r="AH21" s="1" t="s">
        <v>560</v>
      </c>
      <c r="AI21" s="1" t="s">
        <v>561</v>
      </c>
      <c r="AJ21" s="1" t="s">
        <v>109</v>
      </c>
      <c r="AK21" s="1" t="s">
        <v>562</v>
      </c>
      <c r="AL21" s="1">
        <v>1</v>
      </c>
      <c r="AM21" s="1" t="s">
        <v>101</v>
      </c>
      <c r="AN21" s="1" t="s">
        <v>563</v>
      </c>
      <c r="AO21" s="1" t="s">
        <v>564</v>
      </c>
      <c r="AP21" s="1">
        <f>91-9601776425</f>
        <v>-9601776334</v>
      </c>
      <c r="AQ21" s="1" t="s">
        <v>565</v>
      </c>
      <c r="AR21" s="1">
        <v>0</v>
      </c>
      <c r="AS21" s="1">
        <v>0</v>
      </c>
      <c r="AT21" s="1" t="s">
        <v>566</v>
      </c>
      <c r="AU21" s="1" t="s">
        <v>567</v>
      </c>
      <c r="AV21" s="1" t="s">
        <v>568</v>
      </c>
      <c r="AW21" s="1">
        <f>91-9925166599</f>
        <v>-9925166508</v>
      </c>
      <c r="AX21" s="1" t="s">
        <v>569</v>
      </c>
      <c r="AY21" s="1" t="s">
        <v>150</v>
      </c>
      <c r="AZ21" s="1">
        <v>5</v>
      </c>
      <c r="BA21" s="1">
        <v>5</v>
      </c>
      <c r="BE21" s="1" t="s">
        <v>570</v>
      </c>
      <c r="BG21" s="1" t="s">
        <v>120</v>
      </c>
      <c r="BH21" s="1" t="s">
        <v>571</v>
      </c>
      <c r="BJ21" s="1" t="s">
        <v>154</v>
      </c>
      <c r="BK21" s="1" t="s">
        <v>120</v>
      </c>
      <c r="BL21" s="1">
        <v>0</v>
      </c>
      <c r="BM21" s="1">
        <v>1</v>
      </c>
      <c r="BN21" s="1" t="s">
        <v>572</v>
      </c>
      <c r="BO21" s="1">
        <v>1</v>
      </c>
      <c r="BP21" s="1" t="s">
        <v>573</v>
      </c>
      <c r="BQ21" s="5">
        <v>0.33333333333333331</v>
      </c>
      <c r="BR21" s="1">
        <v>1</v>
      </c>
      <c r="BS21" s="1" t="s">
        <v>354</v>
      </c>
      <c r="BT21" s="1" t="s">
        <v>124</v>
      </c>
      <c r="BU21" s="1" t="s">
        <v>574</v>
      </c>
      <c r="BV21" s="1" t="s">
        <v>112</v>
      </c>
      <c r="BW21" s="1" t="s">
        <v>575</v>
      </c>
      <c r="BX21" s="1" t="s">
        <v>576</v>
      </c>
      <c r="BY21" s="1" t="s">
        <v>127</v>
      </c>
      <c r="BZ21" s="1">
        <v>1</v>
      </c>
      <c r="CA21" s="1">
        <v>1</v>
      </c>
      <c r="CB21" s="4">
        <v>42078.994155092594</v>
      </c>
      <c r="CC21" s="1">
        <v>1</v>
      </c>
      <c r="CD21" s="1">
        <v>1</v>
      </c>
      <c r="CE21" s="1">
        <v>1</v>
      </c>
      <c r="CF21" s="1">
        <v>1</v>
      </c>
      <c r="CG21" s="4">
        <v>43423.33313515046</v>
      </c>
      <c r="CH21" s="1" t="s">
        <v>112</v>
      </c>
      <c r="CI21" s="1" t="s">
        <v>577</v>
      </c>
      <c r="CJ21" s="1" t="s">
        <v>129</v>
      </c>
    </row>
    <row r="22" spans="1:88" x14ac:dyDescent="0.35">
      <c r="A22" s="1">
        <v>123</v>
      </c>
      <c r="B22" s="1" t="s">
        <v>578</v>
      </c>
      <c r="C22" s="1" t="s">
        <v>579</v>
      </c>
      <c r="D22" s="1" t="s">
        <v>90</v>
      </c>
      <c r="E22" s="1" t="s">
        <v>580</v>
      </c>
      <c r="F22" s="1" t="s">
        <v>581</v>
      </c>
      <c r="G22" s="1">
        <v>1</v>
      </c>
      <c r="H22" s="3">
        <v>32633</v>
      </c>
      <c r="I22" s="1">
        <v>1</v>
      </c>
      <c r="J22" s="1" t="s">
        <v>582</v>
      </c>
      <c r="K22" s="1" t="s">
        <v>583</v>
      </c>
      <c r="L22" s="2">
        <f>91-7046634809</f>
        <v>-7046634718</v>
      </c>
      <c r="M22" s="1" t="s">
        <v>150</v>
      </c>
      <c r="N22" s="1">
        <v>0</v>
      </c>
      <c r="O22" s="1">
        <v>0</v>
      </c>
      <c r="P22" s="1">
        <v>5.0599999999999996</v>
      </c>
      <c r="Q22" s="1">
        <v>43</v>
      </c>
      <c r="R22" s="1" t="s">
        <v>188</v>
      </c>
      <c r="S22" s="1" t="s">
        <v>492</v>
      </c>
      <c r="T22" s="1" t="s">
        <v>137</v>
      </c>
      <c r="U22" s="1" t="s">
        <v>198</v>
      </c>
      <c r="X22" s="1" t="s">
        <v>296</v>
      </c>
      <c r="Y22" s="1" t="s">
        <v>111</v>
      </c>
      <c r="Z22" s="1" t="s">
        <v>584</v>
      </c>
      <c r="AA22" s="1" t="s">
        <v>585</v>
      </c>
      <c r="AB22" s="1">
        <v>0</v>
      </c>
      <c r="AD22" s="1" t="s">
        <v>586</v>
      </c>
      <c r="AE22" s="1">
        <f>91-7046634809</f>
        <v>-7046634718</v>
      </c>
      <c r="AF22" s="1" t="s">
        <v>105</v>
      </c>
      <c r="AG22" s="1" t="s">
        <v>587</v>
      </c>
      <c r="AH22" s="1" t="s">
        <v>588</v>
      </c>
      <c r="AI22" s="1" t="s">
        <v>589</v>
      </c>
      <c r="AJ22" s="1" t="s">
        <v>109</v>
      </c>
      <c r="AK22" s="1" t="s">
        <v>590</v>
      </c>
      <c r="AL22" s="1">
        <v>4</v>
      </c>
      <c r="AM22" s="1" t="s">
        <v>111</v>
      </c>
      <c r="AO22" s="1" t="s">
        <v>591</v>
      </c>
      <c r="AP22" s="1">
        <f>91-9428648872</f>
        <v>-9428648781</v>
      </c>
      <c r="AR22" s="1">
        <v>1</v>
      </c>
      <c r="AS22" s="1">
        <v>1</v>
      </c>
      <c r="AW22" s="1" t="s">
        <v>142</v>
      </c>
      <c r="AX22" s="1" t="s">
        <v>592</v>
      </c>
      <c r="AY22" s="1" t="s">
        <v>593</v>
      </c>
      <c r="AZ22" s="1">
        <v>4.0999999999999996</v>
      </c>
      <c r="BA22" s="1">
        <v>5.04</v>
      </c>
      <c r="BE22" s="1" t="s">
        <v>120</v>
      </c>
      <c r="BG22" s="1" t="s">
        <v>120</v>
      </c>
      <c r="BH22" s="1" t="s">
        <v>120</v>
      </c>
      <c r="BJ22" s="1" t="s">
        <v>71</v>
      </c>
      <c r="BK22" s="1" t="s">
        <v>120</v>
      </c>
      <c r="BL22" s="1">
        <v>0</v>
      </c>
      <c r="BM22" s="1">
        <v>1</v>
      </c>
      <c r="BN22" s="1" t="s">
        <v>594</v>
      </c>
      <c r="BO22" s="1">
        <v>1</v>
      </c>
      <c r="BP22" s="1" t="s">
        <v>595</v>
      </c>
      <c r="BQ22" s="1" t="s">
        <v>112</v>
      </c>
      <c r="BR22" s="1">
        <v>1</v>
      </c>
      <c r="BS22" s="1" t="s">
        <v>596</v>
      </c>
      <c r="BT22" s="1" t="s">
        <v>306</v>
      </c>
      <c r="BU22" s="1" t="s">
        <v>112</v>
      </c>
      <c r="BV22" s="1" t="s">
        <v>112</v>
      </c>
      <c r="BW22" s="1" t="s">
        <v>597</v>
      </c>
      <c r="BX22" s="1" t="s">
        <v>598</v>
      </c>
      <c r="BY22" s="1" t="s">
        <v>120</v>
      </c>
      <c r="BZ22" s="1">
        <v>1</v>
      </c>
      <c r="CA22" s="1">
        <v>1</v>
      </c>
      <c r="CB22" s="4">
        <v>42079.259256446756</v>
      </c>
      <c r="CC22" s="1">
        <v>1</v>
      </c>
      <c r="CD22" s="1">
        <v>1</v>
      </c>
      <c r="CE22" s="1">
        <v>1</v>
      </c>
      <c r="CF22" s="1">
        <v>1</v>
      </c>
      <c r="CG22" s="4">
        <v>43279.513058067132</v>
      </c>
      <c r="CH22" s="1" t="s">
        <v>112</v>
      </c>
      <c r="CI22" s="1" t="s">
        <v>599</v>
      </c>
      <c r="CJ22" s="1" t="s">
        <v>129</v>
      </c>
    </row>
    <row r="23" spans="1:88" x14ac:dyDescent="0.35">
      <c r="A23" s="1">
        <v>126</v>
      </c>
      <c r="B23" s="1" t="s">
        <v>600</v>
      </c>
      <c r="C23" s="1" t="s">
        <v>601</v>
      </c>
      <c r="D23" s="1" t="s">
        <v>90</v>
      </c>
      <c r="E23" s="1" t="s">
        <v>602</v>
      </c>
      <c r="F23" s="1" t="s">
        <v>603</v>
      </c>
      <c r="G23" s="1">
        <v>1</v>
      </c>
      <c r="H23" s="3">
        <v>33107</v>
      </c>
      <c r="I23" s="1">
        <v>1</v>
      </c>
      <c r="J23" s="1" t="s">
        <v>162</v>
      </c>
      <c r="K23" s="1" t="s">
        <v>604</v>
      </c>
      <c r="L23" s="2">
        <f>91-9714236702</f>
        <v>-9714236611</v>
      </c>
      <c r="M23" s="1" t="s">
        <v>150</v>
      </c>
      <c r="N23" s="1">
        <v>0</v>
      </c>
      <c r="O23" s="1">
        <v>0</v>
      </c>
      <c r="P23" s="1">
        <v>5.04</v>
      </c>
      <c r="Q23" s="1">
        <v>8</v>
      </c>
      <c r="R23" s="1" t="s">
        <v>605</v>
      </c>
      <c r="S23" s="1" t="s">
        <v>97</v>
      </c>
      <c r="T23" s="1" t="s">
        <v>427</v>
      </c>
      <c r="U23" s="1" t="s">
        <v>606</v>
      </c>
      <c r="V23" s="1" t="s">
        <v>607</v>
      </c>
      <c r="X23" s="1" t="s">
        <v>170</v>
      </c>
      <c r="Y23" s="1" t="s">
        <v>111</v>
      </c>
      <c r="Z23" s="1" t="s">
        <v>608</v>
      </c>
      <c r="AA23" s="1" t="s">
        <v>609</v>
      </c>
      <c r="AB23" s="1">
        <v>0</v>
      </c>
      <c r="AD23" s="1" t="s">
        <v>610</v>
      </c>
      <c r="AE23" s="1">
        <f>91-9714236702</f>
        <v>-9714236611</v>
      </c>
      <c r="AF23" s="1" t="s">
        <v>105</v>
      </c>
      <c r="AG23" s="1" t="s">
        <v>611</v>
      </c>
      <c r="AH23" s="1" t="s">
        <v>612</v>
      </c>
      <c r="AI23" s="1" t="s">
        <v>613</v>
      </c>
      <c r="AJ23" s="1" t="s">
        <v>109</v>
      </c>
      <c r="AK23" s="1" t="s">
        <v>614</v>
      </c>
      <c r="AL23" s="1">
        <v>50</v>
      </c>
      <c r="AM23" s="1" t="s">
        <v>111</v>
      </c>
      <c r="AN23" s="1" t="s">
        <v>615</v>
      </c>
      <c r="AO23" s="1" t="s">
        <v>616</v>
      </c>
      <c r="AP23" s="1">
        <f>91-9979065120</f>
        <v>-9979065029</v>
      </c>
      <c r="AQ23" s="1" t="s">
        <v>617</v>
      </c>
      <c r="AR23" s="1">
        <v>1</v>
      </c>
      <c r="AS23" s="1">
        <v>0</v>
      </c>
      <c r="AT23" s="1" t="s">
        <v>618</v>
      </c>
      <c r="AU23" s="1" t="s">
        <v>619</v>
      </c>
      <c r="AV23" s="1" t="s">
        <v>620</v>
      </c>
      <c r="AW23" s="1">
        <f>91-9827011567</f>
        <v>-9827011476</v>
      </c>
      <c r="AX23" s="1" t="s">
        <v>621</v>
      </c>
      <c r="AY23" s="1" t="s">
        <v>150</v>
      </c>
      <c r="AZ23" s="1">
        <v>4</v>
      </c>
      <c r="BA23" s="1">
        <v>5.04</v>
      </c>
      <c r="BB23" s="1" t="s">
        <v>151</v>
      </c>
      <c r="BC23" s="1" t="s">
        <v>304</v>
      </c>
      <c r="BD23" s="1" t="s">
        <v>305</v>
      </c>
      <c r="BE23" s="1" t="s">
        <v>120</v>
      </c>
      <c r="BF23" s="1" t="s">
        <v>120</v>
      </c>
      <c r="BG23" s="1" t="s">
        <v>120</v>
      </c>
      <c r="BH23" s="1" t="s">
        <v>120</v>
      </c>
      <c r="BJ23" s="1" t="s">
        <v>120</v>
      </c>
      <c r="BK23" s="1" t="s">
        <v>120</v>
      </c>
      <c r="BL23" s="1">
        <v>0</v>
      </c>
      <c r="BM23" s="1">
        <v>0</v>
      </c>
      <c r="BN23" s="1" t="s">
        <v>622</v>
      </c>
      <c r="BO23" s="1">
        <v>1</v>
      </c>
      <c r="BP23" s="1" t="s">
        <v>623</v>
      </c>
      <c r="BQ23" s="1" t="s">
        <v>112</v>
      </c>
      <c r="BR23" s="1">
        <v>0</v>
      </c>
      <c r="BS23" s="1" t="s">
        <v>181</v>
      </c>
      <c r="BT23" s="1" t="s">
        <v>124</v>
      </c>
      <c r="BU23" s="1" t="s">
        <v>624</v>
      </c>
      <c r="BV23" s="1" t="s">
        <v>112</v>
      </c>
      <c r="BW23" s="1" t="s">
        <v>625</v>
      </c>
      <c r="BX23" s="1" t="s">
        <v>626</v>
      </c>
      <c r="BY23" s="1" t="s">
        <v>127</v>
      </c>
      <c r="BZ23" s="1">
        <v>0</v>
      </c>
      <c r="CA23" s="1">
        <v>0</v>
      </c>
      <c r="CB23" s="4">
        <v>42080.06925925926</v>
      </c>
      <c r="CC23" s="1">
        <v>1</v>
      </c>
      <c r="CD23" s="1">
        <v>1</v>
      </c>
      <c r="CE23" s="1">
        <v>1</v>
      </c>
      <c r="CF23" s="1">
        <v>4</v>
      </c>
      <c r="CG23" s="4">
        <v>42908.358887615737</v>
      </c>
      <c r="CH23" s="1" t="s">
        <v>112</v>
      </c>
      <c r="CI23" s="1" t="s">
        <v>627</v>
      </c>
      <c r="CJ23" s="1" t="s">
        <v>157</v>
      </c>
    </row>
    <row r="24" spans="1:88" x14ac:dyDescent="0.35">
      <c r="A24" s="1">
        <v>128</v>
      </c>
      <c r="B24" s="1" t="s">
        <v>628</v>
      </c>
      <c r="D24" s="1" t="s">
        <v>90</v>
      </c>
      <c r="E24" s="1" t="s">
        <v>629</v>
      </c>
      <c r="F24" s="1" t="s">
        <v>630</v>
      </c>
      <c r="G24" s="1">
        <v>1</v>
      </c>
      <c r="H24" s="3">
        <v>33974</v>
      </c>
      <c r="I24" s="1">
        <v>1</v>
      </c>
      <c r="J24" s="1" t="s">
        <v>162</v>
      </c>
      <c r="K24" s="1" t="s">
        <v>163</v>
      </c>
      <c r="L24" s="2">
        <f>91-8866557357</f>
        <v>-8866557266</v>
      </c>
      <c r="M24" s="1" t="s">
        <v>150</v>
      </c>
      <c r="N24" s="1">
        <v>0</v>
      </c>
      <c r="O24" s="1">
        <v>0</v>
      </c>
      <c r="P24" s="1">
        <v>5.01</v>
      </c>
      <c r="Q24" s="1">
        <v>5</v>
      </c>
      <c r="R24" s="1" t="s">
        <v>263</v>
      </c>
      <c r="S24" s="1" t="s">
        <v>97</v>
      </c>
      <c r="T24" s="1" t="s">
        <v>427</v>
      </c>
      <c r="U24" s="1" t="s">
        <v>631</v>
      </c>
      <c r="V24" s="1" t="s">
        <v>632</v>
      </c>
      <c r="W24" s="1" t="s">
        <v>633</v>
      </c>
      <c r="X24" s="1" t="s">
        <v>100</v>
      </c>
      <c r="Y24" s="1" t="s">
        <v>268</v>
      </c>
      <c r="Z24" s="1" t="s">
        <v>634</v>
      </c>
      <c r="AB24" s="1">
        <v>1</v>
      </c>
      <c r="AC24" s="1" t="s">
        <v>635</v>
      </c>
      <c r="AD24" s="1" t="s">
        <v>636</v>
      </c>
      <c r="AE24" s="1" t="s">
        <v>142</v>
      </c>
      <c r="AF24" s="1" t="s">
        <v>143</v>
      </c>
      <c r="AG24" s="1" t="s">
        <v>637</v>
      </c>
      <c r="AH24" s="1" t="s">
        <v>638</v>
      </c>
      <c r="AI24" s="1" t="s">
        <v>639</v>
      </c>
      <c r="AJ24" s="1" t="s">
        <v>478</v>
      </c>
      <c r="AK24" s="1" t="s">
        <v>640</v>
      </c>
      <c r="AL24" s="1">
        <v>5</v>
      </c>
      <c r="AM24" s="1" t="s">
        <v>101</v>
      </c>
      <c r="AN24" s="1" t="s">
        <v>641</v>
      </c>
      <c r="AP24" s="1">
        <f>91-9904013396</f>
        <v>-9904013305</v>
      </c>
      <c r="AQ24" s="1">
        <v>9904013396</v>
      </c>
      <c r="AR24" s="1">
        <v>1</v>
      </c>
      <c r="AS24" s="1">
        <v>1</v>
      </c>
      <c r="AW24" s="1" t="s">
        <v>142</v>
      </c>
      <c r="AX24" s="1" t="s">
        <v>642</v>
      </c>
      <c r="AY24" s="1" t="s">
        <v>150</v>
      </c>
      <c r="AZ24" s="1">
        <v>4.1100000000000003</v>
      </c>
      <c r="BA24" s="1">
        <v>5.09</v>
      </c>
      <c r="BB24" s="1" t="s">
        <v>151</v>
      </c>
      <c r="BC24" s="1" t="s">
        <v>152</v>
      </c>
      <c r="BD24" s="1" t="s">
        <v>153</v>
      </c>
      <c r="BE24" s="1" t="s">
        <v>233</v>
      </c>
      <c r="BF24" s="1" t="s">
        <v>120</v>
      </c>
      <c r="BG24" s="1" t="s">
        <v>100</v>
      </c>
      <c r="BH24" s="1" t="s">
        <v>268</v>
      </c>
      <c r="BI24" s="1" t="s">
        <v>634</v>
      </c>
      <c r="BJ24" s="1" t="s">
        <v>120</v>
      </c>
      <c r="BK24" s="1" t="s">
        <v>143</v>
      </c>
      <c r="BL24" s="1">
        <v>0</v>
      </c>
      <c r="BM24" s="1">
        <v>0</v>
      </c>
      <c r="BN24" s="1" t="s">
        <v>643</v>
      </c>
      <c r="BO24" s="1">
        <v>1</v>
      </c>
      <c r="BP24" s="1" t="s">
        <v>644</v>
      </c>
      <c r="BQ24" s="1" t="s">
        <v>645</v>
      </c>
      <c r="BR24" s="1">
        <v>0</v>
      </c>
      <c r="BS24" s="1" t="s">
        <v>123</v>
      </c>
      <c r="BT24" s="1" t="s">
        <v>124</v>
      </c>
      <c r="BV24" s="1" t="s">
        <v>112</v>
      </c>
      <c r="BW24" s="1" t="s">
        <v>646</v>
      </c>
      <c r="BX24" s="1" t="s">
        <v>647</v>
      </c>
      <c r="BY24" s="1" t="s">
        <v>120</v>
      </c>
      <c r="BZ24" s="1">
        <v>0</v>
      </c>
      <c r="CA24" s="1">
        <v>0</v>
      </c>
      <c r="CB24" s="4">
        <v>42081.893232442133</v>
      </c>
      <c r="CC24" s="1">
        <v>1</v>
      </c>
      <c r="CD24" s="1">
        <v>1</v>
      </c>
      <c r="CE24" s="1">
        <v>1</v>
      </c>
      <c r="CF24" s="1">
        <v>4</v>
      </c>
      <c r="CG24" s="1" t="s">
        <v>112</v>
      </c>
      <c r="CH24" s="1" t="s">
        <v>112</v>
      </c>
      <c r="CI24" s="1" t="s">
        <v>648</v>
      </c>
      <c r="CJ24" s="1" t="s">
        <v>157</v>
      </c>
    </row>
    <row r="25" spans="1:88" x14ac:dyDescent="0.35">
      <c r="A25" s="1">
        <v>135</v>
      </c>
      <c r="B25" s="1" t="s">
        <v>649</v>
      </c>
      <c r="C25" s="1" t="s">
        <v>650</v>
      </c>
      <c r="D25" s="1" t="s">
        <v>90</v>
      </c>
      <c r="E25" s="1" t="s">
        <v>290</v>
      </c>
      <c r="F25" s="1" t="s">
        <v>651</v>
      </c>
      <c r="G25" s="1">
        <v>1</v>
      </c>
      <c r="H25" s="3">
        <v>31574</v>
      </c>
      <c r="I25" s="1">
        <v>1</v>
      </c>
      <c r="J25" s="1" t="s">
        <v>315</v>
      </c>
      <c r="K25" s="1" t="s">
        <v>652</v>
      </c>
      <c r="L25" s="2">
        <f>91-9164584790</f>
        <v>-9164584699</v>
      </c>
      <c r="M25" s="1" t="s">
        <v>150</v>
      </c>
      <c r="N25" s="1">
        <v>0</v>
      </c>
      <c r="O25" s="1">
        <v>0</v>
      </c>
      <c r="P25" s="1">
        <v>5.05</v>
      </c>
      <c r="Q25" s="1">
        <v>27</v>
      </c>
      <c r="R25" s="1" t="s">
        <v>653</v>
      </c>
      <c r="S25" s="1" t="s">
        <v>136</v>
      </c>
      <c r="T25" s="1" t="s">
        <v>137</v>
      </c>
      <c r="U25" s="1" t="s">
        <v>138</v>
      </c>
      <c r="V25" s="1" t="s">
        <v>654</v>
      </c>
      <c r="X25" s="1" t="s">
        <v>296</v>
      </c>
      <c r="Y25" s="1" t="s">
        <v>111</v>
      </c>
      <c r="Z25" s="1" t="s">
        <v>192</v>
      </c>
      <c r="AA25" s="1" t="s">
        <v>655</v>
      </c>
      <c r="AB25" s="1">
        <v>0</v>
      </c>
      <c r="AD25" s="1" t="s">
        <v>656</v>
      </c>
      <c r="AE25" s="1">
        <f>91-9844480789</f>
        <v>-9844480698</v>
      </c>
      <c r="AF25" s="1" t="s">
        <v>143</v>
      </c>
      <c r="AG25" s="1" t="s">
        <v>657</v>
      </c>
      <c r="AH25" s="1" t="s">
        <v>658</v>
      </c>
      <c r="AI25" s="1" t="s">
        <v>659</v>
      </c>
      <c r="AJ25" s="1" t="s">
        <v>109</v>
      </c>
      <c r="AK25" s="1" t="s">
        <v>660</v>
      </c>
      <c r="AL25" s="1">
        <v>12</v>
      </c>
      <c r="AM25" s="1" t="s">
        <v>111</v>
      </c>
      <c r="AN25" s="1" t="s">
        <v>112</v>
      </c>
      <c r="AO25" s="1" t="s">
        <v>660</v>
      </c>
      <c r="AP25" s="1">
        <f>91-9844480789</f>
        <v>-9844480698</v>
      </c>
      <c r="AQ25" s="1" t="s">
        <v>502</v>
      </c>
      <c r="AR25" s="1">
        <v>1</v>
      </c>
      <c r="AS25" s="1">
        <v>1</v>
      </c>
      <c r="AT25" s="1" t="s">
        <v>661</v>
      </c>
      <c r="AU25" s="1" t="s">
        <v>662</v>
      </c>
      <c r="AV25" s="1" t="s">
        <v>663</v>
      </c>
      <c r="AW25" s="1" t="s">
        <v>142</v>
      </c>
      <c r="AX25" s="1" t="s">
        <v>664</v>
      </c>
      <c r="AY25" s="1" t="s">
        <v>249</v>
      </c>
      <c r="AZ25" s="1">
        <v>4.0999999999999996</v>
      </c>
      <c r="BA25" s="1">
        <v>5.0199999999999996</v>
      </c>
      <c r="BB25" s="1" t="s">
        <v>151</v>
      </c>
      <c r="BC25" s="1" t="s">
        <v>304</v>
      </c>
      <c r="BD25" s="1" t="s">
        <v>305</v>
      </c>
      <c r="BE25" s="1" t="s">
        <v>120</v>
      </c>
      <c r="BF25" s="1" t="s">
        <v>120</v>
      </c>
      <c r="BG25" s="1" t="s">
        <v>120</v>
      </c>
      <c r="BH25" s="1" t="s">
        <v>120</v>
      </c>
      <c r="BI25" s="1" t="s">
        <v>112</v>
      </c>
      <c r="BJ25" s="1" t="s">
        <v>120</v>
      </c>
      <c r="BK25" s="1" t="s">
        <v>120</v>
      </c>
      <c r="BL25" s="1">
        <v>0</v>
      </c>
      <c r="BM25" s="1">
        <v>0</v>
      </c>
      <c r="BN25" s="1" t="s">
        <v>665</v>
      </c>
      <c r="BO25" s="1">
        <v>1</v>
      </c>
      <c r="BP25" s="1" t="s">
        <v>666</v>
      </c>
      <c r="BQ25" s="1" t="s">
        <v>112</v>
      </c>
      <c r="BR25" s="1">
        <v>1</v>
      </c>
      <c r="BS25" s="1" t="s">
        <v>307</v>
      </c>
      <c r="BT25" s="1" t="s">
        <v>124</v>
      </c>
      <c r="BU25" s="1" t="s">
        <v>112</v>
      </c>
      <c r="BV25" s="1" t="s">
        <v>112</v>
      </c>
      <c r="BW25" s="1" t="s">
        <v>667</v>
      </c>
      <c r="BX25" s="1" t="s">
        <v>668</v>
      </c>
      <c r="BY25" s="1" t="s">
        <v>127</v>
      </c>
      <c r="BZ25" s="1">
        <v>1</v>
      </c>
      <c r="CA25" s="1">
        <v>1</v>
      </c>
      <c r="CB25" s="4">
        <v>42084.033541666664</v>
      </c>
      <c r="CC25" s="1">
        <v>1</v>
      </c>
      <c r="CD25" s="1">
        <v>1</v>
      </c>
      <c r="CE25" s="1">
        <v>1</v>
      </c>
      <c r="CF25" s="1">
        <v>4</v>
      </c>
      <c r="CG25" s="4">
        <v>42995.323281597222</v>
      </c>
      <c r="CH25" s="1" t="s">
        <v>112</v>
      </c>
      <c r="CI25" s="1" t="s">
        <v>332</v>
      </c>
      <c r="CJ25" s="1" t="s">
        <v>157</v>
      </c>
    </row>
    <row r="26" spans="1:88" x14ac:dyDescent="0.35">
      <c r="A26" s="1">
        <v>139</v>
      </c>
      <c r="B26" s="1" t="s">
        <v>669</v>
      </c>
      <c r="C26" s="1" t="s">
        <v>670</v>
      </c>
      <c r="D26" s="1" t="s">
        <v>90</v>
      </c>
      <c r="E26" s="1" t="s">
        <v>671</v>
      </c>
      <c r="F26" s="1" t="s">
        <v>134</v>
      </c>
      <c r="G26" s="1">
        <v>0</v>
      </c>
      <c r="H26" s="3">
        <v>31681</v>
      </c>
      <c r="I26" s="1">
        <v>1</v>
      </c>
      <c r="J26" s="1" t="s">
        <v>162</v>
      </c>
      <c r="K26" s="1" t="s">
        <v>232</v>
      </c>
      <c r="L26" s="2">
        <f>91-9978815255</f>
        <v>-9978815164</v>
      </c>
      <c r="M26" s="1" t="s">
        <v>150</v>
      </c>
      <c r="N26" s="1">
        <v>0</v>
      </c>
      <c r="O26" s="1">
        <v>0</v>
      </c>
      <c r="P26" s="1">
        <v>5.05</v>
      </c>
      <c r="Q26" s="1">
        <v>27</v>
      </c>
      <c r="R26" s="1" t="s">
        <v>672</v>
      </c>
      <c r="S26" s="1" t="s">
        <v>136</v>
      </c>
      <c r="T26" s="1" t="s">
        <v>234</v>
      </c>
      <c r="U26" s="1" t="s">
        <v>673</v>
      </c>
      <c r="V26" s="1" t="s">
        <v>674</v>
      </c>
      <c r="W26" s="1" t="s">
        <v>675</v>
      </c>
      <c r="X26" s="1" t="s">
        <v>100</v>
      </c>
      <c r="Y26" s="1" t="s">
        <v>210</v>
      </c>
      <c r="Z26" s="1" t="s">
        <v>676</v>
      </c>
      <c r="AA26" s="1" t="s">
        <v>677</v>
      </c>
      <c r="AB26" s="1">
        <v>0</v>
      </c>
      <c r="AD26" s="1" t="s">
        <v>678</v>
      </c>
      <c r="AE26" s="1" t="s">
        <v>142</v>
      </c>
      <c r="AF26" s="1" t="s">
        <v>105</v>
      </c>
      <c r="AG26" s="1" t="s">
        <v>679</v>
      </c>
      <c r="AH26" s="1" t="s">
        <v>680</v>
      </c>
      <c r="AI26" s="1" t="s">
        <v>681</v>
      </c>
      <c r="AJ26" s="1" t="s">
        <v>109</v>
      </c>
      <c r="AK26" s="1" t="s">
        <v>682</v>
      </c>
      <c r="AL26" s="1">
        <v>25</v>
      </c>
      <c r="AM26" s="1" t="s">
        <v>111</v>
      </c>
      <c r="AP26" s="1">
        <f>91-9108459561</f>
        <v>-9108459470</v>
      </c>
      <c r="AR26" s="1">
        <v>1</v>
      </c>
      <c r="AS26" s="1">
        <v>1</v>
      </c>
      <c r="AW26" s="1" t="s">
        <v>142</v>
      </c>
      <c r="AX26" s="1" t="s">
        <v>683</v>
      </c>
      <c r="AY26" s="1" t="s">
        <v>119</v>
      </c>
      <c r="AZ26" s="1">
        <v>5.07</v>
      </c>
      <c r="BA26" s="1">
        <v>7.05</v>
      </c>
      <c r="BE26" s="1" t="s">
        <v>219</v>
      </c>
      <c r="BG26" s="1" t="s">
        <v>684</v>
      </c>
      <c r="BH26" s="1" t="s">
        <v>120</v>
      </c>
      <c r="BJ26" s="1" t="s">
        <v>120</v>
      </c>
      <c r="BK26" s="1" t="s">
        <v>120</v>
      </c>
      <c r="BL26" s="1">
        <v>0</v>
      </c>
      <c r="BM26" s="1">
        <v>0</v>
      </c>
      <c r="BN26" s="1" t="s">
        <v>685</v>
      </c>
      <c r="BO26" s="1">
        <v>1</v>
      </c>
      <c r="BP26" s="1" t="s">
        <v>686</v>
      </c>
      <c r="BQ26" s="1" t="s">
        <v>112</v>
      </c>
      <c r="BR26" s="1">
        <v>1</v>
      </c>
      <c r="BS26" s="1" t="s">
        <v>252</v>
      </c>
      <c r="BT26" s="1" t="s">
        <v>306</v>
      </c>
      <c r="BU26" s="1" t="s">
        <v>687</v>
      </c>
      <c r="BV26" s="1" t="s">
        <v>112</v>
      </c>
      <c r="BW26" s="1" t="s">
        <v>688</v>
      </c>
      <c r="BX26" s="1" t="s">
        <v>112</v>
      </c>
      <c r="BY26" s="1" t="s">
        <v>120</v>
      </c>
      <c r="BZ26" s="1">
        <v>1</v>
      </c>
      <c r="CA26" s="1">
        <v>1</v>
      </c>
      <c r="CB26" s="4">
        <v>42086.847971990741</v>
      </c>
      <c r="CC26" s="1">
        <v>1</v>
      </c>
      <c r="CD26" s="1">
        <v>1</v>
      </c>
      <c r="CE26" s="1">
        <v>1</v>
      </c>
      <c r="CF26" s="1">
        <v>4</v>
      </c>
      <c r="CG26" s="4">
        <v>42961.367292627314</v>
      </c>
      <c r="CH26" s="1" t="s">
        <v>112</v>
      </c>
      <c r="CI26" s="1" t="s">
        <v>689</v>
      </c>
      <c r="CJ26" s="1" t="s">
        <v>129</v>
      </c>
    </row>
    <row r="27" spans="1:88" x14ac:dyDescent="0.35">
      <c r="A27" s="1">
        <v>140</v>
      </c>
      <c r="B27" s="1" t="s">
        <v>690</v>
      </c>
      <c r="C27" s="1" t="s">
        <v>691</v>
      </c>
      <c r="D27" s="1" t="s">
        <v>90</v>
      </c>
      <c r="E27" s="1" t="s">
        <v>692</v>
      </c>
      <c r="F27" s="1" t="s">
        <v>185</v>
      </c>
      <c r="G27" s="1">
        <v>0</v>
      </c>
      <c r="H27" s="3">
        <v>32280</v>
      </c>
      <c r="I27" s="1">
        <v>1</v>
      </c>
      <c r="J27" s="1" t="s">
        <v>186</v>
      </c>
      <c r="K27" s="1" t="s">
        <v>407</v>
      </c>
      <c r="L27" s="2">
        <f>91-9425905620</f>
        <v>-9425905529</v>
      </c>
      <c r="M27" s="1" t="s">
        <v>150</v>
      </c>
      <c r="N27" s="1">
        <v>0</v>
      </c>
      <c r="O27" s="1">
        <v>0</v>
      </c>
      <c r="P27" s="1">
        <v>5.07</v>
      </c>
      <c r="Q27" s="1">
        <v>11</v>
      </c>
      <c r="R27" s="1" t="s">
        <v>693</v>
      </c>
      <c r="S27" s="1" t="s">
        <v>136</v>
      </c>
      <c r="T27" s="1" t="s">
        <v>234</v>
      </c>
      <c r="U27" s="1" t="s">
        <v>694</v>
      </c>
      <c r="V27" s="1" t="s">
        <v>429</v>
      </c>
      <c r="W27" s="1" t="s">
        <v>695</v>
      </c>
      <c r="X27" s="1" t="s">
        <v>100</v>
      </c>
      <c r="Y27" s="1" t="s">
        <v>268</v>
      </c>
      <c r="Z27" s="1" t="s">
        <v>696</v>
      </c>
      <c r="AA27" s="1" t="s">
        <v>112</v>
      </c>
      <c r="AB27" s="1">
        <v>0</v>
      </c>
      <c r="AC27" s="1" t="s">
        <v>112</v>
      </c>
      <c r="AD27" s="1" t="s">
        <v>697</v>
      </c>
      <c r="AE27" s="1">
        <f>91-9826086232</f>
        <v>-9826086141</v>
      </c>
      <c r="AF27" s="1" t="s">
        <v>105</v>
      </c>
      <c r="AG27" s="1" t="s">
        <v>698</v>
      </c>
      <c r="AH27" s="1" t="s">
        <v>699</v>
      </c>
      <c r="AI27" s="1" t="s">
        <v>700</v>
      </c>
      <c r="AJ27" s="1" t="s">
        <v>109</v>
      </c>
      <c r="AK27" s="1" t="s">
        <v>701</v>
      </c>
      <c r="AL27" s="1">
        <v>60</v>
      </c>
      <c r="AM27" s="1" t="s">
        <v>111</v>
      </c>
      <c r="AN27" s="1" t="s">
        <v>702</v>
      </c>
      <c r="AO27" s="1" t="s">
        <v>703</v>
      </c>
      <c r="AP27" s="1">
        <f>91-9826086232</f>
        <v>-9826086141</v>
      </c>
      <c r="AQ27" s="1" t="s">
        <v>502</v>
      </c>
      <c r="AR27" s="1">
        <v>1</v>
      </c>
      <c r="AS27" s="1">
        <v>0</v>
      </c>
      <c r="AW27" s="1" t="s">
        <v>142</v>
      </c>
      <c r="AX27" s="1" t="s">
        <v>704</v>
      </c>
      <c r="AY27" s="1" t="s">
        <v>150</v>
      </c>
      <c r="AZ27" s="1">
        <v>5.07</v>
      </c>
      <c r="BA27" s="1">
        <v>6.04</v>
      </c>
      <c r="BB27" s="1" t="s">
        <v>112</v>
      </c>
      <c r="BC27" s="1" t="s">
        <v>112</v>
      </c>
      <c r="BD27" s="1" t="s">
        <v>112</v>
      </c>
      <c r="BE27" s="1" t="s">
        <v>97</v>
      </c>
      <c r="BF27" s="1" t="s">
        <v>112</v>
      </c>
      <c r="BG27" s="1" t="s">
        <v>100</v>
      </c>
      <c r="BH27" s="1" t="s">
        <v>120</v>
      </c>
      <c r="BI27" s="1" t="s">
        <v>112</v>
      </c>
      <c r="BJ27" s="1" t="s">
        <v>154</v>
      </c>
      <c r="BK27" s="1" t="s">
        <v>120</v>
      </c>
      <c r="BL27" s="1">
        <v>0</v>
      </c>
      <c r="BM27" s="1">
        <v>1</v>
      </c>
      <c r="BN27" s="1" t="s">
        <v>705</v>
      </c>
      <c r="BO27" s="1">
        <v>1</v>
      </c>
      <c r="BP27" s="1" t="s">
        <v>407</v>
      </c>
      <c r="BQ27" s="1" t="s">
        <v>112</v>
      </c>
      <c r="BR27" s="1">
        <v>1</v>
      </c>
      <c r="BS27" s="1" t="s">
        <v>334</v>
      </c>
      <c r="BT27" s="1" t="s">
        <v>124</v>
      </c>
      <c r="BU27" s="1" t="s">
        <v>112</v>
      </c>
      <c r="BV27" s="1" t="s">
        <v>112</v>
      </c>
      <c r="BW27" s="1" t="s">
        <v>706</v>
      </c>
      <c r="BX27" s="1" t="s">
        <v>707</v>
      </c>
      <c r="BY27" s="1" t="s">
        <v>120</v>
      </c>
      <c r="BZ27" s="1">
        <v>0</v>
      </c>
      <c r="CA27" s="1">
        <v>0</v>
      </c>
      <c r="CB27" s="4">
        <v>42087.007534722223</v>
      </c>
      <c r="CC27" s="1">
        <v>1</v>
      </c>
      <c r="CD27" s="1">
        <v>1</v>
      </c>
      <c r="CE27" s="1">
        <v>1</v>
      </c>
      <c r="CF27" s="1">
        <v>1</v>
      </c>
      <c r="CG27" s="4">
        <v>43847.241983831016</v>
      </c>
      <c r="CH27" s="1" t="s">
        <v>112</v>
      </c>
      <c r="CI27" s="1" t="s">
        <v>708</v>
      </c>
      <c r="CJ27" s="1" t="s">
        <v>129</v>
      </c>
    </row>
    <row r="28" spans="1:88" x14ac:dyDescent="0.35">
      <c r="A28" s="1">
        <v>143</v>
      </c>
      <c r="B28" s="1" t="s">
        <v>709</v>
      </c>
      <c r="C28" s="1" t="s">
        <v>710</v>
      </c>
      <c r="D28" s="1" t="s">
        <v>711</v>
      </c>
      <c r="E28" s="1" t="s">
        <v>712</v>
      </c>
      <c r="F28" s="1" t="s">
        <v>134</v>
      </c>
      <c r="G28" s="1">
        <v>0</v>
      </c>
      <c r="H28" s="3">
        <v>31748</v>
      </c>
      <c r="I28" s="1">
        <v>1</v>
      </c>
      <c r="J28" s="1" t="s">
        <v>231</v>
      </c>
      <c r="K28" s="1" t="s">
        <v>713</v>
      </c>
      <c r="L28" s="2">
        <f>91-9586139389</f>
        <v>-9586139298</v>
      </c>
      <c r="M28" s="1" t="s">
        <v>150</v>
      </c>
      <c r="N28" s="1">
        <v>0</v>
      </c>
      <c r="O28" s="1">
        <v>0</v>
      </c>
      <c r="P28" s="1">
        <v>5.05</v>
      </c>
      <c r="Q28" s="1">
        <v>19</v>
      </c>
      <c r="R28" s="1" t="s">
        <v>714</v>
      </c>
      <c r="S28" s="1" t="s">
        <v>97</v>
      </c>
      <c r="T28" s="1" t="s">
        <v>341</v>
      </c>
      <c r="U28" s="1" t="s">
        <v>715</v>
      </c>
      <c r="V28" s="1" t="s">
        <v>716</v>
      </c>
      <c r="X28" s="1" t="s">
        <v>170</v>
      </c>
      <c r="Y28" s="1" t="s">
        <v>210</v>
      </c>
      <c r="Z28" s="1" t="s">
        <v>297</v>
      </c>
      <c r="AA28" s="1" t="s">
        <v>717</v>
      </c>
      <c r="AB28" s="1">
        <v>0</v>
      </c>
      <c r="AD28" s="1" t="s">
        <v>718</v>
      </c>
      <c r="AE28" s="1">
        <f>91-9586139389</f>
        <v>-9586139298</v>
      </c>
      <c r="AF28" s="1" t="s">
        <v>105</v>
      </c>
      <c r="AG28" s="1" t="s">
        <v>719</v>
      </c>
      <c r="AH28" s="1" t="s">
        <v>370</v>
      </c>
      <c r="AI28" s="1" t="s">
        <v>720</v>
      </c>
      <c r="AJ28" s="1" t="s">
        <v>109</v>
      </c>
      <c r="AK28" s="1" t="s">
        <v>721</v>
      </c>
      <c r="AL28" s="1">
        <v>25</v>
      </c>
      <c r="AM28" s="1" t="s">
        <v>210</v>
      </c>
      <c r="AO28" s="1" t="s">
        <v>722</v>
      </c>
      <c r="AP28" s="1">
        <f>91-9586139389</f>
        <v>-9586139298</v>
      </c>
      <c r="AR28" s="1">
        <v>1</v>
      </c>
      <c r="AS28" s="1">
        <v>0</v>
      </c>
      <c r="AT28" s="1" t="s">
        <v>723</v>
      </c>
      <c r="AU28" s="1" t="s">
        <v>280</v>
      </c>
      <c r="AV28" s="1" t="s">
        <v>280</v>
      </c>
      <c r="AW28" s="1">
        <f>91-2835283680</f>
        <v>-2835283589</v>
      </c>
      <c r="AX28" s="1" t="s">
        <v>218</v>
      </c>
      <c r="AY28" s="1" t="s">
        <v>150</v>
      </c>
      <c r="AZ28" s="1">
        <v>5.08</v>
      </c>
      <c r="BA28" s="1">
        <v>6</v>
      </c>
      <c r="BE28" s="1" t="s">
        <v>97</v>
      </c>
      <c r="BG28" s="1" t="s">
        <v>120</v>
      </c>
      <c r="BH28" s="1" t="s">
        <v>724</v>
      </c>
      <c r="BJ28" s="1" t="s">
        <v>154</v>
      </c>
      <c r="BK28" s="1" t="s">
        <v>120</v>
      </c>
      <c r="BL28" s="1">
        <v>0</v>
      </c>
      <c r="BM28" s="1">
        <v>0</v>
      </c>
      <c r="BN28" s="1" t="s">
        <v>725</v>
      </c>
      <c r="BO28" s="1">
        <v>1</v>
      </c>
      <c r="BP28" s="1" t="s">
        <v>117</v>
      </c>
      <c r="BQ28" s="1" t="s">
        <v>112</v>
      </c>
      <c r="BR28" s="1">
        <v>1</v>
      </c>
      <c r="BS28" s="1" t="s">
        <v>376</v>
      </c>
      <c r="BT28" s="1" t="s">
        <v>124</v>
      </c>
      <c r="BU28" s="1" t="s">
        <v>112</v>
      </c>
      <c r="BV28" s="1" t="s">
        <v>112</v>
      </c>
      <c r="BW28" s="1" t="s">
        <v>726</v>
      </c>
      <c r="BX28" s="1" t="s">
        <v>727</v>
      </c>
      <c r="BY28" s="1" t="s">
        <v>465</v>
      </c>
      <c r="BZ28" s="1">
        <v>0</v>
      </c>
      <c r="CA28" s="1">
        <v>0</v>
      </c>
      <c r="CB28" s="4">
        <v>42087.378074571759</v>
      </c>
      <c r="CC28" s="1">
        <v>1</v>
      </c>
      <c r="CD28" s="1">
        <v>1</v>
      </c>
      <c r="CE28" s="1">
        <v>1</v>
      </c>
      <c r="CF28" s="1">
        <v>1</v>
      </c>
      <c r="CG28" s="4">
        <v>43132.651050844906</v>
      </c>
      <c r="CH28" s="1" t="s">
        <v>112</v>
      </c>
      <c r="CI28" s="1" t="s">
        <v>117</v>
      </c>
      <c r="CJ28" s="1" t="s">
        <v>129</v>
      </c>
    </row>
    <row r="29" spans="1:88" x14ac:dyDescent="0.35">
      <c r="A29" s="1">
        <v>146</v>
      </c>
      <c r="B29" s="1" t="s">
        <v>728</v>
      </c>
      <c r="C29" s="1" t="s">
        <v>729</v>
      </c>
      <c r="D29" s="1" t="s">
        <v>90</v>
      </c>
      <c r="E29" s="1" t="s">
        <v>730</v>
      </c>
      <c r="F29" s="1" t="s">
        <v>603</v>
      </c>
      <c r="G29" s="1">
        <v>1</v>
      </c>
      <c r="H29" s="3">
        <v>33345</v>
      </c>
      <c r="I29" s="1">
        <v>1</v>
      </c>
      <c r="J29" s="1" t="s">
        <v>93</v>
      </c>
      <c r="K29" s="1" t="s">
        <v>94</v>
      </c>
      <c r="L29" s="2">
        <f>91-9325434433</f>
        <v>-9325434342</v>
      </c>
      <c r="M29" s="1" t="s">
        <v>150</v>
      </c>
      <c r="N29" s="1">
        <v>0</v>
      </c>
      <c r="O29" s="1">
        <v>0</v>
      </c>
      <c r="P29" s="1">
        <v>5.05</v>
      </c>
      <c r="Q29" s="1">
        <v>12</v>
      </c>
      <c r="R29" s="1" t="s">
        <v>96</v>
      </c>
      <c r="S29" s="1" t="s">
        <v>97</v>
      </c>
      <c r="T29" s="1" t="s">
        <v>427</v>
      </c>
      <c r="U29" s="1" t="s">
        <v>731</v>
      </c>
      <c r="V29" s="1" t="s">
        <v>732</v>
      </c>
      <c r="X29" s="1" t="s">
        <v>100</v>
      </c>
      <c r="Y29" s="1" t="s">
        <v>210</v>
      </c>
      <c r="Z29" s="1" t="s">
        <v>733</v>
      </c>
      <c r="AA29" s="1" t="s">
        <v>734</v>
      </c>
      <c r="AB29" s="1">
        <v>0</v>
      </c>
      <c r="AD29" s="1" t="s">
        <v>735</v>
      </c>
      <c r="AE29" s="1">
        <f>91-8668967920</f>
        <v>-8668967829</v>
      </c>
      <c r="AF29" s="1" t="s">
        <v>143</v>
      </c>
      <c r="AG29" s="1" t="s">
        <v>736</v>
      </c>
      <c r="AH29" s="1" t="s">
        <v>737</v>
      </c>
      <c r="AI29" s="1" t="s">
        <v>738</v>
      </c>
      <c r="AJ29" s="1" t="s">
        <v>109</v>
      </c>
      <c r="AK29" s="1" t="s">
        <v>739</v>
      </c>
      <c r="AL29" s="1">
        <v>40</v>
      </c>
      <c r="AM29" s="1" t="s">
        <v>243</v>
      </c>
      <c r="AO29" s="1" t="s">
        <v>740</v>
      </c>
      <c r="AP29" s="1">
        <f>91-8446753164</f>
        <v>-8446753073</v>
      </c>
      <c r="AQ29" s="1" t="s">
        <v>741</v>
      </c>
      <c r="AR29" s="1">
        <v>0</v>
      </c>
      <c r="AS29" s="1">
        <v>0</v>
      </c>
      <c r="AW29" s="1" t="s">
        <v>142</v>
      </c>
      <c r="AX29" s="1" t="s">
        <v>742</v>
      </c>
      <c r="AY29" s="1" t="s">
        <v>150</v>
      </c>
      <c r="AZ29" s="1">
        <v>4.08</v>
      </c>
      <c r="BA29" s="1">
        <v>5.07</v>
      </c>
      <c r="BE29" s="1" t="s">
        <v>120</v>
      </c>
      <c r="BG29" s="1" t="s">
        <v>120</v>
      </c>
      <c r="BH29" s="1" t="s">
        <v>120</v>
      </c>
      <c r="BJ29" s="1" t="s">
        <v>120</v>
      </c>
      <c r="BK29" s="1" t="s">
        <v>120</v>
      </c>
      <c r="BL29" s="1">
        <v>0</v>
      </c>
      <c r="BM29" s="1">
        <v>1</v>
      </c>
      <c r="BN29" s="1" t="s">
        <v>743</v>
      </c>
      <c r="BO29" s="1">
        <v>1</v>
      </c>
      <c r="BP29" s="1" t="s">
        <v>744</v>
      </c>
      <c r="BQ29" s="1" t="s">
        <v>112</v>
      </c>
      <c r="BR29" s="1">
        <v>0</v>
      </c>
      <c r="BS29" s="1" t="s">
        <v>334</v>
      </c>
      <c r="BT29" s="1" t="s">
        <v>306</v>
      </c>
      <c r="BU29" s="1" t="s">
        <v>112</v>
      </c>
      <c r="BV29" s="1" t="s">
        <v>112</v>
      </c>
      <c r="BW29" s="1" t="s">
        <v>745</v>
      </c>
      <c r="BX29" s="1" t="s">
        <v>746</v>
      </c>
      <c r="BY29" s="1" t="s">
        <v>120</v>
      </c>
      <c r="BZ29" s="1">
        <v>1</v>
      </c>
      <c r="CA29" s="1">
        <v>0</v>
      </c>
      <c r="CB29" s="4">
        <v>42090.313773148147</v>
      </c>
      <c r="CC29" s="1">
        <v>1</v>
      </c>
      <c r="CD29" s="1">
        <v>1</v>
      </c>
      <c r="CE29" s="1">
        <v>1</v>
      </c>
      <c r="CF29" s="1">
        <v>4</v>
      </c>
      <c r="CG29" s="4">
        <v>43095.683827511573</v>
      </c>
      <c r="CH29" s="1" t="s">
        <v>112</v>
      </c>
      <c r="CI29" s="1" t="s">
        <v>747</v>
      </c>
      <c r="CJ29" s="1" t="s">
        <v>129</v>
      </c>
    </row>
    <row r="30" spans="1:88" x14ac:dyDescent="0.35">
      <c r="A30" s="1">
        <v>154</v>
      </c>
      <c r="B30" s="1" t="s">
        <v>748</v>
      </c>
      <c r="C30" s="1" t="s">
        <v>749</v>
      </c>
      <c r="D30" s="1" t="s">
        <v>90</v>
      </c>
      <c r="E30" s="1" t="s">
        <v>750</v>
      </c>
      <c r="F30" s="1" t="s">
        <v>751</v>
      </c>
      <c r="G30" s="1">
        <v>1</v>
      </c>
      <c r="H30" s="3">
        <v>31345</v>
      </c>
      <c r="I30" s="1">
        <v>1</v>
      </c>
      <c r="J30" s="1" t="s">
        <v>93</v>
      </c>
      <c r="K30" s="1" t="s">
        <v>94</v>
      </c>
      <c r="L30" s="2">
        <f>91-9869668817</f>
        <v>-9869668726</v>
      </c>
      <c r="M30" s="1" t="s">
        <v>150</v>
      </c>
      <c r="N30" s="1">
        <v>0</v>
      </c>
      <c r="O30" s="1">
        <v>0</v>
      </c>
      <c r="P30" s="1">
        <v>5.08</v>
      </c>
      <c r="Q30" s="1">
        <v>14</v>
      </c>
      <c r="R30" s="1" t="s">
        <v>164</v>
      </c>
      <c r="S30" s="1" t="s">
        <v>97</v>
      </c>
      <c r="T30" s="1" t="s">
        <v>137</v>
      </c>
      <c r="U30" s="1" t="s">
        <v>752</v>
      </c>
      <c r="V30" s="1" t="s">
        <v>753</v>
      </c>
      <c r="X30" s="1" t="s">
        <v>170</v>
      </c>
      <c r="Y30" s="1" t="s">
        <v>111</v>
      </c>
      <c r="Z30" s="1" t="s">
        <v>556</v>
      </c>
      <c r="AA30" s="1" t="s">
        <v>754</v>
      </c>
      <c r="AB30" s="1">
        <v>0</v>
      </c>
      <c r="AD30" s="1" t="s">
        <v>755</v>
      </c>
      <c r="AE30" s="1">
        <f>91-9987045328</f>
        <v>-9987045237</v>
      </c>
      <c r="AF30" s="1" t="s">
        <v>143</v>
      </c>
      <c r="AG30" s="1" t="s">
        <v>756</v>
      </c>
      <c r="AH30" s="1" t="s">
        <v>757</v>
      </c>
      <c r="AI30" s="1" t="s">
        <v>758</v>
      </c>
      <c r="AJ30" s="1" t="s">
        <v>109</v>
      </c>
      <c r="AK30" s="1" t="s">
        <v>759</v>
      </c>
      <c r="AL30" s="1">
        <v>2</v>
      </c>
      <c r="AM30" s="1" t="s">
        <v>210</v>
      </c>
      <c r="AP30" s="1">
        <f>91-8652093174</f>
        <v>-8652093083</v>
      </c>
      <c r="AR30" s="1">
        <v>2</v>
      </c>
      <c r="AS30" s="1">
        <v>0</v>
      </c>
      <c r="AT30" s="1" t="s">
        <v>760</v>
      </c>
      <c r="AU30" s="1" t="s">
        <v>761</v>
      </c>
      <c r="AV30" s="1" t="s">
        <v>762</v>
      </c>
      <c r="AW30" s="1">
        <f>91-9321823033</f>
        <v>-9321822942</v>
      </c>
      <c r="AX30" s="1" t="s">
        <v>763</v>
      </c>
      <c r="AY30" s="1" t="s">
        <v>150</v>
      </c>
      <c r="AZ30" s="1">
        <v>4</v>
      </c>
      <c r="BA30" s="1">
        <v>6</v>
      </c>
      <c r="BB30" s="1" t="s">
        <v>151</v>
      </c>
      <c r="BC30" s="1" t="s">
        <v>304</v>
      </c>
      <c r="BD30" s="1" t="s">
        <v>305</v>
      </c>
      <c r="BE30" s="1" t="s">
        <v>120</v>
      </c>
      <c r="BF30" s="1" t="s">
        <v>120</v>
      </c>
      <c r="BG30" s="1" t="s">
        <v>120</v>
      </c>
      <c r="BH30" s="1" t="s">
        <v>120</v>
      </c>
      <c r="BI30" s="1" t="s">
        <v>556</v>
      </c>
      <c r="BJ30" s="1" t="s">
        <v>120</v>
      </c>
      <c r="BK30" s="1" t="s">
        <v>120</v>
      </c>
      <c r="BL30" s="1">
        <v>0</v>
      </c>
      <c r="BM30" s="1">
        <v>0</v>
      </c>
      <c r="BN30" s="1" t="s">
        <v>764</v>
      </c>
      <c r="BO30" s="1">
        <v>1</v>
      </c>
      <c r="BP30" s="1" t="s">
        <v>765</v>
      </c>
      <c r="BQ30" s="1" t="s">
        <v>112</v>
      </c>
      <c r="BR30" s="1">
        <v>0</v>
      </c>
      <c r="BS30" s="1" t="s">
        <v>399</v>
      </c>
      <c r="BT30" s="1" t="s">
        <v>120</v>
      </c>
      <c r="BU30" s="1" t="s">
        <v>112</v>
      </c>
      <c r="BV30" s="1" t="s">
        <v>112</v>
      </c>
      <c r="BW30" s="1" t="s">
        <v>766</v>
      </c>
      <c r="BX30" s="1" t="s">
        <v>767</v>
      </c>
      <c r="BY30" s="1" t="s">
        <v>127</v>
      </c>
      <c r="BZ30" s="1">
        <v>1</v>
      </c>
      <c r="CA30" s="1">
        <v>0</v>
      </c>
      <c r="CB30" s="4">
        <v>42097.122396331019</v>
      </c>
      <c r="CC30" s="1">
        <v>1</v>
      </c>
      <c r="CD30" s="1">
        <v>1</v>
      </c>
      <c r="CE30" s="1">
        <v>1</v>
      </c>
      <c r="CF30" s="1">
        <v>1</v>
      </c>
      <c r="CG30" s="4">
        <v>43919.469438506945</v>
      </c>
      <c r="CH30" s="1" t="s">
        <v>112</v>
      </c>
      <c r="CI30" s="1" t="s">
        <v>765</v>
      </c>
      <c r="CJ30" s="1" t="s">
        <v>157</v>
      </c>
    </row>
    <row r="31" spans="1:88" x14ac:dyDescent="0.35">
      <c r="A31" s="1">
        <v>155</v>
      </c>
      <c r="B31" s="1" t="s">
        <v>768</v>
      </c>
      <c r="C31" s="1" t="s">
        <v>769</v>
      </c>
      <c r="D31" s="1" t="s">
        <v>312</v>
      </c>
      <c r="E31" s="1" t="s">
        <v>770</v>
      </c>
      <c r="F31" s="1" t="s">
        <v>208</v>
      </c>
      <c r="G31" s="1">
        <v>1</v>
      </c>
      <c r="H31" s="3">
        <v>32046</v>
      </c>
      <c r="I31" s="1">
        <v>1</v>
      </c>
      <c r="J31" s="1" t="s">
        <v>93</v>
      </c>
      <c r="K31" s="1" t="s">
        <v>94</v>
      </c>
      <c r="L31" s="2">
        <f>91-7045610366</f>
        <v>-7045610275</v>
      </c>
      <c r="M31" s="1" t="s">
        <v>150</v>
      </c>
      <c r="N31" s="1">
        <v>0</v>
      </c>
      <c r="O31" s="1">
        <v>0</v>
      </c>
      <c r="P31" s="1">
        <v>5.08</v>
      </c>
      <c r="Q31" s="1">
        <v>10</v>
      </c>
      <c r="R31" s="1" t="s">
        <v>129</v>
      </c>
      <c r="S31" s="1" t="s">
        <v>97</v>
      </c>
      <c r="T31" s="1" t="s">
        <v>166</v>
      </c>
      <c r="U31" s="1" t="s">
        <v>771</v>
      </c>
      <c r="V31" s="1" t="s">
        <v>772</v>
      </c>
      <c r="W31" s="1" t="s">
        <v>773</v>
      </c>
      <c r="X31" s="1" t="s">
        <v>100</v>
      </c>
      <c r="Y31" s="1" t="s">
        <v>101</v>
      </c>
      <c r="Z31" s="1" t="s">
        <v>774</v>
      </c>
      <c r="AA31" s="1" t="s">
        <v>775</v>
      </c>
      <c r="AB31" s="1">
        <v>0</v>
      </c>
      <c r="AD31" s="1" t="s">
        <v>776</v>
      </c>
      <c r="AE31" s="1">
        <f>91-9833398852</f>
        <v>-9833398761</v>
      </c>
      <c r="AF31" s="1" t="s">
        <v>105</v>
      </c>
      <c r="AG31" s="1" t="s">
        <v>777</v>
      </c>
      <c r="AH31" s="1" t="s">
        <v>778</v>
      </c>
      <c r="AI31" s="1" t="s">
        <v>779</v>
      </c>
      <c r="AJ31" s="1" t="s">
        <v>109</v>
      </c>
      <c r="AK31" s="1" t="s">
        <v>780</v>
      </c>
      <c r="AL31" s="1">
        <v>4</v>
      </c>
      <c r="AM31" s="1" t="s">
        <v>111</v>
      </c>
      <c r="AN31" s="1" t="s">
        <v>781</v>
      </c>
      <c r="AO31" s="1" t="s">
        <v>782</v>
      </c>
      <c r="AP31" s="1">
        <f>91-9930746705</f>
        <v>-9930746614</v>
      </c>
      <c r="AR31" s="1">
        <v>0</v>
      </c>
      <c r="AS31" s="1">
        <v>0</v>
      </c>
      <c r="AT31" s="1" t="s">
        <v>783</v>
      </c>
      <c r="AU31" s="1" t="s">
        <v>784</v>
      </c>
      <c r="AV31" s="1" t="s">
        <v>287</v>
      </c>
      <c r="AW31" s="1">
        <f>91-9220779980</f>
        <v>-9220779889</v>
      </c>
      <c r="AX31" s="1" t="s">
        <v>149</v>
      </c>
      <c r="AY31" s="1" t="s">
        <v>150</v>
      </c>
      <c r="AZ31" s="1">
        <v>5.01</v>
      </c>
      <c r="BA31" s="1">
        <v>5.07</v>
      </c>
      <c r="BE31" s="1" t="s">
        <v>219</v>
      </c>
      <c r="BG31" s="1" t="s">
        <v>100</v>
      </c>
      <c r="BH31" s="1" t="s">
        <v>120</v>
      </c>
      <c r="BJ31" s="1" t="s">
        <v>120</v>
      </c>
      <c r="BK31" s="1" t="s">
        <v>120</v>
      </c>
      <c r="BL31" s="1">
        <v>0</v>
      </c>
      <c r="BM31" s="1">
        <v>0</v>
      </c>
      <c r="BN31" s="1" t="s">
        <v>785</v>
      </c>
      <c r="BO31" s="1">
        <v>1</v>
      </c>
      <c r="BP31" s="1" t="s">
        <v>786</v>
      </c>
      <c r="BQ31" s="1" t="s">
        <v>112</v>
      </c>
      <c r="BR31" s="1">
        <v>1</v>
      </c>
      <c r="BS31" s="1" t="s">
        <v>787</v>
      </c>
      <c r="BT31" s="1" t="s">
        <v>124</v>
      </c>
      <c r="BU31" s="1" t="s">
        <v>788</v>
      </c>
      <c r="BV31" s="1" t="s">
        <v>112</v>
      </c>
      <c r="BW31" s="1" t="s">
        <v>789</v>
      </c>
      <c r="BX31" s="1" t="s">
        <v>790</v>
      </c>
      <c r="BY31" s="1" t="s">
        <v>465</v>
      </c>
      <c r="BZ31" s="1">
        <v>2</v>
      </c>
      <c r="CA31" s="1">
        <v>1</v>
      </c>
      <c r="CB31" s="4">
        <v>42097.451377314814</v>
      </c>
      <c r="CC31" s="1">
        <v>1</v>
      </c>
      <c r="CD31" s="1">
        <v>1</v>
      </c>
      <c r="CE31" s="1">
        <v>1</v>
      </c>
      <c r="CF31" s="1">
        <v>1</v>
      </c>
      <c r="CG31" s="4">
        <v>43950.387446377317</v>
      </c>
      <c r="CH31" s="1" t="s">
        <v>112</v>
      </c>
      <c r="CI31" s="1" t="s">
        <v>791</v>
      </c>
      <c r="CJ31" s="1" t="s">
        <v>129</v>
      </c>
    </row>
    <row r="32" spans="1:88" x14ac:dyDescent="0.35">
      <c r="A32" s="1">
        <v>158</v>
      </c>
      <c r="B32" s="1" t="s">
        <v>792</v>
      </c>
      <c r="C32" s="1" t="s">
        <v>793</v>
      </c>
      <c r="D32" s="1" t="s">
        <v>90</v>
      </c>
      <c r="E32" s="1" t="s">
        <v>794</v>
      </c>
      <c r="F32" s="1" t="s">
        <v>208</v>
      </c>
      <c r="G32" s="1">
        <v>1</v>
      </c>
      <c r="H32" s="3">
        <v>31909</v>
      </c>
      <c r="I32" s="1">
        <v>1</v>
      </c>
      <c r="J32" s="1" t="s">
        <v>93</v>
      </c>
      <c r="K32" s="1" t="s">
        <v>94</v>
      </c>
      <c r="L32" s="2">
        <f>91-8652722227</f>
        <v>-8652722136</v>
      </c>
      <c r="M32" s="1" t="s">
        <v>150</v>
      </c>
      <c r="N32" s="1">
        <v>0</v>
      </c>
      <c r="O32" s="1">
        <v>0</v>
      </c>
      <c r="P32" s="1">
        <v>5.0599999999999996</v>
      </c>
      <c r="Q32" s="1">
        <v>10</v>
      </c>
      <c r="R32" s="1" t="s">
        <v>129</v>
      </c>
      <c r="S32" s="1" t="s">
        <v>233</v>
      </c>
      <c r="T32" s="1" t="s">
        <v>471</v>
      </c>
      <c r="U32" s="1" t="s">
        <v>795</v>
      </c>
      <c r="V32" s="1" t="s">
        <v>796</v>
      </c>
      <c r="W32" s="1" t="s">
        <v>198</v>
      </c>
      <c r="X32" s="1" t="s">
        <v>296</v>
      </c>
      <c r="Y32" s="1" t="s">
        <v>111</v>
      </c>
      <c r="Z32" s="1" t="s">
        <v>797</v>
      </c>
      <c r="AA32" s="1" t="s">
        <v>798</v>
      </c>
      <c r="AB32" s="1">
        <v>0</v>
      </c>
      <c r="AD32" s="1" t="s">
        <v>799</v>
      </c>
      <c r="AE32" s="1">
        <f>91-9323131727</f>
        <v>-9323131636</v>
      </c>
      <c r="AF32" s="1" t="s">
        <v>143</v>
      </c>
      <c r="AG32" s="1" t="s">
        <v>800</v>
      </c>
      <c r="AH32" s="1" t="s">
        <v>801</v>
      </c>
      <c r="AI32" s="1" t="s">
        <v>802</v>
      </c>
      <c r="AJ32" s="1" t="s">
        <v>109</v>
      </c>
      <c r="AK32" s="1" t="s">
        <v>803</v>
      </c>
      <c r="AL32" s="1">
        <v>15</v>
      </c>
      <c r="AM32" s="1" t="s">
        <v>210</v>
      </c>
      <c r="AN32" s="1" t="s">
        <v>198</v>
      </c>
      <c r="AO32" s="1" t="s">
        <v>803</v>
      </c>
      <c r="AP32" s="1">
        <f>91-9323131727</f>
        <v>-9323131636</v>
      </c>
      <c r="AQ32" s="1" t="s">
        <v>198</v>
      </c>
      <c r="AR32" s="1">
        <v>2</v>
      </c>
      <c r="AS32" s="1">
        <v>0</v>
      </c>
      <c r="AW32" s="1" t="s">
        <v>142</v>
      </c>
      <c r="AX32" s="1" t="s">
        <v>804</v>
      </c>
      <c r="AY32" s="1" t="s">
        <v>150</v>
      </c>
      <c r="AZ32" s="1">
        <v>5</v>
      </c>
      <c r="BA32" s="1">
        <v>5.05</v>
      </c>
      <c r="BE32" s="1" t="s">
        <v>120</v>
      </c>
      <c r="BG32" s="1" t="s">
        <v>120</v>
      </c>
      <c r="BH32" s="1" t="s">
        <v>120</v>
      </c>
      <c r="BJ32" s="1" t="s">
        <v>154</v>
      </c>
      <c r="BK32" s="1" t="s">
        <v>120</v>
      </c>
      <c r="BL32" s="1">
        <v>0</v>
      </c>
      <c r="BM32" s="1">
        <v>0</v>
      </c>
      <c r="BN32" s="1" t="s">
        <v>805</v>
      </c>
      <c r="BO32" s="1">
        <v>1</v>
      </c>
      <c r="BP32" s="1" t="s">
        <v>806</v>
      </c>
      <c r="BQ32" s="1" t="s">
        <v>112</v>
      </c>
      <c r="BR32" s="1">
        <v>1</v>
      </c>
      <c r="BS32" s="1" t="s">
        <v>787</v>
      </c>
      <c r="BT32" s="1" t="s">
        <v>124</v>
      </c>
      <c r="BU32" s="1" t="s">
        <v>807</v>
      </c>
      <c r="BV32" s="1" t="s">
        <v>112</v>
      </c>
      <c r="BW32" s="1" t="s">
        <v>808</v>
      </c>
      <c r="BX32" s="1" t="s">
        <v>809</v>
      </c>
      <c r="BY32" s="1" t="s">
        <v>120</v>
      </c>
      <c r="BZ32" s="1">
        <v>0</v>
      </c>
      <c r="CA32" s="1">
        <v>0</v>
      </c>
      <c r="CB32" s="4">
        <v>42099.173078703701</v>
      </c>
      <c r="CC32" s="1">
        <v>1</v>
      </c>
      <c r="CD32" s="1">
        <v>1</v>
      </c>
      <c r="CE32" s="1">
        <v>1</v>
      </c>
      <c r="CF32" s="1">
        <v>1</v>
      </c>
      <c r="CG32" s="4">
        <v>43750.779216238428</v>
      </c>
      <c r="CH32" s="1" t="s">
        <v>112</v>
      </c>
      <c r="CI32" s="1" t="s">
        <v>810</v>
      </c>
      <c r="CJ32" s="1" t="s">
        <v>129</v>
      </c>
    </row>
    <row r="33" spans="1:88" x14ac:dyDescent="0.35">
      <c r="A33" s="1">
        <v>159</v>
      </c>
      <c r="B33" s="1" t="s">
        <v>811</v>
      </c>
      <c r="C33" s="1" t="s">
        <v>812</v>
      </c>
      <c r="D33" s="1" t="s">
        <v>229</v>
      </c>
      <c r="E33" s="1" t="s">
        <v>813</v>
      </c>
      <c r="F33" s="1" t="s">
        <v>814</v>
      </c>
      <c r="G33" s="1">
        <v>0</v>
      </c>
      <c r="H33" s="3">
        <v>31543</v>
      </c>
      <c r="I33" s="1">
        <v>1</v>
      </c>
      <c r="J33" s="1" t="s">
        <v>93</v>
      </c>
      <c r="K33" s="1" t="s">
        <v>94</v>
      </c>
      <c r="L33" s="2">
        <f>91-9172626662</f>
        <v>-9172626571</v>
      </c>
      <c r="M33" s="1" t="s">
        <v>150</v>
      </c>
      <c r="N33" s="1">
        <v>0</v>
      </c>
      <c r="O33" s="1">
        <v>0</v>
      </c>
      <c r="P33" s="1">
        <v>5.01</v>
      </c>
      <c r="Q33" s="1">
        <v>10</v>
      </c>
      <c r="S33" s="1" t="s">
        <v>136</v>
      </c>
      <c r="T33" s="1" t="s">
        <v>234</v>
      </c>
      <c r="U33" s="1" t="s">
        <v>815</v>
      </c>
      <c r="V33" s="1" t="s">
        <v>816</v>
      </c>
      <c r="X33" s="1" t="s">
        <v>170</v>
      </c>
      <c r="Y33" s="1" t="s">
        <v>101</v>
      </c>
      <c r="Z33" s="1" t="s">
        <v>676</v>
      </c>
      <c r="AA33" s="1" t="s">
        <v>817</v>
      </c>
      <c r="AB33" s="1">
        <v>0</v>
      </c>
      <c r="AD33" s="1" t="s">
        <v>818</v>
      </c>
      <c r="AE33" s="1">
        <f>91-25163143</f>
        <v>-25163052</v>
      </c>
      <c r="AF33" s="1" t="s">
        <v>143</v>
      </c>
      <c r="AG33" s="1" t="s">
        <v>819</v>
      </c>
      <c r="AH33" s="1" t="s">
        <v>820</v>
      </c>
      <c r="AI33" s="1" t="s">
        <v>821</v>
      </c>
      <c r="AJ33" s="1" t="s">
        <v>109</v>
      </c>
      <c r="AK33" s="1" t="s">
        <v>822</v>
      </c>
      <c r="AL33" s="1">
        <v>40</v>
      </c>
      <c r="AM33" s="1" t="s">
        <v>243</v>
      </c>
      <c r="AP33" s="1">
        <f>91-9172626662</f>
        <v>-9172626571</v>
      </c>
      <c r="AR33" s="1">
        <v>2</v>
      </c>
      <c r="AS33" s="1">
        <v>1</v>
      </c>
      <c r="AW33" s="1" t="s">
        <v>142</v>
      </c>
      <c r="AX33" s="1" t="s">
        <v>823</v>
      </c>
      <c r="AY33" s="1" t="s">
        <v>150</v>
      </c>
      <c r="AZ33" s="1">
        <v>5.0199999999999996</v>
      </c>
      <c r="BA33" s="1">
        <v>5.0599999999999996</v>
      </c>
      <c r="BB33" s="1" t="s">
        <v>151</v>
      </c>
      <c r="BC33" s="1" t="s">
        <v>152</v>
      </c>
      <c r="BD33" s="1" t="s">
        <v>153</v>
      </c>
      <c r="BE33" s="1" t="s">
        <v>824</v>
      </c>
      <c r="BF33" s="1" t="s">
        <v>120</v>
      </c>
      <c r="BG33" s="1" t="s">
        <v>120</v>
      </c>
      <c r="BH33" s="1" t="s">
        <v>283</v>
      </c>
      <c r="BI33" s="1" t="s">
        <v>676</v>
      </c>
      <c r="BJ33" s="1" t="s">
        <v>120</v>
      </c>
      <c r="BK33" s="1" t="s">
        <v>120</v>
      </c>
      <c r="BL33" s="1">
        <v>0</v>
      </c>
      <c r="BM33" s="1">
        <v>1</v>
      </c>
      <c r="BN33" s="1" t="s">
        <v>825</v>
      </c>
      <c r="BO33" s="1">
        <v>1</v>
      </c>
      <c r="BP33" s="1" t="s">
        <v>826</v>
      </c>
      <c r="BQ33" s="1" t="s">
        <v>112</v>
      </c>
      <c r="BR33" s="1">
        <v>0</v>
      </c>
      <c r="BS33" s="1" t="s">
        <v>129</v>
      </c>
      <c r="BT33" s="1" t="s">
        <v>120</v>
      </c>
      <c r="BU33" s="1" t="s">
        <v>112</v>
      </c>
      <c r="BV33" s="1" t="s">
        <v>112</v>
      </c>
      <c r="BW33" s="1" t="s">
        <v>827</v>
      </c>
      <c r="BX33" s="1" t="s">
        <v>828</v>
      </c>
      <c r="BY33" s="1" t="s">
        <v>120</v>
      </c>
      <c r="BZ33" s="1">
        <v>0</v>
      </c>
      <c r="CA33" s="1">
        <v>0</v>
      </c>
      <c r="CB33" s="4">
        <v>42099.957971724536</v>
      </c>
      <c r="CC33" s="1">
        <v>1</v>
      </c>
      <c r="CD33" s="1">
        <v>1</v>
      </c>
      <c r="CE33" s="1">
        <v>1</v>
      </c>
      <c r="CF33" s="1">
        <v>1</v>
      </c>
      <c r="CG33" s="4">
        <v>43177.266953321756</v>
      </c>
      <c r="CH33" s="1" t="s">
        <v>112</v>
      </c>
      <c r="CI33" s="1" t="s">
        <v>829</v>
      </c>
      <c r="CJ33" s="1" t="s">
        <v>157</v>
      </c>
    </row>
    <row r="34" spans="1:88" x14ac:dyDescent="0.35">
      <c r="A34" s="1">
        <v>160</v>
      </c>
      <c r="B34" s="1" t="s">
        <v>830</v>
      </c>
      <c r="C34" s="1" t="s">
        <v>831</v>
      </c>
      <c r="D34" s="1" t="s">
        <v>90</v>
      </c>
      <c r="E34" s="1" t="s">
        <v>832</v>
      </c>
      <c r="F34" s="1" t="s">
        <v>134</v>
      </c>
      <c r="G34" s="1">
        <v>1</v>
      </c>
      <c r="H34" s="3">
        <v>29030</v>
      </c>
      <c r="I34" s="1">
        <v>1</v>
      </c>
      <c r="J34" s="1" t="s">
        <v>162</v>
      </c>
      <c r="K34" s="1" t="s">
        <v>163</v>
      </c>
      <c r="L34" s="2">
        <f>91-9978245632</f>
        <v>-9978245541</v>
      </c>
      <c r="M34" s="1" t="s">
        <v>150</v>
      </c>
      <c r="N34" s="1">
        <v>0</v>
      </c>
      <c r="O34" s="1">
        <v>0</v>
      </c>
      <c r="P34" s="1">
        <v>5.05</v>
      </c>
      <c r="Q34" s="1">
        <v>27</v>
      </c>
      <c r="R34" s="1" t="s">
        <v>653</v>
      </c>
      <c r="S34" s="1" t="s">
        <v>492</v>
      </c>
      <c r="T34" s="1" t="s">
        <v>137</v>
      </c>
      <c r="U34" s="1" t="s">
        <v>833</v>
      </c>
      <c r="V34" s="1" t="s">
        <v>834</v>
      </c>
      <c r="X34" s="1" t="s">
        <v>296</v>
      </c>
      <c r="Y34" s="1" t="s">
        <v>111</v>
      </c>
      <c r="Z34" s="1" t="s">
        <v>634</v>
      </c>
      <c r="AA34" s="1" t="s">
        <v>835</v>
      </c>
      <c r="AB34" s="1">
        <v>0</v>
      </c>
      <c r="AD34" s="1" t="s">
        <v>836</v>
      </c>
      <c r="AE34" s="1">
        <f>91-8460709000</f>
        <v>-8460708909</v>
      </c>
      <c r="AF34" s="1" t="s">
        <v>105</v>
      </c>
      <c r="AG34" s="1" t="s">
        <v>837</v>
      </c>
      <c r="AH34" s="1" t="s">
        <v>838</v>
      </c>
      <c r="AI34" s="1" t="s">
        <v>839</v>
      </c>
      <c r="AJ34" s="1" t="s">
        <v>478</v>
      </c>
      <c r="AK34" s="1" t="s">
        <v>840</v>
      </c>
      <c r="AL34" s="1">
        <v>1</v>
      </c>
      <c r="AM34" s="1" t="s">
        <v>841</v>
      </c>
      <c r="AP34" s="1">
        <f>91-9978245631</f>
        <v>-9978245540</v>
      </c>
      <c r="AQ34" s="1" t="s">
        <v>502</v>
      </c>
      <c r="AR34" s="1">
        <v>1</v>
      </c>
      <c r="AS34" s="1">
        <v>1</v>
      </c>
      <c r="AW34" s="1" t="s">
        <v>142</v>
      </c>
      <c r="AX34" s="1" t="s">
        <v>842</v>
      </c>
      <c r="AY34" s="1" t="s">
        <v>351</v>
      </c>
      <c r="AZ34" s="1">
        <v>4.1100000000000003</v>
      </c>
      <c r="BA34" s="1">
        <v>5.04</v>
      </c>
      <c r="BB34" s="1" t="s">
        <v>151</v>
      </c>
      <c r="BC34" s="1" t="s">
        <v>152</v>
      </c>
      <c r="BD34" s="1" t="s">
        <v>153</v>
      </c>
      <c r="BE34" s="1" t="s">
        <v>843</v>
      </c>
      <c r="BF34" s="1" t="s">
        <v>120</v>
      </c>
      <c r="BG34" s="1" t="s">
        <v>844</v>
      </c>
      <c r="BH34" s="1" t="s">
        <v>845</v>
      </c>
      <c r="BI34" s="1" t="s">
        <v>634</v>
      </c>
      <c r="BJ34" s="1" t="s">
        <v>71</v>
      </c>
      <c r="BK34" s="1" t="s">
        <v>120</v>
      </c>
      <c r="BL34" s="1">
        <v>0</v>
      </c>
      <c r="BM34" s="1">
        <v>0</v>
      </c>
      <c r="BN34" s="1" t="s">
        <v>846</v>
      </c>
      <c r="BO34" s="1">
        <v>1</v>
      </c>
      <c r="BP34" s="1" t="s">
        <v>847</v>
      </c>
      <c r="BQ34" s="1" t="s">
        <v>848</v>
      </c>
      <c r="BR34" s="1">
        <v>1</v>
      </c>
      <c r="BS34" s="1" t="s">
        <v>252</v>
      </c>
      <c r="BT34" s="1" t="s">
        <v>306</v>
      </c>
      <c r="BV34" s="1" t="s">
        <v>112</v>
      </c>
      <c r="BW34" s="1" t="s">
        <v>849</v>
      </c>
      <c r="BX34" s="1" t="s">
        <v>850</v>
      </c>
      <c r="BY34" s="1" t="s">
        <v>120</v>
      </c>
      <c r="BZ34" s="1">
        <v>1</v>
      </c>
      <c r="CA34" s="1">
        <v>1</v>
      </c>
      <c r="CB34" s="4">
        <v>42103.234425034723</v>
      </c>
      <c r="CC34" s="1">
        <v>1</v>
      </c>
      <c r="CD34" s="1">
        <v>1</v>
      </c>
      <c r="CE34" s="1">
        <v>1</v>
      </c>
      <c r="CF34" s="1">
        <v>4</v>
      </c>
      <c r="CG34" s="1" t="s">
        <v>112</v>
      </c>
      <c r="CH34" s="1" t="s">
        <v>112</v>
      </c>
      <c r="CI34" s="1" t="s">
        <v>280</v>
      </c>
      <c r="CJ34" s="1" t="s">
        <v>157</v>
      </c>
    </row>
    <row r="35" spans="1:88" x14ac:dyDescent="0.35">
      <c r="A35" s="1">
        <v>166</v>
      </c>
      <c r="B35" s="1" t="s">
        <v>851</v>
      </c>
      <c r="C35" s="1" t="s">
        <v>852</v>
      </c>
      <c r="D35" s="1" t="s">
        <v>90</v>
      </c>
      <c r="E35" s="1" t="s">
        <v>853</v>
      </c>
      <c r="F35" s="1" t="s">
        <v>208</v>
      </c>
      <c r="G35" s="1">
        <v>1</v>
      </c>
      <c r="H35" s="3">
        <v>33138</v>
      </c>
      <c r="I35" s="1">
        <v>2</v>
      </c>
      <c r="J35" s="1" t="s">
        <v>854</v>
      </c>
      <c r="K35" s="1" t="s">
        <v>855</v>
      </c>
      <c r="L35" s="2">
        <f>91-5106746757</f>
        <v>-5106746666</v>
      </c>
      <c r="M35" s="1" t="s">
        <v>150</v>
      </c>
      <c r="N35" s="1">
        <v>0</v>
      </c>
      <c r="O35" s="1">
        <v>0</v>
      </c>
      <c r="P35" s="1">
        <v>5.09</v>
      </c>
      <c r="Q35" s="1">
        <v>10</v>
      </c>
      <c r="S35" s="1" t="s">
        <v>136</v>
      </c>
      <c r="T35" s="1" t="s">
        <v>427</v>
      </c>
      <c r="U35" s="1" t="s">
        <v>856</v>
      </c>
      <c r="V35" s="1" t="s">
        <v>857</v>
      </c>
      <c r="X35" s="1" t="s">
        <v>170</v>
      </c>
      <c r="Y35" s="1" t="s">
        <v>101</v>
      </c>
      <c r="Z35" s="1" t="s">
        <v>858</v>
      </c>
      <c r="AA35" s="1" t="s">
        <v>857</v>
      </c>
      <c r="AB35" s="1">
        <v>0</v>
      </c>
      <c r="AD35" s="1" t="s">
        <v>859</v>
      </c>
      <c r="AE35" s="1">
        <f>91-5104586028</f>
        <v>-5104585937</v>
      </c>
      <c r="AF35" s="1" t="s">
        <v>143</v>
      </c>
      <c r="AG35" s="1" t="s">
        <v>860</v>
      </c>
      <c r="AH35" s="1" t="s">
        <v>861</v>
      </c>
      <c r="AI35" s="1" t="s">
        <v>862</v>
      </c>
      <c r="AJ35" s="1" t="s">
        <v>109</v>
      </c>
      <c r="AK35" s="1" t="s">
        <v>863</v>
      </c>
      <c r="AL35" s="1">
        <v>23</v>
      </c>
      <c r="AM35" s="1" t="s">
        <v>210</v>
      </c>
      <c r="AN35" s="1" t="s">
        <v>864</v>
      </c>
      <c r="AO35" s="1" t="s">
        <v>865</v>
      </c>
      <c r="AP35" s="1">
        <f>91-9924137618</f>
        <v>-9924137527</v>
      </c>
      <c r="AQ35" s="1" t="s">
        <v>866</v>
      </c>
      <c r="AR35" s="1">
        <v>1</v>
      </c>
      <c r="AS35" s="1">
        <v>0</v>
      </c>
      <c r="AT35" s="1" t="s">
        <v>867</v>
      </c>
      <c r="AU35" s="1" t="s">
        <v>868</v>
      </c>
      <c r="AV35" s="1" t="s">
        <v>869</v>
      </c>
      <c r="AW35" s="1">
        <f>91-9879054302</f>
        <v>-9879054211</v>
      </c>
      <c r="AX35" s="1" t="s">
        <v>642</v>
      </c>
      <c r="AY35" s="1" t="s">
        <v>150</v>
      </c>
      <c r="AZ35" s="1">
        <v>4.0999999999999996</v>
      </c>
      <c r="BA35" s="1">
        <v>5.0999999999999996</v>
      </c>
      <c r="BB35" s="1" t="s">
        <v>151</v>
      </c>
      <c r="BC35" s="1" t="s">
        <v>304</v>
      </c>
      <c r="BD35" s="1" t="s">
        <v>305</v>
      </c>
      <c r="BE35" s="1" t="s">
        <v>870</v>
      </c>
      <c r="BF35" s="1" t="s">
        <v>120</v>
      </c>
      <c r="BG35" s="1" t="s">
        <v>120</v>
      </c>
      <c r="BH35" s="1" t="s">
        <v>120</v>
      </c>
      <c r="BJ35" s="1" t="s">
        <v>120</v>
      </c>
      <c r="BK35" s="1" t="s">
        <v>120</v>
      </c>
      <c r="BL35" s="1">
        <v>0</v>
      </c>
      <c r="BM35" s="1">
        <v>0</v>
      </c>
      <c r="BN35" s="1" t="s">
        <v>871</v>
      </c>
      <c r="BO35" s="1">
        <v>1</v>
      </c>
      <c r="BP35" s="1" t="s">
        <v>644</v>
      </c>
      <c r="BQ35" s="1" t="s">
        <v>872</v>
      </c>
      <c r="BR35" s="1">
        <v>1</v>
      </c>
      <c r="BS35" s="1" t="s">
        <v>787</v>
      </c>
      <c r="BT35" s="1" t="s">
        <v>124</v>
      </c>
      <c r="BV35" s="1" t="s">
        <v>112</v>
      </c>
      <c r="BW35" s="1" t="s">
        <v>873</v>
      </c>
      <c r="BX35" s="1" t="s">
        <v>874</v>
      </c>
      <c r="BY35" s="1" t="s">
        <v>127</v>
      </c>
      <c r="BZ35" s="1">
        <v>1</v>
      </c>
      <c r="CA35" s="1">
        <v>0</v>
      </c>
      <c r="CB35" s="4">
        <v>42107.688930358796</v>
      </c>
      <c r="CC35" s="1">
        <v>1</v>
      </c>
      <c r="CD35" s="1">
        <v>1</v>
      </c>
      <c r="CE35" s="1">
        <v>1</v>
      </c>
      <c r="CF35" s="1">
        <v>1</v>
      </c>
      <c r="CG35" s="4">
        <v>43986.648040509259</v>
      </c>
      <c r="CH35" s="1" t="s">
        <v>112</v>
      </c>
      <c r="CI35" s="1" t="s">
        <v>875</v>
      </c>
      <c r="CJ35" s="1" t="s">
        <v>157</v>
      </c>
    </row>
    <row r="36" spans="1:88" x14ac:dyDescent="0.35">
      <c r="A36" s="1">
        <v>173</v>
      </c>
      <c r="B36" s="1" t="s">
        <v>876</v>
      </c>
      <c r="C36" s="1" t="s">
        <v>877</v>
      </c>
      <c r="D36" s="1" t="s">
        <v>90</v>
      </c>
      <c r="E36" s="1" t="s">
        <v>878</v>
      </c>
      <c r="F36" s="1" t="s">
        <v>489</v>
      </c>
      <c r="G36" s="1">
        <v>1</v>
      </c>
      <c r="H36" s="3">
        <v>32184</v>
      </c>
      <c r="I36" s="1">
        <v>1</v>
      </c>
      <c r="J36" s="1" t="s">
        <v>315</v>
      </c>
      <c r="K36" s="1" t="s">
        <v>316</v>
      </c>
      <c r="L36" s="2">
        <f>91-9632699944</f>
        <v>-9632699853</v>
      </c>
      <c r="M36" s="1" t="s">
        <v>150</v>
      </c>
      <c r="N36" s="1">
        <v>0</v>
      </c>
      <c r="O36" s="1">
        <v>0</v>
      </c>
      <c r="P36" s="1">
        <v>5.1100000000000003</v>
      </c>
      <c r="Q36" s="1">
        <v>5</v>
      </c>
      <c r="R36" s="1" t="s">
        <v>263</v>
      </c>
      <c r="S36" s="1" t="s">
        <v>97</v>
      </c>
      <c r="T36" s="1" t="s">
        <v>166</v>
      </c>
      <c r="U36" s="1" t="s">
        <v>879</v>
      </c>
      <c r="V36" s="1" t="s">
        <v>880</v>
      </c>
      <c r="X36" s="1" t="s">
        <v>100</v>
      </c>
      <c r="Y36" s="1" t="s">
        <v>210</v>
      </c>
      <c r="Z36" s="1" t="s">
        <v>676</v>
      </c>
      <c r="AA36" s="1" t="s">
        <v>881</v>
      </c>
      <c r="AB36" s="1">
        <v>0</v>
      </c>
      <c r="AD36" s="1" t="s">
        <v>882</v>
      </c>
      <c r="AE36" s="1">
        <f>91-9844075642</f>
        <v>-9844075551</v>
      </c>
      <c r="AF36" s="1" t="s">
        <v>143</v>
      </c>
      <c r="AG36" s="1" t="s">
        <v>883</v>
      </c>
      <c r="AH36" s="1" t="s">
        <v>884</v>
      </c>
      <c r="AI36" s="1" t="s">
        <v>885</v>
      </c>
      <c r="AJ36" s="1" t="s">
        <v>109</v>
      </c>
      <c r="AK36" s="1" t="s">
        <v>886</v>
      </c>
      <c r="AL36" s="1">
        <v>60</v>
      </c>
      <c r="AM36" s="1" t="s">
        <v>111</v>
      </c>
      <c r="AN36" s="1" t="s">
        <v>887</v>
      </c>
      <c r="AO36" s="1" t="s">
        <v>887</v>
      </c>
      <c r="AP36" s="1">
        <f>91-9428684611</f>
        <v>-9428684520</v>
      </c>
      <c r="AR36" s="1">
        <v>1</v>
      </c>
      <c r="AS36" s="1">
        <v>1</v>
      </c>
      <c r="AW36" s="1" t="s">
        <v>142</v>
      </c>
      <c r="AX36" s="1" t="s">
        <v>888</v>
      </c>
      <c r="AY36" s="1" t="s">
        <v>150</v>
      </c>
      <c r="AZ36" s="1">
        <v>5.0199999999999996</v>
      </c>
      <c r="BA36" s="1">
        <v>6.02</v>
      </c>
      <c r="BB36" s="1" t="s">
        <v>151</v>
      </c>
      <c r="BC36" s="1" t="s">
        <v>152</v>
      </c>
      <c r="BD36" s="1" t="s">
        <v>153</v>
      </c>
      <c r="BE36" s="1" t="s">
        <v>120</v>
      </c>
      <c r="BF36" s="1" t="s">
        <v>120</v>
      </c>
      <c r="BG36" s="1" t="s">
        <v>120</v>
      </c>
      <c r="BH36" s="1" t="s">
        <v>120</v>
      </c>
      <c r="BI36" s="1" t="s">
        <v>676</v>
      </c>
      <c r="BJ36" s="1" t="s">
        <v>120</v>
      </c>
      <c r="BK36" s="1" t="s">
        <v>120</v>
      </c>
      <c r="BL36" s="1">
        <v>0</v>
      </c>
      <c r="BM36" s="1">
        <v>0</v>
      </c>
      <c r="BN36" s="1" t="s">
        <v>889</v>
      </c>
      <c r="BO36" s="1">
        <v>1</v>
      </c>
      <c r="BP36" s="1" t="s">
        <v>810</v>
      </c>
      <c r="BQ36" s="1" t="s">
        <v>890</v>
      </c>
      <c r="BR36" s="1">
        <v>0</v>
      </c>
      <c r="BS36" s="1" t="s">
        <v>334</v>
      </c>
      <c r="BT36" s="1" t="s">
        <v>124</v>
      </c>
      <c r="BV36" s="1" t="s">
        <v>112</v>
      </c>
      <c r="BW36" s="1" t="s">
        <v>891</v>
      </c>
      <c r="BX36" s="1" t="s">
        <v>892</v>
      </c>
      <c r="BY36" s="1" t="s">
        <v>120</v>
      </c>
      <c r="BZ36" s="1">
        <v>4</v>
      </c>
      <c r="CA36" s="1">
        <v>4</v>
      </c>
      <c r="CB36" s="4">
        <v>42112.167736030089</v>
      </c>
      <c r="CC36" s="1">
        <v>1</v>
      </c>
      <c r="CD36" s="1">
        <v>1</v>
      </c>
      <c r="CE36" s="1">
        <v>1</v>
      </c>
      <c r="CF36" s="1">
        <v>1</v>
      </c>
      <c r="CG36" s="4">
        <v>43755.740374803238</v>
      </c>
      <c r="CH36" s="1" t="s">
        <v>112</v>
      </c>
      <c r="CI36" s="1" t="s">
        <v>810</v>
      </c>
      <c r="CJ36" s="1" t="s">
        <v>157</v>
      </c>
    </row>
    <row r="37" spans="1:88" x14ac:dyDescent="0.35">
      <c r="A37" s="1">
        <v>182</v>
      </c>
      <c r="B37" s="1" t="s">
        <v>893</v>
      </c>
      <c r="C37" s="1" t="s">
        <v>894</v>
      </c>
      <c r="D37" s="1" t="s">
        <v>90</v>
      </c>
      <c r="E37" s="1" t="s">
        <v>895</v>
      </c>
      <c r="F37" s="1" t="s">
        <v>134</v>
      </c>
      <c r="G37" s="1">
        <v>1</v>
      </c>
      <c r="H37" s="3">
        <v>33867</v>
      </c>
      <c r="I37" s="1">
        <v>1</v>
      </c>
      <c r="J37" s="1" t="s">
        <v>162</v>
      </c>
      <c r="K37" s="1" t="s">
        <v>896</v>
      </c>
      <c r="L37" s="2">
        <f>91-9016262905</f>
        <v>-9016262814</v>
      </c>
      <c r="M37" s="1" t="s">
        <v>150</v>
      </c>
      <c r="N37" s="1">
        <v>0</v>
      </c>
      <c r="O37" s="1">
        <v>0</v>
      </c>
      <c r="P37" s="1">
        <v>5.0199999999999996</v>
      </c>
      <c r="Q37" s="1">
        <v>32</v>
      </c>
      <c r="R37" s="1" t="s">
        <v>897</v>
      </c>
      <c r="S37" s="1" t="s">
        <v>97</v>
      </c>
      <c r="T37" s="1" t="s">
        <v>427</v>
      </c>
      <c r="U37" s="1" t="s">
        <v>898</v>
      </c>
      <c r="V37" s="1" t="s">
        <v>899</v>
      </c>
      <c r="W37" s="1" t="s">
        <v>900</v>
      </c>
      <c r="X37" s="1" t="s">
        <v>100</v>
      </c>
      <c r="Y37" s="1" t="s">
        <v>210</v>
      </c>
      <c r="Z37" s="1" t="s">
        <v>211</v>
      </c>
      <c r="AA37" s="1" t="s">
        <v>901</v>
      </c>
      <c r="AB37" s="1">
        <v>0</v>
      </c>
      <c r="AD37" s="1" t="s">
        <v>902</v>
      </c>
      <c r="AE37" s="1">
        <f>91-9016262905</f>
        <v>-9016262814</v>
      </c>
      <c r="AF37" s="1" t="s">
        <v>143</v>
      </c>
      <c r="AG37" s="1" t="s">
        <v>903</v>
      </c>
      <c r="AH37" s="1" t="s">
        <v>904</v>
      </c>
      <c r="AI37" s="1" t="s">
        <v>905</v>
      </c>
      <c r="AJ37" s="1" t="s">
        <v>109</v>
      </c>
      <c r="AK37" s="1" t="s">
        <v>906</v>
      </c>
      <c r="AL37" s="1">
        <v>38</v>
      </c>
      <c r="AM37" s="1" t="s">
        <v>111</v>
      </c>
      <c r="AP37" s="1">
        <f>91-9016880821</f>
        <v>-9016880730</v>
      </c>
      <c r="AQ37" s="1" t="s">
        <v>907</v>
      </c>
      <c r="AR37" s="1">
        <v>1</v>
      </c>
      <c r="AS37" s="1">
        <v>0</v>
      </c>
      <c r="AT37" s="1" t="s">
        <v>908</v>
      </c>
      <c r="AU37" s="1" t="s">
        <v>909</v>
      </c>
      <c r="AV37" s="1" t="s">
        <v>910</v>
      </c>
      <c r="AW37" s="1">
        <f>91-9427528902</f>
        <v>-9427528811</v>
      </c>
      <c r="AX37" s="1" t="s">
        <v>526</v>
      </c>
      <c r="AY37" s="1" t="s">
        <v>150</v>
      </c>
      <c r="AZ37" s="1">
        <v>4.05</v>
      </c>
      <c r="BA37" s="1">
        <v>5.03</v>
      </c>
      <c r="BB37" s="1" t="s">
        <v>151</v>
      </c>
      <c r="BC37" s="1" t="s">
        <v>304</v>
      </c>
      <c r="BD37" s="1" t="s">
        <v>305</v>
      </c>
      <c r="BE37" s="1" t="s">
        <v>911</v>
      </c>
      <c r="BF37" s="1" t="s">
        <v>120</v>
      </c>
      <c r="BG37" s="1" t="s">
        <v>120</v>
      </c>
      <c r="BH37" s="1" t="s">
        <v>120</v>
      </c>
      <c r="BJ37" s="1" t="s">
        <v>120</v>
      </c>
      <c r="BK37" s="1" t="s">
        <v>120</v>
      </c>
      <c r="BL37" s="1">
        <v>0</v>
      </c>
      <c r="BM37" s="1">
        <v>0</v>
      </c>
      <c r="BN37" s="1" t="s">
        <v>912</v>
      </c>
      <c r="BO37" s="1">
        <v>1</v>
      </c>
      <c r="BP37" s="1" t="s">
        <v>913</v>
      </c>
      <c r="BQ37" s="1" t="s">
        <v>112</v>
      </c>
      <c r="BR37" s="1">
        <v>1</v>
      </c>
      <c r="BS37" s="1" t="s">
        <v>252</v>
      </c>
      <c r="BT37" s="1" t="s">
        <v>124</v>
      </c>
      <c r="BU37" s="1" t="s">
        <v>914</v>
      </c>
      <c r="BV37" s="1" t="s">
        <v>112</v>
      </c>
      <c r="BW37" s="1" t="s">
        <v>915</v>
      </c>
      <c r="BX37" s="1" t="s">
        <v>916</v>
      </c>
      <c r="BY37" s="1" t="s">
        <v>465</v>
      </c>
      <c r="BZ37" s="1">
        <v>0</v>
      </c>
      <c r="CA37" s="1">
        <v>0</v>
      </c>
      <c r="CB37" s="4">
        <v>42131.005524039349</v>
      </c>
      <c r="CC37" s="1">
        <v>1</v>
      </c>
      <c r="CD37" s="1">
        <v>1</v>
      </c>
      <c r="CE37" s="1">
        <v>1</v>
      </c>
      <c r="CF37" s="1">
        <v>1</v>
      </c>
      <c r="CG37" s="4">
        <v>43217.286512812498</v>
      </c>
      <c r="CH37" s="1" t="s">
        <v>112</v>
      </c>
      <c r="CI37" s="1" t="s">
        <v>917</v>
      </c>
      <c r="CJ37" s="1" t="s">
        <v>157</v>
      </c>
    </row>
    <row r="38" spans="1:88" x14ac:dyDescent="0.35">
      <c r="A38" s="1">
        <v>184</v>
      </c>
      <c r="B38" s="1" t="s">
        <v>918</v>
      </c>
      <c r="C38" s="1" t="s">
        <v>919</v>
      </c>
      <c r="D38" s="1" t="s">
        <v>90</v>
      </c>
      <c r="E38" s="1" t="s">
        <v>920</v>
      </c>
      <c r="F38" s="1" t="s">
        <v>134</v>
      </c>
      <c r="G38" s="1">
        <v>1</v>
      </c>
      <c r="H38" s="3">
        <v>30593</v>
      </c>
      <c r="I38" s="1">
        <v>1</v>
      </c>
      <c r="J38" s="1" t="s">
        <v>162</v>
      </c>
      <c r="K38" s="1" t="s">
        <v>921</v>
      </c>
      <c r="L38" s="2">
        <f>91-7043445707</f>
        <v>-7043445616</v>
      </c>
      <c r="M38" s="1" t="s">
        <v>150</v>
      </c>
      <c r="N38" s="1">
        <v>0</v>
      </c>
      <c r="O38" s="1">
        <v>0</v>
      </c>
      <c r="P38" s="1">
        <v>5.0599999999999996</v>
      </c>
      <c r="Q38" s="1">
        <v>46</v>
      </c>
      <c r="R38" s="1" t="s">
        <v>292</v>
      </c>
      <c r="S38" s="1" t="s">
        <v>97</v>
      </c>
      <c r="T38" s="1" t="s">
        <v>137</v>
      </c>
      <c r="U38" s="1" t="s">
        <v>922</v>
      </c>
      <c r="V38" s="1" t="s">
        <v>923</v>
      </c>
      <c r="X38" s="1" t="s">
        <v>924</v>
      </c>
      <c r="Y38" s="1" t="s">
        <v>111</v>
      </c>
      <c r="Z38" s="1" t="s">
        <v>192</v>
      </c>
      <c r="AA38" s="1" t="s">
        <v>925</v>
      </c>
      <c r="AB38" s="1">
        <v>0</v>
      </c>
      <c r="AD38" s="1" t="s">
        <v>926</v>
      </c>
      <c r="AE38" s="1" t="s">
        <v>142</v>
      </c>
      <c r="AF38" s="1" t="s">
        <v>143</v>
      </c>
      <c r="AG38" s="1" t="s">
        <v>927</v>
      </c>
      <c r="AH38" s="1" t="s">
        <v>928</v>
      </c>
      <c r="AI38" s="1" t="s">
        <v>929</v>
      </c>
      <c r="AJ38" s="1" t="s">
        <v>109</v>
      </c>
      <c r="AK38" s="1" t="s">
        <v>930</v>
      </c>
      <c r="AL38" s="1">
        <v>3</v>
      </c>
      <c r="AM38" s="1" t="s">
        <v>243</v>
      </c>
      <c r="AP38" s="1">
        <f>91-0</f>
        <v>91</v>
      </c>
      <c r="AR38" s="1">
        <v>1</v>
      </c>
      <c r="AS38" s="1">
        <v>0</v>
      </c>
      <c r="AW38" s="1" t="s">
        <v>142</v>
      </c>
      <c r="AX38" s="1" t="s">
        <v>931</v>
      </c>
      <c r="AY38" s="1" t="s">
        <v>249</v>
      </c>
      <c r="AZ38" s="1">
        <v>4.03</v>
      </c>
      <c r="BA38" s="1">
        <v>5.04</v>
      </c>
      <c r="BB38" s="1" t="s">
        <v>151</v>
      </c>
      <c r="BC38" s="1" t="s">
        <v>152</v>
      </c>
      <c r="BD38" s="1" t="s">
        <v>153</v>
      </c>
      <c r="BE38" s="1" t="s">
        <v>120</v>
      </c>
      <c r="BF38" s="1" t="s">
        <v>120</v>
      </c>
      <c r="BG38" s="1" t="s">
        <v>120</v>
      </c>
      <c r="BH38" s="1" t="s">
        <v>120</v>
      </c>
      <c r="BI38" s="1" t="s">
        <v>192</v>
      </c>
      <c r="BJ38" s="1" t="s">
        <v>120</v>
      </c>
      <c r="BK38" s="1" t="s">
        <v>120</v>
      </c>
      <c r="BL38" s="1">
        <v>0</v>
      </c>
      <c r="BM38" s="1">
        <v>0</v>
      </c>
      <c r="BN38" s="1" t="s">
        <v>932</v>
      </c>
      <c r="BO38" s="1">
        <v>1</v>
      </c>
      <c r="BP38" s="1" t="s">
        <v>933</v>
      </c>
      <c r="BQ38" s="1" t="s">
        <v>934</v>
      </c>
      <c r="BR38" s="1">
        <v>0</v>
      </c>
      <c r="BS38" s="1" t="s">
        <v>181</v>
      </c>
      <c r="BT38" s="1" t="s">
        <v>124</v>
      </c>
      <c r="BV38" s="1" t="s">
        <v>112</v>
      </c>
      <c r="BW38" s="1" t="s">
        <v>935</v>
      </c>
      <c r="BX38" s="1" t="s">
        <v>936</v>
      </c>
      <c r="BY38" s="1" t="s">
        <v>120</v>
      </c>
      <c r="BZ38" s="1">
        <v>1</v>
      </c>
      <c r="CA38" s="1">
        <v>0</v>
      </c>
      <c r="CB38" s="4">
        <v>42140.736548877314</v>
      </c>
      <c r="CC38" s="1">
        <v>1</v>
      </c>
      <c r="CD38" s="1">
        <v>1</v>
      </c>
      <c r="CE38" s="1">
        <v>1</v>
      </c>
      <c r="CF38" s="1">
        <v>1</v>
      </c>
      <c r="CG38" s="4">
        <v>44062.356900925923</v>
      </c>
      <c r="CH38" s="1" t="s">
        <v>112</v>
      </c>
      <c r="CI38" s="1" t="s">
        <v>937</v>
      </c>
      <c r="CJ38" s="1" t="s">
        <v>157</v>
      </c>
    </row>
    <row r="39" spans="1:88" x14ac:dyDescent="0.35">
      <c r="A39" s="1">
        <v>188</v>
      </c>
      <c r="B39" s="1" t="s">
        <v>938</v>
      </c>
      <c r="C39" s="1" t="s">
        <v>939</v>
      </c>
      <c r="D39" s="1" t="s">
        <v>90</v>
      </c>
      <c r="E39" s="1" t="s">
        <v>940</v>
      </c>
      <c r="F39" s="1" t="s">
        <v>134</v>
      </c>
      <c r="G39" s="1">
        <v>1</v>
      </c>
      <c r="H39" s="3">
        <v>29916</v>
      </c>
      <c r="I39" s="1">
        <v>1</v>
      </c>
      <c r="J39" s="1" t="s">
        <v>162</v>
      </c>
      <c r="K39" s="1" t="s">
        <v>921</v>
      </c>
      <c r="L39" s="2">
        <f>91-9601917026</f>
        <v>-9601916935</v>
      </c>
      <c r="M39" s="1" t="s">
        <v>150</v>
      </c>
      <c r="N39" s="1">
        <v>0</v>
      </c>
      <c r="O39" s="1">
        <v>0</v>
      </c>
      <c r="P39" s="1">
        <v>5.05</v>
      </c>
      <c r="Q39" s="1">
        <v>46</v>
      </c>
      <c r="R39" s="1" t="s">
        <v>292</v>
      </c>
      <c r="S39" s="1" t="s">
        <v>97</v>
      </c>
      <c r="T39" s="1" t="s">
        <v>137</v>
      </c>
      <c r="U39" s="1" t="s">
        <v>941</v>
      </c>
      <c r="V39" s="1" t="s">
        <v>942</v>
      </c>
      <c r="W39" s="1" t="s">
        <v>198</v>
      </c>
      <c r="X39" s="1" t="s">
        <v>236</v>
      </c>
      <c r="Y39" s="1" t="s">
        <v>111</v>
      </c>
      <c r="Z39" s="1" t="s">
        <v>797</v>
      </c>
      <c r="AA39" s="1" t="s">
        <v>943</v>
      </c>
      <c r="AB39" s="1">
        <v>0</v>
      </c>
      <c r="AD39" s="1" t="s">
        <v>944</v>
      </c>
      <c r="AE39" s="1">
        <f>91-9601917026</f>
        <v>-9601916935</v>
      </c>
      <c r="AF39" s="1" t="s">
        <v>143</v>
      </c>
      <c r="AG39" s="1" t="s">
        <v>945</v>
      </c>
      <c r="AH39" s="1" t="s">
        <v>946</v>
      </c>
      <c r="AI39" s="1" t="s">
        <v>947</v>
      </c>
      <c r="AJ39" s="1" t="s">
        <v>109</v>
      </c>
      <c r="AK39" s="1" t="s">
        <v>948</v>
      </c>
      <c r="AL39" s="1">
        <v>3</v>
      </c>
      <c r="AM39" s="1" t="s">
        <v>243</v>
      </c>
      <c r="AN39" s="1" t="s">
        <v>198</v>
      </c>
      <c r="AO39" s="1" t="s">
        <v>198</v>
      </c>
      <c r="AP39" s="1">
        <f>91-9601917026</f>
        <v>-9601916935</v>
      </c>
      <c r="AQ39" s="1" t="s">
        <v>198</v>
      </c>
      <c r="AR39" s="1">
        <v>1</v>
      </c>
      <c r="AS39" s="1">
        <v>0</v>
      </c>
      <c r="AW39" s="1" t="s">
        <v>142</v>
      </c>
      <c r="AX39" s="1" t="s">
        <v>949</v>
      </c>
      <c r="AY39" s="1" t="s">
        <v>150</v>
      </c>
      <c r="AZ39" s="1">
        <v>5</v>
      </c>
      <c r="BA39" s="1">
        <v>6</v>
      </c>
      <c r="BB39" s="1" t="s">
        <v>151</v>
      </c>
      <c r="BC39" s="1" t="s">
        <v>152</v>
      </c>
      <c r="BD39" s="1" t="s">
        <v>950</v>
      </c>
      <c r="BE39" s="1" t="s">
        <v>120</v>
      </c>
      <c r="BF39" s="1" t="s">
        <v>120</v>
      </c>
      <c r="BG39" s="1" t="s">
        <v>120</v>
      </c>
      <c r="BH39" s="1" t="s">
        <v>120</v>
      </c>
      <c r="BI39" s="1" t="s">
        <v>797</v>
      </c>
      <c r="BJ39" s="1" t="s">
        <v>120</v>
      </c>
      <c r="BK39" s="1" t="s">
        <v>120</v>
      </c>
      <c r="BL39" s="1">
        <v>0</v>
      </c>
      <c r="BM39" s="1">
        <v>0</v>
      </c>
      <c r="BN39" s="1" t="s">
        <v>951</v>
      </c>
      <c r="BO39" s="1" t="s">
        <v>112</v>
      </c>
      <c r="BP39" s="1" t="s">
        <v>112</v>
      </c>
      <c r="BQ39" s="1" t="s">
        <v>112</v>
      </c>
      <c r="BR39" s="1" t="s">
        <v>112</v>
      </c>
      <c r="BS39" s="1" t="s">
        <v>112</v>
      </c>
      <c r="BT39" s="1" t="s">
        <v>112</v>
      </c>
      <c r="BU39" s="1" t="s">
        <v>112</v>
      </c>
      <c r="BV39" s="1" t="s">
        <v>112</v>
      </c>
      <c r="BW39" s="1" t="s">
        <v>952</v>
      </c>
      <c r="BX39" s="1" t="s">
        <v>953</v>
      </c>
      <c r="BY39" s="1" t="s">
        <v>120</v>
      </c>
      <c r="BZ39" s="1">
        <v>1</v>
      </c>
      <c r="CA39" s="1">
        <v>0</v>
      </c>
      <c r="CB39" s="4">
        <v>42144.039229050926</v>
      </c>
      <c r="CC39" s="1">
        <v>1</v>
      </c>
      <c r="CD39" s="1">
        <v>1</v>
      </c>
      <c r="CE39" s="1">
        <v>1</v>
      </c>
      <c r="CF39" s="1">
        <v>1</v>
      </c>
      <c r="CG39" s="4">
        <v>43117.672406909725</v>
      </c>
      <c r="CH39" s="1" t="s">
        <v>112</v>
      </c>
      <c r="CI39" s="1" t="s">
        <v>954</v>
      </c>
      <c r="CJ39" s="1" t="s">
        <v>157</v>
      </c>
    </row>
    <row r="40" spans="1:88" x14ac:dyDescent="0.35">
      <c r="A40" s="1">
        <v>189</v>
      </c>
      <c r="B40" s="1" t="s">
        <v>955</v>
      </c>
      <c r="C40" s="1" t="s">
        <v>956</v>
      </c>
      <c r="D40" s="1" t="s">
        <v>90</v>
      </c>
      <c r="E40" s="1" t="s">
        <v>957</v>
      </c>
      <c r="F40" s="1" t="s">
        <v>958</v>
      </c>
      <c r="G40" s="1">
        <v>1</v>
      </c>
      <c r="H40" s="3">
        <v>30134</v>
      </c>
      <c r="I40" s="1">
        <v>1</v>
      </c>
      <c r="J40" s="1" t="s">
        <v>162</v>
      </c>
      <c r="K40" s="1" t="s">
        <v>959</v>
      </c>
      <c r="L40" s="2">
        <f>91-9429524827</f>
        <v>-9429524736</v>
      </c>
      <c r="M40" s="1" t="s">
        <v>150</v>
      </c>
      <c r="N40" s="1">
        <v>0</v>
      </c>
      <c r="O40" s="1">
        <v>0</v>
      </c>
      <c r="P40" s="1">
        <v>5.07</v>
      </c>
      <c r="Q40" s="1">
        <v>10</v>
      </c>
      <c r="R40" s="1" t="s">
        <v>129</v>
      </c>
      <c r="S40" s="1" t="s">
        <v>97</v>
      </c>
      <c r="T40" s="1" t="s">
        <v>234</v>
      </c>
      <c r="U40" s="1" t="s">
        <v>960</v>
      </c>
      <c r="V40" s="1" t="s">
        <v>961</v>
      </c>
      <c r="W40" s="1" t="s">
        <v>962</v>
      </c>
      <c r="X40" s="1" t="s">
        <v>296</v>
      </c>
      <c r="Y40" s="1" t="s">
        <v>210</v>
      </c>
      <c r="Z40" s="1" t="s">
        <v>450</v>
      </c>
      <c r="AA40" s="1" t="s">
        <v>963</v>
      </c>
      <c r="AB40" s="1">
        <v>0</v>
      </c>
      <c r="AD40" s="1" t="s">
        <v>964</v>
      </c>
      <c r="AE40" s="1">
        <f>91-9428322181</f>
        <v>-9428322090</v>
      </c>
      <c r="AF40" s="1" t="s">
        <v>143</v>
      </c>
      <c r="AG40" s="1" t="s">
        <v>965</v>
      </c>
      <c r="AH40" s="1" t="s">
        <v>966</v>
      </c>
      <c r="AI40" s="1" t="s">
        <v>967</v>
      </c>
      <c r="AJ40" s="1" t="s">
        <v>109</v>
      </c>
      <c r="AK40" s="1" t="s">
        <v>968</v>
      </c>
      <c r="AL40" s="1">
        <v>3</v>
      </c>
      <c r="AM40" s="1" t="s">
        <v>148</v>
      </c>
      <c r="AN40" s="1" t="s">
        <v>887</v>
      </c>
      <c r="AO40" s="1" t="s">
        <v>969</v>
      </c>
      <c r="AP40" s="1">
        <f>91-9429555094</f>
        <v>-9429555003</v>
      </c>
      <c r="AQ40" s="1" t="s">
        <v>124</v>
      </c>
      <c r="AR40" s="1">
        <v>1</v>
      </c>
      <c r="AS40" s="1">
        <v>1</v>
      </c>
      <c r="AW40" s="1" t="s">
        <v>142</v>
      </c>
      <c r="AX40" s="1" t="s">
        <v>112</v>
      </c>
      <c r="AY40" s="1" t="s">
        <v>112</v>
      </c>
      <c r="AZ40" s="1" t="s">
        <v>112</v>
      </c>
      <c r="BA40" s="1" t="s">
        <v>112</v>
      </c>
      <c r="BB40" s="1" t="s">
        <v>112</v>
      </c>
      <c r="BC40" s="1" t="s">
        <v>112</v>
      </c>
      <c r="BD40" s="1" t="s">
        <v>112</v>
      </c>
      <c r="BE40" s="1" t="s">
        <v>112</v>
      </c>
      <c r="BF40" s="1" t="s">
        <v>112</v>
      </c>
      <c r="BG40" s="1" t="s">
        <v>112</v>
      </c>
      <c r="BH40" s="1" t="s">
        <v>112</v>
      </c>
      <c r="BI40" s="1" t="s">
        <v>112</v>
      </c>
      <c r="BJ40" s="1" t="s">
        <v>112</v>
      </c>
      <c r="BK40" s="1" t="s">
        <v>112</v>
      </c>
      <c r="BL40" s="1">
        <v>0</v>
      </c>
      <c r="BM40" s="1">
        <v>0</v>
      </c>
      <c r="BN40" s="1" t="s">
        <v>112</v>
      </c>
      <c r="BO40" s="1">
        <v>1</v>
      </c>
      <c r="BP40" s="1" t="s">
        <v>970</v>
      </c>
      <c r="BQ40" s="1" t="s">
        <v>112</v>
      </c>
      <c r="BR40" s="1">
        <v>0</v>
      </c>
      <c r="BS40" s="1" t="s">
        <v>129</v>
      </c>
      <c r="BT40" s="1" t="s">
        <v>124</v>
      </c>
      <c r="BU40" s="1" t="s">
        <v>112</v>
      </c>
      <c r="BV40" s="1" t="s">
        <v>112</v>
      </c>
      <c r="BW40" s="1" t="s">
        <v>971</v>
      </c>
      <c r="BX40" s="1" t="s">
        <v>972</v>
      </c>
      <c r="BY40" s="1" t="s">
        <v>120</v>
      </c>
      <c r="BZ40" s="1">
        <v>0</v>
      </c>
      <c r="CA40" s="1">
        <v>0</v>
      </c>
      <c r="CB40" s="4">
        <v>42147.271238425928</v>
      </c>
      <c r="CC40" s="1">
        <v>1</v>
      </c>
      <c r="CD40" s="1">
        <v>1</v>
      </c>
      <c r="CE40" s="1">
        <v>1</v>
      </c>
      <c r="CF40" s="1">
        <v>1</v>
      </c>
      <c r="CG40" s="4">
        <v>43866.226793518515</v>
      </c>
      <c r="CH40" s="1" t="s">
        <v>112</v>
      </c>
      <c r="CI40" s="1" t="s">
        <v>973</v>
      </c>
      <c r="CJ40" s="1" t="s">
        <v>112</v>
      </c>
    </row>
    <row r="41" spans="1:88" x14ac:dyDescent="0.35">
      <c r="A41" s="1">
        <v>192</v>
      </c>
      <c r="B41" s="1" t="s">
        <v>974</v>
      </c>
      <c r="C41" s="1" t="s">
        <v>975</v>
      </c>
      <c r="D41" s="1" t="s">
        <v>90</v>
      </c>
      <c r="E41" s="1" t="s">
        <v>976</v>
      </c>
      <c r="F41" s="1" t="s">
        <v>814</v>
      </c>
      <c r="G41" s="1">
        <v>1</v>
      </c>
      <c r="H41" s="3">
        <v>32668</v>
      </c>
      <c r="I41" s="1">
        <v>1</v>
      </c>
      <c r="J41" s="1" t="s">
        <v>93</v>
      </c>
      <c r="K41" s="1" t="s">
        <v>94</v>
      </c>
      <c r="L41" s="2">
        <f>91-8291968848</f>
        <v>-8291968757</v>
      </c>
      <c r="M41" s="1" t="s">
        <v>150</v>
      </c>
      <c r="N41" s="1">
        <v>0</v>
      </c>
      <c r="O41" s="1">
        <v>0</v>
      </c>
      <c r="P41" s="1">
        <v>5.0599999999999996</v>
      </c>
      <c r="Q41" s="1">
        <v>10</v>
      </c>
      <c r="S41" s="1" t="s">
        <v>97</v>
      </c>
      <c r="T41" s="1" t="s">
        <v>166</v>
      </c>
      <c r="U41" s="1" t="s">
        <v>977</v>
      </c>
      <c r="V41" s="1" t="s">
        <v>978</v>
      </c>
      <c r="X41" s="1" t="s">
        <v>100</v>
      </c>
      <c r="Y41" s="1" t="s">
        <v>101</v>
      </c>
      <c r="Z41" s="1" t="s">
        <v>979</v>
      </c>
      <c r="AA41" s="1" t="s">
        <v>980</v>
      </c>
      <c r="AB41" s="1">
        <v>0</v>
      </c>
      <c r="AD41" s="1" t="s">
        <v>981</v>
      </c>
      <c r="AE41" s="1">
        <f>91-9819657012</f>
        <v>-9819656921</v>
      </c>
      <c r="AF41" s="1" t="s">
        <v>105</v>
      </c>
      <c r="AG41" s="1" t="s">
        <v>982</v>
      </c>
      <c r="AH41" s="1" t="s">
        <v>983</v>
      </c>
      <c r="AI41" s="1" t="s">
        <v>984</v>
      </c>
      <c r="AJ41" s="1" t="s">
        <v>478</v>
      </c>
      <c r="AK41" s="1" t="s">
        <v>985</v>
      </c>
      <c r="AL41" s="1">
        <v>14</v>
      </c>
      <c r="AM41" s="1" t="s">
        <v>148</v>
      </c>
      <c r="AP41" s="1">
        <f>91-9819657012</f>
        <v>-9819656921</v>
      </c>
      <c r="AR41" s="1">
        <v>0</v>
      </c>
      <c r="AS41" s="1">
        <v>0</v>
      </c>
      <c r="AT41" s="1" t="s">
        <v>986</v>
      </c>
      <c r="AW41" s="1">
        <f>91-9322509805</f>
        <v>-9322509714</v>
      </c>
      <c r="AX41" s="1" t="s">
        <v>987</v>
      </c>
      <c r="AY41" s="1" t="s">
        <v>150</v>
      </c>
      <c r="AZ41" s="1">
        <v>5</v>
      </c>
      <c r="BA41" s="1">
        <v>5.05</v>
      </c>
      <c r="BB41" s="1" t="s">
        <v>151</v>
      </c>
      <c r="BC41" s="1" t="s">
        <v>152</v>
      </c>
      <c r="BD41" s="1" t="s">
        <v>950</v>
      </c>
      <c r="BE41" s="1" t="s">
        <v>120</v>
      </c>
      <c r="BF41" s="1" t="s">
        <v>120</v>
      </c>
      <c r="BG41" s="1" t="s">
        <v>120</v>
      </c>
      <c r="BH41" s="1" t="s">
        <v>120</v>
      </c>
      <c r="BI41" s="1" t="s">
        <v>979</v>
      </c>
      <c r="BJ41" s="1" t="s">
        <v>120</v>
      </c>
      <c r="BK41" s="1" t="s">
        <v>120</v>
      </c>
      <c r="BL41" s="1">
        <v>0</v>
      </c>
      <c r="BM41" s="1">
        <v>1</v>
      </c>
      <c r="BN41" s="1" t="s">
        <v>988</v>
      </c>
      <c r="BO41" s="1">
        <v>1</v>
      </c>
      <c r="BP41" s="1" t="s">
        <v>826</v>
      </c>
      <c r="BQ41" s="1" t="s">
        <v>989</v>
      </c>
      <c r="BR41" s="1">
        <v>1</v>
      </c>
      <c r="BS41" s="1" t="s">
        <v>129</v>
      </c>
      <c r="BT41" s="1" t="s">
        <v>120</v>
      </c>
      <c r="BV41" s="1" t="s">
        <v>112</v>
      </c>
      <c r="BW41" s="1" t="s">
        <v>990</v>
      </c>
      <c r="BX41" s="1" t="s">
        <v>991</v>
      </c>
      <c r="BY41" s="1" t="s">
        <v>127</v>
      </c>
      <c r="BZ41" s="1">
        <v>0</v>
      </c>
      <c r="CA41" s="1">
        <v>0</v>
      </c>
      <c r="CB41" s="4">
        <v>42151.334422488428</v>
      </c>
      <c r="CC41" s="1">
        <v>1</v>
      </c>
      <c r="CD41" s="1">
        <v>1</v>
      </c>
      <c r="CE41" s="1">
        <v>1</v>
      </c>
      <c r="CF41" s="1">
        <v>1</v>
      </c>
      <c r="CG41" s="4">
        <v>43436.456308217596</v>
      </c>
      <c r="CH41" s="1" t="s">
        <v>112</v>
      </c>
      <c r="CI41" s="1" t="s">
        <v>992</v>
      </c>
      <c r="CJ41" s="1" t="s">
        <v>157</v>
      </c>
    </row>
    <row r="42" spans="1:88" x14ac:dyDescent="0.35">
      <c r="A42" s="1">
        <v>193</v>
      </c>
      <c r="B42" s="1" t="s">
        <v>993</v>
      </c>
      <c r="C42" s="1" t="s">
        <v>994</v>
      </c>
      <c r="D42" s="1" t="s">
        <v>90</v>
      </c>
      <c r="E42" s="1" t="s">
        <v>995</v>
      </c>
      <c r="F42" s="1" t="s">
        <v>996</v>
      </c>
      <c r="G42" s="1">
        <v>1</v>
      </c>
      <c r="H42" s="3">
        <v>33248</v>
      </c>
      <c r="I42" s="1">
        <v>1</v>
      </c>
      <c r="J42" s="1" t="s">
        <v>997</v>
      </c>
      <c r="K42" s="1" t="s">
        <v>998</v>
      </c>
      <c r="L42" s="2">
        <f>91-9776549120</f>
        <v>-9776549029</v>
      </c>
      <c r="M42" s="1" t="s">
        <v>150</v>
      </c>
      <c r="N42" s="1">
        <v>0</v>
      </c>
      <c r="O42" s="1">
        <v>0</v>
      </c>
      <c r="P42" s="1">
        <v>5.07</v>
      </c>
      <c r="Q42" s="1">
        <v>5</v>
      </c>
      <c r="R42" s="1" t="s">
        <v>263</v>
      </c>
      <c r="S42" s="1" t="s">
        <v>492</v>
      </c>
      <c r="T42" s="1" t="s">
        <v>137</v>
      </c>
      <c r="U42" s="1" t="s">
        <v>922</v>
      </c>
      <c r="V42" s="1" t="s">
        <v>999</v>
      </c>
      <c r="X42" s="1" t="s">
        <v>236</v>
      </c>
      <c r="Y42" s="1" t="s">
        <v>111</v>
      </c>
      <c r="Z42" s="1" t="s">
        <v>192</v>
      </c>
      <c r="AA42" s="1" t="s">
        <v>1000</v>
      </c>
      <c r="AB42" s="1">
        <v>0</v>
      </c>
      <c r="AD42" s="1" t="s">
        <v>1001</v>
      </c>
      <c r="AE42" s="1">
        <f>91-9861165568</f>
        <v>-9861165477</v>
      </c>
      <c r="AF42" s="1" t="s">
        <v>143</v>
      </c>
      <c r="AG42" s="1" t="s">
        <v>1002</v>
      </c>
      <c r="AH42" s="1" t="s">
        <v>1003</v>
      </c>
      <c r="AI42" s="1" t="s">
        <v>1004</v>
      </c>
      <c r="AJ42" s="1" t="s">
        <v>109</v>
      </c>
      <c r="AK42" s="1" t="s">
        <v>1005</v>
      </c>
      <c r="AL42" s="1">
        <v>10</v>
      </c>
      <c r="AM42" s="1" t="s">
        <v>111</v>
      </c>
      <c r="AO42" s="1" t="s">
        <v>1006</v>
      </c>
      <c r="AP42" s="1">
        <f>91-9437540779</f>
        <v>-9437540688</v>
      </c>
      <c r="AQ42" s="1" t="s">
        <v>1007</v>
      </c>
      <c r="AR42" s="1">
        <v>1</v>
      </c>
      <c r="AS42" s="1">
        <v>1</v>
      </c>
      <c r="AT42" s="1" t="s">
        <v>1008</v>
      </c>
      <c r="AU42" s="1" t="s">
        <v>1009</v>
      </c>
      <c r="AV42" s="1" t="s">
        <v>1010</v>
      </c>
      <c r="AW42" s="1">
        <f>91-9879359836</f>
        <v>-9879359745</v>
      </c>
      <c r="AX42" s="1" t="s">
        <v>329</v>
      </c>
      <c r="AY42" s="1" t="s">
        <v>150</v>
      </c>
      <c r="AZ42" s="1">
        <v>5.03</v>
      </c>
      <c r="BA42" s="1">
        <v>5.0599999999999996</v>
      </c>
      <c r="BB42" s="1" t="s">
        <v>151</v>
      </c>
      <c r="BC42" s="1" t="s">
        <v>152</v>
      </c>
      <c r="BD42" s="1" t="s">
        <v>950</v>
      </c>
      <c r="BE42" s="1" t="s">
        <v>120</v>
      </c>
      <c r="BF42" s="1" t="s">
        <v>120</v>
      </c>
      <c r="BG42" s="1" t="s">
        <v>120</v>
      </c>
      <c r="BH42" s="1" t="s">
        <v>120</v>
      </c>
      <c r="BI42" s="1" t="s">
        <v>192</v>
      </c>
      <c r="BJ42" s="1" t="s">
        <v>154</v>
      </c>
      <c r="BK42" s="1" t="s">
        <v>120</v>
      </c>
      <c r="BL42" s="1">
        <v>0</v>
      </c>
      <c r="BM42" s="1">
        <v>0</v>
      </c>
      <c r="BN42" s="1" t="s">
        <v>1011</v>
      </c>
      <c r="BO42" s="1">
        <v>1</v>
      </c>
      <c r="BP42" s="1" t="s">
        <v>1012</v>
      </c>
      <c r="BQ42" s="1" t="s">
        <v>1013</v>
      </c>
      <c r="BR42" s="1">
        <v>1</v>
      </c>
      <c r="BS42" s="1" t="s">
        <v>787</v>
      </c>
      <c r="BT42" s="1" t="s">
        <v>124</v>
      </c>
      <c r="BV42" s="1" t="s">
        <v>112</v>
      </c>
      <c r="BW42" s="1" t="s">
        <v>1014</v>
      </c>
      <c r="BX42" s="1" t="s">
        <v>1015</v>
      </c>
      <c r="BY42" s="1" t="s">
        <v>127</v>
      </c>
      <c r="BZ42" s="1">
        <v>1</v>
      </c>
      <c r="CA42" s="1">
        <v>1</v>
      </c>
      <c r="CB42" s="4">
        <v>42155.17942241898</v>
      </c>
      <c r="CC42" s="1">
        <v>1</v>
      </c>
      <c r="CD42" s="1">
        <v>1</v>
      </c>
      <c r="CE42" s="1">
        <v>1</v>
      </c>
      <c r="CF42" s="1">
        <v>4</v>
      </c>
      <c r="CG42" s="4">
        <v>42913.688903437498</v>
      </c>
      <c r="CH42" s="1" t="s">
        <v>112</v>
      </c>
      <c r="CI42" s="1" t="s">
        <v>1016</v>
      </c>
      <c r="CJ42" s="1" t="s">
        <v>157</v>
      </c>
    </row>
    <row r="43" spans="1:88" x14ac:dyDescent="0.35">
      <c r="A43" s="1">
        <v>201</v>
      </c>
      <c r="B43" s="1" t="s">
        <v>1017</v>
      </c>
      <c r="C43" s="1" t="s">
        <v>1018</v>
      </c>
      <c r="D43" s="1" t="s">
        <v>90</v>
      </c>
      <c r="E43" s="1" t="s">
        <v>1019</v>
      </c>
      <c r="F43" s="1" t="s">
        <v>134</v>
      </c>
      <c r="G43" s="1">
        <v>1</v>
      </c>
      <c r="H43" s="3">
        <v>33127</v>
      </c>
      <c r="I43" s="1">
        <v>1</v>
      </c>
      <c r="J43" s="1" t="s">
        <v>162</v>
      </c>
      <c r="K43" s="1" t="s">
        <v>163</v>
      </c>
      <c r="L43" s="2">
        <f>91-9429005718</f>
        <v>-9429005627</v>
      </c>
      <c r="M43" s="1" t="s">
        <v>150</v>
      </c>
      <c r="N43" s="1">
        <v>0</v>
      </c>
      <c r="O43" s="1">
        <v>0</v>
      </c>
      <c r="P43" s="1">
        <v>5.08</v>
      </c>
      <c r="Q43" s="1">
        <v>32</v>
      </c>
      <c r="R43" s="1" t="s">
        <v>1020</v>
      </c>
      <c r="S43" s="1" t="s">
        <v>136</v>
      </c>
      <c r="T43" s="1" t="s">
        <v>166</v>
      </c>
      <c r="U43" s="1" t="s">
        <v>430</v>
      </c>
      <c r="V43" s="1" t="s">
        <v>1021</v>
      </c>
      <c r="W43" s="1" t="s">
        <v>1022</v>
      </c>
      <c r="X43" s="1" t="s">
        <v>100</v>
      </c>
      <c r="Y43" s="1" t="s">
        <v>101</v>
      </c>
      <c r="Z43" s="1" t="s">
        <v>1023</v>
      </c>
      <c r="AA43" s="1" t="s">
        <v>1024</v>
      </c>
      <c r="AB43" s="1">
        <v>0</v>
      </c>
      <c r="AD43" s="1" t="s">
        <v>1025</v>
      </c>
      <c r="AE43" s="1" t="s">
        <v>142</v>
      </c>
      <c r="AF43" s="1" t="s">
        <v>143</v>
      </c>
      <c r="AG43" s="1" t="s">
        <v>1026</v>
      </c>
      <c r="AH43" s="1" t="s">
        <v>1027</v>
      </c>
      <c r="AI43" s="1" t="s">
        <v>1028</v>
      </c>
      <c r="AJ43" s="1" t="s">
        <v>109</v>
      </c>
      <c r="AK43" s="1" t="s">
        <v>1029</v>
      </c>
      <c r="AL43" s="1">
        <v>45</v>
      </c>
      <c r="AM43" s="1" t="s">
        <v>210</v>
      </c>
      <c r="AN43" s="1" t="s">
        <v>1030</v>
      </c>
      <c r="AO43" s="1" t="s">
        <v>1031</v>
      </c>
      <c r="AP43" s="1">
        <f>91-9429005718</f>
        <v>-9429005627</v>
      </c>
      <c r="AR43" s="1">
        <v>0</v>
      </c>
      <c r="AS43" s="1">
        <v>0</v>
      </c>
      <c r="AW43" s="1" t="s">
        <v>142</v>
      </c>
      <c r="AX43" s="1" t="s">
        <v>1032</v>
      </c>
      <c r="AY43" s="1" t="s">
        <v>150</v>
      </c>
      <c r="AZ43" s="1">
        <v>4.03</v>
      </c>
      <c r="BA43" s="1">
        <v>5.07</v>
      </c>
      <c r="BB43" s="1" t="s">
        <v>151</v>
      </c>
      <c r="BC43" s="1" t="s">
        <v>152</v>
      </c>
      <c r="BD43" s="1" t="s">
        <v>950</v>
      </c>
      <c r="BE43" s="1" t="s">
        <v>1033</v>
      </c>
      <c r="BF43" s="1" t="s">
        <v>120</v>
      </c>
      <c r="BG43" s="1" t="s">
        <v>1034</v>
      </c>
      <c r="BH43" s="1" t="s">
        <v>1035</v>
      </c>
      <c r="BI43" s="1" t="s">
        <v>132</v>
      </c>
      <c r="BJ43" s="1" t="s">
        <v>120</v>
      </c>
      <c r="BK43" s="1" t="s">
        <v>120</v>
      </c>
      <c r="BL43" s="1">
        <v>0</v>
      </c>
      <c r="BM43" s="1">
        <v>0</v>
      </c>
      <c r="BN43" s="1" t="s">
        <v>1036</v>
      </c>
      <c r="BO43" s="1">
        <v>1</v>
      </c>
      <c r="BP43" s="1" t="s">
        <v>1037</v>
      </c>
      <c r="BQ43" s="1" t="s">
        <v>1038</v>
      </c>
      <c r="BR43" s="1">
        <v>0</v>
      </c>
      <c r="BS43" s="1" t="s">
        <v>334</v>
      </c>
      <c r="BT43" s="1" t="s">
        <v>124</v>
      </c>
      <c r="BV43" s="1" t="s">
        <v>112</v>
      </c>
      <c r="BW43" s="1" t="s">
        <v>1039</v>
      </c>
      <c r="BX43" s="1" t="s">
        <v>1040</v>
      </c>
      <c r="BY43" s="1" t="s">
        <v>120</v>
      </c>
      <c r="BZ43" s="1">
        <v>1</v>
      </c>
      <c r="CA43" s="1">
        <v>1</v>
      </c>
      <c r="CB43" s="4">
        <v>42180.060499305553</v>
      </c>
      <c r="CC43" s="1">
        <v>1</v>
      </c>
      <c r="CD43" s="1">
        <v>1</v>
      </c>
      <c r="CE43" s="1">
        <v>1</v>
      </c>
      <c r="CF43" s="1">
        <v>3</v>
      </c>
      <c r="CG43" s="1" t="s">
        <v>112</v>
      </c>
      <c r="CH43" s="1" t="s">
        <v>112</v>
      </c>
      <c r="CI43" s="1" t="s">
        <v>1041</v>
      </c>
      <c r="CJ43" s="1" t="s">
        <v>157</v>
      </c>
    </row>
    <row r="44" spans="1:88" x14ac:dyDescent="0.35">
      <c r="A44" s="1">
        <v>207</v>
      </c>
      <c r="B44" s="1" t="s">
        <v>1042</v>
      </c>
      <c r="C44" s="1" t="s">
        <v>1043</v>
      </c>
      <c r="D44" s="1" t="s">
        <v>90</v>
      </c>
      <c r="E44" s="1" t="s">
        <v>1044</v>
      </c>
      <c r="F44" s="1" t="s">
        <v>92</v>
      </c>
      <c r="G44" s="1">
        <v>1</v>
      </c>
      <c r="H44" s="3">
        <v>32611</v>
      </c>
      <c r="I44" s="1">
        <v>1</v>
      </c>
      <c r="J44" s="1" t="s">
        <v>93</v>
      </c>
      <c r="K44" s="1" t="s">
        <v>1045</v>
      </c>
      <c r="L44" s="2">
        <f>91-9028480463</f>
        <v>-9028480372</v>
      </c>
      <c r="M44" s="1" t="s">
        <v>150</v>
      </c>
      <c r="N44" s="1">
        <v>0</v>
      </c>
      <c r="O44" s="1">
        <v>0</v>
      </c>
      <c r="P44" s="1">
        <v>5.07</v>
      </c>
      <c r="Q44" s="1">
        <v>12</v>
      </c>
      <c r="R44" s="1" t="s">
        <v>470</v>
      </c>
      <c r="S44" s="1" t="s">
        <v>97</v>
      </c>
      <c r="T44" s="1" t="s">
        <v>137</v>
      </c>
      <c r="U44" s="1" t="s">
        <v>386</v>
      </c>
      <c r="V44" s="1" t="s">
        <v>1046</v>
      </c>
      <c r="X44" s="1" t="s">
        <v>100</v>
      </c>
      <c r="Y44" s="1" t="s">
        <v>111</v>
      </c>
      <c r="Z44" s="1" t="s">
        <v>192</v>
      </c>
      <c r="AA44" s="1" t="s">
        <v>1047</v>
      </c>
      <c r="AB44" s="1">
        <v>0</v>
      </c>
      <c r="AD44" s="1" t="s">
        <v>1048</v>
      </c>
      <c r="AE44" s="1">
        <f>91-9028480463</f>
        <v>-9028480372</v>
      </c>
      <c r="AF44" s="1" t="s">
        <v>143</v>
      </c>
      <c r="AG44" s="1" t="s">
        <v>1049</v>
      </c>
      <c r="AH44" s="1" t="s">
        <v>1050</v>
      </c>
      <c r="AI44" s="1" t="s">
        <v>1051</v>
      </c>
      <c r="AJ44" s="1" t="s">
        <v>109</v>
      </c>
      <c r="AK44" s="1" t="s">
        <v>1052</v>
      </c>
      <c r="AL44" s="1">
        <v>26</v>
      </c>
      <c r="AM44" s="1" t="s">
        <v>111</v>
      </c>
      <c r="AP44" s="1">
        <f>91-9423286186</f>
        <v>-9423286095</v>
      </c>
      <c r="AR44" s="1">
        <v>1</v>
      </c>
      <c r="AS44" s="1">
        <v>1</v>
      </c>
      <c r="AW44" s="1" t="s">
        <v>142</v>
      </c>
      <c r="AX44" s="1" t="s">
        <v>1053</v>
      </c>
      <c r="AY44" s="1" t="s">
        <v>150</v>
      </c>
      <c r="AZ44" s="1">
        <v>4.08</v>
      </c>
      <c r="BA44" s="1">
        <v>5.05</v>
      </c>
      <c r="BB44" s="1" t="s">
        <v>151</v>
      </c>
      <c r="BC44" s="1" t="s">
        <v>152</v>
      </c>
      <c r="BD44" s="1" t="s">
        <v>950</v>
      </c>
      <c r="BE44" s="1" t="s">
        <v>120</v>
      </c>
      <c r="BF44" s="1" t="s">
        <v>120</v>
      </c>
      <c r="BG44" s="1" t="s">
        <v>120</v>
      </c>
      <c r="BH44" s="1" t="s">
        <v>120</v>
      </c>
      <c r="BI44" s="1" t="s">
        <v>192</v>
      </c>
      <c r="BJ44" s="1" t="s">
        <v>120</v>
      </c>
      <c r="BK44" s="1" t="s">
        <v>120</v>
      </c>
      <c r="BL44" s="1">
        <v>0</v>
      </c>
      <c r="BM44" s="1">
        <v>0</v>
      </c>
      <c r="BN44" s="1" t="s">
        <v>1054</v>
      </c>
      <c r="BO44" s="1">
        <v>1</v>
      </c>
      <c r="BP44" s="1" t="s">
        <v>231</v>
      </c>
      <c r="BQ44" s="1" t="s">
        <v>1055</v>
      </c>
      <c r="BR44" s="1">
        <v>1</v>
      </c>
      <c r="BS44" s="1" t="s">
        <v>223</v>
      </c>
      <c r="BT44" s="1" t="s">
        <v>124</v>
      </c>
      <c r="BV44" s="1" t="s">
        <v>112</v>
      </c>
      <c r="BW44" s="1" t="s">
        <v>1056</v>
      </c>
      <c r="BX44" s="1" t="s">
        <v>1057</v>
      </c>
      <c r="BY44" s="1" t="s">
        <v>120</v>
      </c>
      <c r="BZ44" s="1">
        <v>0</v>
      </c>
      <c r="CA44" s="1">
        <v>0</v>
      </c>
      <c r="CB44" s="4">
        <v>42196.17723854167</v>
      </c>
      <c r="CC44" s="1">
        <v>1</v>
      </c>
      <c r="CD44" s="1">
        <v>1</v>
      </c>
      <c r="CE44" s="1">
        <v>1</v>
      </c>
      <c r="CF44" s="1">
        <v>1</v>
      </c>
      <c r="CG44" s="4">
        <v>43270.484142789355</v>
      </c>
      <c r="CH44" s="1" t="s">
        <v>112</v>
      </c>
      <c r="CI44" s="1" t="s">
        <v>1058</v>
      </c>
      <c r="CJ44" s="1" t="s">
        <v>157</v>
      </c>
    </row>
    <row r="45" spans="1:88" x14ac:dyDescent="0.35">
      <c r="A45" s="1">
        <v>210</v>
      </c>
      <c r="B45" s="1" t="s">
        <v>1059</v>
      </c>
      <c r="C45" s="1">
        <v>9924849863</v>
      </c>
      <c r="D45" s="1" t="s">
        <v>711</v>
      </c>
      <c r="E45" s="1" t="s">
        <v>1060</v>
      </c>
      <c r="F45" s="1" t="s">
        <v>134</v>
      </c>
      <c r="G45" s="1">
        <v>0</v>
      </c>
      <c r="H45" s="3">
        <v>31801</v>
      </c>
      <c r="I45" s="1">
        <v>1</v>
      </c>
      <c r="J45" s="1" t="s">
        <v>162</v>
      </c>
      <c r="K45" s="1" t="s">
        <v>1061</v>
      </c>
      <c r="L45" s="2">
        <f>91-9924849863</f>
        <v>-9924849772</v>
      </c>
      <c r="M45" s="1" t="s">
        <v>150</v>
      </c>
      <c r="N45" s="1">
        <v>0</v>
      </c>
      <c r="O45" s="1">
        <v>0</v>
      </c>
      <c r="P45" s="1">
        <v>5.0599999999999996</v>
      </c>
      <c r="Q45" s="1">
        <v>19</v>
      </c>
      <c r="R45" s="1" t="s">
        <v>714</v>
      </c>
      <c r="S45" s="1" t="s">
        <v>97</v>
      </c>
      <c r="T45" s="1" t="s">
        <v>341</v>
      </c>
      <c r="U45" s="1" t="s">
        <v>1062</v>
      </c>
      <c r="V45" s="1" t="s">
        <v>1063</v>
      </c>
      <c r="X45" s="1" t="s">
        <v>296</v>
      </c>
      <c r="Y45" s="1" t="s">
        <v>114</v>
      </c>
      <c r="Z45" s="1" t="s">
        <v>1064</v>
      </c>
      <c r="AA45" s="1" t="s">
        <v>1065</v>
      </c>
      <c r="AB45" s="1">
        <v>0</v>
      </c>
      <c r="AD45" s="1" t="s">
        <v>1066</v>
      </c>
      <c r="AE45" s="1">
        <f>91-9924849863</f>
        <v>-9924849772</v>
      </c>
      <c r="AF45" s="1" t="s">
        <v>143</v>
      </c>
      <c r="AG45" s="1" t="s">
        <v>1067</v>
      </c>
      <c r="AH45" s="1" t="s">
        <v>1068</v>
      </c>
      <c r="AI45" s="1" t="s">
        <v>1069</v>
      </c>
      <c r="AJ45" s="1" t="s">
        <v>109</v>
      </c>
      <c r="AK45" s="1" t="s">
        <v>1070</v>
      </c>
      <c r="AL45" s="1">
        <v>17</v>
      </c>
      <c r="AM45" s="1" t="s">
        <v>111</v>
      </c>
      <c r="AO45" s="1" t="s">
        <v>1071</v>
      </c>
      <c r="AP45" s="1">
        <f>91-9723833563</f>
        <v>-9723833472</v>
      </c>
      <c r="AQ45" s="1" t="s">
        <v>124</v>
      </c>
      <c r="AR45" s="1">
        <v>2</v>
      </c>
      <c r="AS45" s="1">
        <v>2</v>
      </c>
      <c r="AT45" s="1" t="s">
        <v>1072</v>
      </c>
      <c r="AU45" s="1" t="s">
        <v>1073</v>
      </c>
      <c r="AV45" s="1" t="s">
        <v>1074</v>
      </c>
      <c r="AW45" s="1">
        <f>91-9341253438</f>
        <v>-9341253347</v>
      </c>
      <c r="AX45" s="1" t="s">
        <v>199</v>
      </c>
      <c r="AY45" s="1" t="s">
        <v>1075</v>
      </c>
      <c r="AZ45" s="1">
        <v>5.0599999999999996</v>
      </c>
      <c r="BA45" s="1">
        <v>5.0599999999999996</v>
      </c>
      <c r="BB45" s="1" t="s">
        <v>151</v>
      </c>
      <c r="BC45" s="1" t="s">
        <v>304</v>
      </c>
      <c r="BD45" s="1" t="s">
        <v>1076</v>
      </c>
      <c r="BE45" s="1" t="s">
        <v>1077</v>
      </c>
      <c r="BF45" s="1" t="s">
        <v>120</v>
      </c>
      <c r="BG45" s="1" t="s">
        <v>120</v>
      </c>
      <c r="BH45" s="1" t="s">
        <v>120</v>
      </c>
      <c r="BJ45" s="1" t="s">
        <v>154</v>
      </c>
      <c r="BK45" s="1" t="s">
        <v>120</v>
      </c>
      <c r="BL45" s="1">
        <v>0</v>
      </c>
      <c r="BM45" s="1">
        <v>0</v>
      </c>
      <c r="BN45" s="1" t="s">
        <v>1078</v>
      </c>
      <c r="BO45" s="1">
        <v>1</v>
      </c>
      <c r="BP45" s="1" t="s">
        <v>1079</v>
      </c>
      <c r="BQ45" s="1" t="s">
        <v>112</v>
      </c>
      <c r="BR45" s="1">
        <v>0</v>
      </c>
      <c r="BS45" s="1" t="s">
        <v>376</v>
      </c>
      <c r="BT45" s="1" t="s">
        <v>124</v>
      </c>
      <c r="BU45" s="1" t="s">
        <v>112</v>
      </c>
      <c r="BV45" s="1" t="s">
        <v>112</v>
      </c>
      <c r="BW45" s="1" t="s">
        <v>1080</v>
      </c>
      <c r="BX45" s="1" t="s">
        <v>1081</v>
      </c>
      <c r="BY45" s="1" t="s">
        <v>127</v>
      </c>
      <c r="BZ45" s="1">
        <v>0</v>
      </c>
      <c r="CA45" s="1">
        <v>0</v>
      </c>
      <c r="CB45" s="4">
        <v>42200.286837615742</v>
      </c>
      <c r="CC45" s="1">
        <v>1</v>
      </c>
      <c r="CD45" s="1">
        <v>1</v>
      </c>
      <c r="CE45" s="1">
        <v>1</v>
      </c>
      <c r="CF45" s="1">
        <v>1</v>
      </c>
      <c r="CG45" s="4">
        <v>43253.157532789352</v>
      </c>
      <c r="CH45" s="1" t="s">
        <v>112</v>
      </c>
      <c r="CI45" s="1" t="s">
        <v>1082</v>
      </c>
      <c r="CJ45" s="1" t="s">
        <v>157</v>
      </c>
    </row>
    <row r="46" spans="1:88" x14ac:dyDescent="0.35">
      <c r="A46" s="1">
        <v>213</v>
      </c>
      <c r="B46" s="1" t="s">
        <v>1083</v>
      </c>
      <c r="C46" s="1" t="s">
        <v>1084</v>
      </c>
      <c r="D46" s="1" t="s">
        <v>229</v>
      </c>
      <c r="E46" s="1" t="s">
        <v>1085</v>
      </c>
      <c r="F46" s="1" t="s">
        <v>92</v>
      </c>
      <c r="G46" s="1">
        <v>1</v>
      </c>
      <c r="H46" s="3">
        <v>33797</v>
      </c>
      <c r="I46" s="1">
        <v>1</v>
      </c>
      <c r="J46" s="1" t="s">
        <v>93</v>
      </c>
      <c r="K46" s="1" t="s">
        <v>1086</v>
      </c>
      <c r="L46" s="2">
        <f>91-9503034870</f>
        <v>-9503034779</v>
      </c>
      <c r="M46" s="1" t="s">
        <v>150</v>
      </c>
      <c r="N46" s="1">
        <v>0</v>
      </c>
      <c r="O46" s="1">
        <v>0</v>
      </c>
      <c r="P46" s="1">
        <v>5.08</v>
      </c>
      <c r="Q46" s="1">
        <v>12</v>
      </c>
      <c r="R46" s="1" t="s">
        <v>96</v>
      </c>
      <c r="S46" s="1" t="s">
        <v>97</v>
      </c>
      <c r="T46" s="1" t="s">
        <v>166</v>
      </c>
      <c r="U46" s="1" t="s">
        <v>1087</v>
      </c>
      <c r="V46" s="1" t="s">
        <v>1088</v>
      </c>
      <c r="X46" s="1" t="s">
        <v>236</v>
      </c>
      <c r="Y46" s="1" t="s">
        <v>111</v>
      </c>
      <c r="Z46" s="1" t="s">
        <v>192</v>
      </c>
      <c r="AA46" s="1" t="s">
        <v>1089</v>
      </c>
      <c r="AB46" s="1">
        <v>0</v>
      </c>
      <c r="AD46" s="1" t="s">
        <v>1090</v>
      </c>
      <c r="AE46" s="1">
        <f>91-9503034870</f>
        <v>-9503034779</v>
      </c>
      <c r="AF46" s="1" t="s">
        <v>129</v>
      </c>
      <c r="AG46" s="1" t="s">
        <v>1091</v>
      </c>
      <c r="AH46" s="1" t="s">
        <v>1092</v>
      </c>
      <c r="AI46" s="1" t="s">
        <v>1093</v>
      </c>
      <c r="AJ46" s="1" t="s">
        <v>109</v>
      </c>
      <c r="AK46" s="1" t="s">
        <v>1094</v>
      </c>
      <c r="AL46" s="1">
        <v>27</v>
      </c>
      <c r="AM46" s="1" t="s">
        <v>111</v>
      </c>
      <c r="AP46" s="1">
        <f>91-9422583349</f>
        <v>-9422583258</v>
      </c>
      <c r="AR46" s="1">
        <v>1</v>
      </c>
      <c r="AS46" s="1">
        <v>1</v>
      </c>
      <c r="AW46" s="1" t="s">
        <v>142</v>
      </c>
      <c r="AX46" s="1" t="s">
        <v>1095</v>
      </c>
      <c r="AY46" s="1" t="s">
        <v>150</v>
      </c>
      <c r="AZ46" s="1">
        <v>5</v>
      </c>
      <c r="BA46" s="1">
        <v>5.08</v>
      </c>
      <c r="BE46" s="1" t="s">
        <v>1096</v>
      </c>
      <c r="BG46" s="1" t="s">
        <v>120</v>
      </c>
      <c r="BH46" s="1" t="s">
        <v>120</v>
      </c>
      <c r="BJ46" s="1" t="s">
        <v>154</v>
      </c>
      <c r="BK46" s="1" t="s">
        <v>120</v>
      </c>
      <c r="BL46" s="1">
        <v>0</v>
      </c>
      <c r="BM46" s="1">
        <v>0</v>
      </c>
      <c r="BN46" s="1" t="s">
        <v>1097</v>
      </c>
      <c r="BO46" s="1">
        <v>1</v>
      </c>
      <c r="BP46" s="1" t="s">
        <v>1098</v>
      </c>
      <c r="BQ46" s="1" t="s">
        <v>112</v>
      </c>
      <c r="BR46" s="1">
        <v>1</v>
      </c>
      <c r="BS46" s="1" t="s">
        <v>129</v>
      </c>
      <c r="BT46" s="1" t="s">
        <v>124</v>
      </c>
      <c r="BU46" s="1" t="s">
        <v>112</v>
      </c>
      <c r="BV46" s="1" t="s">
        <v>112</v>
      </c>
      <c r="BW46" s="1" t="s">
        <v>1099</v>
      </c>
      <c r="BX46" s="1" t="s">
        <v>1100</v>
      </c>
      <c r="BY46" s="1" t="s">
        <v>120</v>
      </c>
      <c r="BZ46" s="1">
        <v>1</v>
      </c>
      <c r="CA46" s="1">
        <v>1</v>
      </c>
      <c r="CB46" s="4">
        <v>42200.932040243053</v>
      </c>
      <c r="CC46" s="1">
        <v>1</v>
      </c>
      <c r="CD46" s="1">
        <v>1</v>
      </c>
      <c r="CE46" s="1">
        <v>1</v>
      </c>
      <c r="CF46" s="1">
        <v>1</v>
      </c>
      <c r="CG46" s="4">
        <v>43536.322595682868</v>
      </c>
      <c r="CH46" s="1" t="s">
        <v>112</v>
      </c>
      <c r="CI46" s="1" t="s">
        <v>1101</v>
      </c>
      <c r="CJ46" s="1" t="s">
        <v>129</v>
      </c>
    </row>
    <row r="47" spans="1:88" x14ac:dyDescent="0.35">
      <c r="A47" s="1">
        <v>215</v>
      </c>
      <c r="B47" s="1" t="s">
        <v>1102</v>
      </c>
      <c r="C47" s="1" t="s">
        <v>1103</v>
      </c>
      <c r="D47" s="1" t="s">
        <v>312</v>
      </c>
      <c r="E47" s="1" t="s">
        <v>1104</v>
      </c>
      <c r="F47" s="1" t="s">
        <v>1105</v>
      </c>
      <c r="G47" s="1">
        <v>1</v>
      </c>
      <c r="H47" s="3">
        <v>32330</v>
      </c>
      <c r="I47" s="1">
        <v>1</v>
      </c>
      <c r="J47" s="1" t="s">
        <v>162</v>
      </c>
      <c r="K47" s="1" t="s">
        <v>1106</v>
      </c>
      <c r="L47" s="2">
        <f>91-9408255068</f>
        <v>-9408254977</v>
      </c>
      <c r="M47" s="1" t="s">
        <v>150</v>
      </c>
      <c r="N47" s="1">
        <v>0</v>
      </c>
      <c r="O47" s="1">
        <v>0</v>
      </c>
      <c r="P47" s="1">
        <v>5.04</v>
      </c>
      <c r="Q47" s="1">
        <v>12</v>
      </c>
      <c r="R47" s="1" t="s">
        <v>470</v>
      </c>
      <c r="S47" s="1" t="s">
        <v>136</v>
      </c>
      <c r="T47" s="1" t="s">
        <v>1107</v>
      </c>
      <c r="U47" s="1" t="s">
        <v>694</v>
      </c>
      <c r="V47" s="1" t="s">
        <v>1108</v>
      </c>
      <c r="X47" s="1" t="s">
        <v>170</v>
      </c>
      <c r="Y47" s="1" t="s">
        <v>111</v>
      </c>
      <c r="Z47" s="1" t="s">
        <v>192</v>
      </c>
      <c r="AA47" s="1" t="s">
        <v>1109</v>
      </c>
      <c r="AB47" s="1">
        <v>0</v>
      </c>
      <c r="AD47" s="1" t="s">
        <v>1110</v>
      </c>
      <c r="AE47" s="1">
        <f>91-9825553068</f>
        <v>-9825552977</v>
      </c>
      <c r="AF47" s="1" t="s">
        <v>105</v>
      </c>
      <c r="AG47" s="1" t="s">
        <v>1111</v>
      </c>
      <c r="AH47" s="1" t="s">
        <v>1112</v>
      </c>
      <c r="AI47" s="1" t="s">
        <v>1113</v>
      </c>
      <c r="AJ47" s="1" t="s">
        <v>109</v>
      </c>
      <c r="AK47" s="1" t="s">
        <v>1114</v>
      </c>
      <c r="AL47" s="1">
        <v>24</v>
      </c>
      <c r="AM47" s="1" t="s">
        <v>111</v>
      </c>
      <c r="AO47" s="1" t="s">
        <v>1115</v>
      </c>
      <c r="AP47" s="1">
        <f>91-9825553068</f>
        <v>-9825552977</v>
      </c>
      <c r="AQ47" s="1" t="s">
        <v>1116</v>
      </c>
      <c r="AR47" s="1">
        <v>1</v>
      </c>
      <c r="AS47" s="1">
        <v>1</v>
      </c>
      <c r="AT47" s="1" t="s">
        <v>1117</v>
      </c>
      <c r="AU47" s="1" t="s">
        <v>1118</v>
      </c>
      <c r="AV47" s="1" t="s">
        <v>1119</v>
      </c>
      <c r="AW47" s="1">
        <f>91-9448765333</f>
        <v>-9448765242</v>
      </c>
      <c r="AX47" s="1" t="s">
        <v>1120</v>
      </c>
      <c r="AY47" s="1" t="s">
        <v>150</v>
      </c>
      <c r="AZ47" s="1">
        <v>4.08</v>
      </c>
      <c r="BA47" s="1">
        <v>5.05</v>
      </c>
      <c r="BB47" s="1" t="s">
        <v>151</v>
      </c>
      <c r="BC47" s="1" t="s">
        <v>152</v>
      </c>
      <c r="BD47" s="1" t="s">
        <v>950</v>
      </c>
      <c r="BE47" s="1" t="s">
        <v>120</v>
      </c>
      <c r="BF47" s="1" t="s">
        <v>120</v>
      </c>
      <c r="BG47" s="1" t="s">
        <v>120</v>
      </c>
      <c r="BH47" s="1" t="s">
        <v>120</v>
      </c>
      <c r="BI47" s="1" t="s">
        <v>192</v>
      </c>
      <c r="BJ47" s="1" t="s">
        <v>120</v>
      </c>
      <c r="BK47" s="1" t="s">
        <v>120</v>
      </c>
      <c r="BL47" s="1">
        <v>0</v>
      </c>
      <c r="BM47" s="1">
        <v>0</v>
      </c>
      <c r="BN47" s="1" t="s">
        <v>1121</v>
      </c>
      <c r="BO47" s="1">
        <v>1</v>
      </c>
      <c r="BP47" s="1" t="s">
        <v>1119</v>
      </c>
      <c r="BQ47" s="1" t="s">
        <v>1122</v>
      </c>
      <c r="BR47" s="1">
        <v>1</v>
      </c>
      <c r="BS47" s="1" t="s">
        <v>399</v>
      </c>
      <c r="BT47" s="1" t="s">
        <v>1123</v>
      </c>
      <c r="BV47" s="1" t="s">
        <v>112</v>
      </c>
      <c r="BW47" s="1" t="s">
        <v>1124</v>
      </c>
      <c r="BX47" s="1" t="s">
        <v>1125</v>
      </c>
      <c r="BY47" s="1" t="s">
        <v>127</v>
      </c>
      <c r="BZ47" s="1">
        <v>1</v>
      </c>
      <c r="CA47" s="1">
        <v>0</v>
      </c>
      <c r="CB47" s="4">
        <v>42201.093336655096</v>
      </c>
      <c r="CC47" s="1">
        <v>1</v>
      </c>
      <c r="CD47" s="1">
        <v>1</v>
      </c>
      <c r="CE47" s="1">
        <v>1</v>
      </c>
      <c r="CF47" s="1">
        <v>4</v>
      </c>
      <c r="CG47" s="4">
        <v>42973.322383333332</v>
      </c>
      <c r="CH47" s="1" t="s">
        <v>112</v>
      </c>
      <c r="CI47" s="1" t="s">
        <v>1119</v>
      </c>
      <c r="CJ47" s="1" t="s">
        <v>157</v>
      </c>
    </row>
    <row r="48" spans="1:88" x14ac:dyDescent="0.35">
      <c r="A48" s="1">
        <v>216</v>
      </c>
      <c r="B48" s="1" t="s">
        <v>1126</v>
      </c>
      <c r="C48" s="1" t="s">
        <v>1127</v>
      </c>
      <c r="D48" s="1" t="s">
        <v>229</v>
      </c>
      <c r="E48" s="1" t="s">
        <v>1128</v>
      </c>
      <c r="F48" s="1" t="s">
        <v>1129</v>
      </c>
      <c r="G48" s="1">
        <v>1</v>
      </c>
      <c r="H48" s="3">
        <v>30826</v>
      </c>
      <c r="I48" s="1">
        <v>1</v>
      </c>
      <c r="J48" s="1" t="s">
        <v>93</v>
      </c>
      <c r="K48" s="1" t="s">
        <v>1130</v>
      </c>
      <c r="L48" s="2">
        <f>91-9823016110</f>
        <v>-9823016019</v>
      </c>
      <c r="M48" s="1" t="s">
        <v>150</v>
      </c>
      <c r="N48" s="1">
        <v>0</v>
      </c>
      <c r="O48" s="1">
        <v>0</v>
      </c>
      <c r="P48" s="1">
        <v>5.05</v>
      </c>
      <c r="Q48" s="1">
        <v>54</v>
      </c>
      <c r="R48" s="1" t="s">
        <v>1131</v>
      </c>
      <c r="S48" s="1" t="s">
        <v>97</v>
      </c>
      <c r="T48" s="1" t="s">
        <v>1132</v>
      </c>
      <c r="U48" s="1" t="s">
        <v>1133</v>
      </c>
      <c r="V48" s="1" t="s">
        <v>1134</v>
      </c>
      <c r="X48" s="1" t="s">
        <v>100</v>
      </c>
      <c r="Y48" s="1" t="s">
        <v>101</v>
      </c>
      <c r="Z48" s="1" t="s">
        <v>266</v>
      </c>
      <c r="AA48" s="1" t="s">
        <v>1135</v>
      </c>
      <c r="AB48" s="1">
        <v>0</v>
      </c>
      <c r="AD48" s="1" t="s">
        <v>1136</v>
      </c>
      <c r="AE48" s="1">
        <f>91-9373105524</f>
        <v>-9373105433</v>
      </c>
      <c r="AF48" s="1" t="s">
        <v>105</v>
      </c>
      <c r="AG48" s="1" t="s">
        <v>1137</v>
      </c>
      <c r="AH48" s="1" t="s">
        <v>1138</v>
      </c>
      <c r="AI48" s="1" t="s">
        <v>1139</v>
      </c>
      <c r="AJ48" s="1" t="s">
        <v>109</v>
      </c>
      <c r="AK48" s="1" t="s">
        <v>1140</v>
      </c>
      <c r="AL48" s="1">
        <v>60</v>
      </c>
      <c r="AM48" s="1" t="s">
        <v>111</v>
      </c>
      <c r="AO48" s="1" t="s">
        <v>1141</v>
      </c>
      <c r="AP48" s="1">
        <f>91-9373105524</f>
        <v>-9373105433</v>
      </c>
      <c r="AR48" s="1">
        <v>1</v>
      </c>
      <c r="AS48" s="1">
        <v>1</v>
      </c>
      <c r="AT48" s="1" t="s">
        <v>1142</v>
      </c>
      <c r="AU48" s="1" t="s">
        <v>1143</v>
      </c>
      <c r="AV48" s="1" t="s">
        <v>1144</v>
      </c>
      <c r="AW48" s="1">
        <f>91-9425219139</f>
        <v>-9425219048</v>
      </c>
      <c r="AX48" s="1" t="s">
        <v>1145</v>
      </c>
      <c r="AY48" s="1" t="s">
        <v>150</v>
      </c>
      <c r="AZ48" s="1">
        <v>5</v>
      </c>
      <c r="BA48" s="1">
        <v>5.05</v>
      </c>
      <c r="BB48" s="1" t="s">
        <v>151</v>
      </c>
      <c r="BC48" s="1" t="s">
        <v>304</v>
      </c>
      <c r="BD48" s="1" t="s">
        <v>1076</v>
      </c>
      <c r="BE48" s="1" t="s">
        <v>120</v>
      </c>
      <c r="BF48" s="1" t="s">
        <v>120</v>
      </c>
      <c r="BG48" s="1" t="s">
        <v>120</v>
      </c>
      <c r="BH48" s="1" t="s">
        <v>120</v>
      </c>
      <c r="BJ48" s="1" t="s">
        <v>120</v>
      </c>
      <c r="BK48" s="1" t="s">
        <v>120</v>
      </c>
      <c r="BL48" s="1">
        <v>0</v>
      </c>
      <c r="BM48" s="1">
        <v>0</v>
      </c>
      <c r="BN48" s="1" t="s">
        <v>1146</v>
      </c>
      <c r="BO48" s="1">
        <v>0</v>
      </c>
      <c r="BQ48" s="1" t="s">
        <v>112</v>
      </c>
      <c r="BR48" s="1">
        <v>0</v>
      </c>
      <c r="BS48" s="1" t="s">
        <v>129</v>
      </c>
      <c r="BT48" s="1" t="s">
        <v>124</v>
      </c>
      <c r="BU48" s="1" t="s">
        <v>112</v>
      </c>
      <c r="BV48" s="1" t="s">
        <v>112</v>
      </c>
      <c r="BW48" s="1" t="s">
        <v>1147</v>
      </c>
      <c r="BX48" s="1" t="s">
        <v>1148</v>
      </c>
      <c r="BY48" s="1" t="s">
        <v>127</v>
      </c>
      <c r="BZ48" s="1">
        <v>1</v>
      </c>
      <c r="CA48" s="1">
        <v>0</v>
      </c>
      <c r="CB48" s="4">
        <v>42201.199189548614</v>
      </c>
      <c r="CC48" s="1">
        <v>1</v>
      </c>
      <c r="CD48" s="1">
        <v>1</v>
      </c>
      <c r="CE48" s="1">
        <v>1</v>
      </c>
      <c r="CF48" s="1">
        <v>1</v>
      </c>
      <c r="CG48" s="4">
        <v>44054.203270868056</v>
      </c>
      <c r="CH48" s="1" t="s">
        <v>112</v>
      </c>
      <c r="CI48" s="1" t="s">
        <v>1149</v>
      </c>
      <c r="CJ48" s="1" t="s">
        <v>157</v>
      </c>
    </row>
    <row r="49" spans="1:88" x14ac:dyDescent="0.35">
      <c r="A49" s="1">
        <v>220</v>
      </c>
      <c r="B49" s="1" t="s">
        <v>1150</v>
      </c>
      <c r="C49" s="1" t="s">
        <v>1151</v>
      </c>
      <c r="D49" s="1" t="s">
        <v>90</v>
      </c>
      <c r="E49" s="1" t="s">
        <v>1152</v>
      </c>
      <c r="F49" s="1" t="s">
        <v>1153</v>
      </c>
      <c r="G49" s="1">
        <v>1</v>
      </c>
      <c r="H49" s="3">
        <v>33301</v>
      </c>
      <c r="I49" s="1">
        <v>1</v>
      </c>
      <c r="J49" s="1" t="s">
        <v>93</v>
      </c>
      <c r="K49" s="1" t="s">
        <v>1154</v>
      </c>
      <c r="L49" s="2">
        <f>91-8007974111</f>
        <v>-8007974020</v>
      </c>
      <c r="M49" s="1" t="s">
        <v>150</v>
      </c>
      <c r="N49" s="1">
        <v>0</v>
      </c>
      <c r="O49" s="1">
        <v>0</v>
      </c>
      <c r="P49" s="1">
        <v>5.09</v>
      </c>
      <c r="Q49" s="1">
        <v>38</v>
      </c>
      <c r="R49" s="1" t="s">
        <v>317</v>
      </c>
      <c r="S49" s="1" t="s">
        <v>136</v>
      </c>
      <c r="T49" s="1" t="s">
        <v>166</v>
      </c>
      <c r="U49" s="1" t="s">
        <v>1155</v>
      </c>
      <c r="V49" s="1" t="s">
        <v>1156</v>
      </c>
      <c r="W49" s="1" t="s">
        <v>1157</v>
      </c>
      <c r="X49" s="1" t="s">
        <v>100</v>
      </c>
      <c r="Y49" s="1" t="s">
        <v>111</v>
      </c>
      <c r="Z49" s="1" t="s">
        <v>192</v>
      </c>
      <c r="AA49" s="1" t="s">
        <v>1158</v>
      </c>
      <c r="AB49" s="1">
        <v>0</v>
      </c>
      <c r="AD49" s="1" t="s">
        <v>1159</v>
      </c>
      <c r="AE49" s="1">
        <f>91-7020768779</f>
        <v>-7020768688</v>
      </c>
      <c r="AF49" s="1" t="s">
        <v>105</v>
      </c>
      <c r="AG49" s="1" t="s">
        <v>1160</v>
      </c>
      <c r="AH49" s="1" t="s">
        <v>1161</v>
      </c>
      <c r="AI49" s="1" t="s">
        <v>1162</v>
      </c>
      <c r="AJ49" s="1" t="s">
        <v>109</v>
      </c>
      <c r="AK49" s="1" t="s">
        <v>1163</v>
      </c>
      <c r="AL49" s="1">
        <v>60</v>
      </c>
      <c r="AM49" s="1" t="s">
        <v>111</v>
      </c>
      <c r="AO49" s="1" t="s">
        <v>1164</v>
      </c>
      <c r="AP49" s="1">
        <f>91-9970207375</f>
        <v>-9970207284</v>
      </c>
      <c r="AR49" s="1">
        <v>0</v>
      </c>
      <c r="AS49" s="1">
        <v>0</v>
      </c>
      <c r="AT49" s="1" t="s">
        <v>1165</v>
      </c>
      <c r="AU49" s="1" t="s">
        <v>1166</v>
      </c>
      <c r="AV49" s="1" t="s">
        <v>117</v>
      </c>
      <c r="AW49" s="1">
        <f>91-9421815570</f>
        <v>-9421815479</v>
      </c>
      <c r="AX49" s="1" t="s">
        <v>373</v>
      </c>
      <c r="AY49" s="1" t="s">
        <v>150</v>
      </c>
      <c r="AZ49" s="1">
        <v>5.01</v>
      </c>
      <c r="BA49" s="1">
        <v>5.08</v>
      </c>
      <c r="BE49" s="1" t="s">
        <v>120</v>
      </c>
      <c r="BG49" s="1" t="s">
        <v>120</v>
      </c>
      <c r="BH49" s="1" t="s">
        <v>120</v>
      </c>
      <c r="BJ49" s="1" t="s">
        <v>154</v>
      </c>
      <c r="BK49" s="1" t="s">
        <v>120</v>
      </c>
      <c r="BL49" s="1">
        <v>0</v>
      </c>
      <c r="BM49" s="1">
        <v>1</v>
      </c>
      <c r="BN49" s="1" t="s">
        <v>1167</v>
      </c>
      <c r="BO49" s="1">
        <v>1</v>
      </c>
      <c r="BP49" s="1" t="s">
        <v>1168</v>
      </c>
      <c r="BQ49" s="1" t="s">
        <v>112</v>
      </c>
      <c r="BR49" s="1">
        <v>1</v>
      </c>
      <c r="BS49" s="1" t="s">
        <v>181</v>
      </c>
      <c r="BT49" s="1" t="s">
        <v>124</v>
      </c>
      <c r="BU49" s="1" t="s">
        <v>112</v>
      </c>
      <c r="BV49" s="1" t="s">
        <v>112</v>
      </c>
      <c r="BW49" s="1" t="s">
        <v>1169</v>
      </c>
      <c r="BX49" s="1" t="s">
        <v>1170</v>
      </c>
      <c r="BY49" s="1" t="s">
        <v>127</v>
      </c>
      <c r="BZ49" s="1">
        <v>2</v>
      </c>
      <c r="CA49" s="1">
        <v>2</v>
      </c>
      <c r="CB49" s="4">
        <v>42202.392020057872</v>
      </c>
      <c r="CC49" s="1">
        <v>1</v>
      </c>
      <c r="CD49" s="1">
        <v>1</v>
      </c>
      <c r="CE49" s="1">
        <v>1</v>
      </c>
      <c r="CF49" s="1">
        <v>1</v>
      </c>
      <c r="CG49" s="4">
        <v>43494.604841053238</v>
      </c>
      <c r="CH49" s="1" t="s">
        <v>112</v>
      </c>
      <c r="CI49" s="1" t="s">
        <v>117</v>
      </c>
      <c r="CJ49" s="1" t="s">
        <v>129</v>
      </c>
    </row>
    <row r="50" spans="1:88" x14ac:dyDescent="0.35">
      <c r="A50" s="1">
        <v>224</v>
      </c>
      <c r="B50" s="1" t="s">
        <v>1171</v>
      </c>
      <c r="C50" s="1" t="s">
        <v>1127</v>
      </c>
      <c r="D50" s="1" t="s">
        <v>711</v>
      </c>
      <c r="E50" s="1" t="s">
        <v>1172</v>
      </c>
      <c r="F50" s="1" t="s">
        <v>1129</v>
      </c>
      <c r="G50" s="1">
        <v>0</v>
      </c>
      <c r="H50" s="3">
        <v>31693</v>
      </c>
      <c r="I50" s="1">
        <v>1</v>
      </c>
      <c r="J50" s="1" t="s">
        <v>93</v>
      </c>
      <c r="K50" s="1" t="s">
        <v>1130</v>
      </c>
      <c r="L50" s="2">
        <f>91-9823016110</f>
        <v>-9823016019</v>
      </c>
      <c r="M50" s="1" t="s">
        <v>150</v>
      </c>
      <c r="N50" s="1">
        <v>0</v>
      </c>
      <c r="O50" s="1">
        <v>0</v>
      </c>
      <c r="P50" s="1">
        <v>5</v>
      </c>
      <c r="Q50" s="1">
        <v>54</v>
      </c>
      <c r="R50" s="1" t="s">
        <v>1131</v>
      </c>
      <c r="S50" s="1" t="s">
        <v>97</v>
      </c>
      <c r="T50" s="1" t="s">
        <v>1173</v>
      </c>
      <c r="U50" s="1" t="s">
        <v>1174</v>
      </c>
      <c r="V50" s="1" t="s">
        <v>1175</v>
      </c>
      <c r="X50" s="1" t="s">
        <v>100</v>
      </c>
      <c r="Y50" s="1" t="s">
        <v>210</v>
      </c>
      <c r="Z50" s="1" t="s">
        <v>979</v>
      </c>
      <c r="AA50" s="1" t="s">
        <v>1176</v>
      </c>
      <c r="AB50" s="1">
        <v>0</v>
      </c>
      <c r="AD50" s="1" t="s">
        <v>1177</v>
      </c>
      <c r="AE50" s="1">
        <f>91-9373105524</f>
        <v>-9373105433</v>
      </c>
      <c r="AF50" s="1" t="s">
        <v>105</v>
      </c>
      <c r="AG50" s="1" t="s">
        <v>1137</v>
      </c>
      <c r="AH50" s="1" t="s">
        <v>1138</v>
      </c>
      <c r="AI50" s="1" t="s">
        <v>1139</v>
      </c>
      <c r="AJ50" s="1" t="s">
        <v>109</v>
      </c>
      <c r="AK50" s="1" t="s">
        <v>1178</v>
      </c>
      <c r="AL50" s="1">
        <v>60</v>
      </c>
      <c r="AM50" s="1" t="s">
        <v>111</v>
      </c>
      <c r="AO50" s="1" t="s">
        <v>1179</v>
      </c>
      <c r="AP50" s="1">
        <f>91-9373105524</f>
        <v>-9373105433</v>
      </c>
      <c r="AR50" s="1">
        <v>2</v>
      </c>
      <c r="AS50" s="1">
        <v>1</v>
      </c>
      <c r="AT50" s="1" t="s">
        <v>1142</v>
      </c>
      <c r="AU50" s="1" t="s">
        <v>1180</v>
      </c>
      <c r="AV50" s="1" t="s">
        <v>1144</v>
      </c>
      <c r="AW50" s="1">
        <f>91-9425219139</f>
        <v>-9425219048</v>
      </c>
      <c r="AX50" s="1" t="s">
        <v>1181</v>
      </c>
      <c r="AY50" s="1" t="s">
        <v>150</v>
      </c>
      <c r="AZ50" s="1">
        <v>5.01</v>
      </c>
      <c r="BA50" s="1">
        <v>7</v>
      </c>
      <c r="BB50" s="1" t="s">
        <v>151</v>
      </c>
      <c r="BC50" s="1" t="s">
        <v>304</v>
      </c>
      <c r="BD50" s="1" t="s">
        <v>1076</v>
      </c>
      <c r="BE50" s="1" t="s">
        <v>1182</v>
      </c>
      <c r="BF50" s="1" t="s">
        <v>120</v>
      </c>
      <c r="BG50" s="1" t="s">
        <v>100</v>
      </c>
      <c r="BH50" s="1" t="s">
        <v>120</v>
      </c>
      <c r="BJ50" s="1" t="s">
        <v>120</v>
      </c>
      <c r="BK50" s="1" t="s">
        <v>120</v>
      </c>
      <c r="BL50" s="1">
        <v>0</v>
      </c>
      <c r="BM50" s="1">
        <v>0</v>
      </c>
      <c r="BN50" s="1" t="s">
        <v>1183</v>
      </c>
      <c r="BO50" s="1">
        <v>1</v>
      </c>
      <c r="BP50" s="1" t="s">
        <v>1130</v>
      </c>
      <c r="BQ50" s="1" t="s">
        <v>180</v>
      </c>
      <c r="BR50" s="1">
        <v>0</v>
      </c>
      <c r="BS50" s="1" t="s">
        <v>376</v>
      </c>
      <c r="BT50" s="1" t="s">
        <v>124</v>
      </c>
      <c r="BV50" s="1" t="s">
        <v>112</v>
      </c>
      <c r="BW50" s="1" t="s">
        <v>1184</v>
      </c>
      <c r="BX50" s="1" t="s">
        <v>1185</v>
      </c>
      <c r="BY50" s="1" t="s">
        <v>127</v>
      </c>
      <c r="BZ50" s="1">
        <v>0</v>
      </c>
      <c r="CA50" s="1">
        <v>0</v>
      </c>
      <c r="CB50" s="4">
        <v>42204.062952928238</v>
      </c>
      <c r="CC50" s="1">
        <v>1</v>
      </c>
      <c r="CD50" s="1">
        <v>1</v>
      </c>
      <c r="CE50" s="1">
        <v>1</v>
      </c>
      <c r="CF50" s="1">
        <v>1</v>
      </c>
      <c r="CG50" s="4">
        <v>43876.409274571757</v>
      </c>
      <c r="CH50" s="1" t="s">
        <v>112</v>
      </c>
      <c r="CI50" s="1" t="s">
        <v>1149</v>
      </c>
      <c r="CJ50" s="1" t="s">
        <v>157</v>
      </c>
    </row>
    <row r="51" spans="1:88" x14ac:dyDescent="0.35">
      <c r="A51" s="1">
        <v>225</v>
      </c>
      <c r="B51" s="1" t="s">
        <v>1186</v>
      </c>
      <c r="C51" s="1" t="s">
        <v>1187</v>
      </c>
      <c r="D51" s="1" t="s">
        <v>711</v>
      </c>
      <c r="E51" s="1" t="s">
        <v>1188</v>
      </c>
      <c r="F51" s="1" t="s">
        <v>1189</v>
      </c>
      <c r="G51" s="1">
        <v>0</v>
      </c>
      <c r="H51" s="3">
        <v>29701</v>
      </c>
      <c r="I51" s="1">
        <v>1</v>
      </c>
      <c r="J51" s="1" t="s">
        <v>162</v>
      </c>
      <c r="K51" s="1" t="s">
        <v>232</v>
      </c>
      <c r="L51" s="2">
        <f>91-8980612044</f>
        <v>-8980611953</v>
      </c>
      <c r="M51" s="1" t="s">
        <v>95</v>
      </c>
      <c r="N51" s="1">
        <v>0</v>
      </c>
      <c r="O51" s="1">
        <v>0</v>
      </c>
      <c r="P51" s="1">
        <v>5</v>
      </c>
      <c r="Q51" s="1">
        <v>27</v>
      </c>
      <c r="R51" s="1" t="s">
        <v>672</v>
      </c>
      <c r="S51" s="1" t="s">
        <v>492</v>
      </c>
      <c r="T51" s="1" t="s">
        <v>137</v>
      </c>
      <c r="U51" s="1" t="s">
        <v>1190</v>
      </c>
      <c r="V51" s="1" t="s">
        <v>1191</v>
      </c>
      <c r="W51" s="1" t="s">
        <v>1192</v>
      </c>
      <c r="X51" s="1" t="s">
        <v>100</v>
      </c>
      <c r="Y51" s="1" t="s">
        <v>129</v>
      </c>
      <c r="Z51" s="1" t="s">
        <v>1193</v>
      </c>
      <c r="AA51" s="1" t="s">
        <v>1194</v>
      </c>
      <c r="AB51" s="1">
        <v>0</v>
      </c>
      <c r="AD51" s="1" t="s">
        <v>1195</v>
      </c>
      <c r="AE51" s="1">
        <f>91-9408322143</f>
        <v>-9408322052</v>
      </c>
      <c r="AF51" s="1" t="s">
        <v>105</v>
      </c>
      <c r="AG51" s="1" t="s">
        <v>1196</v>
      </c>
      <c r="AH51" s="1" t="s">
        <v>1197</v>
      </c>
      <c r="AI51" s="1" t="s">
        <v>1198</v>
      </c>
      <c r="AJ51" s="1" t="s">
        <v>109</v>
      </c>
      <c r="AK51" s="1" t="s">
        <v>1199</v>
      </c>
      <c r="AL51" s="1">
        <v>4</v>
      </c>
      <c r="AM51" s="1" t="s">
        <v>129</v>
      </c>
      <c r="AN51" s="1" t="s">
        <v>198</v>
      </c>
      <c r="AO51" s="1" t="s">
        <v>1200</v>
      </c>
      <c r="AP51" s="1">
        <f>91-8980612044</f>
        <v>-8980611953</v>
      </c>
      <c r="AQ51" s="1" t="s">
        <v>1201</v>
      </c>
      <c r="AR51" s="1">
        <v>1</v>
      </c>
      <c r="AS51" s="1">
        <v>1</v>
      </c>
      <c r="AT51" s="1" t="s">
        <v>1202</v>
      </c>
      <c r="AU51" s="1" t="s">
        <v>1203</v>
      </c>
      <c r="AV51" s="1" t="s">
        <v>1204</v>
      </c>
      <c r="AW51" s="1">
        <f>91-8980612044</f>
        <v>-8980611953</v>
      </c>
      <c r="AX51" s="1" t="s">
        <v>1205</v>
      </c>
      <c r="AY51" s="1" t="s">
        <v>351</v>
      </c>
      <c r="AZ51" s="1">
        <v>5.01</v>
      </c>
      <c r="BA51" s="1">
        <v>5.0599999999999996</v>
      </c>
      <c r="BE51" s="1" t="s">
        <v>120</v>
      </c>
      <c r="BG51" s="1" t="s">
        <v>120</v>
      </c>
      <c r="BH51" s="1" t="s">
        <v>1206</v>
      </c>
      <c r="BJ51" s="1" t="s">
        <v>120</v>
      </c>
      <c r="BK51" s="1" t="s">
        <v>120</v>
      </c>
      <c r="BL51" s="1">
        <v>0</v>
      </c>
      <c r="BM51" s="1">
        <v>0</v>
      </c>
      <c r="BN51" s="1" t="s">
        <v>1207</v>
      </c>
      <c r="BO51" s="1">
        <v>1</v>
      </c>
      <c r="BP51" s="1" t="s">
        <v>332</v>
      </c>
      <c r="BQ51" s="1" t="s">
        <v>112</v>
      </c>
      <c r="BR51" s="1">
        <v>0</v>
      </c>
      <c r="BS51" s="1" t="s">
        <v>1208</v>
      </c>
      <c r="BT51" s="1" t="s">
        <v>120</v>
      </c>
      <c r="BU51" s="1" t="s">
        <v>112</v>
      </c>
      <c r="BV51" s="1" t="s">
        <v>112</v>
      </c>
      <c r="BW51" s="1" t="s">
        <v>1209</v>
      </c>
      <c r="BX51" s="1" t="s">
        <v>1210</v>
      </c>
      <c r="BY51" s="1" t="s">
        <v>465</v>
      </c>
      <c r="BZ51" s="1">
        <v>1</v>
      </c>
      <c r="CA51" s="1">
        <v>1</v>
      </c>
      <c r="CB51" s="4">
        <v>42204.464579942127</v>
      </c>
      <c r="CC51" s="1">
        <v>1</v>
      </c>
      <c r="CD51" s="1">
        <v>1</v>
      </c>
      <c r="CE51" s="1">
        <v>1</v>
      </c>
      <c r="CF51" s="1">
        <v>4</v>
      </c>
      <c r="CG51" s="4">
        <v>42996.626412881946</v>
      </c>
      <c r="CH51" s="1" t="s">
        <v>112</v>
      </c>
      <c r="CI51" s="1" t="s">
        <v>332</v>
      </c>
      <c r="CJ51" s="1" t="s">
        <v>129</v>
      </c>
    </row>
    <row r="52" spans="1:88" x14ac:dyDescent="0.35">
      <c r="A52" s="1">
        <v>228</v>
      </c>
      <c r="B52" s="1" t="s">
        <v>1211</v>
      </c>
      <c r="C52" s="1">
        <v>2770273218</v>
      </c>
      <c r="D52" s="1" t="s">
        <v>90</v>
      </c>
      <c r="E52" s="1" t="s">
        <v>1212</v>
      </c>
      <c r="F52" s="1" t="s">
        <v>1213</v>
      </c>
      <c r="G52" s="1">
        <v>1</v>
      </c>
      <c r="H52" s="3">
        <v>34510</v>
      </c>
      <c r="I52" s="1">
        <v>1</v>
      </c>
      <c r="J52" s="1" t="s">
        <v>162</v>
      </c>
      <c r="K52" s="1" t="s">
        <v>163</v>
      </c>
      <c r="L52" s="2">
        <f>91-9409133042</f>
        <v>-9409132951</v>
      </c>
      <c r="M52" s="1" t="s">
        <v>150</v>
      </c>
      <c r="N52" s="1">
        <v>0</v>
      </c>
      <c r="O52" s="1">
        <v>0</v>
      </c>
      <c r="P52" s="1">
        <v>5.07</v>
      </c>
      <c r="Q52" s="1">
        <v>32</v>
      </c>
      <c r="R52" s="1" t="s">
        <v>1020</v>
      </c>
      <c r="S52" s="1" t="s">
        <v>492</v>
      </c>
      <c r="T52" s="1" t="s">
        <v>341</v>
      </c>
      <c r="U52" s="1" t="s">
        <v>1214</v>
      </c>
      <c r="V52" s="1" t="s">
        <v>1215</v>
      </c>
      <c r="W52" s="1" t="s">
        <v>482</v>
      </c>
      <c r="X52" s="1" t="s">
        <v>100</v>
      </c>
      <c r="Y52" s="1" t="s">
        <v>268</v>
      </c>
      <c r="Z52" s="1" t="s">
        <v>515</v>
      </c>
      <c r="AA52" s="1" t="s">
        <v>1216</v>
      </c>
      <c r="AB52" s="1">
        <v>0</v>
      </c>
      <c r="AD52" s="1" t="s">
        <v>1217</v>
      </c>
      <c r="AE52" s="1">
        <f>91-9409133042</f>
        <v>-9409132951</v>
      </c>
      <c r="AF52" s="1" t="s">
        <v>143</v>
      </c>
      <c r="AG52" s="1" t="s">
        <v>1218</v>
      </c>
      <c r="AH52" s="1" t="s">
        <v>1219</v>
      </c>
      <c r="AI52" s="1" t="s">
        <v>1220</v>
      </c>
      <c r="AJ52" s="1" t="s">
        <v>109</v>
      </c>
      <c r="AK52" s="1" t="s">
        <v>1221</v>
      </c>
      <c r="AL52" s="1">
        <v>36</v>
      </c>
      <c r="AM52" s="1" t="s">
        <v>111</v>
      </c>
      <c r="AN52" s="1" t="s">
        <v>482</v>
      </c>
      <c r="AO52" s="1" t="s">
        <v>1222</v>
      </c>
      <c r="AP52" s="1">
        <f>91-9427365416</f>
        <v>-9427365325</v>
      </c>
      <c r="AQ52" s="1" t="s">
        <v>502</v>
      </c>
      <c r="AR52" s="1">
        <v>1</v>
      </c>
      <c r="AS52" s="1">
        <v>0</v>
      </c>
      <c r="AW52" s="1" t="s">
        <v>142</v>
      </c>
      <c r="AX52" s="1" t="s">
        <v>1223</v>
      </c>
      <c r="AY52" s="1" t="s">
        <v>150</v>
      </c>
      <c r="AZ52" s="1">
        <v>4.05</v>
      </c>
      <c r="BA52" s="1">
        <v>5.1100000000000003</v>
      </c>
      <c r="BB52" s="1" t="s">
        <v>151</v>
      </c>
      <c r="BC52" s="1" t="s">
        <v>152</v>
      </c>
      <c r="BD52" s="1" t="s">
        <v>950</v>
      </c>
      <c r="BE52" s="1" t="s">
        <v>120</v>
      </c>
      <c r="BF52" s="1" t="s">
        <v>120</v>
      </c>
      <c r="BG52" s="1" t="s">
        <v>120</v>
      </c>
      <c r="BH52" s="1" t="s">
        <v>120</v>
      </c>
      <c r="BI52" s="1" t="s">
        <v>1224</v>
      </c>
      <c r="BJ52" s="1" t="s">
        <v>120</v>
      </c>
      <c r="BK52" s="1" t="s">
        <v>120</v>
      </c>
      <c r="BL52" s="1">
        <v>0</v>
      </c>
      <c r="BM52" s="1">
        <v>0</v>
      </c>
      <c r="BN52" s="1" t="s">
        <v>482</v>
      </c>
      <c r="BO52" s="1">
        <v>1</v>
      </c>
      <c r="BP52" s="1" t="s">
        <v>573</v>
      </c>
      <c r="BQ52" s="1" t="s">
        <v>112</v>
      </c>
      <c r="BR52" s="1">
        <v>0</v>
      </c>
      <c r="BS52" s="1" t="s">
        <v>123</v>
      </c>
      <c r="BT52" s="1" t="s">
        <v>124</v>
      </c>
      <c r="BU52" s="1" t="s">
        <v>112</v>
      </c>
      <c r="BV52" s="1" t="s">
        <v>112</v>
      </c>
      <c r="BW52" s="1" t="s">
        <v>1225</v>
      </c>
      <c r="BX52" s="1" t="s">
        <v>1226</v>
      </c>
      <c r="BY52" s="1" t="s">
        <v>120</v>
      </c>
      <c r="BZ52" s="1">
        <v>0</v>
      </c>
      <c r="CA52" s="1">
        <v>0</v>
      </c>
      <c r="CB52" s="4">
        <v>42206.962582060187</v>
      </c>
      <c r="CC52" s="1">
        <v>1</v>
      </c>
      <c r="CD52" s="1">
        <v>1</v>
      </c>
      <c r="CE52" s="1">
        <v>1</v>
      </c>
      <c r="CF52" s="1">
        <v>1</v>
      </c>
      <c r="CG52" s="4">
        <v>43406.248462118056</v>
      </c>
      <c r="CH52" s="1" t="s">
        <v>112</v>
      </c>
      <c r="CI52" s="1" t="s">
        <v>1227</v>
      </c>
      <c r="CJ52" s="1" t="s">
        <v>157</v>
      </c>
    </row>
    <row r="53" spans="1:88" x14ac:dyDescent="0.35">
      <c r="A53" s="1">
        <v>239</v>
      </c>
      <c r="B53" s="1" t="s">
        <v>1228</v>
      </c>
      <c r="C53" s="1" t="s">
        <v>1229</v>
      </c>
      <c r="D53" s="1" t="s">
        <v>90</v>
      </c>
      <c r="E53" s="1" t="s">
        <v>1230</v>
      </c>
      <c r="F53" s="1" t="s">
        <v>1231</v>
      </c>
      <c r="G53" s="1">
        <v>1</v>
      </c>
      <c r="H53" s="3">
        <v>30868</v>
      </c>
      <c r="I53" s="1">
        <v>1</v>
      </c>
      <c r="J53" s="1" t="s">
        <v>162</v>
      </c>
      <c r="K53" s="1" t="s">
        <v>1232</v>
      </c>
      <c r="L53" s="2">
        <f>91-9619533014</f>
        <v>-9619532923</v>
      </c>
      <c r="M53" s="1" t="s">
        <v>95</v>
      </c>
      <c r="N53" s="1">
        <v>0</v>
      </c>
      <c r="O53" s="1">
        <v>0</v>
      </c>
      <c r="P53" s="1">
        <v>5.0599999999999996</v>
      </c>
      <c r="Q53" s="1">
        <v>16</v>
      </c>
      <c r="R53" s="1" t="s">
        <v>535</v>
      </c>
      <c r="S53" s="1" t="s">
        <v>233</v>
      </c>
      <c r="T53" s="1" t="s">
        <v>129</v>
      </c>
      <c r="U53" s="1" t="s">
        <v>198</v>
      </c>
      <c r="X53" s="1" t="s">
        <v>170</v>
      </c>
      <c r="Y53" s="1" t="s">
        <v>210</v>
      </c>
      <c r="Z53" s="1" t="s">
        <v>797</v>
      </c>
      <c r="AA53" s="1" t="s">
        <v>1233</v>
      </c>
      <c r="AB53" s="1">
        <v>0</v>
      </c>
      <c r="AD53" s="1" t="s">
        <v>1234</v>
      </c>
      <c r="AE53" s="1">
        <f>91-9426221791</f>
        <v>-9426221700</v>
      </c>
      <c r="AF53" s="1" t="s">
        <v>143</v>
      </c>
      <c r="AG53" s="1" t="s">
        <v>1235</v>
      </c>
      <c r="AH53" s="1" t="s">
        <v>1236</v>
      </c>
      <c r="AI53" s="1" t="s">
        <v>1237</v>
      </c>
      <c r="AJ53" s="1" t="s">
        <v>1238</v>
      </c>
      <c r="AK53" s="1" t="s">
        <v>1239</v>
      </c>
      <c r="AL53" s="1">
        <v>2</v>
      </c>
      <c r="AM53" s="1" t="s">
        <v>243</v>
      </c>
      <c r="AP53" s="1">
        <f>91-9426221791</f>
        <v>-9426221700</v>
      </c>
      <c r="AR53" s="1">
        <v>1</v>
      </c>
      <c r="AS53" s="1">
        <v>1</v>
      </c>
      <c r="AT53" s="1" t="s">
        <v>1240</v>
      </c>
      <c r="AU53" s="1" t="s">
        <v>1241</v>
      </c>
      <c r="AV53" s="1" t="s">
        <v>1242</v>
      </c>
      <c r="AW53" s="1">
        <f>91-9426221791</f>
        <v>-9426221700</v>
      </c>
      <c r="AX53" s="1" t="s">
        <v>1243</v>
      </c>
      <c r="AY53" s="1" t="s">
        <v>119</v>
      </c>
      <c r="AZ53" s="1">
        <v>5.1100000000000003</v>
      </c>
      <c r="BA53" s="1">
        <v>6.01</v>
      </c>
      <c r="BB53" s="1" t="s">
        <v>151</v>
      </c>
      <c r="BC53" s="1" t="s">
        <v>304</v>
      </c>
      <c r="BD53" s="1" t="s">
        <v>1076</v>
      </c>
      <c r="BE53" s="1" t="s">
        <v>120</v>
      </c>
      <c r="BF53" s="1" t="s">
        <v>120</v>
      </c>
      <c r="BG53" s="1" t="s">
        <v>120</v>
      </c>
      <c r="BH53" s="1" t="s">
        <v>120</v>
      </c>
      <c r="BJ53" s="1" t="s">
        <v>120</v>
      </c>
      <c r="BK53" s="1" t="s">
        <v>120</v>
      </c>
      <c r="BL53" s="1">
        <v>0</v>
      </c>
      <c r="BM53" s="1">
        <v>0</v>
      </c>
      <c r="BN53" s="1" t="s">
        <v>1244</v>
      </c>
      <c r="BO53" s="1">
        <v>1</v>
      </c>
      <c r="BP53" s="1" t="s">
        <v>1245</v>
      </c>
      <c r="BQ53" s="1" t="s">
        <v>180</v>
      </c>
      <c r="BR53" s="1">
        <v>0</v>
      </c>
      <c r="BS53" s="1" t="s">
        <v>181</v>
      </c>
      <c r="BT53" s="1" t="s">
        <v>124</v>
      </c>
      <c r="BV53" s="1" t="s">
        <v>112</v>
      </c>
      <c r="BW53" s="1" t="s">
        <v>1246</v>
      </c>
      <c r="BX53" s="1" t="s">
        <v>1247</v>
      </c>
      <c r="BY53" s="1" t="s">
        <v>127</v>
      </c>
      <c r="BZ53" s="1">
        <v>2</v>
      </c>
      <c r="CA53" s="1">
        <v>2</v>
      </c>
      <c r="CB53" s="4">
        <v>42210.362944479166</v>
      </c>
      <c r="CC53" s="1">
        <v>1</v>
      </c>
      <c r="CD53" s="1">
        <v>1</v>
      </c>
      <c r="CE53" s="1">
        <v>1</v>
      </c>
      <c r="CF53" s="1">
        <v>1</v>
      </c>
      <c r="CG53" s="4">
        <v>43928.29035408565</v>
      </c>
      <c r="CH53" s="1" t="s">
        <v>112</v>
      </c>
      <c r="CI53" s="1" t="s">
        <v>1248</v>
      </c>
      <c r="CJ53" s="1" t="s">
        <v>157</v>
      </c>
    </row>
    <row r="54" spans="1:88" x14ac:dyDescent="0.35">
      <c r="A54" s="1">
        <v>247</v>
      </c>
      <c r="B54" s="1" t="s">
        <v>1249</v>
      </c>
      <c r="C54" s="1" t="s">
        <v>1250</v>
      </c>
      <c r="D54" s="1" t="s">
        <v>90</v>
      </c>
      <c r="E54" s="1" t="s">
        <v>1251</v>
      </c>
      <c r="F54" s="1" t="s">
        <v>534</v>
      </c>
      <c r="G54" s="1">
        <v>1</v>
      </c>
      <c r="H54" s="3">
        <v>32871</v>
      </c>
      <c r="I54" s="1">
        <v>1</v>
      </c>
      <c r="J54" s="1" t="s">
        <v>93</v>
      </c>
      <c r="K54" s="1" t="s">
        <v>1130</v>
      </c>
      <c r="L54" s="2">
        <f>91-9422868249</f>
        <v>-9422868158</v>
      </c>
      <c r="M54" s="1" t="s">
        <v>150</v>
      </c>
      <c r="N54" s="1">
        <v>0</v>
      </c>
      <c r="O54" s="1">
        <v>0</v>
      </c>
      <c r="P54" s="1">
        <v>5.04</v>
      </c>
      <c r="Q54" s="1">
        <v>16</v>
      </c>
      <c r="R54" s="1" t="s">
        <v>1252</v>
      </c>
      <c r="S54" s="1" t="s">
        <v>97</v>
      </c>
      <c r="T54" s="1" t="s">
        <v>137</v>
      </c>
      <c r="U54" s="1" t="s">
        <v>1253</v>
      </c>
      <c r="V54" s="1" t="s">
        <v>1254</v>
      </c>
      <c r="W54" s="1" t="s">
        <v>198</v>
      </c>
      <c r="X54" s="1" t="s">
        <v>100</v>
      </c>
      <c r="Y54" s="1" t="s">
        <v>111</v>
      </c>
      <c r="Z54" s="1" t="s">
        <v>192</v>
      </c>
      <c r="AA54" s="1" t="s">
        <v>1255</v>
      </c>
      <c r="AB54" s="1">
        <v>0</v>
      </c>
      <c r="AD54" s="1" t="s">
        <v>1256</v>
      </c>
      <c r="AE54" s="1">
        <f>91-9422868249</f>
        <v>-9422868158</v>
      </c>
      <c r="AF54" s="1" t="s">
        <v>143</v>
      </c>
      <c r="AG54" s="1" t="s">
        <v>1257</v>
      </c>
      <c r="AH54" s="1" t="s">
        <v>1258</v>
      </c>
      <c r="AI54" s="1" t="s">
        <v>1259</v>
      </c>
      <c r="AJ54" s="1" t="s">
        <v>109</v>
      </c>
      <c r="AK54" s="1" t="s">
        <v>1260</v>
      </c>
      <c r="AL54" s="1">
        <v>50</v>
      </c>
      <c r="AM54" s="1" t="s">
        <v>111</v>
      </c>
      <c r="AN54" s="1" t="s">
        <v>1261</v>
      </c>
      <c r="AO54" s="1" t="s">
        <v>1255</v>
      </c>
      <c r="AP54" s="1">
        <f>91-9422165370</f>
        <v>-9422165279</v>
      </c>
      <c r="AQ54" s="1" t="s">
        <v>1007</v>
      </c>
      <c r="AR54" s="1">
        <v>0</v>
      </c>
      <c r="AS54" s="1">
        <v>0</v>
      </c>
      <c r="AT54" s="1" t="s">
        <v>1262</v>
      </c>
      <c r="AU54" s="1" t="s">
        <v>1263</v>
      </c>
      <c r="AV54" s="1" t="s">
        <v>1264</v>
      </c>
      <c r="AW54" s="1">
        <f>91-9423420461</f>
        <v>-9423420370</v>
      </c>
      <c r="AX54" s="1" t="s">
        <v>742</v>
      </c>
      <c r="AY54" s="1" t="s">
        <v>150</v>
      </c>
      <c r="AZ54" s="1">
        <v>4.1100000000000003</v>
      </c>
      <c r="BA54" s="1">
        <v>5.04</v>
      </c>
      <c r="BE54" s="1" t="s">
        <v>120</v>
      </c>
      <c r="BG54" s="1" t="s">
        <v>120</v>
      </c>
      <c r="BH54" s="1" t="s">
        <v>120</v>
      </c>
      <c r="BJ54" s="1" t="s">
        <v>154</v>
      </c>
      <c r="BK54" s="1" t="s">
        <v>120</v>
      </c>
      <c r="BL54" s="1">
        <v>0</v>
      </c>
      <c r="BM54" s="1">
        <v>0</v>
      </c>
      <c r="BN54" s="1" t="s">
        <v>1265</v>
      </c>
      <c r="BO54" s="1">
        <v>1</v>
      </c>
      <c r="BP54" s="1" t="s">
        <v>1266</v>
      </c>
      <c r="BQ54" s="1" t="s">
        <v>112</v>
      </c>
      <c r="BR54" s="1">
        <v>1</v>
      </c>
      <c r="BS54" s="1" t="s">
        <v>1208</v>
      </c>
      <c r="BT54" s="1" t="s">
        <v>124</v>
      </c>
      <c r="BU54" s="1" t="s">
        <v>1267</v>
      </c>
      <c r="BV54" s="1" t="s">
        <v>112</v>
      </c>
      <c r="BW54" s="1" t="s">
        <v>1268</v>
      </c>
      <c r="BX54" s="1" t="s">
        <v>1269</v>
      </c>
      <c r="BY54" s="1" t="s">
        <v>127</v>
      </c>
      <c r="BZ54" s="1">
        <v>2</v>
      </c>
      <c r="CA54" s="1">
        <v>1</v>
      </c>
      <c r="CB54" s="4">
        <v>42215.355813229166</v>
      </c>
      <c r="CC54" s="1">
        <v>1</v>
      </c>
      <c r="CD54" s="1">
        <v>1</v>
      </c>
      <c r="CE54" s="1">
        <v>1</v>
      </c>
      <c r="CF54" s="1">
        <v>1</v>
      </c>
      <c r="CG54" s="4">
        <v>44067.204217789353</v>
      </c>
      <c r="CH54" s="1" t="s">
        <v>112</v>
      </c>
      <c r="CI54" s="1" t="s">
        <v>1270</v>
      </c>
      <c r="CJ54" s="1" t="s">
        <v>129</v>
      </c>
    </row>
    <row r="55" spans="1:88" x14ac:dyDescent="0.35">
      <c r="A55" s="1">
        <v>255</v>
      </c>
      <c r="B55" s="1" t="s">
        <v>1271</v>
      </c>
      <c r="C55" s="1" t="s">
        <v>1272</v>
      </c>
      <c r="D55" s="1" t="s">
        <v>90</v>
      </c>
      <c r="E55" s="1" t="s">
        <v>1273</v>
      </c>
      <c r="F55" s="1" t="s">
        <v>1274</v>
      </c>
      <c r="G55" s="1">
        <v>1</v>
      </c>
      <c r="H55" s="3">
        <v>31872</v>
      </c>
      <c r="I55" s="1">
        <v>1</v>
      </c>
      <c r="J55" s="1" t="s">
        <v>162</v>
      </c>
      <c r="K55" s="1" t="s">
        <v>163</v>
      </c>
      <c r="L55" s="2">
        <f>91-9428834877</f>
        <v>-9428834786</v>
      </c>
      <c r="M55" s="1" t="s">
        <v>150</v>
      </c>
      <c r="N55" s="1">
        <v>0</v>
      </c>
      <c r="O55" s="1">
        <v>0</v>
      </c>
      <c r="P55" s="1">
        <v>5.0199999999999996</v>
      </c>
      <c r="Q55" s="1">
        <v>8</v>
      </c>
      <c r="R55" s="1" t="s">
        <v>605</v>
      </c>
      <c r="S55" s="1" t="s">
        <v>492</v>
      </c>
      <c r="T55" s="1" t="s">
        <v>166</v>
      </c>
      <c r="U55" s="1" t="s">
        <v>1275</v>
      </c>
      <c r="V55" s="1" t="s">
        <v>1276</v>
      </c>
      <c r="X55" s="1" t="s">
        <v>170</v>
      </c>
      <c r="Y55" s="1" t="s">
        <v>210</v>
      </c>
      <c r="Z55" s="1" t="s">
        <v>979</v>
      </c>
      <c r="AA55" s="1" t="s">
        <v>1277</v>
      </c>
      <c r="AB55" s="1">
        <v>0</v>
      </c>
      <c r="AD55" s="1" t="s">
        <v>1278</v>
      </c>
      <c r="AE55" s="1">
        <f>91-9428834877</f>
        <v>-9428834786</v>
      </c>
      <c r="AF55" s="1" t="s">
        <v>105</v>
      </c>
      <c r="AG55" s="1" t="s">
        <v>1279</v>
      </c>
      <c r="AH55" s="1" t="s">
        <v>1280</v>
      </c>
      <c r="AI55" s="1" t="s">
        <v>1281</v>
      </c>
      <c r="AJ55" s="1" t="s">
        <v>109</v>
      </c>
      <c r="AK55" s="1" t="s">
        <v>1282</v>
      </c>
      <c r="AL55" s="1">
        <v>4</v>
      </c>
      <c r="AM55" s="1" t="s">
        <v>1283</v>
      </c>
      <c r="AN55" s="1" t="s">
        <v>198</v>
      </c>
      <c r="AP55" s="1">
        <f>91-9428834877</f>
        <v>-9428834786</v>
      </c>
      <c r="AR55" s="1">
        <v>1</v>
      </c>
      <c r="AS55" s="1">
        <v>1</v>
      </c>
      <c r="AW55" s="1" t="s">
        <v>142</v>
      </c>
      <c r="AX55" s="1" t="s">
        <v>888</v>
      </c>
      <c r="AY55" s="1" t="s">
        <v>150</v>
      </c>
      <c r="AZ55" s="1">
        <v>4.0599999999999996</v>
      </c>
      <c r="BA55" s="1">
        <v>4.0599999999999996</v>
      </c>
      <c r="BB55" s="1" t="s">
        <v>151</v>
      </c>
      <c r="BC55" s="1" t="s">
        <v>152</v>
      </c>
      <c r="BD55" s="1" t="s">
        <v>950</v>
      </c>
      <c r="BE55" s="1" t="s">
        <v>120</v>
      </c>
      <c r="BF55" s="1" t="s">
        <v>120</v>
      </c>
      <c r="BG55" s="1" t="s">
        <v>120</v>
      </c>
      <c r="BH55" s="1" t="s">
        <v>120</v>
      </c>
      <c r="BI55" s="1" t="s">
        <v>979</v>
      </c>
      <c r="BJ55" s="1" t="s">
        <v>120</v>
      </c>
      <c r="BK55" s="1" t="s">
        <v>120</v>
      </c>
      <c r="BL55" s="1">
        <v>0</v>
      </c>
      <c r="BM55" s="1">
        <v>0</v>
      </c>
      <c r="BN55" s="1" t="s">
        <v>1284</v>
      </c>
      <c r="BO55" s="1">
        <v>1</v>
      </c>
      <c r="BP55" s="1" t="s">
        <v>1285</v>
      </c>
      <c r="BQ55" s="1" t="s">
        <v>1286</v>
      </c>
      <c r="BR55" s="1">
        <v>0</v>
      </c>
      <c r="BS55" s="1" t="s">
        <v>223</v>
      </c>
      <c r="BT55" s="1" t="s">
        <v>124</v>
      </c>
      <c r="BV55" s="1" t="s">
        <v>112</v>
      </c>
      <c r="BY55" s="1" t="s">
        <v>120</v>
      </c>
      <c r="BZ55" s="1">
        <v>2</v>
      </c>
      <c r="CA55" s="1">
        <v>2</v>
      </c>
      <c r="CB55" s="4">
        <v>42220.442282719909</v>
      </c>
      <c r="CC55" s="1">
        <v>1</v>
      </c>
      <c r="CD55" s="1">
        <v>1</v>
      </c>
      <c r="CE55" s="1">
        <v>1</v>
      </c>
      <c r="CF55" s="1">
        <v>3</v>
      </c>
      <c r="CG55" s="1" t="s">
        <v>112</v>
      </c>
      <c r="CH55" s="1" t="s">
        <v>112</v>
      </c>
      <c r="CI55" s="1" t="s">
        <v>1287</v>
      </c>
      <c r="CJ55" s="1" t="s">
        <v>157</v>
      </c>
    </row>
    <row r="56" spans="1:88" x14ac:dyDescent="0.35">
      <c r="A56" s="1">
        <v>261</v>
      </c>
      <c r="B56" s="1" t="s">
        <v>1288</v>
      </c>
      <c r="C56" s="1" t="s">
        <v>1289</v>
      </c>
      <c r="D56" s="1" t="s">
        <v>312</v>
      </c>
      <c r="E56" s="1" t="s">
        <v>1290</v>
      </c>
      <c r="F56" s="1" t="s">
        <v>185</v>
      </c>
      <c r="G56" s="1">
        <v>1</v>
      </c>
      <c r="H56" s="3">
        <v>32054</v>
      </c>
      <c r="I56" s="1">
        <v>1</v>
      </c>
      <c r="J56" s="1" t="s">
        <v>315</v>
      </c>
      <c r="K56" s="1" t="s">
        <v>316</v>
      </c>
      <c r="L56" s="2">
        <f>91-9844506080</f>
        <v>-9844505989</v>
      </c>
      <c r="M56" s="1" t="s">
        <v>150</v>
      </c>
      <c r="N56" s="1">
        <v>0</v>
      </c>
      <c r="O56" s="1">
        <v>0</v>
      </c>
      <c r="P56" s="1">
        <v>5.09</v>
      </c>
      <c r="Q56" s="1">
        <v>19</v>
      </c>
      <c r="R56" s="1" t="s">
        <v>714</v>
      </c>
      <c r="S56" s="1" t="s">
        <v>97</v>
      </c>
      <c r="T56" s="1" t="s">
        <v>137</v>
      </c>
      <c r="U56" s="1" t="s">
        <v>1291</v>
      </c>
      <c r="V56" s="1" t="s">
        <v>1292</v>
      </c>
      <c r="W56" s="1" t="s">
        <v>1293</v>
      </c>
      <c r="X56" s="1" t="s">
        <v>100</v>
      </c>
      <c r="Y56" s="1" t="s">
        <v>111</v>
      </c>
      <c r="Z56" s="1" t="s">
        <v>634</v>
      </c>
      <c r="AA56" s="1" t="s">
        <v>1294</v>
      </c>
      <c r="AB56" s="1">
        <v>0</v>
      </c>
      <c r="AD56" s="1" t="s">
        <v>1295</v>
      </c>
      <c r="AE56" s="1">
        <f>91-9845359710</f>
        <v>-9845359619</v>
      </c>
      <c r="AF56" s="1" t="s">
        <v>105</v>
      </c>
      <c r="AG56" s="1" t="s">
        <v>1296</v>
      </c>
      <c r="AH56" s="1" t="s">
        <v>1297</v>
      </c>
      <c r="AI56" s="1" t="s">
        <v>1298</v>
      </c>
      <c r="AJ56" s="1" t="s">
        <v>478</v>
      </c>
      <c r="AK56" s="1" t="s">
        <v>1299</v>
      </c>
      <c r="AL56" s="1">
        <v>25</v>
      </c>
      <c r="AM56" s="1" t="s">
        <v>111</v>
      </c>
      <c r="AP56" s="1">
        <f>91-9845359710</f>
        <v>-9845359619</v>
      </c>
      <c r="AR56" s="1">
        <v>0</v>
      </c>
      <c r="AS56" s="1">
        <v>0</v>
      </c>
      <c r="AW56" s="1" t="s">
        <v>142</v>
      </c>
      <c r="AX56" s="1" t="s">
        <v>1300</v>
      </c>
      <c r="AY56" s="1" t="s">
        <v>150</v>
      </c>
      <c r="AZ56" s="1">
        <v>5</v>
      </c>
      <c r="BA56" s="1">
        <v>5.07</v>
      </c>
      <c r="BB56" s="1" t="s">
        <v>151</v>
      </c>
      <c r="BC56" s="1" t="s">
        <v>304</v>
      </c>
      <c r="BD56" s="1" t="s">
        <v>1301</v>
      </c>
      <c r="BE56" s="1" t="s">
        <v>120</v>
      </c>
      <c r="BF56" s="1" t="s">
        <v>120</v>
      </c>
      <c r="BG56" s="1" t="s">
        <v>100</v>
      </c>
      <c r="BH56" s="1" t="s">
        <v>120</v>
      </c>
      <c r="BI56" s="1" t="s">
        <v>634</v>
      </c>
      <c r="BJ56" s="1" t="s">
        <v>154</v>
      </c>
      <c r="BK56" s="1" t="s">
        <v>120</v>
      </c>
      <c r="BL56" s="1">
        <v>0</v>
      </c>
      <c r="BM56" s="1">
        <v>0</v>
      </c>
      <c r="BN56" s="1" t="s">
        <v>1302</v>
      </c>
      <c r="BO56" s="1">
        <v>0</v>
      </c>
      <c r="BQ56" s="1" t="s">
        <v>112</v>
      </c>
      <c r="BR56" s="1">
        <v>0</v>
      </c>
      <c r="BS56" s="1" t="s">
        <v>129</v>
      </c>
      <c r="BT56" s="1" t="s">
        <v>124</v>
      </c>
      <c r="BU56" s="1" t="s">
        <v>112</v>
      </c>
      <c r="BV56" s="1" t="s">
        <v>112</v>
      </c>
      <c r="BW56" s="1" t="s">
        <v>1303</v>
      </c>
      <c r="BX56" s="1" t="s">
        <v>1304</v>
      </c>
      <c r="BY56" s="1" t="s">
        <v>120</v>
      </c>
      <c r="BZ56" s="1">
        <v>1</v>
      </c>
      <c r="CA56" s="1">
        <v>0</v>
      </c>
      <c r="CB56" s="4">
        <v>42222.978969178243</v>
      </c>
      <c r="CC56" s="1">
        <v>1</v>
      </c>
      <c r="CD56" s="1">
        <v>1</v>
      </c>
      <c r="CE56" s="1">
        <v>1</v>
      </c>
      <c r="CF56" s="1">
        <v>1</v>
      </c>
      <c r="CG56" s="4">
        <v>44090.358137187497</v>
      </c>
      <c r="CH56" s="1" t="s">
        <v>112</v>
      </c>
      <c r="CI56" s="1" t="s">
        <v>1305</v>
      </c>
      <c r="CJ56" s="1" t="s">
        <v>157</v>
      </c>
    </row>
    <row r="57" spans="1:88" x14ac:dyDescent="0.35">
      <c r="A57" s="1">
        <v>265</v>
      </c>
      <c r="B57" s="1" t="s">
        <v>1306</v>
      </c>
      <c r="C57" s="1" t="s">
        <v>1307</v>
      </c>
      <c r="D57" s="1" t="s">
        <v>90</v>
      </c>
      <c r="E57" s="1" t="s">
        <v>1308</v>
      </c>
      <c r="F57" s="1" t="s">
        <v>134</v>
      </c>
      <c r="G57" s="1">
        <v>1</v>
      </c>
      <c r="H57" s="3">
        <v>31925</v>
      </c>
      <c r="I57" s="1">
        <v>1</v>
      </c>
      <c r="J57" s="1" t="s">
        <v>162</v>
      </c>
      <c r="K57" s="1" t="s">
        <v>163</v>
      </c>
      <c r="L57" s="2">
        <f>91-9924130320</f>
        <v>-9924130229</v>
      </c>
      <c r="M57" s="1" t="s">
        <v>150</v>
      </c>
      <c r="N57" s="1">
        <v>0</v>
      </c>
      <c r="O57" s="1">
        <v>0</v>
      </c>
      <c r="P57" s="1">
        <v>5.08</v>
      </c>
      <c r="Q57" s="1">
        <v>12</v>
      </c>
      <c r="R57" s="1" t="s">
        <v>470</v>
      </c>
      <c r="S57" s="1" t="s">
        <v>136</v>
      </c>
      <c r="T57" s="1" t="s">
        <v>137</v>
      </c>
      <c r="U57" s="1" t="s">
        <v>1309</v>
      </c>
      <c r="X57" s="1" t="s">
        <v>100</v>
      </c>
      <c r="Y57" s="1" t="s">
        <v>132</v>
      </c>
      <c r="Z57" s="1" t="s">
        <v>1193</v>
      </c>
      <c r="AB57" s="1">
        <v>0</v>
      </c>
      <c r="AD57" s="1" t="s">
        <v>1310</v>
      </c>
      <c r="AE57" s="1">
        <f>91-9427039795</f>
        <v>-9427039704</v>
      </c>
      <c r="AF57" s="1" t="s">
        <v>105</v>
      </c>
      <c r="AG57" s="1" t="s">
        <v>1311</v>
      </c>
      <c r="AH57" s="1" t="s">
        <v>1312</v>
      </c>
      <c r="AI57" s="1" t="s">
        <v>1313</v>
      </c>
      <c r="AJ57" s="1" t="s">
        <v>478</v>
      </c>
      <c r="AK57" s="1" t="s">
        <v>1314</v>
      </c>
      <c r="AL57" s="1">
        <v>6</v>
      </c>
      <c r="AM57" s="1" t="s">
        <v>148</v>
      </c>
      <c r="AP57" s="1">
        <f>91-9924130320</f>
        <v>-9924130229</v>
      </c>
      <c r="AR57" s="1">
        <v>1</v>
      </c>
      <c r="AS57" s="1">
        <v>1</v>
      </c>
      <c r="AW57" s="1" t="s">
        <v>142</v>
      </c>
      <c r="AX57" s="1" t="s">
        <v>1315</v>
      </c>
      <c r="AY57" s="1" t="s">
        <v>150</v>
      </c>
      <c r="AZ57" s="1">
        <v>5</v>
      </c>
      <c r="BA57" s="1">
        <v>6</v>
      </c>
      <c r="BB57" s="1" t="s">
        <v>151</v>
      </c>
      <c r="BC57" s="1" t="s">
        <v>152</v>
      </c>
      <c r="BD57" s="1" t="s">
        <v>1316</v>
      </c>
      <c r="BE57" s="1" t="s">
        <v>219</v>
      </c>
      <c r="BF57" s="1" t="s">
        <v>120</v>
      </c>
      <c r="BG57" s="1" t="s">
        <v>120</v>
      </c>
      <c r="BH57" s="1" t="s">
        <v>120</v>
      </c>
      <c r="BI57" s="1" t="s">
        <v>1193</v>
      </c>
      <c r="BJ57" s="1" t="s">
        <v>154</v>
      </c>
      <c r="BK57" s="1" t="s">
        <v>120</v>
      </c>
      <c r="BL57" s="1">
        <v>0</v>
      </c>
      <c r="BM57" s="1">
        <v>1</v>
      </c>
      <c r="BN57" s="1" t="s">
        <v>1317</v>
      </c>
      <c r="BO57" s="1">
        <v>1</v>
      </c>
      <c r="BP57" s="1" t="s">
        <v>959</v>
      </c>
      <c r="BQ57" s="1" t="s">
        <v>180</v>
      </c>
      <c r="BR57" s="1">
        <v>0</v>
      </c>
      <c r="BS57" s="1" t="s">
        <v>129</v>
      </c>
      <c r="BT57" s="1" t="s">
        <v>124</v>
      </c>
      <c r="BV57" s="1" t="s">
        <v>112</v>
      </c>
      <c r="BW57" s="1" t="s">
        <v>1318</v>
      </c>
      <c r="BX57" s="1" t="s">
        <v>1319</v>
      </c>
      <c r="BY57" s="1" t="s">
        <v>120</v>
      </c>
      <c r="BZ57" s="1">
        <v>1</v>
      </c>
      <c r="CA57" s="1">
        <v>1</v>
      </c>
      <c r="CB57" s="4">
        <v>42227.385835416666</v>
      </c>
      <c r="CC57" s="1">
        <v>1</v>
      </c>
      <c r="CD57" s="1">
        <v>1</v>
      </c>
      <c r="CE57" s="1">
        <v>1</v>
      </c>
      <c r="CF57" s="1">
        <v>1</v>
      </c>
      <c r="CG57" s="4">
        <v>43877.73680864583</v>
      </c>
      <c r="CH57" s="1" t="s">
        <v>112</v>
      </c>
      <c r="CI57" s="1" t="s">
        <v>1320</v>
      </c>
      <c r="CJ57" s="1" t="s">
        <v>157</v>
      </c>
    </row>
    <row r="58" spans="1:88" x14ac:dyDescent="0.35">
      <c r="A58" s="1">
        <v>268</v>
      </c>
      <c r="B58" s="1" t="s">
        <v>1321</v>
      </c>
      <c r="C58" s="1" t="s">
        <v>1322</v>
      </c>
      <c r="D58" s="1" t="s">
        <v>90</v>
      </c>
      <c r="E58" s="1" t="s">
        <v>1323</v>
      </c>
      <c r="F58" s="1" t="s">
        <v>814</v>
      </c>
      <c r="G58" s="1">
        <v>1</v>
      </c>
      <c r="H58" s="3">
        <v>32464</v>
      </c>
      <c r="I58" s="1">
        <v>1</v>
      </c>
      <c r="J58" s="1" t="s">
        <v>162</v>
      </c>
      <c r="K58" s="1" t="s">
        <v>1037</v>
      </c>
      <c r="L58" s="2">
        <f>91-9879897147</f>
        <v>-9879897056</v>
      </c>
      <c r="M58" s="1" t="s">
        <v>95</v>
      </c>
      <c r="N58" s="1">
        <v>0</v>
      </c>
      <c r="O58" s="1">
        <v>0</v>
      </c>
      <c r="P58" s="1">
        <v>5.09</v>
      </c>
      <c r="Q58" s="1">
        <v>10</v>
      </c>
      <c r="S58" s="1" t="s">
        <v>165</v>
      </c>
      <c r="T58" s="1" t="s">
        <v>427</v>
      </c>
      <c r="W58" s="1" t="s">
        <v>1324</v>
      </c>
      <c r="X58" s="1" t="s">
        <v>170</v>
      </c>
      <c r="Y58" s="1" t="s">
        <v>101</v>
      </c>
      <c r="Z58" s="1" t="s">
        <v>1325</v>
      </c>
      <c r="AB58" s="1">
        <v>0</v>
      </c>
      <c r="AD58" s="1" t="s">
        <v>1326</v>
      </c>
      <c r="AE58" s="1">
        <f>91-9879897147</f>
        <v>-9879897056</v>
      </c>
      <c r="AF58" s="1" t="s">
        <v>105</v>
      </c>
      <c r="AG58" s="1" t="s">
        <v>1327</v>
      </c>
      <c r="AH58" s="1" t="s">
        <v>1328</v>
      </c>
      <c r="AI58" s="1" t="s">
        <v>1329</v>
      </c>
      <c r="AJ58" s="1" t="s">
        <v>109</v>
      </c>
      <c r="AK58" s="1" t="s">
        <v>1330</v>
      </c>
      <c r="AL58" s="1">
        <v>4</v>
      </c>
      <c r="AM58" s="1" t="s">
        <v>111</v>
      </c>
      <c r="AO58" s="1" t="s">
        <v>1331</v>
      </c>
      <c r="AP58" s="1">
        <f>91-9428186505</f>
        <v>-9428186414</v>
      </c>
      <c r="AR58" s="1">
        <v>1</v>
      </c>
      <c r="AS58" s="1">
        <v>0</v>
      </c>
      <c r="AW58" s="1" t="s">
        <v>142</v>
      </c>
      <c r="AX58" s="1" t="s">
        <v>664</v>
      </c>
      <c r="AY58" s="1" t="s">
        <v>1332</v>
      </c>
      <c r="AZ58" s="1">
        <v>5</v>
      </c>
      <c r="BA58" s="1">
        <v>5.09</v>
      </c>
      <c r="BB58" s="1" t="s">
        <v>151</v>
      </c>
      <c r="BC58" s="1" t="s">
        <v>304</v>
      </c>
      <c r="BD58" s="1" t="s">
        <v>1333</v>
      </c>
      <c r="BE58" s="1" t="s">
        <v>1334</v>
      </c>
      <c r="BF58" s="1" t="s">
        <v>120</v>
      </c>
      <c r="BG58" s="1" t="s">
        <v>170</v>
      </c>
      <c r="BH58" s="1" t="s">
        <v>120</v>
      </c>
      <c r="BJ58" s="1" t="s">
        <v>154</v>
      </c>
      <c r="BK58" s="1" t="s">
        <v>120</v>
      </c>
      <c r="BL58" s="1">
        <v>0</v>
      </c>
      <c r="BM58" s="1">
        <v>0</v>
      </c>
      <c r="BN58" s="1" t="s">
        <v>1335</v>
      </c>
      <c r="BO58" s="1">
        <v>1</v>
      </c>
      <c r="BP58" s="1" t="s">
        <v>1336</v>
      </c>
      <c r="BQ58" s="1" t="s">
        <v>112</v>
      </c>
      <c r="BR58" s="1">
        <v>1</v>
      </c>
      <c r="BS58" s="1" t="s">
        <v>181</v>
      </c>
      <c r="BT58" s="1" t="s">
        <v>124</v>
      </c>
      <c r="BU58" s="1" t="s">
        <v>112</v>
      </c>
      <c r="BV58" s="1" t="s">
        <v>112</v>
      </c>
      <c r="BW58" s="1" t="s">
        <v>1337</v>
      </c>
      <c r="BX58" s="1" t="s">
        <v>1338</v>
      </c>
      <c r="BY58" s="1" t="s">
        <v>120</v>
      </c>
      <c r="BZ58" s="1">
        <v>1</v>
      </c>
      <c r="CA58" s="1">
        <v>1</v>
      </c>
      <c r="CB58" s="4">
        <v>42233.092410613426</v>
      </c>
      <c r="CC58" s="1">
        <v>1</v>
      </c>
      <c r="CD58" s="1">
        <v>1</v>
      </c>
      <c r="CE58" s="1">
        <v>1</v>
      </c>
      <c r="CF58" s="1">
        <v>4</v>
      </c>
      <c r="CG58" s="4">
        <v>42863.205416550925</v>
      </c>
      <c r="CH58" s="1" t="s">
        <v>112</v>
      </c>
      <c r="CI58" s="1" t="s">
        <v>1339</v>
      </c>
      <c r="CJ58" s="1" t="s">
        <v>157</v>
      </c>
    </row>
    <row r="59" spans="1:88" x14ac:dyDescent="0.35">
      <c r="A59" s="1">
        <v>281</v>
      </c>
      <c r="B59" s="1" t="s">
        <v>1340</v>
      </c>
      <c r="C59" s="1" t="s">
        <v>1341</v>
      </c>
      <c r="D59" s="1" t="s">
        <v>90</v>
      </c>
      <c r="E59" s="1" t="s">
        <v>1342</v>
      </c>
      <c r="F59" s="1" t="s">
        <v>814</v>
      </c>
      <c r="G59" s="1">
        <v>1</v>
      </c>
      <c r="H59" s="3">
        <v>34404</v>
      </c>
      <c r="I59" s="1">
        <v>1</v>
      </c>
      <c r="J59" s="1" t="s">
        <v>162</v>
      </c>
      <c r="K59" s="1" t="s">
        <v>1037</v>
      </c>
      <c r="L59" s="2">
        <f>91-9426589503</f>
        <v>-9426589412</v>
      </c>
      <c r="M59" s="1" t="s">
        <v>150</v>
      </c>
      <c r="N59" s="1">
        <v>0</v>
      </c>
      <c r="O59" s="1">
        <v>0</v>
      </c>
      <c r="P59" s="1">
        <v>5.04</v>
      </c>
      <c r="Q59" s="1">
        <v>10</v>
      </c>
      <c r="S59" s="1" t="s">
        <v>97</v>
      </c>
      <c r="T59" s="1" t="s">
        <v>166</v>
      </c>
      <c r="U59" s="1" t="s">
        <v>1343</v>
      </c>
      <c r="V59" s="1" t="s">
        <v>1344</v>
      </c>
      <c r="X59" s="1" t="s">
        <v>170</v>
      </c>
      <c r="Y59" s="1" t="s">
        <v>132</v>
      </c>
      <c r="Z59" s="1" t="s">
        <v>171</v>
      </c>
      <c r="AB59" s="1">
        <v>0</v>
      </c>
      <c r="AD59" s="1" t="s">
        <v>1345</v>
      </c>
      <c r="AE59" s="1">
        <f>91-9909280172</f>
        <v>-9909280081</v>
      </c>
      <c r="AF59" s="1" t="s">
        <v>105</v>
      </c>
      <c r="AG59" s="1" t="s">
        <v>1346</v>
      </c>
      <c r="AH59" s="1" t="s">
        <v>1347</v>
      </c>
      <c r="AI59" s="1" t="s">
        <v>1348</v>
      </c>
      <c r="AJ59" s="1" t="s">
        <v>109</v>
      </c>
      <c r="AK59" s="1" t="s">
        <v>1349</v>
      </c>
      <c r="AL59" s="1">
        <v>60</v>
      </c>
      <c r="AM59" s="1" t="s">
        <v>111</v>
      </c>
      <c r="AP59" s="1">
        <f>91-9426589503</f>
        <v>-9426589412</v>
      </c>
      <c r="AR59" s="1">
        <v>1</v>
      </c>
      <c r="AS59" s="1">
        <v>0</v>
      </c>
      <c r="AW59" s="1" t="s">
        <v>142</v>
      </c>
      <c r="AX59" s="1" t="s">
        <v>1350</v>
      </c>
      <c r="AY59" s="1" t="s">
        <v>150</v>
      </c>
      <c r="AZ59" s="1">
        <v>5</v>
      </c>
      <c r="BA59" s="1">
        <v>5.04</v>
      </c>
      <c r="BE59" s="1" t="s">
        <v>120</v>
      </c>
      <c r="BG59" s="1" t="s">
        <v>1351</v>
      </c>
      <c r="BH59" s="1" t="s">
        <v>120</v>
      </c>
      <c r="BJ59" s="1" t="s">
        <v>120</v>
      </c>
      <c r="BK59" s="1" t="s">
        <v>120</v>
      </c>
      <c r="BL59" s="1">
        <v>0</v>
      </c>
      <c r="BM59" s="1">
        <v>0</v>
      </c>
      <c r="BN59" s="1" t="s">
        <v>1352</v>
      </c>
      <c r="BO59" s="1">
        <v>1</v>
      </c>
      <c r="BP59" s="1" t="s">
        <v>1353</v>
      </c>
      <c r="BQ59" s="1" t="s">
        <v>112</v>
      </c>
      <c r="BR59" s="1">
        <v>0</v>
      </c>
      <c r="BS59" s="1" t="s">
        <v>129</v>
      </c>
      <c r="BT59" s="1" t="s">
        <v>124</v>
      </c>
      <c r="BU59" s="1" t="s">
        <v>112</v>
      </c>
      <c r="BV59" s="1" t="s">
        <v>112</v>
      </c>
      <c r="BW59" s="1" t="s">
        <v>1354</v>
      </c>
      <c r="BX59" s="1" t="s">
        <v>1355</v>
      </c>
      <c r="BY59" s="1" t="s">
        <v>120</v>
      </c>
      <c r="BZ59" s="1">
        <v>0</v>
      </c>
      <c r="CA59" s="1">
        <v>0</v>
      </c>
      <c r="CB59" s="4">
        <v>42249.101429432871</v>
      </c>
      <c r="CC59" s="1">
        <v>1</v>
      </c>
      <c r="CD59" s="1">
        <v>1</v>
      </c>
      <c r="CE59" s="1">
        <v>1</v>
      </c>
      <c r="CF59" s="1">
        <v>4</v>
      </c>
      <c r="CG59" s="4">
        <v>42868.668262500003</v>
      </c>
      <c r="CH59" s="1" t="s">
        <v>112</v>
      </c>
      <c r="CI59" s="1" t="s">
        <v>1356</v>
      </c>
      <c r="CJ59" s="1" t="s">
        <v>129</v>
      </c>
    </row>
    <row r="60" spans="1:88" x14ac:dyDescent="0.35">
      <c r="A60" s="1">
        <v>284</v>
      </c>
      <c r="B60" s="1" t="s">
        <v>1357</v>
      </c>
      <c r="C60" s="1">
        <v>19861986</v>
      </c>
      <c r="D60" s="1" t="s">
        <v>90</v>
      </c>
      <c r="E60" s="1" t="s">
        <v>1358</v>
      </c>
      <c r="F60" s="1" t="s">
        <v>1359</v>
      </c>
      <c r="G60" s="1">
        <v>1</v>
      </c>
      <c r="H60" s="3">
        <v>31471</v>
      </c>
      <c r="I60" s="1">
        <v>1</v>
      </c>
      <c r="J60" s="1" t="s">
        <v>162</v>
      </c>
      <c r="K60" s="1" t="s">
        <v>847</v>
      </c>
      <c r="L60" s="2">
        <f>91-9429299270</f>
        <v>-9429299179</v>
      </c>
      <c r="M60" s="1" t="s">
        <v>150</v>
      </c>
      <c r="N60" s="1">
        <v>0</v>
      </c>
      <c r="O60" s="1">
        <v>0</v>
      </c>
      <c r="P60" s="1">
        <v>5.08</v>
      </c>
      <c r="Q60" s="1">
        <v>11</v>
      </c>
      <c r="R60" s="1" t="s">
        <v>340</v>
      </c>
      <c r="S60" s="1" t="s">
        <v>97</v>
      </c>
      <c r="T60" s="1" t="s">
        <v>137</v>
      </c>
      <c r="U60" s="1" t="s">
        <v>752</v>
      </c>
      <c r="V60" s="1" t="s">
        <v>1360</v>
      </c>
      <c r="W60" s="1" t="s">
        <v>1361</v>
      </c>
      <c r="X60" s="1" t="s">
        <v>296</v>
      </c>
      <c r="Y60" s="1" t="s">
        <v>210</v>
      </c>
      <c r="Z60" s="1" t="s">
        <v>556</v>
      </c>
      <c r="AA60" s="1" t="s">
        <v>1362</v>
      </c>
      <c r="AB60" s="1">
        <v>1</v>
      </c>
      <c r="AC60" s="1" t="s">
        <v>1363</v>
      </c>
      <c r="AD60" s="1" t="s">
        <v>1364</v>
      </c>
      <c r="AE60" s="1">
        <f>91-9426165370</f>
        <v>-9426165279</v>
      </c>
      <c r="AF60" s="1" t="s">
        <v>105</v>
      </c>
      <c r="AG60" s="1" t="s">
        <v>1365</v>
      </c>
      <c r="AH60" s="1" t="s">
        <v>1366</v>
      </c>
      <c r="AI60" s="1" t="s">
        <v>1367</v>
      </c>
      <c r="AJ60" s="1" t="s">
        <v>109</v>
      </c>
      <c r="AK60" s="1" t="s">
        <v>1368</v>
      </c>
      <c r="AL60" s="1">
        <v>60</v>
      </c>
      <c r="AM60" s="1" t="s">
        <v>111</v>
      </c>
      <c r="AN60" s="1" t="s">
        <v>1369</v>
      </c>
      <c r="AP60" s="1">
        <f>91-8469839385</f>
        <v>-8469839294</v>
      </c>
      <c r="AQ60" s="1" t="s">
        <v>1370</v>
      </c>
      <c r="AR60" s="1">
        <v>1</v>
      </c>
      <c r="AS60" s="1">
        <v>1</v>
      </c>
      <c r="AW60" s="1" t="s">
        <v>142</v>
      </c>
      <c r="AX60" s="1" t="s">
        <v>1371</v>
      </c>
      <c r="AY60" s="1" t="s">
        <v>119</v>
      </c>
      <c r="AZ60" s="1">
        <v>4.07</v>
      </c>
      <c r="BA60" s="1">
        <v>6</v>
      </c>
      <c r="BB60" s="1" t="s">
        <v>151</v>
      </c>
      <c r="BC60" s="1" t="s">
        <v>304</v>
      </c>
      <c r="BD60" s="1" t="s">
        <v>1333</v>
      </c>
      <c r="BE60" s="1" t="s">
        <v>570</v>
      </c>
      <c r="BF60" s="1" t="s">
        <v>120</v>
      </c>
      <c r="BG60" s="1" t="s">
        <v>120</v>
      </c>
      <c r="BH60" s="1" t="s">
        <v>120</v>
      </c>
      <c r="BJ60" s="1" t="s">
        <v>120</v>
      </c>
      <c r="BK60" s="1" t="s">
        <v>120</v>
      </c>
      <c r="BL60" s="1">
        <v>1</v>
      </c>
      <c r="BM60" s="1">
        <v>0</v>
      </c>
      <c r="BN60" s="1" t="s">
        <v>1372</v>
      </c>
      <c r="BO60" s="1">
        <v>1</v>
      </c>
      <c r="BP60" s="1" t="s">
        <v>1373</v>
      </c>
      <c r="BQ60" s="1" t="s">
        <v>1374</v>
      </c>
      <c r="BR60" s="1">
        <v>1</v>
      </c>
      <c r="BS60" s="1" t="s">
        <v>787</v>
      </c>
      <c r="BT60" s="1" t="s">
        <v>124</v>
      </c>
      <c r="BV60" s="1" t="s">
        <v>112</v>
      </c>
      <c r="BW60" s="1" t="s">
        <v>1375</v>
      </c>
      <c r="BX60" s="1" t="s">
        <v>1376</v>
      </c>
      <c r="BY60" s="1" t="s">
        <v>120</v>
      </c>
      <c r="BZ60" s="1">
        <v>1</v>
      </c>
      <c r="CA60" s="1">
        <v>1</v>
      </c>
      <c r="CB60" s="4">
        <v>42258.361733136575</v>
      </c>
      <c r="CC60" s="1">
        <v>1</v>
      </c>
      <c r="CD60" s="1">
        <v>1</v>
      </c>
      <c r="CE60" s="1">
        <v>1</v>
      </c>
      <c r="CF60" s="1">
        <v>1</v>
      </c>
      <c r="CG60" s="4">
        <v>43816.348667557868</v>
      </c>
      <c r="CH60" s="1" t="s">
        <v>112</v>
      </c>
      <c r="CI60" s="1" t="s">
        <v>1373</v>
      </c>
      <c r="CJ60" s="1" t="s">
        <v>157</v>
      </c>
    </row>
    <row r="61" spans="1:88" x14ac:dyDescent="0.35">
      <c r="A61" s="1">
        <v>288</v>
      </c>
      <c r="B61" s="1" t="s">
        <v>1377</v>
      </c>
      <c r="C61" s="1">
        <v>23061987</v>
      </c>
      <c r="D61" s="1" t="s">
        <v>132</v>
      </c>
      <c r="E61" s="1" t="s">
        <v>1378</v>
      </c>
      <c r="F61" s="1" t="s">
        <v>134</v>
      </c>
      <c r="G61" s="1">
        <v>1</v>
      </c>
      <c r="H61" s="3">
        <v>31951</v>
      </c>
      <c r="I61" s="1">
        <v>1</v>
      </c>
      <c r="J61" s="1" t="s">
        <v>162</v>
      </c>
      <c r="K61" s="1" t="s">
        <v>163</v>
      </c>
      <c r="L61" s="2">
        <f>91-9998027708</f>
        <v>-9998027617</v>
      </c>
      <c r="M61" s="1" t="s">
        <v>112</v>
      </c>
      <c r="N61" s="1" t="s">
        <v>112</v>
      </c>
      <c r="O61" s="1" t="s">
        <v>112</v>
      </c>
      <c r="P61" s="1" t="s">
        <v>112</v>
      </c>
      <c r="Q61" s="1" t="s">
        <v>112</v>
      </c>
      <c r="R61" s="1" t="s">
        <v>112</v>
      </c>
      <c r="S61" s="1" t="s">
        <v>112</v>
      </c>
      <c r="T61" s="1" t="s">
        <v>112</v>
      </c>
      <c r="U61" s="1" t="s">
        <v>112</v>
      </c>
      <c r="V61" s="1" t="s">
        <v>112</v>
      </c>
      <c r="W61" s="1" t="s">
        <v>112</v>
      </c>
      <c r="X61" s="1" t="s">
        <v>112</v>
      </c>
      <c r="Y61" s="1" t="s">
        <v>112</v>
      </c>
      <c r="Z61" s="1" t="s">
        <v>112</v>
      </c>
      <c r="AA61" s="1" t="s">
        <v>112</v>
      </c>
      <c r="AB61" s="1" t="s">
        <v>112</v>
      </c>
      <c r="AC61" s="1" t="s">
        <v>112</v>
      </c>
      <c r="AD61" s="1" t="s">
        <v>112</v>
      </c>
      <c r="AE61" s="1" t="s">
        <v>112</v>
      </c>
      <c r="AF61" s="1" t="s">
        <v>112</v>
      </c>
      <c r="AG61" s="1" t="s">
        <v>112</v>
      </c>
      <c r="AH61" s="1" t="s">
        <v>112</v>
      </c>
      <c r="AI61" s="1" t="s">
        <v>112</v>
      </c>
      <c r="AJ61" s="1" t="s">
        <v>112</v>
      </c>
      <c r="AK61" s="1" t="s">
        <v>112</v>
      </c>
      <c r="AL61" s="1" t="s">
        <v>112</v>
      </c>
      <c r="AM61" s="1" t="s">
        <v>112</v>
      </c>
      <c r="AN61" s="1" t="s">
        <v>112</v>
      </c>
      <c r="AO61" s="1" t="s">
        <v>112</v>
      </c>
      <c r="AP61" s="1" t="s">
        <v>112</v>
      </c>
      <c r="AQ61" s="1" t="s">
        <v>112</v>
      </c>
      <c r="AR61" s="1" t="s">
        <v>112</v>
      </c>
      <c r="AS61" s="1" t="s">
        <v>112</v>
      </c>
      <c r="AT61" s="1" t="s">
        <v>112</v>
      </c>
      <c r="AU61" s="1" t="s">
        <v>112</v>
      </c>
      <c r="AV61" s="1" t="s">
        <v>112</v>
      </c>
      <c r="AW61" s="1" t="s">
        <v>112</v>
      </c>
      <c r="AX61" s="1" t="s">
        <v>112</v>
      </c>
      <c r="AY61" s="1" t="s">
        <v>112</v>
      </c>
      <c r="AZ61" s="1" t="s">
        <v>112</v>
      </c>
      <c r="BA61" s="1" t="s">
        <v>112</v>
      </c>
      <c r="BB61" s="1" t="s">
        <v>112</v>
      </c>
      <c r="BC61" s="1" t="s">
        <v>112</v>
      </c>
      <c r="BD61" s="1" t="s">
        <v>112</v>
      </c>
      <c r="BE61" s="1" t="s">
        <v>112</v>
      </c>
      <c r="BF61" s="1" t="s">
        <v>112</v>
      </c>
      <c r="BG61" s="1" t="s">
        <v>112</v>
      </c>
      <c r="BH61" s="1" t="s">
        <v>112</v>
      </c>
      <c r="BI61" s="1" t="s">
        <v>112</v>
      </c>
      <c r="BJ61" s="1" t="s">
        <v>112</v>
      </c>
      <c r="BK61" s="1" t="s">
        <v>112</v>
      </c>
      <c r="BL61" s="1" t="s">
        <v>112</v>
      </c>
      <c r="BM61" s="1" t="s">
        <v>112</v>
      </c>
      <c r="BN61" s="1" t="s">
        <v>112</v>
      </c>
      <c r="BO61" s="1" t="s">
        <v>112</v>
      </c>
      <c r="BP61" s="1" t="s">
        <v>112</v>
      </c>
      <c r="BQ61" s="1" t="s">
        <v>112</v>
      </c>
      <c r="BR61" s="1" t="s">
        <v>112</v>
      </c>
      <c r="BS61" s="1" t="s">
        <v>112</v>
      </c>
      <c r="BT61" s="1" t="s">
        <v>112</v>
      </c>
      <c r="BU61" s="1" t="s">
        <v>112</v>
      </c>
      <c r="BV61" s="1" t="s">
        <v>112</v>
      </c>
      <c r="BW61" s="1" t="s">
        <v>112</v>
      </c>
      <c r="BX61" s="1" t="s">
        <v>112</v>
      </c>
      <c r="BY61" s="1" t="s">
        <v>112</v>
      </c>
      <c r="BZ61" s="1" t="s">
        <v>112</v>
      </c>
      <c r="CA61" s="1" t="s">
        <v>112</v>
      </c>
      <c r="CB61" s="4">
        <v>42262.036836574072</v>
      </c>
      <c r="CC61" s="1">
        <v>1</v>
      </c>
      <c r="CD61" s="1">
        <v>1</v>
      </c>
      <c r="CE61" s="1">
        <v>1</v>
      </c>
      <c r="CF61" s="1">
        <v>3</v>
      </c>
      <c r="CG61" s="1" t="s">
        <v>112</v>
      </c>
      <c r="CH61" s="1" t="s">
        <v>112</v>
      </c>
      <c r="CI61" s="1" t="s">
        <v>112</v>
      </c>
      <c r="CJ61" s="1" t="s">
        <v>112</v>
      </c>
    </row>
    <row r="62" spans="1:88" x14ac:dyDescent="0.35">
      <c r="A62" s="1">
        <v>291</v>
      </c>
      <c r="B62" s="1" t="s">
        <v>1379</v>
      </c>
      <c r="C62" s="1" t="s">
        <v>1380</v>
      </c>
      <c r="D62" s="1" t="s">
        <v>90</v>
      </c>
      <c r="E62" s="1" t="s">
        <v>1381</v>
      </c>
      <c r="F62" s="1" t="s">
        <v>1382</v>
      </c>
      <c r="G62" s="1">
        <v>1</v>
      </c>
      <c r="H62" s="3">
        <v>33439</v>
      </c>
      <c r="I62" s="1">
        <v>1</v>
      </c>
      <c r="J62" s="1" t="s">
        <v>162</v>
      </c>
      <c r="K62" s="1" t="s">
        <v>1037</v>
      </c>
      <c r="L62" s="2">
        <f>91-9099165080</f>
        <v>-9099164989</v>
      </c>
      <c r="M62" s="1" t="s">
        <v>150</v>
      </c>
      <c r="N62" s="1">
        <v>0</v>
      </c>
      <c r="O62" s="1">
        <v>0</v>
      </c>
      <c r="P62" s="1">
        <v>5.0999999999999996</v>
      </c>
      <c r="Q62" s="1">
        <v>45</v>
      </c>
      <c r="R62" s="1" t="s">
        <v>1383</v>
      </c>
      <c r="S62" s="1" t="s">
        <v>97</v>
      </c>
      <c r="T62" s="1" t="s">
        <v>427</v>
      </c>
      <c r="U62" s="1" t="s">
        <v>1384</v>
      </c>
      <c r="V62" s="1" t="s">
        <v>1385</v>
      </c>
      <c r="W62" s="1" t="s">
        <v>1386</v>
      </c>
      <c r="X62" s="1" t="s">
        <v>170</v>
      </c>
      <c r="Y62" s="1" t="s">
        <v>210</v>
      </c>
      <c r="Z62" s="1" t="s">
        <v>1387</v>
      </c>
      <c r="AA62" s="1" t="s">
        <v>1388</v>
      </c>
      <c r="AB62" s="1">
        <v>0</v>
      </c>
      <c r="AD62" s="1" t="s">
        <v>1389</v>
      </c>
      <c r="AE62" s="1" t="s">
        <v>142</v>
      </c>
      <c r="AF62" s="1" t="s">
        <v>105</v>
      </c>
      <c r="AG62" s="1" t="s">
        <v>1390</v>
      </c>
      <c r="AH62" s="1" t="s">
        <v>1391</v>
      </c>
      <c r="AI62" s="1" t="s">
        <v>1392</v>
      </c>
      <c r="AJ62" s="1" t="s">
        <v>109</v>
      </c>
      <c r="AK62" s="1" t="s">
        <v>1393</v>
      </c>
      <c r="AL62" s="1">
        <v>4</v>
      </c>
      <c r="AM62" s="1" t="s">
        <v>210</v>
      </c>
      <c r="AO62" s="1" t="s">
        <v>1394</v>
      </c>
      <c r="AP62" s="1">
        <f>91-9428312009</f>
        <v>-9428311918</v>
      </c>
      <c r="AQ62" s="1" t="s">
        <v>502</v>
      </c>
      <c r="AR62" s="1">
        <v>0</v>
      </c>
      <c r="AS62" s="1">
        <v>0</v>
      </c>
      <c r="AW62" s="1" t="s">
        <v>142</v>
      </c>
      <c r="AX62" s="1" t="s">
        <v>1095</v>
      </c>
      <c r="AY62" s="1" t="s">
        <v>150</v>
      </c>
      <c r="AZ62" s="1">
        <v>4.1100000000000003</v>
      </c>
      <c r="BA62" s="1">
        <v>5.0999999999999996</v>
      </c>
      <c r="BB62" s="1" t="s">
        <v>151</v>
      </c>
      <c r="BC62" s="1" t="s">
        <v>152</v>
      </c>
      <c r="BD62" s="1" t="s">
        <v>1395</v>
      </c>
      <c r="BE62" s="1" t="s">
        <v>120</v>
      </c>
      <c r="BF62" s="1" t="s">
        <v>120</v>
      </c>
      <c r="BG62" s="1" t="s">
        <v>120</v>
      </c>
      <c r="BH62" s="1" t="s">
        <v>120</v>
      </c>
      <c r="BI62" s="1" t="s">
        <v>1387</v>
      </c>
      <c r="BJ62" s="1" t="s">
        <v>120</v>
      </c>
      <c r="BK62" s="1" t="s">
        <v>120</v>
      </c>
      <c r="BL62" s="1">
        <v>0</v>
      </c>
      <c r="BM62" s="1">
        <v>0</v>
      </c>
      <c r="BN62" s="1" t="s">
        <v>1396</v>
      </c>
      <c r="BO62" s="1">
        <v>1</v>
      </c>
      <c r="BP62" s="1" t="s">
        <v>1397</v>
      </c>
      <c r="BQ62" s="1" t="s">
        <v>1398</v>
      </c>
      <c r="BR62" s="1">
        <v>1</v>
      </c>
      <c r="BS62" s="1" t="s">
        <v>787</v>
      </c>
      <c r="BT62" s="1" t="s">
        <v>306</v>
      </c>
      <c r="BU62" s="1" t="s">
        <v>1399</v>
      </c>
      <c r="BV62" s="1" t="s">
        <v>112</v>
      </c>
      <c r="BW62" s="1" t="s">
        <v>1400</v>
      </c>
      <c r="BX62" s="1" t="s">
        <v>1401</v>
      </c>
      <c r="BY62" s="1" t="s">
        <v>120</v>
      </c>
      <c r="BZ62" s="1">
        <v>1</v>
      </c>
      <c r="CA62" s="1">
        <v>0</v>
      </c>
      <c r="CB62" s="4">
        <v>42265.411931168979</v>
      </c>
      <c r="CC62" s="1">
        <v>1</v>
      </c>
      <c r="CD62" s="1">
        <v>1</v>
      </c>
      <c r="CE62" s="1">
        <v>1</v>
      </c>
      <c r="CF62" s="1">
        <v>4</v>
      </c>
      <c r="CG62" s="1" t="s">
        <v>112</v>
      </c>
      <c r="CH62" s="1" t="s">
        <v>112</v>
      </c>
      <c r="CI62" s="1" t="s">
        <v>1402</v>
      </c>
      <c r="CJ62" s="1" t="s">
        <v>157</v>
      </c>
    </row>
    <row r="63" spans="1:88" x14ac:dyDescent="0.35">
      <c r="A63" s="1">
        <v>299</v>
      </c>
      <c r="B63" s="1" t="s">
        <v>1403</v>
      </c>
      <c r="C63" s="1" t="s">
        <v>1404</v>
      </c>
      <c r="D63" s="1" t="s">
        <v>90</v>
      </c>
      <c r="E63" s="1" t="s">
        <v>1405</v>
      </c>
      <c r="F63" s="1" t="s">
        <v>208</v>
      </c>
      <c r="G63" s="1">
        <v>1</v>
      </c>
      <c r="H63" s="3">
        <v>34546</v>
      </c>
      <c r="I63" s="1">
        <v>1</v>
      </c>
      <c r="J63" s="1" t="s">
        <v>162</v>
      </c>
      <c r="K63" s="1" t="s">
        <v>1406</v>
      </c>
      <c r="L63" s="2">
        <f>91-7600827242</f>
        <v>-7600827151</v>
      </c>
      <c r="M63" s="1" t="s">
        <v>150</v>
      </c>
      <c r="N63" s="1">
        <v>0</v>
      </c>
      <c r="O63" s="1">
        <v>0</v>
      </c>
      <c r="P63" s="1">
        <v>5.09</v>
      </c>
      <c r="Q63" s="1">
        <v>10</v>
      </c>
      <c r="S63" s="1" t="s">
        <v>97</v>
      </c>
      <c r="T63" s="1" t="s">
        <v>166</v>
      </c>
      <c r="U63" s="1" t="s">
        <v>97</v>
      </c>
      <c r="V63" s="1" t="s">
        <v>1407</v>
      </c>
      <c r="W63" s="1" t="s">
        <v>448</v>
      </c>
      <c r="X63" s="1" t="s">
        <v>100</v>
      </c>
      <c r="Y63" s="1" t="s">
        <v>210</v>
      </c>
      <c r="Z63" s="1" t="s">
        <v>1408</v>
      </c>
      <c r="AB63" s="1">
        <v>0</v>
      </c>
      <c r="AD63" s="1" t="s">
        <v>1409</v>
      </c>
      <c r="AE63" s="1" t="s">
        <v>142</v>
      </c>
      <c r="AF63" s="1" t="s">
        <v>143</v>
      </c>
      <c r="AG63" s="1" t="s">
        <v>1410</v>
      </c>
      <c r="AH63" s="1" t="s">
        <v>1411</v>
      </c>
      <c r="AI63" s="1" t="s">
        <v>1412</v>
      </c>
      <c r="AJ63" s="1" t="s">
        <v>109</v>
      </c>
      <c r="AK63" s="1" t="s">
        <v>1413</v>
      </c>
      <c r="AL63" s="1">
        <v>22</v>
      </c>
      <c r="AM63" s="1" t="s">
        <v>210</v>
      </c>
      <c r="AN63" s="1" t="s">
        <v>864</v>
      </c>
      <c r="AO63" s="1" t="s">
        <v>1414</v>
      </c>
      <c r="AP63" s="1">
        <f>91-9687969392</f>
        <v>-9687969301</v>
      </c>
      <c r="AR63" s="1">
        <v>2</v>
      </c>
      <c r="AS63" s="1">
        <v>0</v>
      </c>
      <c r="AT63" s="1" t="s">
        <v>1415</v>
      </c>
      <c r="AU63" s="1" t="s">
        <v>1416</v>
      </c>
      <c r="AV63" s="1" t="s">
        <v>1417</v>
      </c>
      <c r="AW63" s="1">
        <f>91-9979964933</f>
        <v>-9979964842</v>
      </c>
      <c r="AX63" s="1" t="s">
        <v>1418</v>
      </c>
      <c r="AY63" s="1" t="s">
        <v>150</v>
      </c>
      <c r="AZ63" s="1">
        <v>4.03</v>
      </c>
      <c r="BA63" s="1">
        <v>4.08</v>
      </c>
      <c r="BB63" s="1" t="s">
        <v>151</v>
      </c>
      <c r="BC63" s="1" t="s">
        <v>304</v>
      </c>
      <c r="BD63" s="1" t="s">
        <v>1333</v>
      </c>
      <c r="BE63" s="1" t="s">
        <v>1419</v>
      </c>
      <c r="BF63" s="1" t="s">
        <v>120</v>
      </c>
      <c r="BG63" s="1" t="s">
        <v>1420</v>
      </c>
      <c r="BH63" s="1" t="s">
        <v>1421</v>
      </c>
      <c r="BJ63" s="1" t="s">
        <v>120</v>
      </c>
      <c r="BK63" s="1" t="s">
        <v>120</v>
      </c>
      <c r="BL63" s="1">
        <v>0</v>
      </c>
      <c r="BM63" s="1">
        <v>0</v>
      </c>
      <c r="BN63" s="1" t="s">
        <v>1422</v>
      </c>
      <c r="BO63" s="1">
        <v>1</v>
      </c>
      <c r="BP63" s="1" t="s">
        <v>1423</v>
      </c>
      <c r="BQ63" s="1" t="s">
        <v>112</v>
      </c>
      <c r="BR63" s="1">
        <v>0</v>
      </c>
      <c r="BS63" s="1" t="s">
        <v>596</v>
      </c>
      <c r="BT63" s="1" t="s">
        <v>120</v>
      </c>
      <c r="BU63" s="1" t="s">
        <v>112</v>
      </c>
      <c r="BV63" s="1" t="s">
        <v>112</v>
      </c>
      <c r="BW63" s="1" t="s">
        <v>1424</v>
      </c>
      <c r="BX63" s="1" t="s">
        <v>1425</v>
      </c>
      <c r="BY63" s="1" t="s">
        <v>127</v>
      </c>
      <c r="BZ63" s="1">
        <v>1</v>
      </c>
      <c r="CA63" s="1">
        <v>0</v>
      </c>
      <c r="CB63" s="4">
        <v>42279.343329432872</v>
      </c>
      <c r="CC63" s="1">
        <v>1</v>
      </c>
      <c r="CD63" s="1">
        <v>1</v>
      </c>
      <c r="CE63" s="1">
        <v>1</v>
      </c>
      <c r="CF63" s="1">
        <v>3</v>
      </c>
      <c r="CG63" s="4">
        <v>43975.076848611112</v>
      </c>
      <c r="CH63" s="1" t="s">
        <v>112</v>
      </c>
      <c r="CI63" s="1" t="s">
        <v>117</v>
      </c>
      <c r="CJ63" s="1" t="s">
        <v>157</v>
      </c>
    </row>
    <row r="64" spans="1:88" x14ac:dyDescent="0.35">
      <c r="A64" s="1">
        <v>301</v>
      </c>
      <c r="B64" s="1" t="s">
        <v>1426</v>
      </c>
      <c r="C64" s="1" t="s">
        <v>1427</v>
      </c>
      <c r="D64" s="1" t="s">
        <v>90</v>
      </c>
      <c r="E64" s="1" t="s">
        <v>1428</v>
      </c>
      <c r="F64" s="1" t="s">
        <v>603</v>
      </c>
      <c r="G64" s="1">
        <v>1</v>
      </c>
      <c r="H64" s="3">
        <v>33024</v>
      </c>
      <c r="I64" s="1">
        <v>1</v>
      </c>
      <c r="J64" s="1" t="s">
        <v>93</v>
      </c>
      <c r="K64" s="1" t="s">
        <v>1130</v>
      </c>
      <c r="L64" s="2">
        <f>91-9960004396</f>
        <v>-9960004305</v>
      </c>
      <c r="M64" s="1" t="s">
        <v>150</v>
      </c>
      <c r="N64" s="1">
        <v>0</v>
      </c>
      <c r="O64" s="1">
        <v>0</v>
      </c>
      <c r="P64" s="1">
        <v>5.07</v>
      </c>
      <c r="Q64" s="1">
        <v>38</v>
      </c>
      <c r="R64" s="1" t="s">
        <v>1429</v>
      </c>
      <c r="S64" s="1" t="s">
        <v>492</v>
      </c>
      <c r="T64" s="1" t="s">
        <v>1430</v>
      </c>
      <c r="U64" s="1" t="s">
        <v>1431</v>
      </c>
      <c r="V64" s="1" t="s">
        <v>1432</v>
      </c>
      <c r="X64" s="1" t="s">
        <v>100</v>
      </c>
      <c r="Y64" s="1" t="s">
        <v>111</v>
      </c>
      <c r="Z64" s="1" t="s">
        <v>192</v>
      </c>
      <c r="AA64" s="1" t="s">
        <v>1433</v>
      </c>
      <c r="AB64" s="1">
        <v>0</v>
      </c>
      <c r="AD64" s="1" t="s">
        <v>1434</v>
      </c>
      <c r="AE64" s="1" t="s">
        <v>142</v>
      </c>
      <c r="AF64" s="1" t="s">
        <v>143</v>
      </c>
      <c r="AG64" s="1" t="s">
        <v>1435</v>
      </c>
      <c r="AH64" s="1" t="s">
        <v>1436</v>
      </c>
      <c r="AI64" s="1" t="s">
        <v>1437</v>
      </c>
      <c r="AJ64" s="1" t="s">
        <v>109</v>
      </c>
      <c r="AK64" s="1" t="s">
        <v>1438</v>
      </c>
      <c r="AL64" s="1">
        <v>60</v>
      </c>
      <c r="AM64" s="1" t="s">
        <v>111</v>
      </c>
      <c r="AN64" s="1" t="s">
        <v>1439</v>
      </c>
      <c r="AO64" s="1" t="s">
        <v>1438</v>
      </c>
      <c r="AP64" s="1">
        <f>91-9420080743</f>
        <v>-9420080652</v>
      </c>
      <c r="AQ64" s="1" t="s">
        <v>502</v>
      </c>
      <c r="AR64" s="1">
        <v>1</v>
      </c>
      <c r="AS64" s="1">
        <v>0</v>
      </c>
      <c r="AW64" s="1" t="s">
        <v>142</v>
      </c>
      <c r="AX64" s="1" t="s">
        <v>1440</v>
      </c>
      <c r="AY64" s="1" t="s">
        <v>150</v>
      </c>
      <c r="AZ64" s="1">
        <v>5.03</v>
      </c>
      <c r="BA64" s="1">
        <v>5.05</v>
      </c>
      <c r="BE64" s="1" t="s">
        <v>1441</v>
      </c>
      <c r="BG64" s="1" t="s">
        <v>120</v>
      </c>
      <c r="BH64" s="1" t="s">
        <v>120</v>
      </c>
      <c r="BJ64" s="1" t="s">
        <v>120</v>
      </c>
      <c r="BK64" s="1" t="s">
        <v>120</v>
      </c>
      <c r="BL64" s="1">
        <v>0</v>
      </c>
      <c r="BM64" s="1">
        <v>0</v>
      </c>
      <c r="BN64" s="1" t="s">
        <v>1442</v>
      </c>
      <c r="BO64" s="1">
        <v>1</v>
      </c>
      <c r="BP64" s="1" t="s">
        <v>1443</v>
      </c>
      <c r="BQ64" s="1" t="s">
        <v>112</v>
      </c>
      <c r="BR64" s="1">
        <v>0</v>
      </c>
      <c r="BS64" s="1" t="s">
        <v>354</v>
      </c>
      <c r="BT64" s="1" t="s">
        <v>124</v>
      </c>
      <c r="BU64" s="1" t="s">
        <v>1444</v>
      </c>
      <c r="BV64" s="1" t="s">
        <v>112</v>
      </c>
      <c r="BW64" s="1" t="s">
        <v>1445</v>
      </c>
      <c r="BX64" s="1" t="s">
        <v>1446</v>
      </c>
      <c r="BY64" s="1" t="s">
        <v>120</v>
      </c>
      <c r="BZ64" s="1">
        <v>1</v>
      </c>
      <c r="CA64" s="1">
        <v>1</v>
      </c>
      <c r="CB64" s="4">
        <v>42281.540660185186</v>
      </c>
      <c r="CC64" s="1">
        <v>1</v>
      </c>
      <c r="CD64" s="1">
        <v>1</v>
      </c>
      <c r="CE64" s="1">
        <v>1</v>
      </c>
      <c r="CF64" s="1">
        <v>1</v>
      </c>
      <c r="CG64" s="4">
        <v>44080.669453935188</v>
      </c>
      <c r="CH64" s="1" t="s">
        <v>112</v>
      </c>
      <c r="CI64" s="1" t="s">
        <v>1447</v>
      </c>
      <c r="CJ64" s="1" t="s">
        <v>129</v>
      </c>
    </row>
    <row r="65" spans="1:88" x14ac:dyDescent="0.35">
      <c r="A65" s="1">
        <v>308</v>
      </c>
      <c r="B65" s="1" t="s">
        <v>1448</v>
      </c>
      <c r="C65" s="1" t="s">
        <v>1449</v>
      </c>
      <c r="D65" s="1" t="s">
        <v>312</v>
      </c>
      <c r="E65" s="1" t="s">
        <v>1450</v>
      </c>
      <c r="F65" s="1" t="s">
        <v>1451</v>
      </c>
      <c r="G65" s="1">
        <v>1</v>
      </c>
      <c r="H65" s="3">
        <v>31471</v>
      </c>
      <c r="I65" s="1">
        <v>1</v>
      </c>
      <c r="J65" s="1" t="s">
        <v>186</v>
      </c>
      <c r="K65" s="1" t="s">
        <v>1452</v>
      </c>
      <c r="L65" s="2">
        <f>91-8319348523</f>
        <v>-8319348432</v>
      </c>
      <c r="M65" s="1" t="s">
        <v>150</v>
      </c>
      <c r="N65" s="1">
        <v>0</v>
      </c>
      <c r="O65" s="1">
        <v>0</v>
      </c>
      <c r="P65" s="1">
        <v>5.0999999999999996</v>
      </c>
      <c r="Q65" s="1">
        <v>32</v>
      </c>
      <c r="R65" s="1" t="s">
        <v>897</v>
      </c>
      <c r="S65" s="1" t="s">
        <v>293</v>
      </c>
      <c r="T65" s="1" t="s">
        <v>98</v>
      </c>
      <c r="U65" s="1" t="s">
        <v>1453</v>
      </c>
      <c r="X65" s="1" t="s">
        <v>924</v>
      </c>
      <c r="Y65" s="1" t="s">
        <v>132</v>
      </c>
      <c r="Z65" s="1" t="s">
        <v>797</v>
      </c>
      <c r="AB65" s="1">
        <v>0</v>
      </c>
      <c r="AD65" s="1" t="s">
        <v>1454</v>
      </c>
      <c r="AE65" s="1">
        <f>91-7632249075</f>
        <v>-7632248984</v>
      </c>
      <c r="AF65" s="1" t="s">
        <v>105</v>
      </c>
      <c r="AG65" s="1" t="s">
        <v>1455</v>
      </c>
      <c r="AH65" s="1" t="s">
        <v>1456</v>
      </c>
      <c r="AI65" s="1" t="s">
        <v>883</v>
      </c>
      <c r="AJ65" s="1" t="s">
        <v>109</v>
      </c>
      <c r="AK65" s="1" t="s">
        <v>1457</v>
      </c>
      <c r="AL65" s="1">
        <v>10</v>
      </c>
      <c r="AM65" s="1" t="s">
        <v>148</v>
      </c>
      <c r="AN65" s="1" t="s">
        <v>1458</v>
      </c>
      <c r="AP65" s="1">
        <f>91-9425163676</f>
        <v>-9425163585</v>
      </c>
      <c r="AQ65" s="1" t="s">
        <v>1459</v>
      </c>
      <c r="AR65" s="1">
        <v>0</v>
      </c>
      <c r="AS65" s="1">
        <v>0</v>
      </c>
      <c r="AT65" s="1" t="s">
        <v>1460</v>
      </c>
      <c r="AU65" s="1" t="s">
        <v>1461</v>
      </c>
      <c r="AV65" s="1" t="s">
        <v>1462</v>
      </c>
      <c r="AW65" s="1">
        <f>91-9586302157</f>
        <v>-9586302066</v>
      </c>
      <c r="AX65" s="1" t="s">
        <v>526</v>
      </c>
      <c r="AY65" s="1" t="s">
        <v>249</v>
      </c>
      <c r="AZ65" s="1">
        <v>5</v>
      </c>
      <c r="BA65" s="1">
        <v>5.0999999999999996</v>
      </c>
      <c r="BE65" s="1" t="s">
        <v>1463</v>
      </c>
      <c r="BG65" s="1" t="s">
        <v>120</v>
      </c>
      <c r="BH65" s="1" t="s">
        <v>120</v>
      </c>
      <c r="BJ65" s="1" t="s">
        <v>154</v>
      </c>
      <c r="BK65" s="1" t="s">
        <v>120</v>
      </c>
      <c r="BL65" s="1">
        <v>0</v>
      </c>
      <c r="BM65" s="1">
        <v>1</v>
      </c>
      <c r="BN65" s="1" t="s">
        <v>1464</v>
      </c>
      <c r="BO65" s="1">
        <v>1</v>
      </c>
      <c r="BP65" s="1" t="s">
        <v>1465</v>
      </c>
      <c r="BQ65" s="1" t="s">
        <v>112</v>
      </c>
      <c r="BR65" s="1">
        <v>1</v>
      </c>
      <c r="BS65" s="1" t="s">
        <v>399</v>
      </c>
      <c r="BT65" s="1" t="s">
        <v>124</v>
      </c>
      <c r="BU65" s="1" t="s">
        <v>1466</v>
      </c>
      <c r="BV65" s="1" t="s">
        <v>112</v>
      </c>
      <c r="BW65" s="1" t="s">
        <v>1467</v>
      </c>
      <c r="BX65" s="1" t="s">
        <v>1468</v>
      </c>
      <c r="BY65" s="1" t="s">
        <v>465</v>
      </c>
      <c r="BZ65" s="1">
        <v>3</v>
      </c>
      <c r="CA65" s="1">
        <v>3</v>
      </c>
      <c r="CB65" s="4">
        <v>42290.899848530091</v>
      </c>
      <c r="CC65" s="1">
        <v>1</v>
      </c>
      <c r="CD65" s="1">
        <v>1</v>
      </c>
      <c r="CE65" s="1">
        <v>1</v>
      </c>
      <c r="CF65" s="1">
        <v>4</v>
      </c>
      <c r="CG65" s="4">
        <v>43008.316921956015</v>
      </c>
      <c r="CH65" s="1" t="s">
        <v>112</v>
      </c>
      <c r="CI65" s="1" t="s">
        <v>1469</v>
      </c>
      <c r="CJ65" s="1" t="s">
        <v>129</v>
      </c>
    </row>
    <row r="66" spans="1:88" x14ac:dyDescent="0.35">
      <c r="A66" s="1">
        <v>318</v>
      </c>
      <c r="B66" s="1" t="s">
        <v>1470</v>
      </c>
      <c r="C66" s="1" t="s">
        <v>1471</v>
      </c>
      <c r="D66" s="1" t="s">
        <v>90</v>
      </c>
      <c r="E66" s="1" t="s">
        <v>1472</v>
      </c>
      <c r="F66" s="1" t="s">
        <v>1473</v>
      </c>
      <c r="G66" s="1">
        <v>1</v>
      </c>
      <c r="H66" s="3">
        <v>33055</v>
      </c>
      <c r="I66" s="1">
        <v>1</v>
      </c>
      <c r="J66" s="1" t="s">
        <v>162</v>
      </c>
      <c r="K66" s="1" t="s">
        <v>1474</v>
      </c>
      <c r="L66" s="2">
        <f>91-9408126114</f>
        <v>-9408126023</v>
      </c>
      <c r="M66" s="1" t="s">
        <v>150</v>
      </c>
      <c r="N66" s="1">
        <v>0</v>
      </c>
      <c r="O66" s="1">
        <v>0</v>
      </c>
      <c r="P66" s="1">
        <v>5.03</v>
      </c>
      <c r="Q66" s="1">
        <v>54</v>
      </c>
      <c r="R66" s="1" t="s">
        <v>1475</v>
      </c>
      <c r="S66" s="1" t="s">
        <v>97</v>
      </c>
      <c r="T66" s="1" t="s">
        <v>1430</v>
      </c>
      <c r="U66" s="1" t="s">
        <v>1476</v>
      </c>
      <c r="V66" s="1" t="s">
        <v>1477</v>
      </c>
      <c r="W66" s="1" t="s">
        <v>1478</v>
      </c>
      <c r="X66" s="1" t="s">
        <v>296</v>
      </c>
      <c r="Y66" s="1" t="s">
        <v>268</v>
      </c>
      <c r="Z66" s="1" t="s">
        <v>450</v>
      </c>
      <c r="AA66" s="1" t="s">
        <v>1479</v>
      </c>
      <c r="AB66" s="1">
        <v>0</v>
      </c>
      <c r="AD66" s="1" t="s">
        <v>1480</v>
      </c>
      <c r="AE66" s="1">
        <f>91-9408126114</f>
        <v>-9408126023</v>
      </c>
      <c r="AF66" s="1" t="s">
        <v>143</v>
      </c>
      <c r="AG66" s="1" t="s">
        <v>1481</v>
      </c>
      <c r="AH66" s="1" t="s">
        <v>1482</v>
      </c>
      <c r="AI66" s="1" t="s">
        <v>1483</v>
      </c>
      <c r="AJ66" s="1" t="s">
        <v>109</v>
      </c>
      <c r="AK66" s="1" t="s">
        <v>1484</v>
      </c>
      <c r="AL66" s="1">
        <v>60</v>
      </c>
      <c r="AM66" s="1" t="s">
        <v>111</v>
      </c>
      <c r="AN66" s="1" t="s">
        <v>1485</v>
      </c>
      <c r="AO66" s="1" t="s">
        <v>1486</v>
      </c>
      <c r="AP66" s="1">
        <f>91-8905275076</f>
        <v>-8905274985</v>
      </c>
      <c r="AQ66" s="1" t="s">
        <v>432</v>
      </c>
      <c r="AR66" s="1">
        <v>0</v>
      </c>
      <c r="AS66" s="1">
        <v>0</v>
      </c>
      <c r="AW66" s="1" t="s">
        <v>142</v>
      </c>
      <c r="AX66" s="1" t="s">
        <v>642</v>
      </c>
      <c r="AY66" s="1" t="s">
        <v>150</v>
      </c>
      <c r="AZ66" s="1">
        <v>4.05</v>
      </c>
      <c r="BA66" s="1">
        <v>4.0999999999999996</v>
      </c>
      <c r="BE66" s="1" t="s">
        <v>120</v>
      </c>
      <c r="BG66" s="1" t="s">
        <v>120</v>
      </c>
      <c r="BH66" s="1" t="s">
        <v>120</v>
      </c>
      <c r="BJ66" s="1" t="s">
        <v>120</v>
      </c>
      <c r="BK66" s="1" t="s">
        <v>120</v>
      </c>
      <c r="BL66" s="1">
        <v>0</v>
      </c>
      <c r="BM66" s="1">
        <v>0</v>
      </c>
      <c r="BN66" s="1" t="s">
        <v>1487</v>
      </c>
      <c r="BO66" s="1">
        <v>1</v>
      </c>
      <c r="BP66" s="1" t="s">
        <v>1488</v>
      </c>
      <c r="BQ66" s="1" t="s">
        <v>112</v>
      </c>
      <c r="BR66" s="1">
        <v>0</v>
      </c>
      <c r="BS66" s="1" t="s">
        <v>787</v>
      </c>
      <c r="BT66" s="1" t="s">
        <v>124</v>
      </c>
      <c r="BU66" s="1" t="s">
        <v>112</v>
      </c>
      <c r="BV66" s="1" t="s">
        <v>112</v>
      </c>
      <c r="BW66" s="1" t="s">
        <v>1489</v>
      </c>
      <c r="BX66" s="1" t="s">
        <v>1490</v>
      </c>
      <c r="BY66" s="1" t="s">
        <v>120</v>
      </c>
      <c r="BZ66" s="1">
        <v>0</v>
      </c>
      <c r="CA66" s="1">
        <v>0</v>
      </c>
      <c r="CB66" s="4">
        <v>42303.861742858797</v>
      </c>
      <c r="CC66" s="1">
        <v>1</v>
      </c>
      <c r="CD66" s="1">
        <v>1</v>
      </c>
      <c r="CE66" s="1">
        <v>1</v>
      </c>
      <c r="CF66" s="1">
        <v>1</v>
      </c>
      <c r="CG66" s="4">
        <v>43227.231782604169</v>
      </c>
      <c r="CH66" s="1" t="s">
        <v>112</v>
      </c>
      <c r="CI66" s="1" t="s">
        <v>1491</v>
      </c>
      <c r="CJ66" s="1" t="s">
        <v>129</v>
      </c>
    </row>
    <row r="67" spans="1:88" x14ac:dyDescent="0.35">
      <c r="A67" s="1">
        <v>320</v>
      </c>
      <c r="B67" s="1" t="s">
        <v>1492</v>
      </c>
      <c r="C67" s="1" t="s">
        <v>1493</v>
      </c>
      <c r="D67" s="1" t="s">
        <v>90</v>
      </c>
      <c r="E67" s="1" t="s">
        <v>1494</v>
      </c>
      <c r="F67" s="1" t="s">
        <v>1495</v>
      </c>
      <c r="G67" s="1">
        <v>1</v>
      </c>
      <c r="H67" s="3">
        <v>32160</v>
      </c>
      <c r="I67" s="1">
        <v>1</v>
      </c>
      <c r="J67" s="1" t="s">
        <v>93</v>
      </c>
      <c r="K67" s="1" t="s">
        <v>94</v>
      </c>
      <c r="L67" s="2">
        <f>91-9967205147</f>
        <v>-9967205056</v>
      </c>
      <c r="M67" s="1" t="s">
        <v>150</v>
      </c>
      <c r="N67" s="1">
        <v>0</v>
      </c>
      <c r="O67" s="1">
        <v>0</v>
      </c>
      <c r="P67" s="1">
        <v>5.09</v>
      </c>
      <c r="Q67" s="1">
        <v>46</v>
      </c>
      <c r="R67" s="1" t="s">
        <v>1496</v>
      </c>
      <c r="S67" s="1" t="s">
        <v>97</v>
      </c>
      <c r="T67" s="1" t="s">
        <v>166</v>
      </c>
      <c r="U67" s="1" t="s">
        <v>1497</v>
      </c>
      <c r="V67" s="1" t="s">
        <v>1498</v>
      </c>
      <c r="W67" s="1" t="s">
        <v>1499</v>
      </c>
      <c r="X67" s="1" t="s">
        <v>170</v>
      </c>
      <c r="Y67" s="1" t="s">
        <v>101</v>
      </c>
      <c r="Z67" s="1" t="s">
        <v>1500</v>
      </c>
      <c r="AA67" s="1" t="s">
        <v>1501</v>
      </c>
      <c r="AB67" s="1">
        <v>0</v>
      </c>
      <c r="AD67" s="1" t="s">
        <v>1502</v>
      </c>
      <c r="AE67" s="1">
        <f>91-9819117827</f>
        <v>-9819117736</v>
      </c>
      <c r="AF67" s="1" t="s">
        <v>143</v>
      </c>
      <c r="AG67" s="1" t="s">
        <v>1503</v>
      </c>
      <c r="AH67" s="1" t="s">
        <v>1504</v>
      </c>
      <c r="AI67" s="1" t="s">
        <v>1505</v>
      </c>
      <c r="AJ67" s="1" t="s">
        <v>109</v>
      </c>
      <c r="AK67" s="1" t="s">
        <v>1506</v>
      </c>
      <c r="AL67" s="1">
        <v>1</v>
      </c>
      <c r="AM67" s="1" t="s">
        <v>243</v>
      </c>
      <c r="AP67" s="1">
        <f>91-9867474783</f>
        <v>-9867474692</v>
      </c>
      <c r="AR67" s="1">
        <v>1</v>
      </c>
      <c r="AS67" s="1">
        <v>1</v>
      </c>
      <c r="AT67" s="1" t="s">
        <v>1507</v>
      </c>
      <c r="AU67" s="1" t="s">
        <v>1508</v>
      </c>
      <c r="AV67" s="1" t="s">
        <v>1509</v>
      </c>
      <c r="AW67" s="1">
        <f>91-9879613492</f>
        <v>-9879613401</v>
      </c>
      <c r="AX67" s="1" t="s">
        <v>664</v>
      </c>
      <c r="AY67" s="1" t="s">
        <v>1075</v>
      </c>
      <c r="AZ67" s="1">
        <v>4.03</v>
      </c>
      <c r="BA67" s="1">
        <v>5.0999999999999996</v>
      </c>
      <c r="BE67" s="1" t="s">
        <v>1510</v>
      </c>
      <c r="BG67" s="1" t="s">
        <v>120</v>
      </c>
      <c r="BH67" s="1" t="s">
        <v>120</v>
      </c>
      <c r="BJ67" s="1" t="s">
        <v>120</v>
      </c>
      <c r="BK67" s="1" t="s">
        <v>120</v>
      </c>
      <c r="BL67" s="1">
        <v>0</v>
      </c>
      <c r="BM67" s="1">
        <v>0</v>
      </c>
      <c r="BN67" s="1" t="s">
        <v>1511</v>
      </c>
      <c r="BO67" s="1">
        <v>1</v>
      </c>
      <c r="BP67" s="1" t="s">
        <v>94</v>
      </c>
      <c r="BQ67" s="1" t="s">
        <v>112</v>
      </c>
      <c r="BR67" s="1">
        <v>0</v>
      </c>
      <c r="BS67" s="1" t="s">
        <v>1208</v>
      </c>
      <c r="BT67" s="1" t="s">
        <v>120</v>
      </c>
      <c r="BU67" s="1" t="s">
        <v>112</v>
      </c>
      <c r="BV67" s="1" t="s">
        <v>112</v>
      </c>
      <c r="BW67" s="1" t="s">
        <v>1512</v>
      </c>
      <c r="BX67" s="1" t="s">
        <v>1513</v>
      </c>
      <c r="BY67" s="1" t="s">
        <v>127</v>
      </c>
      <c r="BZ67" s="1">
        <v>2</v>
      </c>
      <c r="CA67" s="1">
        <v>2</v>
      </c>
      <c r="CB67" s="4">
        <v>42305.188701851854</v>
      </c>
      <c r="CC67" s="1">
        <v>1</v>
      </c>
      <c r="CD67" s="1">
        <v>1</v>
      </c>
      <c r="CE67" s="1">
        <v>1</v>
      </c>
      <c r="CF67" s="1">
        <v>1</v>
      </c>
      <c r="CG67" s="4">
        <v>43921.293493206016</v>
      </c>
      <c r="CH67" s="1" t="s">
        <v>112</v>
      </c>
      <c r="CI67" s="1" t="s">
        <v>1514</v>
      </c>
      <c r="CJ67" s="1" t="s">
        <v>129</v>
      </c>
    </row>
    <row r="68" spans="1:88" x14ac:dyDescent="0.35">
      <c r="A68" s="1">
        <v>330</v>
      </c>
      <c r="B68" s="1" t="s">
        <v>1515</v>
      </c>
      <c r="C68" s="1">
        <v>9427509895</v>
      </c>
      <c r="D68" s="1" t="s">
        <v>90</v>
      </c>
      <c r="E68" s="1" t="s">
        <v>1516</v>
      </c>
      <c r="F68" s="1" t="s">
        <v>1517</v>
      </c>
      <c r="G68" s="1">
        <v>1</v>
      </c>
      <c r="H68" s="3">
        <v>34764</v>
      </c>
      <c r="I68" s="1">
        <v>1</v>
      </c>
      <c r="J68" s="1" t="s">
        <v>162</v>
      </c>
      <c r="K68" s="1" t="s">
        <v>163</v>
      </c>
      <c r="L68" s="2">
        <f>91-9427509895</f>
        <v>-9427509804</v>
      </c>
      <c r="M68" s="1" t="s">
        <v>150</v>
      </c>
      <c r="N68" s="1">
        <v>0</v>
      </c>
      <c r="O68" s="1">
        <v>0</v>
      </c>
      <c r="P68" s="1">
        <v>5</v>
      </c>
      <c r="Q68" s="1">
        <v>12</v>
      </c>
      <c r="R68" s="1" t="s">
        <v>470</v>
      </c>
      <c r="S68" s="1" t="s">
        <v>97</v>
      </c>
      <c r="T68" s="1" t="s">
        <v>137</v>
      </c>
      <c r="U68" s="1" t="s">
        <v>1518</v>
      </c>
      <c r="X68" s="1" t="s">
        <v>296</v>
      </c>
      <c r="Y68" s="1" t="s">
        <v>101</v>
      </c>
      <c r="Z68" s="1" t="s">
        <v>192</v>
      </c>
      <c r="AA68" s="1" t="s">
        <v>1519</v>
      </c>
      <c r="AB68" s="1">
        <v>0</v>
      </c>
      <c r="AD68" s="1" t="s">
        <v>1520</v>
      </c>
      <c r="AE68" s="1" t="s">
        <v>142</v>
      </c>
      <c r="AF68" s="1" t="s">
        <v>143</v>
      </c>
      <c r="AG68" s="1" t="s">
        <v>1521</v>
      </c>
      <c r="AH68" s="1" t="s">
        <v>1522</v>
      </c>
      <c r="AI68" s="1" t="s">
        <v>1523</v>
      </c>
      <c r="AJ68" s="1" t="s">
        <v>109</v>
      </c>
      <c r="AK68" s="1" t="s">
        <v>1524</v>
      </c>
      <c r="AL68" s="1">
        <v>20</v>
      </c>
      <c r="AM68" s="1" t="s">
        <v>101</v>
      </c>
      <c r="AN68" s="1" t="s">
        <v>1525</v>
      </c>
      <c r="AO68" s="1" t="s">
        <v>1526</v>
      </c>
      <c r="AP68" s="1">
        <f>91-9173003069</f>
        <v>-9173002978</v>
      </c>
      <c r="AR68" s="1">
        <v>1</v>
      </c>
      <c r="AS68" s="1">
        <v>1</v>
      </c>
      <c r="AW68" s="1" t="s">
        <v>142</v>
      </c>
      <c r="AX68" s="1" t="s">
        <v>303</v>
      </c>
      <c r="AY68" s="1" t="s">
        <v>150</v>
      </c>
      <c r="AZ68" s="1">
        <v>5</v>
      </c>
      <c r="BA68" s="1">
        <v>5</v>
      </c>
      <c r="BB68" s="1" t="s">
        <v>151</v>
      </c>
      <c r="BC68" s="1" t="s">
        <v>304</v>
      </c>
      <c r="BD68" s="1" t="s">
        <v>1333</v>
      </c>
      <c r="BE68" s="1" t="s">
        <v>97</v>
      </c>
      <c r="BF68" s="1" t="s">
        <v>120</v>
      </c>
      <c r="BG68" s="1" t="s">
        <v>296</v>
      </c>
      <c r="BH68" s="1" t="s">
        <v>114</v>
      </c>
      <c r="BJ68" s="1" t="s">
        <v>120</v>
      </c>
      <c r="BK68" s="1" t="s">
        <v>120</v>
      </c>
      <c r="BL68" s="1">
        <v>0</v>
      </c>
      <c r="BM68" s="1">
        <v>1</v>
      </c>
      <c r="BN68" s="1" t="s">
        <v>1527</v>
      </c>
      <c r="BO68" s="1">
        <v>1</v>
      </c>
      <c r="BP68" s="1" t="s">
        <v>1528</v>
      </c>
      <c r="BQ68" s="1" t="s">
        <v>112</v>
      </c>
      <c r="BR68" s="1">
        <v>0</v>
      </c>
      <c r="BS68" s="1" t="s">
        <v>596</v>
      </c>
      <c r="BT68" s="1" t="s">
        <v>124</v>
      </c>
      <c r="BU68" s="1" t="s">
        <v>112</v>
      </c>
      <c r="BV68" s="1" t="s">
        <v>112</v>
      </c>
      <c r="BW68" s="1" t="s">
        <v>1529</v>
      </c>
      <c r="BX68" s="1" t="s">
        <v>1530</v>
      </c>
      <c r="BY68" s="1" t="s">
        <v>120</v>
      </c>
      <c r="BZ68" s="1">
        <v>1</v>
      </c>
      <c r="CA68" s="1">
        <v>1</v>
      </c>
      <c r="CB68" s="4">
        <v>42313.43870204861</v>
      </c>
      <c r="CC68" s="1">
        <v>1</v>
      </c>
      <c r="CD68" s="1">
        <v>1</v>
      </c>
      <c r="CE68" s="1">
        <v>1</v>
      </c>
      <c r="CF68" s="1">
        <v>1</v>
      </c>
      <c r="CG68" s="4">
        <v>43559.453883946757</v>
      </c>
      <c r="CH68" s="1" t="s">
        <v>112</v>
      </c>
      <c r="CI68" s="1" t="s">
        <v>1531</v>
      </c>
      <c r="CJ68" s="1" t="s">
        <v>157</v>
      </c>
    </row>
    <row r="69" spans="1:88" x14ac:dyDescent="0.35">
      <c r="A69" s="1">
        <v>333</v>
      </c>
      <c r="B69" s="1" t="s">
        <v>1532</v>
      </c>
      <c r="C69" s="1" t="s">
        <v>1533</v>
      </c>
      <c r="D69" s="1" t="s">
        <v>90</v>
      </c>
      <c r="E69" s="1" t="s">
        <v>1534</v>
      </c>
      <c r="F69" s="1" t="s">
        <v>185</v>
      </c>
      <c r="G69" s="1">
        <v>1</v>
      </c>
      <c r="H69" s="3">
        <v>32529</v>
      </c>
      <c r="I69" s="1">
        <v>1</v>
      </c>
      <c r="J69" s="1" t="s">
        <v>162</v>
      </c>
      <c r="K69" s="1" t="s">
        <v>163</v>
      </c>
      <c r="L69" s="2">
        <f>91-7226969777</f>
        <v>-7226969686</v>
      </c>
      <c r="M69" s="1" t="s">
        <v>95</v>
      </c>
      <c r="N69" s="1">
        <v>0</v>
      </c>
      <c r="O69" s="1">
        <v>0</v>
      </c>
      <c r="P69" s="1">
        <v>5.07</v>
      </c>
      <c r="Q69" s="1">
        <v>19</v>
      </c>
      <c r="R69" s="1" t="s">
        <v>1535</v>
      </c>
      <c r="S69" s="1" t="s">
        <v>293</v>
      </c>
      <c r="T69" s="1" t="s">
        <v>137</v>
      </c>
      <c r="U69" s="1" t="s">
        <v>1536</v>
      </c>
      <c r="X69" s="1" t="s">
        <v>296</v>
      </c>
      <c r="Y69" s="1" t="s">
        <v>210</v>
      </c>
      <c r="Z69" s="1" t="s">
        <v>733</v>
      </c>
      <c r="AA69" s="1" t="s">
        <v>1537</v>
      </c>
      <c r="AB69" s="1">
        <v>0</v>
      </c>
      <c r="AD69" s="1" t="s">
        <v>1538</v>
      </c>
      <c r="AE69" s="1">
        <f>91-9427031347</f>
        <v>-9427031256</v>
      </c>
      <c r="AF69" s="1" t="s">
        <v>143</v>
      </c>
      <c r="AG69" s="1" t="s">
        <v>1539</v>
      </c>
      <c r="AH69" s="1" t="s">
        <v>174</v>
      </c>
      <c r="AI69" s="1" t="s">
        <v>1540</v>
      </c>
      <c r="AJ69" s="1" t="s">
        <v>109</v>
      </c>
      <c r="AK69" s="1" t="s">
        <v>1541</v>
      </c>
      <c r="AL69" s="1">
        <v>40</v>
      </c>
      <c r="AM69" s="1" t="s">
        <v>111</v>
      </c>
      <c r="AN69" s="1" t="s">
        <v>124</v>
      </c>
      <c r="AO69" s="1" t="s">
        <v>1542</v>
      </c>
      <c r="AP69" s="1">
        <f>91-9427031347</f>
        <v>-9427031256</v>
      </c>
      <c r="AQ69" s="1" t="s">
        <v>1543</v>
      </c>
      <c r="AR69" s="1">
        <v>0</v>
      </c>
      <c r="AS69" s="1">
        <v>0</v>
      </c>
      <c r="AW69" s="1" t="s">
        <v>142</v>
      </c>
      <c r="AX69" s="1" t="s">
        <v>1544</v>
      </c>
      <c r="AY69" s="1" t="s">
        <v>1332</v>
      </c>
      <c r="AZ69" s="1">
        <v>5</v>
      </c>
      <c r="BA69" s="1">
        <v>5.0999999999999996</v>
      </c>
      <c r="BE69" s="1" t="s">
        <v>120</v>
      </c>
      <c r="BG69" s="1" t="s">
        <v>120</v>
      </c>
      <c r="BH69" s="1" t="s">
        <v>120</v>
      </c>
      <c r="BJ69" s="1" t="s">
        <v>154</v>
      </c>
      <c r="BK69" s="1" t="s">
        <v>120</v>
      </c>
      <c r="BL69" s="1">
        <v>0</v>
      </c>
      <c r="BM69" s="1">
        <v>0</v>
      </c>
      <c r="BN69" s="1" t="s">
        <v>1545</v>
      </c>
      <c r="BO69" s="1">
        <v>1</v>
      </c>
      <c r="BP69" s="1" t="s">
        <v>163</v>
      </c>
      <c r="BQ69" s="1" t="s">
        <v>112</v>
      </c>
      <c r="BR69" s="1">
        <v>1</v>
      </c>
      <c r="BS69" s="1" t="s">
        <v>399</v>
      </c>
      <c r="BT69" s="1" t="s">
        <v>124</v>
      </c>
      <c r="BU69" s="1" t="s">
        <v>1546</v>
      </c>
      <c r="BV69" s="1" t="s">
        <v>112</v>
      </c>
      <c r="BW69" s="1" t="s">
        <v>1547</v>
      </c>
      <c r="BX69" s="1" t="s">
        <v>1548</v>
      </c>
      <c r="BY69" s="1" t="s">
        <v>120</v>
      </c>
      <c r="BZ69" s="1">
        <v>1</v>
      </c>
      <c r="CA69" s="1">
        <v>0</v>
      </c>
      <c r="CB69" s="4">
        <v>42313.966057025464</v>
      </c>
      <c r="CC69" s="1">
        <v>1</v>
      </c>
      <c r="CD69" s="1">
        <v>1</v>
      </c>
      <c r="CE69" s="1">
        <v>1</v>
      </c>
      <c r="CF69" s="1">
        <v>1</v>
      </c>
      <c r="CG69" s="4">
        <v>43725.842035069443</v>
      </c>
      <c r="CH69" s="1" t="s">
        <v>112</v>
      </c>
      <c r="CI69" s="1" t="s">
        <v>117</v>
      </c>
      <c r="CJ69" s="1" t="s">
        <v>129</v>
      </c>
    </row>
    <row r="70" spans="1:88" x14ac:dyDescent="0.35">
      <c r="A70" s="1">
        <v>341</v>
      </c>
      <c r="B70" s="1" t="s">
        <v>1549</v>
      </c>
      <c r="C70" s="1" t="s">
        <v>1550</v>
      </c>
      <c r="D70" s="1" t="s">
        <v>90</v>
      </c>
      <c r="E70" s="1" t="s">
        <v>1551</v>
      </c>
      <c r="F70" s="1" t="s">
        <v>1552</v>
      </c>
      <c r="G70" s="1">
        <v>1</v>
      </c>
      <c r="H70" s="3">
        <v>31856</v>
      </c>
      <c r="I70" s="1">
        <v>1</v>
      </c>
      <c r="J70" s="1" t="s">
        <v>1553</v>
      </c>
      <c r="K70" s="1" t="s">
        <v>1554</v>
      </c>
      <c r="L70" s="2">
        <f>91-9488158546</f>
        <v>-9488158455</v>
      </c>
      <c r="M70" s="1" t="s">
        <v>95</v>
      </c>
      <c r="N70" s="1">
        <v>0</v>
      </c>
      <c r="O70" s="1">
        <v>0</v>
      </c>
      <c r="P70" s="1">
        <v>5.1100000000000003</v>
      </c>
      <c r="Q70" s="1">
        <v>27</v>
      </c>
      <c r="R70" s="1" t="s">
        <v>653</v>
      </c>
      <c r="S70" s="1" t="s">
        <v>136</v>
      </c>
      <c r="T70" s="1" t="s">
        <v>427</v>
      </c>
      <c r="U70" s="1" t="s">
        <v>1555</v>
      </c>
      <c r="V70" s="1" t="s">
        <v>1556</v>
      </c>
      <c r="X70" s="1" t="s">
        <v>100</v>
      </c>
      <c r="Y70" s="1" t="s">
        <v>210</v>
      </c>
      <c r="Z70" s="1" t="s">
        <v>1557</v>
      </c>
      <c r="AA70" s="1" t="s">
        <v>1558</v>
      </c>
      <c r="AB70" s="1">
        <v>0</v>
      </c>
      <c r="AD70" s="1" t="s">
        <v>1559</v>
      </c>
      <c r="AE70" s="1">
        <f>91-8438465463</f>
        <v>-8438465372</v>
      </c>
      <c r="AF70" s="1" t="s">
        <v>143</v>
      </c>
      <c r="AG70" s="1" t="s">
        <v>1560</v>
      </c>
      <c r="AH70" s="1" t="s">
        <v>1561</v>
      </c>
      <c r="AI70" s="1" t="s">
        <v>1562</v>
      </c>
      <c r="AJ70" s="1" t="s">
        <v>109</v>
      </c>
      <c r="AK70" s="1" t="s">
        <v>1563</v>
      </c>
      <c r="AL70" s="1">
        <v>50</v>
      </c>
      <c r="AM70" s="1" t="s">
        <v>111</v>
      </c>
      <c r="AN70" s="1" t="s">
        <v>1564</v>
      </c>
      <c r="AO70" s="1" t="s">
        <v>1565</v>
      </c>
      <c r="AP70" s="1">
        <f>91-8871475000</f>
        <v>-8871474909</v>
      </c>
      <c r="AR70" s="1">
        <v>2</v>
      </c>
      <c r="AS70" s="1">
        <v>2</v>
      </c>
      <c r="AT70" s="1" t="s">
        <v>1566</v>
      </c>
      <c r="AU70" s="1" t="s">
        <v>1567</v>
      </c>
      <c r="AV70" s="1" t="s">
        <v>1568</v>
      </c>
      <c r="AW70" s="1">
        <f>91-9039939515</f>
        <v>-9039939424</v>
      </c>
      <c r="AX70" s="1" t="s">
        <v>350</v>
      </c>
      <c r="AY70" s="1" t="s">
        <v>593</v>
      </c>
      <c r="AZ70" s="1">
        <v>4.0999999999999996</v>
      </c>
      <c r="BA70" s="1">
        <v>5.1100000000000003</v>
      </c>
      <c r="BB70" s="1" t="s">
        <v>151</v>
      </c>
      <c r="BC70" s="1" t="s">
        <v>304</v>
      </c>
      <c r="BD70" s="1" t="s">
        <v>1333</v>
      </c>
      <c r="BE70" s="1" t="s">
        <v>870</v>
      </c>
      <c r="BF70" s="1" t="s">
        <v>120</v>
      </c>
      <c r="BG70" s="1" t="s">
        <v>120</v>
      </c>
      <c r="BH70" s="1" t="s">
        <v>120</v>
      </c>
      <c r="BJ70" s="1" t="s">
        <v>120</v>
      </c>
      <c r="BK70" s="1" t="s">
        <v>120</v>
      </c>
      <c r="BL70" s="1">
        <v>0</v>
      </c>
      <c r="BM70" s="1">
        <v>0</v>
      </c>
      <c r="BN70" s="1" t="s">
        <v>887</v>
      </c>
      <c r="BO70" s="1">
        <v>1</v>
      </c>
      <c r="BP70" s="1" t="s">
        <v>1569</v>
      </c>
      <c r="BQ70" s="1" t="s">
        <v>112</v>
      </c>
      <c r="BR70" s="1">
        <v>0</v>
      </c>
      <c r="BS70" s="1" t="s">
        <v>376</v>
      </c>
      <c r="BT70" s="1" t="s">
        <v>124</v>
      </c>
      <c r="BU70" s="1" t="s">
        <v>112</v>
      </c>
      <c r="BV70" s="1" t="s">
        <v>112</v>
      </c>
      <c r="BW70" s="1" t="s">
        <v>1570</v>
      </c>
      <c r="BX70" s="1" t="s">
        <v>1571</v>
      </c>
      <c r="BY70" s="1" t="s">
        <v>127</v>
      </c>
      <c r="BZ70" s="1">
        <v>0</v>
      </c>
      <c r="CA70" s="1">
        <v>0</v>
      </c>
      <c r="CB70" s="4">
        <v>42326.428373958333</v>
      </c>
      <c r="CC70" s="1">
        <v>1</v>
      </c>
      <c r="CD70" s="1">
        <v>1</v>
      </c>
      <c r="CE70" s="1">
        <v>1</v>
      </c>
      <c r="CF70" s="1">
        <v>1</v>
      </c>
      <c r="CG70" s="4">
        <v>43948.410546446758</v>
      </c>
      <c r="CH70" s="1" t="s">
        <v>112</v>
      </c>
      <c r="CI70" s="1" t="s">
        <v>829</v>
      </c>
      <c r="CJ70" s="1" t="s">
        <v>157</v>
      </c>
    </row>
    <row r="71" spans="1:88" x14ac:dyDescent="0.35">
      <c r="A71" s="1">
        <v>342</v>
      </c>
      <c r="B71" s="1" t="s">
        <v>1572</v>
      </c>
      <c r="C71" s="1" t="s">
        <v>1573</v>
      </c>
      <c r="D71" s="1" t="s">
        <v>259</v>
      </c>
      <c r="E71" s="1" t="s">
        <v>1574</v>
      </c>
      <c r="F71" s="1" t="s">
        <v>1575</v>
      </c>
      <c r="G71" s="1">
        <v>0</v>
      </c>
      <c r="H71" s="3">
        <v>32401</v>
      </c>
      <c r="I71" s="1">
        <v>1</v>
      </c>
      <c r="J71" s="1" t="s">
        <v>93</v>
      </c>
      <c r="K71" s="1" t="s">
        <v>94</v>
      </c>
      <c r="L71" s="2">
        <f>91-9869288604</f>
        <v>-9869288513</v>
      </c>
      <c r="M71" s="1" t="s">
        <v>150</v>
      </c>
      <c r="N71" s="1">
        <v>0</v>
      </c>
      <c r="O71" s="1">
        <v>0</v>
      </c>
      <c r="P71" s="1">
        <v>5.0199999999999996</v>
      </c>
      <c r="Q71" s="1">
        <v>19</v>
      </c>
      <c r="R71" s="1" t="s">
        <v>714</v>
      </c>
      <c r="S71" s="1" t="s">
        <v>97</v>
      </c>
      <c r="T71" s="1" t="s">
        <v>341</v>
      </c>
      <c r="U71" s="1" t="s">
        <v>1576</v>
      </c>
      <c r="V71" s="1" t="s">
        <v>1577</v>
      </c>
      <c r="W71" s="1" t="s">
        <v>1578</v>
      </c>
      <c r="X71" s="1" t="s">
        <v>100</v>
      </c>
      <c r="Y71" s="1" t="s">
        <v>210</v>
      </c>
      <c r="Z71" s="1" t="s">
        <v>266</v>
      </c>
      <c r="AB71" s="1">
        <v>0</v>
      </c>
      <c r="AD71" s="1" t="s">
        <v>1579</v>
      </c>
      <c r="AE71" s="1">
        <f>91-9833994141</f>
        <v>-9833994050</v>
      </c>
      <c r="AF71" s="1" t="s">
        <v>105</v>
      </c>
      <c r="AG71" s="1" t="s">
        <v>1580</v>
      </c>
      <c r="AH71" s="1" t="s">
        <v>1581</v>
      </c>
      <c r="AI71" s="1" t="s">
        <v>1582</v>
      </c>
      <c r="AJ71" s="1" t="s">
        <v>109</v>
      </c>
      <c r="AK71" s="1" t="s">
        <v>1583</v>
      </c>
      <c r="AL71" s="1">
        <v>4</v>
      </c>
      <c r="AM71" s="1" t="s">
        <v>111</v>
      </c>
      <c r="AP71" s="1">
        <f>91-9930633113</f>
        <v>-9930633022</v>
      </c>
      <c r="AR71" s="1">
        <v>1</v>
      </c>
      <c r="AS71" s="1">
        <v>1</v>
      </c>
      <c r="AW71" s="1" t="s">
        <v>142</v>
      </c>
      <c r="AX71" s="1" t="s">
        <v>683</v>
      </c>
      <c r="AY71" s="1" t="s">
        <v>150</v>
      </c>
      <c r="AZ71" s="1">
        <v>5.05</v>
      </c>
      <c r="BA71" s="1">
        <v>6.02</v>
      </c>
      <c r="BB71" s="1" t="s">
        <v>151</v>
      </c>
      <c r="BC71" s="1" t="s">
        <v>304</v>
      </c>
      <c r="BD71" s="1" t="s">
        <v>1333</v>
      </c>
      <c r="BE71" s="1" t="s">
        <v>219</v>
      </c>
      <c r="BF71" s="1" t="s">
        <v>120</v>
      </c>
      <c r="BG71" s="1" t="s">
        <v>100</v>
      </c>
      <c r="BH71" s="1" t="s">
        <v>724</v>
      </c>
      <c r="BJ71" s="1" t="s">
        <v>120</v>
      </c>
      <c r="BK71" s="1" t="s">
        <v>120</v>
      </c>
      <c r="BL71" s="1">
        <v>0</v>
      </c>
      <c r="BM71" s="1">
        <v>1</v>
      </c>
      <c r="BN71" s="1" t="s">
        <v>1584</v>
      </c>
      <c r="BO71" s="1">
        <v>1</v>
      </c>
      <c r="BP71" s="1" t="s">
        <v>1585</v>
      </c>
      <c r="BQ71" s="1" t="s">
        <v>112</v>
      </c>
      <c r="BR71" s="1">
        <v>1</v>
      </c>
      <c r="BS71" s="1" t="s">
        <v>181</v>
      </c>
      <c r="BT71" s="1" t="s">
        <v>124</v>
      </c>
      <c r="BU71" s="1" t="s">
        <v>112</v>
      </c>
      <c r="BV71" s="1" t="s">
        <v>112</v>
      </c>
      <c r="BW71" s="1" t="s">
        <v>1586</v>
      </c>
      <c r="BX71" s="1" t="s">
        <v>1587</v>
      </c>
      <c r="BY71" s="1" t="s">
        <v>120</v>
      </c>
      <c r="BZ71" s="1">
        <v>1</v>
      </c>
      <c r="CA71" s="1">
        <v>0</v>
      </c>
      <c r="CB71" s="4">
        <v>42332.11275385417</v>
      </c>
      <c r="CC71" s="1">
        <v>1</v>
      </c>
      <c r="CD71" s="1">
        <v>1</v>
      </c>
      <c r="CE71" s="1">
        <v>1</v>
      </c>
      <c r="CF71" s="1">
        <v>4</v>
      </c>
      <c r="CG71" s="4">
        <v>42832.247804629631</v>
      </c>
      <c r="CH71" s="1" t="s">
        <v>112</v>
      </c>
      <c r="CI71" s="1" t="s">
        <v>1588</v>
      </c>
      <c r="CJ71" s="1" t="s">
        <v>157</v>
      </c>
    </row>
    <row r="72" spans="1:88" x14ac:dyDescent="0.35">
      <c r="A72" s="1">
        <v>363</v>
      </c>
      <c r="B72" s="1" t="s">
        <v>1589</v>
      </c>
      <c r="C72" s="1" t="s">
        <v>1590</v>
      </c>
      <c r="D72" s="1" t="s">
        <v>259</v>
      </c>
      <c r="E72" s="1" t="s">
        <v>1591</v>
      </c>
      <c r="F72" s="1" t="s">
        <v>1592</v>
      </c>
      <c r="G72" s="1">
        <v>0</v>
      </c>
      <c r="H72" s="3">
        <v>23072</v>
      </c>
      <c r="I72" s="1">
        <v>23</v>
      </c>
      <c r="J72" s="1" t="s">
        <v>1593</v>
      </c>
      <c r="K72" s="1" t="s">
        <v>1594</v>
      </c>
      <c r="L72" s="2" t="s">
        <v>142</v>
      </c>
      <c r="M72" s="1" t="s">
        <v>150</v>
      </c>
      <c r="N72" s="1">
        <v>0</v>
      </c>
      <c r="O72" s="1">
        <v>0</v>
      </c>
      <c r="P72" s="1">
        <v>4.0199999999999996</v>
      </c>
      <c r="Q72" s="1">
        <v>4</v>
      </c>
      <c r="R72" s="1" t="s">
        <v>1595</v>
      </c>
      <c r="S72" s="1" t="s">
        <v>223</v>
      </c>
      <c r="T72" s="1" t="s">
        <v>223</v>
      </c>
      <c r="X72" s="1" t="s">
        <v>223</v>
      </c>
      <c r="Y72" s="1" t="s">
        <v>223</v>
      </c>
      <c r="Z72" s="1" t="s">
        <v>223</v>
      </c>
      <c r="AB72" s="1">
        <v>0</v>
      </c>
      <c r="AE72" s="1" t="s">
        <v>142</v>
      </c>
      <c r="AF72" s="1" t="s">
        <v>478</v>
      </c>
      <c r="AJ72" s="1" t="s">
        <v>478</v>
      </c>
      <c r="AL72" s="1">
        <v>0</v>
      </c>
      <c r="AM72" s="1" t="s">
        <v>223</v>
      </c>
      <c r="AP72" s="1" t="s">
        <v>142</v>
      </c>
      <c r="AR72" s="1">
        <v>0</v>
      </c>
      <c r="AS72" s="1">
        <v>0</v>
      </c>
      <c r="AW72" s="1" t="s">
        <v>142</v>
      </c>
      <c r="AX72" s="1" t="s">
        <v>1596</v>
      </c>
      <c r="AZ72" s="1">
        <v>4</v>
      </c>
      <c r="BA72" s="1">
        <v>7.05</v>
      </c>
      <c r="BB72" s="1" t="s">
        <v>151</v>
      </c>
      <c r="BC72" s="1" t="s">
        <v>152</v>
      </c>
      <c r="BD72" s="1" t="s">
        <v>1395</v>
      </c>
      <c r="BF72" s="1" t="s">
        <v>120</v>
      </c>
      <c r="BI72" s="1" t="s">
        <v>223</v>
      </c>
      <c r="BJ72" s="1" t="s">
        <v>120</v>
      </c>
      <c r="BK72" s="1" t="s">
        <v>120</v>
      </c>
      <c r="BL72" s="1">
        <v>0</v>
      </c>
      <c r="BM72" s="1">
        <v>0</v>
      </c>
      <c r="BO72" s="1">
        <v>0</v>
      </c>
      <c r="BQ72" s="1" t="s">
        <v>180</v>
      </c>
      <c r="BR72" s="1">
        <v>0</v>
      </c>
      <c r="BS72" s="1" t="s">
        <v>129</v>
      </c>
      <c r="BT72" s="1" t="s">
        <v>124</v>
      </c>
      <c r="BV72" s="1" t="s">
        <v>112</v>
      </c>
      <c r="BY72" s="1" t="s">
        <v>120</v>
      </c>
      <c r="BZ72" s="1">
        <v>0</v>
      </c>
      <c r="CA72" s="1">
        <v>0</v>
      </c>
      <c r="CB72" s="4">
        <v>42335.977134143519</v>
      </c>
      <c r="CC72" s="1">
        <v>1</v>
      </c>
      <c r="CD72" s="1">
        <v>1</v>
      </c>
      <c r="CE72" s="1">
        <v>1</v>
      </c>
      <c r="CF72" s="1">
        <v>3</v>
      </c>
      <c r="CG72" s="1" t="s">
        <v>112</v>
      </c>
      <c r="CH72" s="1" t="s">
        <v>112</v>
      </c>
      <c r="CJ72" s="1" t="s">
        <v>157</v>
      </c>
    </row>
    <row r="73" spans="1:88" x14ac:dyDescent="0.35">
      <c r="A73" s="1">
        <v>367</v>
      </c>
      <c r="B73" s="1" t="s">
        <v>1597</v>
      </c>
      <c r="C73" s="1" t="s">
        <v>1598</v>
      </c>
      <c r="D73" s="1" t="s">
        <v>90</v>
      </c>
      <c r="E73" s="1" t="s">
        <v>1599</v>
      </c>
      <c r="F73" s="1" t="s">
        <v>161</v>
      </c>
      <c r="G73" s="1">
        <v>1</v>
      </c>
      <c r="H73" s="3">
        <v>34692</v>
      </c>
      <c r="I73" s="1">
        <v>1</v>
      </c>
      <c r="J73" s="1" t="s">
        <v>162</v>
      </c>
      <c r="K73" s="1" t="s">
        <v>1037</v>
      </c>
      <c r="L73" s="2">
        <f>91-9427606468</f>
        <v>-9427606377</v>
      </c>
      <c r="M73" s="1" t="s">
        <v>150</v>
      </c>
      <c r="N73" s="1">
        <v>0</v>
      </c>
      <c r="O73" s="1">
        <v>0</v>
      </c>
      <c r="P73" s="1">
        <v>5.08</v>
      </c>
      <c r="Q73" s="1">
        <v>14</v>
      </c>
      <c r="R73" s="1" t="s">
        <v>491</v>
      </c>
      <c r="S73" s="1" t="s">
        <v>492</v>
      </c>
      <c r="T73" s="1" t="s">
        <v>471</v>
      </c>
      <c r="U73" s="1" t="s">
        <v>493</v>
      </c>
      <c r="W73" s="1" t="s">
        <v>1600</v>
      </c>
      <c r="X73" s="1" t="s">
        <v>170</v>
      </c>
      <c r="Y73" s="1" t="s">
        <v>111</v>
      </c>
      <c r="Z73" s="1" t="s">
        <v>515</v>
      </c>
      <c r="AA73" s="1" t="s">
        <v>1601</v>
      </c>
      <c r="AB73" s="1">
        <v>0</v>
      </c>
      <c r="AD73" s="1" t="s">
        <v>1602</v>
      </c>
      <c r="AE73" s="1" t="s">
        <v>142</v>
      </c>
      <c r="AF73" s="1" t="s">
        <v>143</v>
      </c>
      <c r="AG73" s="1" t="s">
        <v>1603</v>
      </c>
      <c r="AH73" s="1" t="s">
        <v>1604</v>
      </c>
      <c r="AI73" s="1" t="s">
        <v>1605</v>
      </c>
      <c r="AJ73" s="1" t="s">
        <v>109</v>
      </c>
      <c r="AK73" s="1" t="s">
        <v>1606</v>
      </c>
      <c r="AL73" s="1">
        <v>18</v>
      </c>
      <c r="AM73" s="1" t="s">
        <v>111</v>
      </c>
      <c r="AO73" s="1" t="s">
        <v>1607</v>
      </c>
      <c r="AP73" s="1">
        <f>91-9104301556</f>
        <v>-9104301465</v>
      </c>
      <c r="AR73" s="1">
        <v>1</v>
      </c>
      <c r="AS73" s="1">
        <v>0</v>
      </c>
      <c r="AT73" s="1" t="s">
        <v>1608</v>
      </c>
      <c r="AU73" s="1" t="s">
        <v>1609</v>
      </c>
      <c r="AV73" s="1" t="s">
        <v>1609</v>
      </c>
      <c r="AW73" s="1">
        <f>91-9586404570</f>
        <v>-9586404479</v>
      </c>
      <c r="AX73" s="1" t="s">
        <v>1223</v>
      </c>
      <c r="AY73" s="1" t="s">
        <v>150</v>
      </c>
      <c r="AZ73" s="1">
        <v>5</v>
      </c>
      <c r="BA73" s="1">
        <v>6</v>
      </c>
      <c r="BE73" s="1" t="s">
        <v>120</v>
      </c>
      <c r="BG73" s="1" t="s">
        <v>120</v>
      </c>
      <c r="BH73" s="1" t="s">
        <v>120</v>
      </c>
      <c r="BJ73" s="1" t="s">
        <v>120</v>
      </c>
      <c r="BK73" s="1" t="s">
        <v>120</v>
      </c>
      <c r="BL73" s="1">
        <v>0</v>
      </c>
      <c r="BM73" s="1">
        <v>0</v>
      </c>
      <c r="BN73" s="1" t="s">
        <v>1610</v>
      </c>
      <c r="BO73" s="1">
        <v>1</v>
      </c>
      <c r="BP73" s="1" t="s">
        <v>1611</v>
      </c>
      <c r="BQ73" s="1" t="s">
        <v>112</v>
      </c>
      <c r="BR73" s="1">
        <v>0</v>
      </c>
      <c r="BS73" s="1" t="s">
        <v>354</v>
      </c>
      <c r="BT73" s="1" t="s">
        <v>120</v>
      </c>
      <c r="BU73" s="1" t="s">
        <v>112</v>
      </c>
      <c r="BV73" s="1" t="s">
        <v>112</v>
      </c>
      <c r="BW73" s="1" t="s">
        <v>1612</v>
      </c>
      <c r="BX73" s="1" t="s">
        <v>1613</v>
      </c>
      <c r="BY73" s="1" t="s">
        <v>465</v>
      </c>
      <c r="BZ73" s="1">
        <v>1</v>
      </c>
      <c r="CA73" s="1">
        <v>0</v>
      </c>
      <c r="CB73" s="4">
        <v>42336.052191932868</v>
      </c>
      <c r="CC73" s="1">
        <v>1</v>
      </c>
      <c r="CD73" s="1">
        <v>1</v>
      </c>
      <c r="CE73" s="1">
        <v>1</v>
      </c>
      <c r="CF73" s="1">
        <v>1</v>
      </c>
      <c r="CG73" s="4">
        <v>43538.235340740743</v>
      </c>
      <c r="CH73" s="1" t="s">
        <v>112</v>
      </c>
      <c r="CI73" s="1" t="s">
        <v>1614</v>
      </c>
      <c r="CJ73" s="1" t="s">
        <v>129</v>
      </c>
    </row>
    <row r="74" spans="1:88" x14ac:dyDescent="0.35">
      <c r="A74" s="1">
        <v>368</v>
      </c>
      <c r="B74" s="1" t="s">
        <v>1615</v>
      </c>
      <c r="C74" s="1" t="s">
        <v>1616</v>
      </c>
      <c r="D74" s="1" t="s">
        <v>90</v>
      </c>
      <c r="E74" s="1" t="s">
        <v>1617</v>
      </c>
      <c r="F74" s="1" t="s">
        <v>134</v>
      </c>
      <c r="G74" s="1">
        <v>1</v>
      </c>
      <c r="H74" s="3">
        <v>31542</v>
      </c>
      <c r="I74" s="1">
        <v>1</v>
      </c>
      <c r="J74" s="1" t="s">
        <v>162</v>
      </c>
      <c r="K74" s="1" t="s">
        <v>163</v>
      </c>
      <c r="L74" s="2">
        <f>91-9898733756</f>
        <v>-9898733665</v>
      </c>
      <c r="M74" s="1" t="s">
        <v>150</v>
      </c>
      <c r="N74" s="1">
        <v>0</v>
      </c>
      <c r="O74" s="1">
        <v>0</v>
      </c>
      <c r="P74" s="1">
        <v>5.0599999999999996</v>
      </c>
      <c r="Q74" s="1">
        <v>46</v>
      </c>
      <c r="R74" s="1" t="s">
        <v>292</v>
      </c>
      <c r="S74" s="1" t="s">
        <v>136</v>
      </c>
      <c r="T74" s="1" t="s">
        <v>137</v>
      </c>
      <c r="U74" s="1" t="s">
        <v>1618</v>
      </c>
      <c r="V74" s="1" t="s">
        <v>364</v>
      </c>
      <c r="W74" s="1" t="s">
        <v>1619</v>
      </c>
      <c r="X74" s="1" t="s">
        <v>296</v>
      </c>
      <c r="Y74" s="1" t="s">
        <v>111</v>
      </c>
      <c r="Z74" s="1" t="s">
        <v>192</v>
      </c>
      <c r="AA74" s="1" t="s">
        <v>1620</v>
      </c>
      <c r="AB74" s="1">
        <v>0</v>
      </c>
      <c r="AD74" s="1" t="s">
        <v>1621</v>
      </c>
      <c r="AE74" s="1" t="s">
        <v>142</v>
      </c>
      <c r="AF74" s="1" t="s">
        <v>105</v>
      </c>
      <c r="AG74" s="1" t="s">
        <v>1622</v>
      </c>
      <c r="AH74" s="1" t="s">
        <v>1623</v>
      </c>
      <c r="AI74" s="1" t="s">
        <v>1624</v>
      </c>
      <c r="AJ74" s="1" t="s">
        <v>109</v>
      </c>
      <c r="AK74" s="1" t="s">
        <v>1625</v>
      </c>
      <c r="AL74" s="1">
        <v>20</v>
      </c>
      <c r="AM74" s="1" t="s">
        <v>148</v>
      </c>
      <c r="AP74" s="1">
        <f>91-9376142167</f>
        <v>-9376142076</v>
      </c>
      <c r="AQ74" s="1" t="s">
        <v>1626</v>
      </c>
      <c r="AR74" s="1">
        <v>0</v>
      </c>
      <c r="AS74" s="1">
        <v>0</v>
      </c>
      <c r="AW74" s="1" t="s">
        <v>142</v>
      </c>
      <c r="AX74" s="1" t="s">
        <v>460</v>
      </c>
      <c r="AY74" s="1" t="s">
        <v>150</v>
      </c>
      <c r="AZ74" s="1">
        <v>5</v>
      </c>
      <c r="BA74" s="1">
        <v>5.05</v>
      </c>
      <c r="BB74" s="1" t="s">
        <v>151</v>
      </c>
      <c r="BC74" s="1" t="s">
        <v>152</v>
      </c>
      <c r="BD74" s="1" t="s">
        <v>1395</v>
      </c>
      <c r="BE74" s="1" t="s">
        <v>97</v>
      </c>
      <c r="BF74" s="1" t="s">
        <v>120</v>
      </c>
      <c r="BG74" s="1" t="s">
        <v>120</v>
      </c>
      <c r="BH74" s="1" t="s">
        <v>120</v>
      </c>
      <c r="BI74" s="1" t="s">
        <v>132</v>
      </c>
      <c r="BJ74" s="1" t="s">
        <v>154</v>
      </c>
      <c r="BK74" s="1" t="s">
        <v>120</v>
      </c>
      <c r="BL74" s="1">
        <v>0</v>
      </c>
      <c r="BM74" s="1">
        <v>0</v>
      </c>
      <c r="BN74" s="1" t="s">
        <v>1627</v>
      </c>
      <c r="BO74" s="1">
        <v>1</v>
      </c>
      <c r="BP74" s="1" t="s">
        <v>163</v>
      </c>
      <c r="BQ74" s="1" t="s">
        <v>112</v>
      </c>
      <c r="BR74" s="1">
        <v>1</v>
      </c>
      <c r="BS74" s="1" t="s">
        <v>334</v>
      </c>
      <c r="BT74" s="1" t="s">
        <v>124</v>
      </c>
      <c r="BU74" s="1" t="s">
        <v>112</v>
      </c>
      <c r="BV74" s="1" t="s">
        <v>112</v>
      </c>
      <c r="BW74" s="1" t="s">
        <v>1628</v>
      </c>
      <c r="BX74" s="1" t="s">
        <v>1629</v>
      </c>
      <c r="BY74" s="1" t="s">
        <v>120</v>
      </c>
      <c r="BZ74" s="1">
        <v>1</v>
      </c>
      <c r="CA74" s="1">
        <v>0</v>
      </c>
      <c r="CB74" s="4">
        <v>42336.91526184028</v>
      </c>
      <c r="CC74" s="1">
        <v>1</v>
      </c>
      <c r="CD74" s="1">
        <v>1</v>
      </c>
      <c r="CE74" s="1">
        <v>1</v>
      </c>
      <c r="CF74" s="1">
        <v>4</v>
      </c>
      <c r="CG74" s="4">
        <v>42833.749406249997</v>
      </c>
      <c r="CH74" s="1" t="s">
        <v>112</v>
      </c>
      <c r="CI74" s="1" t="s">
        <v>1630</v>
      </c>
      <c r="CJ74" s="1" t="s">
        <v>157</v>
      </c>
    </row>
    <row r="75" spans="1:88" x14ac:dyDescent="0.35">
      <c r="A75" s="1">
        <v>371</v>
      </c>
      <c r="B75" s="1" t="s">
        <v>1631</v>
      </c>
      <c r="C75" s="1" t="s">
        <v>1632</v>
      </c>
      <c r="D75" s="1" t="s">
        <v>90</v>
      </c>
      <c r="E75" s="1" t="s">
        <v>1633</v>
      </c>
      <c r="F75" s="1" t="s">
        <v>92</v>
      </c>
      <c r="G75" s="1">
        <v>1</v>
      </c>
      <c r="H75" s="3">
        <v>32772</v>
      </c>
      <c r="I75" s="1">
        <v>1</v>
      </c>
      <c r="J75" s="1" t="s">
        <v>162</v>
      </c>
      <c r="K75" s="1" t="s">
        <v>232</v>
      </c>
      <c r="L75" s="2">
        <f>91-9016225272</f>
        <v>-9016225181</v>
      </c>
      <c r="M75" s="1" t="s">
        <v>150</v>
      </c>
      <c r="N75" s="1">
        <v>0</v>
      </c>
      <c r="O75" s="1">
        <v>0</v>
      </c>
      <c r="P75" s="1">
        <v>5.09</v>
      </c>
      <c r="Q75" s="1">
        <v>12</v>
      </c>
      <c r="R75" s="1" t="s">
        <v>470</v>
      </c>
      <c r="S75" s="1" t="s">
        <v>97</v>
      </c>
      <c r="T75" s="1" t="s">
        <v>1107</v>
      </c>
      <c r="U75" s="1" t="s">
        <v>1634</v>
      </c>
      <c r="V75" s="1" t="s">
        <v>1635</v>
      </c>
      <c r="W75" s="1" t="s">
        <v>694</v>
      </c>
      <c r="X75" s="1" t="s">
        <v>100</v>
      </c>
      <c r="Y75" s="1" t="s">
        <v>111</v>
      </c>
      <c r="Z75" s="1" t="s">
        <v>192</v>
      </c>
      <c r="AA75" s="1" t="s">
        <v>1636</v>
      </c>
      <c r="AB75" s="1">
        <v>0</v>
      </c>
      <c r="AD75" s="1" t="s">
        <v>1637</v>
      </c>
      <c r="AE75" s="1">
        <f>91-9016225272</f>
        <v>-9016225181</v>
      </c>
      <c r="AF75" s="1" t="s">
        <v>105</v>
      </c>
      <c r="AG75" s="1" t="s">
        <v>1638</v>
      </c>
      <c r="AH75" s="1" t="s">
        <v>1639</v>
      </c>
      <c r="AI75" s="1" t="s">
        <v>1640</v>
      </c>
      <c r="AJ75" s="1" t="s">
        <v>109</v>
      </c>
      <c r="AK75" s="1" t="s">
        <v>1641</v>
      </c>
      <c r="AL75" s="1">
        <v>5</v>
      </c>
      <c r="AM75" s="1" t="s">
        <v>210</v>
      </c>
      <c r="AN75" s="1" t="s">
        <v>864</v>
      </c>
      <c r="AO75" s="1" t="s">
        <v>1642</v>
      </c>
      <c r="AP75" s="1">
        <f>91-9016225272</f>
        <v>-9016225181</v>
      </c>
      <c r="AQ75" s="1" t="s">
        <v>502</v>
      </c>
      <c r="AR75" s="1">
        <v>0</v>
      </c>
      <c r="AS75" s="1">
        <v>0</v>
      </c>
      <c r="AT75" s="1" t="s">
        <v>1643</v>
      </c>
      <c r="AU75" s="1" t="s">
        <v>1644</v>
      </c>
      <c r="AV75" s="1" t="s">
        <v>1645</v>
      </c>
      <c r="AW75" s="1">
        <f>91-9850689123</f>
        <v>-9850689032</v>
      </c>
      <c r="AX75" s="1" t="s">
        <v>149</v>
      </c>
      <c r="AY75" s="1" t="s">
        <v>150</v>
      </c>
      <c r="AZ75" s="1">
        <v>5.04</v>
      </c>
      <c r="BA75" s="1">
        <v>5.04</v>
      </c>
      <c r="BB75" s="1" t="s">
        <v>151</v>
      </c>
      <c r="BC75" s="1" t="s">
        <v>304</v>
      </c>
      <c r="BD75" s="1" t="s">
        <v>1333</v>
      </c>
      <c r="BE75" s="1" t="s">
        <v>120</v>
      </c>
      <c r="BF75" s="1" t="s">
        <v>120</v>
      </c>
      <c r="BG75" s="1" t="s">
        <v>120</v>
      </c>
      <c r="BH75" s="1" t="s">
        <v>120</v>
      </c>
      <c r="BJ75" s="1" t="s">
        <v>120</v>
      </c>
      <c r="BK75" s="1" t="s">
        <v>120</v>
      </c>
      <c r="BL75" s="1">
        <v>0</v>
      </c>
      <c r="BM75" s="1">
        <v>0</v>
      </c>
      <c r="BN75" s="1" t="s">
        <v>1646</v>
      </c>
      <c r="BO75" s="1">
        <v>1</v>
      </c>
      <c r="BP75" s="1" t="s">
        <v>232</v>
      </c>
      <c r="BQ75" s="1" t="s">
        <v>1647</v>
      </c>
      <c r="BR75" s="1">
        <v>0</v>
      </c>
      <c r="BS75" s="1" t="s">
        <v>334</v>
      </c>
      <c r="BT75" s="1" t="s">
        <v>124</v>
      </c>
      <c r="BV75" s="1" t="s">
        <v>112</v>
      </c>
      <c r="BW75" s="1" t="s">
        <v>1648</v>
      </c>
      <c r="BX75" s="1" t="s">
        <v>1649</v>
      </c>
      <c r="BY75" s="1" t="s">
        <v>127</v>
      </c>
      <c r="BZ75" s="1">
        <v>1</v>
      </c>
      <c r="CA75" s="1">
        <v>1</v>
      </c>
      <c r="CB75" s="4">
        <v>42341.961029016202</v>
      </c>
      <c r="CC75" s="1">
        <v>1</v>
      </c>
      <c r="CD75" s="1">
        <v>1</v>
      </c>
      <c r="CE75" s="1">
        <v>1</v>
      </c>
      <c r="CF75" s="1">
        <v>4</v>
      </c>
      <c r="CG75" s="4">
        <v>43036.32289447917</v>
      </c>
      <c r="CH75" s="1" t="s">
        <v>112</v>
      </c>
      <c r="CI75" s="1" t="s">
        <v>1645</v>
      </c>
      <c r="CJ75" s="1" t="s">
        <v>157</v>
      </c>
    </row>
    <row r="76" spans="1:88" x14ac:dyDescent="0.35">
      <c r="A76" s="1">
        <v>375</v>
      </c>
      <c r="B76" s="1" t="s">
        <v>1650</v>
      </c>
      <c r="C76" s="1" t="s">
        <v>1651</v>
      </c>
      <c r="D76" s="1" t="s">
        <v>90</v>
      </c>
      <c r="E76" s="1" t="s">
        <v>1652</v>
      </c>
      <c r="F76" s="1" t="s">
        <v>1473</v>
      </c>
      <c r="G76" s="1">
        <v>1</v>
      </c>
      <c r="H76" s="3">
        <v>33859</v>
      </c>
      <c r="I76" s="1">
        <v>1</v>
      </c>
      <c r="J76" s="1" t="s">
        <v>93</v>
      </c>
      <c r="K76" s="1" t="s">
        <v>447</v>
      </c>
      <c r="L76" s="2">
        <f>91-9420056871</f>
        <v>-9420056780</v>
      </c>
      <c r="M76" s="1" t="s">
        <v>150</v>
      </c>
      <c r="N76" s="1">
        <v>0</v>
      </c>
      <c r="O76" s="1">
        <v>0</v>
      </c>
      <c r="P76" s="1">
        <v>5.1100000000000003</v>
      </c>
      <c r="Q76" s="1">
        <v>54</v>
      </c>
      <c r="R76" s="1" t="s">
        <v>1475</v>
      </c>
      <c r="S76" s="1" t="s">
        <v>136</v>
      </c>
      <c r="T76" s="1" t="s">
        <v>427</v>
      </c>
      <c r="U76" s="1" t="s">
        <v>1653</v>
      </c>
      <c r="V76" s="1" t="s">
        <v>514</v>
      </c>
      <c r="X76" s="1" t="s">
        <v>100</v>
      </c>
      <c r="Y76" s="1" t="s">
        <v>210</v>
      </c>
      <c r="Z76" s="1" t="s">
        <v>1387</v>
      </c>
      <c r="AB76" s="1">
        <v>0</v>
      </c>
      <c r="AD76" s="1" t="s">
        <v>1654</v>
      </c>
      <c r="AE76" s="1">
        <f>91-2141226593</f>
        <v>-2141226502</v>
      </c>
      <c r="AF76" s="1" t="s">
        <v>105</v>
      </c>
      <c r="AG76" s="1" t="s">
        <v>1655</v>
      </c>
      <c r="AH76" s="1" t="s">
        <v>1656</v>
      </c>
      <c r="AI76" s="1" t="s">
        <v>1657</v>
      </c>
      <c r="AJ76" s="1" t="s">
        <v>109</v>
      </c>
      <c r="AK76" s="1" t="s">
        <v>1658</v>
      </c>
      <c r="AL76" s="1">
        <v>27</v>
      </c>
      <c r="AM76" s="1" t="s">
        <v>111</v>
      </c>
      <c r="AN76" s="1" t="s">
        <v>1659</v>
      </c>
      <c r="AO76" s="1" t="s">
        <v>1660</v>
      </c>
      <c r="AP76" s="1">
        <f>91-9822548512</f>
        <v>-9822548421</v>
      </c>
      <c r="AR76" s="1">
        <v>0</v>
      </c>
      <c r="AS76" s="1">
        <v>0</v>
      </c>
      <c r="AT76" s="1" t="s">
        <v>1661</v>
      </c>
      <c r="AU76" s="1" t="s">
        <v>1662</v>
      </c>
      <c r="AV76" s="1" t="s">
        <v>1663</v>
      </c>
      <c r="AW76" s="1">
        <f>91-9325336596</f>
        <v>-9325336505</v>
      </c>
      <c r="AX76" s="1" t="s">
        <v>414</v>
      </c>
      <c r="AY76" s="1" t="s">
        <v>150</v>
      </c>
      <c r="AZ76" s="1">
        <v>5.04</v>
      </c>
      <c r="BA76" s="1">
        <v>5.0999999999999996</v>
      </c>
      <c r="BE76" s="1" t="s">
        <v>1664</v>
      </c>
      <c r="BG76" s="1" t="s">
        <v>1665</v>
      </c>
      <c r="BH76" s="1" t="s">
        <v>120</v>
      </c>
      <c r="BJ76" s="1" t="s">
        <v>71</v>
      </c>
      <c r="BK76" s="1" t="s">
        <v>120</v>
      </c>
      <c r="BL76" s="1">
        <v>0</v>
      </c>
      <c r="BM76" s="1">
        <v>1</v>
      </c>
      <c r="BN76" s="1" t="s">
        <v>1666</v>
      </c>
      <c r="BO76" s="1">
        <v>1</v>
      </c>
      <c r="BP76" s="1" t="s">
        <v>1667</v>
      </c>
      <c r="BQ76" s="1" t="s">
        <v>112</v>
      </c>
      <c r="BR76" s="1">
        <v>1</v>
      </c>
      <c r="BS76" s="1" t="s">
        <v>1668</v>
      </c>
      <c r="BT76" s="1" t="s">
        <v>1123</v>
      </c>
      <c r="BU76" s="1" t="s">
        <v>1669</v>
      </c>
      <c r="BV76" s="1" t="s">
        <v>112</v>
      </c>
      <c r="BW76" s="1" t="s">
        <v>1670</v>
      </c>
      <c r="BX76" s="1" t="s">
        <v>1671</v>
      </c>
      <c r="BY76" s="1" t="s">
        <v>127</v>
      </c>
      <c r="BZ76" s="1">
        <v>1</v>
      </c>
      <c r="CA76" s="1">
        <v>0</v>
      </c>
      <c r="CB76" s="4">
        <v>42347.380285150466</v>
      </c>
      <c r="CC76" s="1">
        <v>1</v>
      </c>
      <c r="CD76" s="1">
        <v>1</v>
      </c>
      <c r="CE76" s="1">
        <v>1</v>
      </c>
      <c r="CF76" s="1">
        <v>4</v>
      </c>
      <c r="CG76" s="4">
        <v>43086.711504513885</v>
      </c>
      <c r="CH76" s="1" t="s">
        <v>112</v>
      </c>
      <c r="CI76" s="1" t="s">
        <v>1672</v>
      </c>
      <c r="CJ76" s="1" t="s">
        <v>129</v>
      </c>
    </row>
    <row r="77" spans="1:88" x14ac:dyDescent="0.35">
      <c r="A77" s="1">
        <v>377</v>
      </c>
      <c r="B77" s="1" t="s">
        <v>1673</v>
      </c>
      <c r="C77" s="1" t="s">
        <v>1674</v>
      </c>
      <c r="D77" s="1" t="s">
        <v>312</v>
      </c>
      <c r="E77" s="1" t="s">
        <v>1675</v>
      </c>
      <c r="F77" s="1" t="s">
        <v>603</v>
      </c>
      <c r="G77" s="1">
        <v>1</v>
      </c>
      <c r="H77" s="3">
        <v>31471</v>
      </c>
      <c r="I77" s="1">
        <v>1</v>
      </c>
      <c r="J77" s="1" t="s">
        <v>93</v>
      </c>
      <c r="K77" s="1" t="s">
        <v>490</v>
      </c>
      <c r="L77" s="2">
        <f>91-9823232989</f>
        <v>-9823232898</v>
      </c>
      <c r="M77" s="1" t="s">
        <v>95</v>
      </c>
      <c r="N77" s="1">
        <v>0</v>
      </c>
      <c r="O77" s="1">
        <v>0</v>
      </c>
      <c r="P77" s="1">
        <v>6</v>
      </c>
      <c r="Q77" s="1">
        <v>12</v>
      </c>
      <c r="R77" s="1" t="s">
        <v>470</v>
      </c>
      <c r="S77" s="1" t="s">
        <v>97</v>
      </c>
      <c r="T77" s="1" t="s">
        <v>137</v>
      </c>
      <c r="U77" s="1" t="s">
        <v>1676</v>
      </c>
      <c r="V77" s="1" t="s">
        <v>1677</v>
      </c>
      <c r="X77" s="1" t="s">
        <v>100</v>
      </c>
      <c r="Y77" s="1" t="s">
        <v>111</v>
      </c>
      <c r="Z77" s="1" t="s">
        <v>192</v>
      </c>
      <c r="AA77" s="1" t="s">
        <v>1678</v>
      </c>
      <c r="AB77" s="1">
        <v>0</v>
      </c>
      <c r="AD77" s="1" t="s">
        <v>1679</v>
      </c>
      <c r="AE77" s="1">
        <f>91-9822510834</f>
        <v>-9822510743</v>
      </c>
      <c r="AF77" s="1" t="s">
        <v>105</v>
      </c>
      <c r="AG77" s="1" t="s">
        <v>1680</v>
      </c>
      <c r="AH77" s="1" t="s">
        <v>1681</v>
      </c>
      <c r="AI77" s="1" t="s">
        <v>1682</v>
      </c>
      <c r="AJ77" s="1" t="s">
        <v>109</v>
      </c>
      <c r="AK77" s="1" t="s">
        <v>887</v>
      </c>
      <c r="AL77" s="1">
        <v>30</v>
      </c>
      <c r="AM77" s="1" t="s">
        <v>111</v>
      </c>
      <c r="AN77" s="1" t="s">
        <v>887</v>
      </c>
      <c r="AO77" s="1" t="s">
        <v>1683</v>
      </c>
      <c r="AP77" s="1">
        <f>91-9822510834</f>
        <v>-9822510743</v>
      </c>
      <c r="AR77" s="1">
        <v>1</v>
      </c>
      <c r="AS77" s="1">
        <v>0</v>
      </c>
      <c r="AW77" s="1" t="s">
        <v>142</v>
      </c>
      <c r="AX77" s="1" t="s">
        <v>1684</v>
      </c>
      <c r="AY77" s="1" t="s">
        <v>119</v>
      </c>
      <c r="AZ77" s="1">
        <v>5</v>
      </c>
      <c r="BA77" s="1">
        <v>6</v>
      </c>
      <c r="BB77" s="1" t="s">
        <v>151</v>
      </c>
      <c r="BC77" s="1" t="s">
        <v>152</v>
      </c>
      <c r="BD77" s="1" t="s">
        <v>1395</v>
      </c>
      <c r="BE77" s="1" t="s">
        <v>120</v>
      </c>
      <c r="BF77" s="1" t="s">
        <v>120</v>
      </c>
      <c r="BG77" s="1" t="s">
        <v>120</v>
      </c>
      <c r="BH77" s="1" t="s">
        <v>120</v>
      </c>
      <c r="BI77" s="1" t="s">
        <v>192</v>
      </c>
      <c r="BJ77" s="1" t="s">
        <v>154</v>
      </c>
      <c r="BK77" s="1" t="s">
        <v>120</v>
      </c>
      <c r="BL77" s="1">
        <v>0</v>
      </c>
      <c r="BM77" s="1">
        <v>0</v>
      </c>
      <c r="BN77" s="1" t="s">
        <v>887</v>
      </c>
      <c r="BO77" s="1">
        <v>1</v>
      </c>
      <c r="BP77" s="1" t="s">
        <v>1685</v>
      </c>
      <c r="BQ77" s="1" t="s">
        <v>180</v>
      </c>
      <c r="BR77" s="1">
        <v>0</v>
      </c>
      <c r="BS77" s="1" t="s">
        <v>223</v>
      </c>
      <c r="BT77" s="1" t="s">
        <v>124</v>
      </c>
      <c r="BV77" s="1" t="s">
        <v>112</v>
      </c>
      <c r="BW77" s="1" t="s">
        <v>1686</v>
      </c>
      <c r="BX77" s="1" t="s">
        <v>1687</v>
      </c>
      <c r="BY77" s="1" t="s">
        <v>120</v>
      </c>
      <c r="BZ77" s="1">
        <v>0</v>
      </c>
      <c r="CA77" s="1">
        <v>0</v>
      </c>
      <c r="CB77" s="4">
        <v>42350.050070520832</v>
      </c>
      <c r="CC77" s="1">
        <v>1</v>
      </c>
      <c r="CD77" s="1">
        <v>1</v>
      </c>
      <c r="CE77" s="1">
        <v>1</v>
      </c>
      <c r="CF77" s="1">
        <v>4</v>
      </c>
      <c r="CG77" s="4">
        <v>42823.335433761575</v>
      </c>
      <c r="CH77" s="1" t="s">
        <v>112</v>
      </c>
      <c r="CI77" s="1" t="s">
        <v>1688</v>
      </c>
      <c r="CJ77" s="1" t="s">
        <v>157</v>
      </c>
    </row>
    <row r="78" spans="1:88" x14ac:dyDescent="0.35">
      <c r="A78" s="1">
        <v>382</v>
      </c>
      <c r="B78" s="1" t="s">
        <v>1689</v>
      </c>
      <c r="C78" s="1">
        <v>123456789</v>
      </c>
      <c r="D78" s="1" t="s">
        <v>90</v>
      </c>
      <c r="E78" s="1" t="s">
        <v>1599</v>
      </c>
      <c r="F78" s="1" t="s">
        <v>1690</v>
      </c>
      <c r="G78" s="1">
        <v>1</v>
      </c>
      <c r="H78" s="3">
        <v>32750</v>
      </c>
      <c r="I78" s="1">
        <v>1</v>
      </c>
      <c r="J78" s="1" t="s">
        <v>162</v>
      </c>
      <c r="K78" s="1" t="s">
        <v>847</v>
      </c>
      <c r="L78" s="2">
        <f>98-9726762107</f>
        <v>-9726762009</v>
      </c>
      <c r="M78" s="1" t="s">
        <v>150</v>
      </c>
      <c r="N78" s="1">
        <v>0</v>
      </c>
      <c r="O78" s="1">
        <v>0</v>
      </c>
      <c r="P78" s="1">
        <v>5.09</v>
      </c>
      <c r="Q78" s="1">
        <v>8</v>
      </c>
      <c r="R78" s="1" t="s">
        <v>605</v>
      </c>
      <c r="S78" s="1" t="s">
        <v>293</v>
      </c>
      <c r="T78" s="1" t="s">
        <v>137</v>
      </c>
      <c r="U78" s="1" t="s">
        <v>493</v>
      </c>
      <c r="V78" s="1" t="s">
        <v>1691</v>
      </c>
      <c r="X78" s="1" t="s">
        <v>170</v>
      </c>
      <c r="Y78" s="1" t="s">
        <v>210</v>
      </c>
      <c r="Z78" s="1" t="s">
        <v>1692</v>
      </c>
      <c r="AA78" s="1" t="s">
        <v>1693</v>
      </c>
      <c r="AB78" s="1">
        <v>0</v>
      </c>
      <c r="AD78" s="1" t="s">
        <v>1694</v>
      </c>
      <c r="AE78" s="1">
        <f>91-9726762107</f>
        <v>-9726762016</v>
      </c>
      <c r="AF78" s="1" t="s">
        <v>143</v>
      </c>
      <c r="AG78" s="1" t="s">
        <v>1695</v>
      </c>
      <c r="AH78" s="1" t="s">
        <v>1696</v>
      </c>
      <c r="AI78" s="1" t="s">
        <v>1697</v>
      </c>
      <c r="AJ78" s="1" t="s">
        <v>109</v>
      </c>
      <c r="AK78" s="1" t="s">
        <v>1698</v>
      </c>
      <c r="AL78" s="1">
        <v>15</v>
      </c>
      <c r="AM78" s="1" t="s">
        <v>1699</v>
      </c>
      <c r="AN78" s="1" t="s">
        <v>437</v>
      </c>
      <c r="AO78" s="1" t="s">
        <v>1700</v>
      </c>
      <c r="AP78" s="1">
        <f>91-9726762107</f>
        <v>-9726762016</v>
      </c>
      <c r="AQ78" s="1" t="s">
        <v>1370</v>
      </c>
      <c r="AR78" s="1">
        <v>2</v>
      </c>
      <c r="AS78" s="1">
        <v>1</v>
      </c>
      <c r="AT78" s="1" t="s">
        <v>1701</v>
      </c>
      <c r="AU78" s="1" t="s">
        <v>1702</v>
      </c>
      <c r="AV78" s="1" t="s">
        <v>1703</v>
      </c>
      <c r="AW78" s="1">
        <f>91-9909726743</f>
        <v>-9909726652</v>
      </c>
      <c r="AX78" s="1" t="s">
        <v>1704</v>
      </c>
      <c r="AY78" s="1" t="s">
        <v>150</v>
      </c>
      <c r="AZ78" s="1">
        <v>4.0599999999999996</v>
      </c>
      <c r="BA78" s="1">
        <v>5.0999999999999996</v>
      </c>
      <c r="BB78" s="1" t="s">
        <v>151</v>
      </c>
      <c r="BC78" s="1" t="s">
        <v>152</v>
      </c>
      <c r="BD78" s="1" t="s">
        <v>1395</v>
      </c>
      <c r="BE78" s="1" t="s">
        <v>120</v>
      </c>
      <c r="BF78" s="1" t="s">
        <v>120</v>
      </c>
      <c r="BG78" s="1" t="s">
        <v>120</v>
      </c>
      <c r="BH78" s="1" t="s">
        <v>120</v>
      </c>
      <c r="BI78" s="1" t="s">
        <v>132</v>
      </c>
      <c r="BJ78" s="1" t="s">
        <v>120</v>
      </c>
      <c r="BK78" s="1" t="s">
        <v>120</v>
      </c>
      <c r="BL78" s="1">
        <v>0</v>
      </c>
      <c r="BM78" s="1">
        <v>0</v>
      </c>
      <c r="BN78" s="1" t="s">
        <v>1705</v>
      </c>
      <c r="BO78" s="1">
        <v>1</v>
      </c>
      <c r="BP78" s="1" t="s">
        <v>1706</v>
      </c>
      <c r="BQ78" s="1" t="s">
        <v>1707</v>
      </c>
      <c r="BR78" s="1">
        <v>0</v>
      </c>
      <c r="BS78" s="1" t="s">
        <v>354</v>
      </c>
      <c r="BT78" s="1" t="s">
        <v>124</v>
      </c>
      <c r="BV78" s="1" t="s">
        <v>112</v>
      </c>
      <c r="BW78" s="1" t="s">
        <v>1708</v>
      </c>
      <c r="BX78" s="1" t="s">
        <v>1709</v>
      </c>
      <c r="BY78" s="1" t="s">
        <v>127</v>
      </c>
      <c r="BZ78" s="1">
        <v>3</v>
      </c>
      <c r="CA78" s="1">
        <v>3</v>
      </c>
      <c r="CB78" s="4">
        <v>42355.965560798613</v>
      </c>
      <c r="CC78" s="1">
        <v>1</v>
      </c>
      <c r="CD78" s="1">
        <v>1</v>
      </c>
      <c r="CE78" s="1">
        <v>1</v>
      </c>
      <c r="CF78" s="1">
        <v>4</v>
      </c>
      <c r="CG78" s="1" t="s">
        <v>112</v>
      </c>
      <c r="CH78" s="1" t="s">
        <v>112</v>
      </c>
      <c r="CI78" s="1" t="s">
        <v>1706</v>
      </c>
      <c r="CJ78" s="1" t="s">
        <v>157</v>
      </c>
    </row>
    <row r="79" spans="1:88" x14ac:dyDescent="0.35">
      <c r="A79" s="1">
        <v>385</v>
      </c>
      <c r="B79" s="1" t="s">
        <v>1710</v>
      </c>
      <c r="C79" s="1" t="s">
        <v>1711</v>
      </c>
      <c r="D79" s="1" t="s">
        <v>259</v>
      </c>
      <c r="E79" s="1" t="s">
        <v>1712</v>
      </c>
      <c r="F79" s="1" t="s">
        <v>1713</v>
      </c>
      <c r="G79" s="1">
        <v>0</v>
      </c>
      <c r="H79" s="3">
        <v>33952</v>
      </c>
      <c r="I79" s="1">
        <v>1</v>
      </c>
      <c r="J79" s="1" t="s">
        <v>162</v>
      </c>
      <c r="L79" s="2">
        <f>91-9825270340</f>
        <v>-9825270249</v>
      </c>
      <c r="M79" s="1" t="s">
        <v>150</v>
      </c>
      <c r="N79" s="1">
        <v>0</v>
      </c>
      <c r="O79" s="1">
        <v>0</v>
      </c>
      <c r="P79" s="1">
        <v>5.04</v>
      </c>
      <c r="Q79" s="1">
        <v>33</v>
      </c>
      <c r="R79" s="1" t="s">
        <v>1714</v>
      </c>
      <c r="S79" s="1" t="s">
        <v>97</v>
      </c>
      <c r="T79" s="1" t="s">
        <v>427</v>
      </c>
      <c r="U79" s="1" t="s">
        <v>1715</v>
      </c>
      <c r="V79" s="1" t="s">
        <v>1716</v>
      </c>
      <c r="X79" s="1" t="s">
        <v>170</v>
      </c>
      <c r="Y79" s="1" t="s">
        <v>210</v>
      </c>
      <c r="Z79" s="1" t="s">
        <v>979</v>
      </c>
      <c r="AB79" s="1">
        <v>0</v>
      </c>
      <c r="AE79" s="1" t="s">
        <v>142</v>
      </c>
      <c r="AF79" s="1" t="s">
        <v>129</v>
      </c>
      <c r="AG79" s="1" t="s">
        <v>1717</v>
      </c>
      <c r="AH79" s="1" t="s">
        <v>1718</v>
      </c>
      <c r="AI79" s="1" t="s">
        <v>1719</v>
      </c>
      <c r="AJ79" s="1" t="s">
        <v>109</v>
      </c>
      <c r="AK79" s="1" t="s">
        <v>1720</v>
      </c>
      <c r="AL79" s="1">
        <v>23</v>
      </c>
      <c r="AM79" s="1" t="s">
        <v>111</v>
      </c>
      <c r="AP79" s="1">
        <f>91-9825270340</f>
        <v>-9825270249</v>
      </c>
      <c r="AR79" s="1">
        <v>0</v>
      </c>
      <c r="AS79" s="1">
        <v>0</v>
      </c>
      <c r="AW79" s="1" t="s">
        <v>142</v>
      </c>
      <c r="AX79" s="1" t="s">
        <v>1596</v>
      </c>
      <c r="AY79" s="1" t="s">
        <v>150</v>
      </c>
      <c r="AZ79" s="1">
        <v>5.05</v>
      </c>
      <c r="BA79" s="1">
        <v>6</v>
      </c>
      <c r="BB79" s="1" t="s">
        <v>151</v>
      </c>
      <c r="BC79" s="1" t="s">
        <v>152</v>
      </c>
      <c r="BD79" s="1" t="s">
        <v>1395</v>
      </c>
      <c r="BF79" s="1" t="s">
        <v>120</v>
      </c>
      <c r="BI79" s="1" t="s">
        <v>132</v>
      </c>
      <c r="BJ79" s="1" t="s">
        <v>120</v>
      </c>
      <c r="BK79" s="1" t="s">
        <v>120</v>
      </c>
      <c r="BL79" s="1">
        <v>0</v>
      </c>
      <c r="BM79" s="1">
        <v>0</v>
      </c>
      <c r="BO79" s="1">
        <v>0</v>
      </c>
      <c r="BQ79" s="1" t="s">
        <v>112</v>
      </c>
      <c r="BR79" s="1">
        <v>0</v>
      </c>
      <c r="BS79" s="1" t="s">
        <v>129</v>
      </c>
      <c r="BT79" s="1" t="s">
        <v>124</v>
      </c>
      <c r="BU79" s="1" t="s">
        <v>112</v>
      </c>
      <c r="BV79" s="1" t="s">
        <v>112</v>
      </c>
      <c r="BW79" s="1" t="s">
        <v>1721</v>
      </c>
      <c r="BX79" s="1" t="s">
        <v>1722</v>
      </c>
      <c r="BY79" s="1" t="s">
        <v>120</v>
      </c>
      <c r="BZ79" s="1">
        <v>0</v>
      </c>
      <c r="CA79" s="1">
        <v>0</v>
      </c>
      <c r="CB79" s="4">
        <v>42365.391865543985</v>
      </c>
      <c r="CC79" s="1">
        <v>1</v>
      </c>
      <c r="CD79" s="1">
        <v>1</v>
      </c>
      <c r="CE79" s="1">
        <v>1</v>
      </c>
      <c r="CF79" s="1">
        <v>1</v>
      </c>
      <c r="CG79" s="4">
        <v>43418.658558067131</v>
      </c>
      <c r="CH79" s="1" t="s">
        <v>112</v>
      </c>
      <c r="CI79" s="1" t="s">
        <v>1723</v>
      </c>
      <c r="CJ79" s="1" t="s">
        <v>157</v>
      </c>
    </row>
    <row r="80" spans="1:88" x14ac:dyDescent="0.35">
      <c r="A80" s="1">
        <v>389</v>
      </c>
      <c r="B80" s="1" t="s">
        <v>1724</v>
      </c>
      <c r="C80" s="1" t="s">
        <v>1725</v>
      </c>
      <c r="D80" s="1" t="s">
        <v>90</v>
      </c>
      <c r="E80" s="1" t="s">
        <v>1726</v>
      </c>
      <c r="F80" s="1" t="s">
        <v>1727</v>
      </c>
      <c r="G80" s="1">
        <v>1</v>
      </c>
      <c r="H80" s="3">
        <v>33107</v>
      </c>
      <c r="I80" s="1">
        <v>1</v>
      </c>
      <c r="J80" s="1" t="s">
        <v>93</v>
      </c>
      <c r="K80" s="1" t="s">
        <v>490</v>
      </c>
      <c r="L80" s="2">
        <f>91-9764343620</f>
        <v>-9764343529</v>
      </c>
      <c r="M80" s="1" t="s">
        <v>150</v>
      </c>
      <c r="N80" s="1">
        <v>0</v>
      </c>
      <c r="O80" s="1">
        <v>0</v>
      </c>
      <c r="P80" s="1">
        <v>5.0599999999999996</v>
      </c>
      <c r="Q80" s="1">
        <v>21</v>
      </c>
      <c r="R80" s="1" t="s">
        <v>1728</v>
      </c>
      <c r="S80" s="1" t="s">
        <v>165</v>
      </c>
      <c r="T80" s="1" t="s">
        <v>166</v>
      </c>
      <c r="U80" s="1" t="s">
        <v>1729</v>
      </c>
      <c r="V80" s="1" t="s">
        <v>1730</v>
      </c>
      <c r="X80" s="1" t="s">
        <v>100</v>
      </c>
      <c r="Y80" s="1" t="s">
        <v>210</v>
      </c>
      <c r="Z80" s="1" t="s">
        <v>171</v>
      </c>
      <c r="AA80" s="1" t="s">
        <v>1677</v>
      </c>
      <c r="AB80" s="1">
        <v>0</v>
      </c>
      <c r="AD80" s="1" t="s">
        <v>1731</v>
      </c>
      <c r="AE80" s="1">
        <f>91-8928979900</f>
        <v>-8928979809</v>
      </c>
      <c r="AF80" s="1" t="s">
        <v>112</v>
      </c>
      <c r="AG80" s="1" t="s">
        <v>112</v>
      </c>
      <c r="AH80" s="1" t="s">
        <v>112</v>
      </c>
      <c r="AI80" s="1" t="s">
        <v>112</v>
      </c>
      <c r="AJ80" s="1" t="s">
        <v>112</v>
      </c>
      <c r="AK80" s="1" t="s">
        <v>112</v>
      </c>
      <c r="AL80" s="1" t="s">
        <v>112</v>
      </c>
      <c r="AM80" s="1" t="s">
        <v>112</v>
      </c>
      <c r="AN80" s="1" t="s">
        <v>112</v>
      </c>
      <c r="AO80" s="1" t="s">
        <v>112</v>
      </c>
      <c r="AP80" s="1" t="s">
        <v>112</v>
      </c>
      <c r="AQ80" s="1" t="s">
        <v>112</v>
      </c>
      <c r="AR80" s="1" t="s">
        <v>112</v>
      </c>
      <c r="AS80" s="1" t="s">
        <v>112</v>
      </c>
      <c r="AT80" s="1" t="s">
        <v>112</v>
      </c>
      <c r="AU80" s="1" t="s">
        <v>112</v>
      </c>
      <c r="AV80" s="1" t="s">
        <v>112</v>
      </c>
      <c r="AW80" s="1" t="s">
        <v>112</v>
      </c>
      <c r="AX80" s="1" t="s">
        <v>742</v>
      </c>
      <c r="AY80" s="1" t="s">
        <v>150</v>
      </c>
      <c r="AZ80" s="1">
        <v>4.07</v>
      </c>
      <c r="BA80" s="1">
        <v>5.07</v>
      </c>
      <c r="BE80" s="1" t="s">
        <v>120</v>
      </c>
      <c r="BG80" s="1" t="s">
        <v>120</v>
      </c>
      <c r="BH80" s="1" t="s">
        <v>120</v>
      </c>
      <c r="BJ80" s="1" t="s">
        <v>154</v>
      </c>
      <c r="BK80" s="1" t="s">
        <v>120</v>
      </c>
      <c r="BL80" s="1">
        <v>0</v>
      </c>
      <c r="BM80" s="1">
        <v>0</v>
      </c>
      <c r="BN80" s="1" t="s">
        <v>1732</v>
      </c>
      <c r="BO80" s="1">
        <v>1</v>
      </c>
      <c r="BP80" s="1" t="s">
        <v>1733</v>
      </c>
      <c r="BQ80" s="1" t="s">
        <v>112</v>
      </c>
      <c r="BR80" s="1">
        <v>0</v>
      </c>
      <c r="BS80" s="1" t="s">
        <v>354</v>
      </c>
      <c r="BT80" s="1" t="s">
        <v>124</v>
      </c>
      <c r="BU80" s="1" t="s">
        <v>112</v>
      </c>
      <c r="BV80" s="1" t="s">
        <v>112</v>
      </c>
      <c r="BW80" s="1" t="s">
        <v>1734</v>
      </c>
      <c r="BX80" s="1" t="s">
        <v>1735</v>
      </c>
      <c r="BY80" s="1" t="s">
        <v>112</v>
      </c>
      <c r="BZ80" s="1" t="s">
        <v>112</v>
      </c>
      <c r="CA80" s="1" t="s">
        <v>112</v>
      </c>
      <c r="CB80" s="4">
        <v>42373.144305983798</v>
      </c>
      <c r="CC80" s="1">
        <v>1</v>
      </c>
      <c r="CD80" s="1">
        <v>1</v>
      </c>
      <c r="CE80" s="1">
        <v>1</v>
      </c>
      <c r="CF80" s="1">
        <v>1</v>
      </c>
      <c r="CG80" s="4">
        <v>43273.482507372682</v>
      </c>
      <c r="CH80" s="1" t="s">
        <v>112</v>
      </c>
      <c r="CI80" s="1" t="s">
        <v>112</v>
      </c>
      <c r="CJ80" s="1" t="s">
        <v>129</v>
      </c>
    </row>
    <row r="81" spans="1:88" x14ac:dyDescent="0.35">
      <c r="A81" s="1">
        <v>397</v>
      </c>
      <c r="B81" s="1" t="s">
        <v>1736</v>
      </c>
      <c r="C81" s="1" t="s">
        <v>1737</v>
      </c>
      <c r="D81" s="1" t="s">
        <v>90</v>
      </c>
      <c r="E81" s="1" t="s">
        <v>1738</v>
      </c>
      <c r="F81" s="1" t="s">
        <v>1739</v>
      </c>
      <c r="G81" s="1">
        <v>1</v>
      </c>
      <c r="H81" s="3">
        <v>34305</v>
      </c>
      <c r="I81" s="1">
        <v>1</v>
      </c>
      <c r="J81" s="1" t="s">
        <v>162</v>
      </c>
      <c r="K81" s="1" t="s">
        <v>1406</v>
      </c>
      <c r="L81" s="2">
        <f>91-9998585059</f>
        <v>-9998584968</v>
      </c>
      <c r="M81" s="1" t="s">
        <v>150</v>
      </c>
      <c r="N81" s="1">
        <v>0</v>
      </c>
      <c r="O81" s="1">
        <v>0</v>
      </c>
      <c r="P81" s="1">
        <v>5.03</v>
      </c>
      <c r="Q81" s="1">
        <v>43</v>
      </c>
      <c r="R81" s="1" t="s">
        <v>188</v>
      </c>
      <c r="S81" s="1" t="s">
        <v>492</v>
      </c>
      <c r="T81" s="1" t="s">
        <v>137</v>
      </c>
      <c r="U81" s="1" t="s">
        <v>1740</v>
      </c>
      <c r="V81" s="1" t="s">
        <v>1741</v>
      </c>
      <c r="X81" s="1" t="s">
        <v>100</v>
      </c>
      <c r="Y81" s="1" t="s">
        <v>111</v>
      </c>
      <c r="Z81" s="1" t="s">
        <v>192</v>
      </c>
      <c r="AB81" s="1">
        <v>0</v>
      </c>
      <c r="AD81" s="1" t="s">
        <v>1742</v>
      </c>
      <c r="AE81" s="1">
        <f>91-9998585059</f>
        <v>-9998584968</v>
      </c>
      <c r="AF81" s="1" t="s">
        <v>105</v>
      </c>
      <c r="AG81" s="1" t="s">
        <v>1743</v>
      </c>
      <c r="AH81" s="1" t="s">
        <v>1744</v>
      </c>
      <c r="AI81" s="1" t="s">
        <v>1745</v>
      </c>
      <c r="AJ81" s="1" t="s">
        <v>109</v>
      </c>
      <c r="AK81" s="1" t="s">
        <v>1746</v>
      </c>
      <c r="AL81" s="1">
        <v>5</v>
      </c>
      <c r="AM81" s="1" t="s">
        <v>243</v>
      </c>
      <c r="AP81" s="1">
        <f>91-9998585059</f>
        <v>-9998584968</v>
      </c>
      <c r="AR81" s="1">
        <v>2</v>
      </c>
      <c r="AS81" s="1">
        <v>1</v>
      </c>
      <c r="AT81" s="1" t="s">
        <v>1747</v>
      </c>
      <c r="AU81" s="1" t="s">
        <v>1748</v>
      </c>
      <c r="AV81" s="1" t="s">
        <v>1749</v>
      </c>
      <c r="AW81" s="1">
        <f>91-9423865752</f>
        <v>-9423865661</v>
      </c>
      <c r="AX81" s="1" t="s">
        <v>329</v>
      </c>
      <c r="AY81" s="1" t="s">
        <v>150</v>
      </c>
      <c r="AZ81" s="1">
        <v>4.0999999999999996</v>
      </c>
      <c r="BA81" s="1">
        <v>5.07</v>
      </c>
      <c r="BB81" s="1" t="s">
        <v>151</v>
      </c>
      <c r="BC81" s="1" t="s">
        <v>152</v>
      </c>
      <c r="BD81" s="1" t="s">
        <v>1395</v>
      </c>
      <c r="BE81" s="1" t="s">
        <v>120</v>
      </c>
      <c r="BF81" s="1" t="s">
        <v>120</v>
      </c>
      <c r="BG81" s="1" t="s">
        <v>120</v>
      </c>
      <c r="BH81" s="1" t="s">
        <v>120</v>
      </c>
      <c r="BI81" s="1" t="s">
        <v>192</v>
      </c>
      <c r="BJ81" s="1" t="s">
        <v>154</v>
      </c>
      <c r="BK81" s="1" t="s">
        <v>105</v>
      </c>
      <c r="BL81" s="1">
        <v>0</v>
      </c>
      <c r="BM81" s="1">
        <v>0</v>
      </c>
      <c r="BN81" s="1" t="s">
        <v>1750</v>
      </c>
      <c r="BO81" s="1">
        <v>1</v>
      </c>
      <c r="BP81" s="1" t="s">
        <v>1751</v>
      </c>
      <c r="BQ81" s="1" t="s">
        <v>180</v>
      </c>
      <c r="BR81" s="1">
        <v>0</v>
      </c>
      <c r="BS81" s="1" t="s">
        <v>223</v>
      </c>
      <c r="BT81" s="1" t="s">
        <v>124</v>
      </c>
      <c r="BV81" s="1" t="s">
        <v>112</v>
      </c>
      <c r="BW81" s="1" t="s">
        <v>1752</v>
      </c>
      <c r="BX81" s="1" t="s">
        <v>1753</v>
      </c>
      <c r="BY81" s="1" t="s">
        <v>127</v>
      </c>
      <c r="BZ81" s="1">
        <v>0</v>
      </c>
      <c r="CA81" s="1">
        <v>0</v>
      </c>
      <c r="CB81" s="4">
        <v>42384.991821678239</v>
      </c>
      <c r="CC81" s="1">
        <v>1</v>
      </c>
      <c r="CD81" s="1">
        <v>1</v>
      </c>
      <c r="CE81" s="1">
        <v>1</v>
      </c>
      <c r="CF81" s="1">
        <v>1</v>
      </c>
      <c r="CG81" s="4">
        <v>43181.67601466435</v>
      </c>
      <c r="CH81" s="1" t="s">
        <v>112</v>
      </c>
      <c r="CI81" s="1" t="s">
        <v>419</v>
      </c>
      <c r="CJ81" s="1" t="s">
        <v>157</v>
      </c>
    </row>
    <row r="82" spans="1:88" x14ac:dyDescent="0.35">
      <c r="A82" s="1">
        <v>407</v>
      </c>
      <c r="B82" s="1" t="s">
        <v>1754</v>
      </c>
      <c r="C82" s="1" t="s">
        <v>1755</v>
      </c>
      <c r="D82" s="1" t="s">
        <v>90</v>
      </c>
      <c r="E82" s="1" t="s">
        <v>1756</v>
      </c>
      <c r="F82" s="1" t="s">
        <v>1382</v>
      </c>
      <c r="G82" s="1">
        <v>1</v>
      </c>
      <c r="H82" s="3">
        <v>32259</v>
      </c>
      <c r="I82" s="1">
        <v>1</v>
      </c>
      <c r="J82" s="1" t="s">
        <v>162</v>
      </c>
      <c r="K82" s="1" t="s">
        <v>1406</v>
      </c>
      <c r="L82" s="2">
        <f>91-9033563145</f>
        <v>-9033563054</v>
      </c>
      <c r="M82" s="1" t="s">
        <v>150</v>
      </c>
      <c r="N82" s="1">
        <v>0</v>
      </c>
      <c r="O82" s="1">
        <v>0</v>
      </c>
      <c r="P82" s="1">
        <v>5.0599999999999996</v>
      </c>
      <c r="Q82" s="1">
        <v>45</v>
      </c>
      <c r="R82" s="1" t="s">
        <v>1383</v>
      </c>
      <c r="S82" s="1" t="s">
        <v>293</v>
      </c>
      <c r="T82" s="1" t="s">
        <v>137</v>
      </c>
      <c r="U82" s="1" t="s">
        <v>1757</v>
      </c>
      <c r="X82" s="1" t="s">
        <v>296</v>
      </c>
      <c r="Y82" s="1" t="s">
        <v>210</v>
      </c>
      <c r="Z82" s="1" t="s">
        <v>192</v>
      </c>
      <c r="AB82" s="1">
        <v>0</v>
      </c>
      <c r="AD82" s="1" t="s">
        <v>1758</v>
      </c>
      <c r="AE82" s="1">
        <f>91-9033563145</f>
        <v>-9033563054</v>
      </c>
      <c r="AF82" s="1" t="s">
        <v>105</v>
      </c>
      <c r="AG82" s="1" t="s">
        <v>1759</v>
      </c>
      <c r="AH82" s="1" t="s">
        <v>1760</v>
      </c>
      <c r="AI82" s="1" t="s">
        <v>1761</v>
      </c>
      <c r="AJ82" s="1" t="s">
        <v>109</v>
      </c>
      <c r="AK82" s="1" t="s">
        <v>1762</v>
      </c>
      <c r="AL82" s="1">
        <v>20</v>
      </c>
      <c r="AM82" s="1" t="s">
        <v>148</v>
      </c>
      <c r="AP82" s="1">
        <f>91-9429059144</f>
        <v>-9429059053</v>
      </c>
      <c r="AR82" s="1">
        <v>1</v>
      </c>
      <c r="AS82" s="1">
        <v>0</v>
      </c>
      <c r="AT82" s="1" t="s">
        <v>1763</v>
      </c>
      <c r="AU82" s="1" t="s">
        <v>1764</v>
      </c>
      <c r="AV82" s="1" t="s">
        <v>1765</v>
      </c>
      <c r="AW82" s="1">
        <f>91-9894730091</f>
        <v>-9894730000</v>
      </c>
      <c r="AX82" s="1" t="s">
        <v>543</v>
      </c>
      <c r="AY82" s="1" t="s">
        <v>150</v>
      </c>
      <c r="AZ82" s="1">
        <v>5.0199999999999996</v>
      </c>
      <c r="BA82" s="1">
        <v>5.0199999999999996</v>
      </c>
      <c r="BB82" s="1" t="s">
        <v>151</v>
      </c>
      <c r="BC82" s="1" t="s">
        <v>152</v>
      </c>
      <c r="BD82" s="1" t="s">
        <v>1395</v>
      </c>
      <c r="BE82" s="1" t="s">
        <v>120</v>
      </c>
      <c r="BF82" s="1" t="s">
        <v>120</v>
      </c>
      <c r="BG82" s="1" t="s">
        <v>120</v>
      </c>
      <c r="BH82" s="1" t="s">
        <v>120</v>
      </c>
      <c r="BI82" s="1" t="s">
        <v>192</v>
      </c>
      <c r="BJ82" s="1" t="s">
        <v>120</v>
      </c>
      <c r="BK82" s="1" t="s">
        <v>120</v>
      </c>
      <c r="BL82" s="1">
        <v>0</v>
      </c>
      <c r="BM82" s="1">
        <v>0</v>
      </c>
      <c r="BN82" s="1" t="s">
        <v>1766</v>
      </c>
      <c r="BO82" s="1">
        <v>1</v>
      </c>
      <c r="BP82" s="1" t="s">
        <v>1074</v>
      </c>
      <c r="BQ82" s="1" t="s">
        <v>180</v>
      </c>
      <c r="BR82" s="1">
        <v>0</v>
      </c>
      <c r="BS82" s="1" t="s">
        <v>354</v>
      </c>
      <c r="BT82" s="1" t="s">
        <v>306</v>
      </c>
      <c r="BV82" s="1" t="s">
        <v>112</v>
      </c>
      <c r="BW82" s="1" t="s">
        <v>1767</v>
      </c>
      <c r="BX82" s="1" t="s">
        <v>1768</v>
      </c>
      <c r="BY82" s="1" t="s">
        <v>127</v>
      </c>
      <c r="BZ82" s="1">
        <v>2</v>
      </c>
      <c r="CA82" s="1">
        <v>2</v>
      </c>
      <c r="CB82" s="4">
        <v>42404.964491284722</v>
      </c>
      <c r="CC82" s="1">
        <v>1</v>
      </c>
      <c r="CD82" s="1">
        <v>1</v>
      </c>
      <c r="CE82" s="1">
        <v>1</v>
      </c>
      <c r="CF82" s="1">
        <v>1</v>
      </c>
      <c r="CG82" s="4">
        <v>43929.379406828702</v>
      </c>
      <c r="CH82" s="1" t="s">
        <v>112</v>
      </c>
      <c r="CI82" s="1" t="s">
        <v>1058</v>
      </c>
      <c r="CJ82" s="1" t="s">
        <v>157</v>
      </c>
    </row>
    <row r="83" spans="1:88" x14ac:dyDescent="0.35">
      <c r="A83" s="1">
        <v>410</v>
      </c>
      <c r="B83" s="1" t="s">
        <v>1769</v>
      </c>
      <c r="C83" s="1" t="s">
        <v>1770</v>
      </c>
      <c r="D83" s="1" t="s">
        <v>90</v>
      </c>
      <c r="E83" s="1" t="s">
        <v>1771</v>
      </c>
      <c r="F83" s="1" t="s">
        <v>134</v>
      </c>
      <c r="G83" s="1">
        <v>1</v>
      </c>
      <c r="H83" s="3">
        <v>33573</v>
      </c>
      <c r="I83" s="1">
        <v>1</v>
      </c>
      <c r="J83" s="1" t="s">
        <v>315</v>
      </c>
      <c r="K83" s="1" t="s">
        <v>316</v>
      </c>
      <c r="L83" s="2">
        <f>91-9970813231</f>
        <v>-9970813140</v>
      </c>
      <c r="M83" s="1" t="s">
        <v>150</v>
      </c>
      <c r="N83" s="1">
        <v>0</v>
      </c>
      <c r="O83" s="1">
        <v>0</v>
      </c>
      <c r="P83" s="1">
        <v>5.08</v>
      </c>
      <c r="Q83" s="1">
        <v>16</v>
      </c>
      <c r="R83" s="1" t="s">
        <v>535</v>
      </c>
      <c r="S83" s="1" t="s">
        <v>97</v>
      </c>
      <c r="T83" s="1" t="s">
        <v>427</v>
      </c>
      <c r="U83" s="1" t="s">
        <v>1772</v>
      </c>
      <c r="V83" s="1" t="s">
        <v>1773</v>
      </c>
      <c r="X83" s="1" t="s">
        <v>100</v>
      </c>
      <c r="Y83" s="1" t="s">
        <v>210</v>
      </c>
      <c r="Z83" s="1" t="s">
        <v>171</v>
      </c>
      <c r="AA83" s="1" t="s">
        <v>1774</v>
      </c>
      <c r="AB83" s="1">
        <v>0</v>
      </c>
      <c r="AD83" s="1" t="s">
        <v>1775</v>
      </c>
      <c r="AE83" s="1">
        <f>91-9970813231</f>
        <v>-9970813140</v>
      </c>
      <c r="AF83" s="1" t="s">
        <v>105</v>
      </c>
      <c r="AG83" s="1" t="s">
        <v>1776</v>
      </c>
      <c r="AH83" s="1" t="s">
        <v>1777</v>
      </c>
      <c r="AI83" s="1" t="s">
        <v>1778</v>
      </c>
      <c r="AJ83" s="1" t="s">
        <v>109</v>
      </c>
      <c r="AK83" s="1" t="s">
        <v>1779</v>
      </c>
      <c r="AL83" s="1">
        <v>48</v>
      </c>
      <c r="AM83" s="1" t="s">
        <v>111</v>
      </c>
      <c r="AO83" s="1" t="s">
        <v>1780</v>
      </c>
      <c r="AP83" s="1">
        <f>91-9422169463</f>
        <v>-9422169372</v>
      </c>
      <c r="AR83" s="1">
        <v>1</v>
      </c>
      <c r="AS83" s="1">
        <v>0</v>
      </c>
      <c r="AT83" s="1" t="s">
        <v>1781</v>
      </c>
      <c r="AU83" s="1" t="s">
        <v>1782</v>
      </c>
      <c r="AV83" s="1" t="s">
        <v>1783</v>
      </c>
      <c r="AW83" s="1">
        <f>91-9425389540</f>
        <v>-9425389449</v>
      </c>
      <c r="AX83" s="1" t="s">
        <v>329</v>
      </c>
      <c r="AY83" s="1" t="s">
        <v>150</v>
      </c>
      <c r="AZ83" s="1">
        <v>5.03</v>
      </c>
      <c r="BA83" s="1">
        <v>5.07</v>
      </c>
      <c r="BB83" s="1" t="s">
        <v>151</v>
      </c>
      <c r="BC83" s="1" t="s">
        <v>304</v>
      </c>
      <c r="BD83" s="1" t="s">
        <v>1333</v>
      </c>
      <c r="BE83" s="1" t="s">
        <v>281</v>
      </c>
      <c r="BF83" s="1" t="s">
        <v>120</v>
      </c>
      <c r="BG83" s="1" t="s">
        <v>100</v>
      </c>
      <c r="BH83" s="1" t="s">
        <v>1784</v>
      </c>
      <c r="BJ83" s="1" t="s">
        <v>154</v>
      </c>
      <c r="BK83" s="1" t="s">
        <v>120</v>
      </c>
      <c r="BL83" s="1">
        <v>0</v>
      </c>
      <c r="BM83" s="1">
        <v>0</v>
      </c>
      <c r="BN83" s="1" t="s">
        <v>1785</v>
      </c>
      <c r="BO83" s="1">
        <v>1</v>
      </c>
      <c r="BP83" s="1" t="s">
        <v>1786</v>
      </c>
      <c r="BQ83" s="1" t="s">
        <v>112</v>
      </c>
      <c r="BR83" s="1">
        <v>1</v>
      </c>
      <c r="BS83" s="1" t="s">
        <v>1668</v>
      </c>
      <c r="BT83" s="1" t="s">
        <v>124</v>
      </c>
      <c r="BU83" s="1" t="s">
        <v>112</v>
      </c>
      <c r="BV83" s="1" t="s">
        <v>112</v>
      </c>
      <c r="BW83" s="1" t="s">
        <v>1787</v>
      </c>
      <c r="BX83" s="1" t="s">
        <v>1788</v>
      </c>
      <c r="BY83" s="1" t="s">
        <v>127</v>
      </c>
      <c r="BZ83" s="1">
        <v>1</v>
      </c>
      <c r="CA83" s="1">
        <v>0</v>
      </c>
      <c r="CB83" s="4">
        <v>42408.399324918981</v>
      </c>
      <c r="CC83" s="1">
        <v>1</v>
      </c>
      <c r="CD83" s="1">
        <v>1</v>
      </c>
      <c r="CE83" s="1">
        <v>1</v>
      </c>
      <c r="CF83" s="1">
        <v>4</v>
      </c>
      <c r="CG83" s="4">
        <v>43053.596262928244</v>
      </c>
      <c r="CH83" s="1" t="s">
        <v>112</v>
      </c>
      <c r="CI83" s="1" t="s">
        <v>1270</v>
      </c>
      <c r="CJ83" s="1" t="s">
        <v>157</v>
      </c>
    </row>
    <row r="84" spans="1:88" x14ac:dyDescent="0.35">
      <c r="A84" s="1">
        <v>414</v>
      </c>
      <c r="B84" s="1" t="s">
        <v>1789</v>
      </c>
      <c r="C84" s="1" t="s">
        <v>1790</v>
      </c>
      <c r="D84" s="1" t="s">
        <v>312</v>
      </c>
      <c r="E84" s="1" t="s">
        <v>1791</v>
      </c>
      <c r="F84" s="1" t="s">
        <v>552</v>
      </c>
      <c r="G84" s="1">
        <v>1</v>
      </c>
      <c r="H84" s="3">
        <v>30710</v>
      </c>
      <c r="I84" s="1">
        <v>1</v>
      </c>
      <c r="J84" s="1" t="s">
        <v>93</v>
      </c>
      <c r="K84" s="1" t="s">
        <v>490</v>
      </c>
      <c r="L84" s="2">
        <f>91-8087184499</f>
        <v>-8087184408</v>
      </c>
      <c r="M84" s="1" t="s">
        <v>95</v>
      </c>
      <c r="N84" s="1">
        <v>0</v>
      </c>
      <c r="O84" s="1">
        <v>0</v>
      </c>
      <c r="P84" s="1">
        <v>5.08</v>
      </c>
      <c r="Q84" s="1">
        <v>11</v>
      </c>
      <c r="R84" s="1" t="s">
        <v>340</v>
      </c>
      <c r="S84" s="1" t="s">
        <v>136</v>
      </c>
      <c r="T84" s="1" t="s">
        <v>137</v>
      </c>
      <c r="U84" s="1" t="s">
        <v>554</v>
      </c>
      <c r="V84" s="1" t="s">
        <v>364</v>
      </c>
      <c r="W84" s="1" t="s">
        <v>1792</v>
      </c>
      <c r="X84" s="1" t="s">
        <v>100</v>
      </c>
      <c r="Y84" s="1" t="s">
        <v>101</v>
      </c>
      <c r="Z84" s="1" t="s">
        <v>1793</v>
      </c>
      <c r="AA84" s="1" t="s">
        <v>1794</v>
      </c>
      <c r="AB84" s="1">
        <v>0</v>
      </c>
      <c r="AD84" s="1" t="s">
        <v>1795</v>
      </c>
      <c r="AE84" s="1">
        <f>91-9405018185</f>
        <v>-9405018094</v>
      </c>
      <c r="AF84" s="1" t="s">
        <v>105</v>
      </c>
      <c r="AG84" s="1" t="s">
        <v>1796</v>
      </c>
      <c r="AH84" s="1" t="s">
        <v>1797</v>
      </c>
      <c r="AI84" s="1" t="s">
        <v>1798</v>
      </c>
      <c r="AJ84" s="1" t="s">
        <v>109</v>
      </c>
      <c r="AK84" s="1" t="s">
        <v>1799</v>
      </c>
      <c r="AL84" s="1">
        <v>10</v>
      </c>
      <c r="AM84" s="1" t="s">
        <v>111</v>
      </c>
      <c r="AO84" s="1" t="s">
        <v>1800</v>
      </c>
      <c r="AP84" s="1">
        <f>91-9890927243</f>
        <v>-9890927152</v>
      </c>
      <c r="AQ84" s="1" t="s">
        <v>1801</v>
      </c>
      <c r="AR84" s="1">
        <v>0</v>
      </c>
      <c r="AS84" s="1">
        <v>0</v>
      </c>
      <c r="AT84" s="1" t="s">
        <v>1802</v>
      </c>
      <c r="AU84" s="1" t="s">
        <v>1803</v>
      </c>
      <c r="AV84" s="1" t="s">
        <v>287</v>
      </c>
      <c r="AW84" s="1">
        <f>91-9825105188</f>
        <v>-9825105097</v>
      </c>
      <c r="AX84" s="1" t="s">
        <v>931</v>
      </c>
      <c r="AY84" s="1" t="s">
        <v>593</v>
      </c>
      <c r="AZ84" s="1">
        <v>5</v>
      </c>
      <c r="BA84" s="1">
        <v>5.07</v>
      </c>
      <c r="BB84" s="1" t="s">
        <v>151</v>
      </c>
      <c r="BC84" s="1" t="s">
        <v>152</v>
      </c>
      <c r="BD84" s="1" t="s">
        <v>1395</v>
      </c>
      <c r="BE84" s="1" t="s">
        <v>120</v>
      </c>
      <c r="BF84" s="1" t="s">
        <v>120</v>
      </c>
      <c r="BG84" s="1" t="s">
        <v>120</v>
      </c>
      <c r="BH84" s="1" t="s">
        <v>120</v>
      </c>
      <c r="BI84" s="1" t="s">
        <v>1793</v>
      </c>
      <c r="BJ84" s="1" t="s">
        <v>120</v>
      </c>
      <c r="BK84" s="1" t="s">
        <v>120</v>
      </c>
      <c r="BL84" s="1">
        <v>0</v>
      </c>
      <c r="BM84" s="1">
        <v>0</v>
      </c>
      <c r="BN84" s="1" t="s">
        <v>1804</v>
      </c>
      <c r="BO84" s="1">
        <v>1</v>
      </c>
      <c r="BP84" s="1" t="s">
        <v>1805</v>
      </c>
      <c r="BQ84" s="1" t="s">
        <v>1374</v>
      </c>
      <c r="BR84" s="1">
        <v>0</v>
      </c>
      <c r="BS84" s="1" t="s">
        <v>1208</v>
      </c>
      <c r="BT84" s="1" t="s">
        <v>124</v>
      </c>
      <c r="BV84" s="1" t="s">
        <v>112</v>
      </c>
      <c r="BW84" s="1" t="s">
        <v>1806</v>
      </c>
      <c r="BX84" s="1" t="s">
        <v>1807</v>
      </c>
      <c r="BY84" s="1" t="s">
        <v>127</v>
      </c>
      <c r="BZ84" s="1">
        <v>2</v>
      </c>
      <c r="CA84" s="1">
        <v>2</v>
      </c>
      <c r="CB84" s="4">
        <v>42420.238434803243</v>
      </c>
      <c r="CC84" s="1">
        <v>1</v>
      </c>
      <c r="CD84" s="1">
        <v>1</v>
      </c>
      <c r="CE84" s="1">
        <v>1</v>
      </c>
      <c r="CF84" s="1">
        <v>1</v>
      </c>
      <c r="CG84" s="4">
        <v>43125.60194216435</v>
      </c>
      <c r="CH84" s="1" t="s">
        <v>112</v>
      </c>
      <c r="CI84" s="1" t="s">
        <v>1663</v>
      </c>
      <c r="CJ84" s="1" t="s">
        <v>157</v>
      </c>
    </row>
    <row r="85" spans="1:88" x14ac:dyDescent="0.35">
      <c r="A85" s="1">
        <v>416</v>
      </c>
      <c r="B85" s="1" t="s">
        <v>1808</v>
      </c>
      <c r="C85" s="1" t="s">
        <v>1809</v>
      </c>
      <c r="D85" s="1" t="s">
        <v>229</v>
      </c>
      <c r="E85" s="1" t="s">
        <v>1810</v>
      </c>
      <c r="F85" s="1" t="s">
        <v>134</v>
      </c>
      <c r="G85" s="1">
        <v>1</v>
      </c>
      <c r="H85" s="3">
        <v>32349</v>
      </c>
      <c r="I85" s="1">
        <v>1</v>
      </c>
      <c r="J85" s="1" t="s">
        <v>162</v>
      </c>
      <c r="K85" s="1" t="s">
        <v>163</v>
      </c>
      <c r="L85" s="2">
        <f>91-8141875823</f>
        <v>-8141875732</v>
      </c>
      <c r="M85" s="1" t="s">
        <v>150</v>
      </c>
      <c r="N85" s="1">
        <v>0</v>
      </c>
      <c r="O85" s="1">
        <v>0</v>
      </c>
      <c r="P85" s="1">
        <v>5.0599999999999996</v>
      </c>
      <c r="Q85" s="1">
        <v>50</v>
      </c>
      <c r="S85" s="1" t="s">
        <v>97</v>
      </c>
      <c r="T85" s="1" t="s">
        <v>137</v>
      </c>
      <c r="U85" s="1" t="s">
        <v>1811</v>
      </c>
      <c r="V85" s="1" t="s">
        <v>1812</v>
      </c>
      <c r="W85" s="1" t="s">
        <v>198</v>
      </c>
      <c r="X85" s="1" t="s">
        <v>100</v>
      </c>
      <c r="Y85" s="1" t="s">
        <v>210</v>
      </c>
      <c r="Z85" s="1" t="s">
        <v>297</v>
      </c>
      <c r="AA85" s="1" t="s">
        <v>1813</v>
      </c>
      <c r="AB85" s="1">
        <v>0</v>
      </c>
      <c r="AD85" s="1" t="s">
        <v>1814</v>
      </c>
      <c r="AE85" s="1">
        <f>91-8734952916</f>
        <v>-8734952825</v>
      </c>
      <c r="AF85" s="1" t="s">
        <v>143</v>
      </c>
      <c r="AG85" s="1" t="s">
        <v>1815</v>
      </c>
      <c r="AH85" s="1" t="s">
        <v>1816</v>
      </c>
      <c r="AI85" s="1" t="s">
        <v>1817</v>
      </c>
      <c r="AJ85" s="1" t="s">
        <v>109</v>
      </c>
      <c r="AK85" s="1" t="s">
        <v>1818</v>
      </c>
      <c r="AL85" s="1">
        <v>1</v>
      </c>
      <c r="AM85" s="1" t="s">
        <v>111</v>
      </c>
      <c r="AN85" s="1" t="s">
        <v>1819</v>
      </c>
      <c r="AO85" s="1" t="s">
        <v>1820</v>
      </c>
      <c r="AP85" s="1">
        <f>91-9978259442</f>
        <v>-9978259351</v>
      </c>
      <c r="AQ85" s="1" t="s">
        <v>124</v>
      </c>
      <c r="AR85" s="1">
        <v>1</v>
      </c>
      <c r="AS85" s="1">
        <v>0</v>
      </c>
      <c r="AW85" s="1" t="s">
        <v>142</v>
      </c>
      <c r="AX85" s="1" t="s">
        <v>460</v>
      </c>
      <c r="AY85" s="1" t="s">
        <v>1332</v>
      </c>
      <c r="AZ85" s="1">
        <v>5</v>
      </c>
      <c r="BA85" s="1">
        <v>5.0599999999999996</v>
      </c>
      <c r="BB85" s="1" t="s">
        <v>151</v>
      </c>
      <c r="BC85" s="1" t="s">
        <v>152</v>
      </c>
      <c r="BD85" s="1" t="s">
        <v>1395</v>
      </c>
      <c r="BE85" s="1" t="s">
        <v>120</v>
      </c>
      <c r="BF85" s="1" t="s">
        <v>120</v>
      </c>
      <c r="BG85" s="1" t="s">
        <v>120</v>
      </c>
      <c r="BH85" s="1" t="s">
        <v>120</v>
      </c>
      <c r="BI85" s="1" t="s">
        <v>297</v>
      </c>
      <c r="BJ85" s="1" t="s">
        <v>120</v>
      </c>
      <c r="BK85" s="1" t="s">
        <v>120</v>
      </c>
      <c r="BL85" s="1">
        <v>0</v>
      </c>
      <c r="BM85" s="1">
        <v>0</v>
      </c>
      <c r="BN85" s="1" t="s">
        <v>1821</v>
      </c>
      <c r="BO85" s="1">
        <v>1</v>
      </c>
      <c r="BP85" s="1" t="s">
        <v>1822</v>
      </c>
      <c r="BQ85" s="1" t="s">
        <v>1823</v>
      </c>
      <c r="BR85" s="1">
        <v>1</v>
      </c>
      <c r="BS85" s="1" t="s">
        <v>376</v>
      </c>
      <c r="BT85" s="1" t="s">
        <v>124</v>
      </c>
      <c r="BV85" s="1" t="s">
        <v>112</v>
      </c>
      <c r="BY85" s="1" t="s">
        <v>120</v>
      </c>
      <c r="BZ85" s="1">
        <v>3</v>
      </c>
      <c r="CA85" s="1">
        <v>2</v>
      </c>
      <c r="CB85" s="4">
        <v>42424.0022690162</v>
      </c>
      <c r="CC85" s="1">
        <v>1</v>
      </c>
      <c r="CD85" s="1">
        <v>1</v>
      </c>
      <c r="CE85" s="1">
        <v>0</v>
      </c>
      <c r="CF85" s="1">
        <v>0</v>
      </c>
      <c r="CG85" s="1" t="s">
        <v>112</v>
      </c>
      <c r="CH85" s="1" t="s">
        <v>112</v>
      </c>
      <c r="CI85" s="1" t="s">
        <v>198</v>
      </c>
      <c r="CJ85" s="1" t="s">
        <v>157</v>
      </c>
    </row>
    <row r="86" spans="1:88" x14ac:dyDescent="0.35">
      <c r="A86" s="1">
        <v>421</v>
      </c>
      <c r="B86" s="1" t="s">
        <v>1824</v>
      </c>
      <c r="C86" s="1" t="s">
        <v>1825</v>
      </c>
      <c r="D86" s="1" t="s">
        <v>90</v>
      </c>
      <c r="E86" s="1" t="s">
        <v>1826</v>
      </c>
      <c r="F86" s="1" t="s">
        <v>134</v>
      </c>
      <c r="G86" s="1">
        <v>1</v>
      </c>
      <c r="H86" s="3">
        <v>34712</v>
      </c>
      <c r="I86" s="1">
        <v>1</v>
      </c>
      <c r="J86" s="1" t="s">
        <v>162</v>
      </c>
      <c r="K86" s="1" t="s">
        <v>163</v>
      </c>
      <c r="L86" s="2">
        <f>91-8734919292</f>
        <v>-8734919201</v>
      </c>
      <c r="M86" s="1" t="s">
        <v>150</v>
      </c>
      <c r="N86" s="1">
        <v>0</v>
      </c>
      <c r="O86" s="1">
        <v>0</v>
      </c>
      <c r="P86" s="1">
        <v>5.08</v>
      </c>
      <c r="Q86" s="1">
        <v>11</v>
      </c>
      <c r="R86" s="1" t="s">
        <v>340</v>
      </c>
      <c r="S86" s="1" t="s">
        <v>97</v>
      </c>
      <c r="T86" s="1" t="s">
        <v>166</v>
      </c>
      <c r="U86" s="1" t="s">
        <v>1827</v>
      </c>
      <c r="X86" s="1" t="s">
        <v>100</v>
      </c>
      <c r="Y86" s="1" t="s">
        <v>210</v>
      </c>
      <c r="Z86" s="1" t="s">
        <v>1408</v>
      </c>
      <c r="AB86" s="1">
        <v>0</v>
      </c>
      <c r="AD86" s="1" t="s">
        <v>1828</v>
      </c>
      <c r="AE86" s="1" t="s">
        <v>142</v>
      </c>
      <c r="AF86" s="1" t="s">
        <v>143</v>
      </c>
      <c r="AG86" s="1" t="s">
        <v>1829</v>
      </c>
      <c r="AH86" s="1" t="s">
        <v>1830</v>
      </c>
      <c r="AI86" s="1" t="s">
        <v>1831</v>
      </c>
      <c r="AJ86" s="1" t="s">
        <v>109</v>
      </c>
      <c r="AK86" s="1" t="s">
        <v>1832</v>
      </c>
      <c r="AL86" s="1">
        <v>3</v>
      </c>
      <c r="AM86" s="1" t="s">
        <v>243</v>
      </c>
      <c r="AP86" s="1">
        <f>91-9537388564</f>
        <v>-9537388473</v>
      </c>
      <c r="AR86" s="1">
        <v>0</v>
      </c>
      <c r="AS86" s="1">
        <v>0</v>
      </c>
      <c r="AW86" s="1" t="s">
        <v>142</v>
      </c>
      <c r="AX86" s="1" t="s">
        <v>1032</v>
      </c>
      <c r="AY86" s="1" t="s">
        <v>150</v>
      </c>
      <c r="AZ86" s="1">
        <v>4.05</v>
      </c>
      <c r="BA86" s="1">
        <v>5.0599999999999996</v>
      </c>
      <c r="BB86" s="1" t="s">
        <v>151</v>
      </c>
      <c r="BC86" s="1" t="s">
        <v>304</v>
      </c>
      <c r="BD86" s="1" t="s">
        <v>1333</v>
      </c>
      <c r="BE86" s="1" t="s">
        <v>1833</v>
      </c>
      <c r="BF86" s="1" t="s">
        <v>120</v>
      </c>
      <c r="BG86" s="1" t="s">
        <v>120</v>
      </c>
      <c r="BH86" s="1" t="s">
        <v>120</v>
      </c>
      <c r="BJ86" s="1" t="s">
        <v>120</v>
      </c>
      <c r="BK86" s="1" t="s">
        <v>120</v>
      </c>
      <c r="BL86" s="1">
        <v>0</v>
      </c>
      <c r="BM86" s="1">
        <v>0</v>
      </c>
      <c r="BN86" s="1" t="s">
        <v>1834</v>
      </c>
      <c r="BO86" s="1">
        <v>1</v>
      </c>
      <c r="BP86" s="1" t="s">
        <v>163</v>
      </c>
      <c r="BQ86" s="1" t="s">
        <v>180</v>
      </c>
      <c r="BR86" s="1">
        <v>0</v>
      </c>
      <c r="BS86" s="1" t="s">
        <v>129</v>
      </c>
      <c r="BT86" s="1" t="s">
        <v>120</v>
      </c>
      <c r="BV86" s="1" t="s">
        <v>112</v>
      </c>
      <c r="BW86" s="1" t="s">
        <v>1835</v>
      </c>
      <c r="BY86" s="1" t="s">
        <v>120</v>
      </c>
      <c r="BZ86" s="1">
        <v>1</v>
      </c>
      <c r="CA86" s="1">
        <v>0</v>
      </c>
      <c r="CB86" s="4">
        <v>42438.426861574073</v>
      </c>
      <c r="CC86" s="1">
        <v>1</v>
      </c>
      <c r="CD86" s="1">
        <v>1</v>
      </c>
      <c r="CE86" s="1">
        <v>1</v>
      </c>
      <c r="CF86" s="1">
        <v>1</v>
      </c>
      <c r="CG86" s="4">
        <v>44097.162227893517</v>
      </c>
      <c r="CH86" s="1" t="s">
        <v>112</v>
      </c>
      <c r="CI86" s="1" t="s">
        <v>1836</v>
      </c>
      <c r="CJ86" s="1" t="s">
        <v>157</v>
      </c>
    </row>
    <row r="87" spans="1:88" x14ac:dyDescent="0.35">
      <c r="A87" s="1">
        <v>431</v>
      </c>
      <c r="B87" s="1" t="s">
        <v>1837</v>
      </c>
      <c r="C87" s="1" t="s">
        <v>1838</v>
      </c>
      <c r="D87" s="1" t="s">
        <v>90</v>
      </c>
      <c r="E87" s="1" t="s">
        <v>1839</v>
      </c>
      <c r="F87" s="1" t="s">
        <v>1840</v>
      </c>
      <c r="G87" s="1">
        <v>1</v>
      </c>
      <c r="H87" s="3">
        <v>32317</v>
      </c>
      <c r="I87" s="1">
        <v>1</v>
      </c>
      <c r="J87" s="1" t="s">
        <v>162</v>
      </c>
      <c r="L87" s="2">
        <f>91-7046569796</f>
        <v>-7046569705</v>
      </c>
      <c r="M87" s="1" t="s">
        <v>150</v>
      </c>
      <c r="N87" s="1">
        <v>0</v>
      </c>
      <c r="O87" s="1">
        <v>0</v>
      </c>
      <c r="P87" s="1">
        <v>5.0599999999999996</v>
      </c>
      <c r="Q87" s="1">
        <v>11</v>
      </c>
      <c r="R87" s="1" t="s">
        <v>340</v>
      </c>
      <c r="S87" s="1" t="s">
        <v>97</v>
      </c>
      <c r="T87" s="1" t="s">
        <v>137</v>
      </c>
      <c r="U87" s="1" t="s">
        <v>1841</v>
      </c>
      <c r="V87" s="1" t="s">
        <v>1842</v>
      </c>
      <c r="W87" s="1" t="s">
        <v>752</v>
      </c>
      <c r="X87" s="1" t="s">
        <v>100</v>
      </c>
      <c r="Y87" s="1" t="s">
        <v>210</v>
      </c>
      <c r="Z87" s="1" t="s">
        <v>634</v>
      </c>
      <c r="AA87" s="1" t="s">
        <v>1843</v>
      </c>
      <c r="AB87" s="1">
        <v>0</v>
      </c>
      <c r="AD87" s="1" t="s">
        <v>1844</v>
      </c>
      <c r="AE87" s="1">
        <f>91-9924880355</f>
        <v>-9924880264</v>
      </c>
      <c r="AF87" s="1" t="s">
        <v>105</v>
      </c>
      <c r="AG87" s="1" t="s">
        <v>1845</v>
      </c>
      <c r="AH87" s="1" t="s">
        <v>1846</v>
      </c>
      <c r="AI87" s="1" t="s">
        <v>1847</v>
      </c>
      <c r="AJ87" s="1" t="s">
        <v>1238</v>
      </c>
      <c r="AK87" s="1" t="s">
        <v>1848</v>
      </c>
      <c r="AL87" s="1">
        <v>4</v>
      </c>
      <c r="AM87" s="1" t="s">
        <v>437</v>
      </c>
      <c r="AP87" s="1">
        <f>91-9924880355</f>
        <v>-9924880264</v>
      </c>
      <c r="AR87" s="1">
        <v>0</v>
      </c>
      <c r="AS87" s="1">
        <v>5</v>
      </c>
      <c r="AT87" s="1" t="s">
        <v>1849</v>
      </c>
      <c r="AU87" s="1" t="s">
        <v>1850</v>
      </c>
      <c r="AV87" s="1" t="s">
        <v>1851</v>
      </c>
      <c r="AW87" s="1" t="s">
        <v>142</v>
      </c>
      <c r="AX87" s="1" t="s">
        <v>664</v>
      </c>
      <c r="AY87" s="1" t="s">
        <v>150</v>
      </c>
      <c r="AZ87" s="1">
        <v>5</v>
      </c>
      <c r="BA87" s="1">
        <v>5.0599999999999996</v>
      </c>
      <c r="BB87" s="1" t="s">
        <v>151</v>
      </c>
      <c r="BC87" s="1" t="s">
        <v>152</v>
      </c>
      <c r="BD87" s="1" t="s">
        <v>1395</v>
      </c>
      <c r="BE87" s="1" t="s">
        <v>120</v>
      </c>
      <c r="BF87" s="1" t="s">
        <v>120</v>
      </c>
      <c r="BG87" s="1" t="s">
        <v>120</v>
      </c>
      <c r="BH87" s="1" t="s">
        <v>120</v>
      </c>
      <c r="BI87" s="1" t="s">
        <v>634</v>
      </c>
      <c r="BJ87" s="1" t="s">
        <v>154</v>
      </c>
      <c r="BK87" s="1" t="s">
        <v>120</v>
      </c>
      <c r="BL87" s="1">
        <v>0</v>
      </c>
      <c r="BM87" s="1">
        <v>0</v>
      </c>
      <c r="BN87" s="1" t="s">
        <v>1852</v>
      </c>
      <c r="BO87" s="1">
        <v>1</v>
      </c>
      <c r="BP87" s="1" t="s">
        <v>1853</v>
      </c>
      <c r="BQ87" s="1" t="s">
        <v>1854</v>
      </c>
      <c r="BR87" s="1">
        <v>1</v>
      </c>
      <c r="BS87" s="1" t="s">
        <v>181</v>
      </c>
      <c r="BT87" s="1" t="s">
        <v>124</v>
      </c>
      <c r="BV87" s="1" t="s">
        <v>112</v>
      </c>
      <c r="BW87" s="1" t="s">
        <v>1855</v>
      </c>
      <c r="BX87" s="1" t="s">
        <v>1856</v>
      </c>
      <c r="BY87" s="1" t="s">
        <v>127</v>
      </c>
      <c r="BZ87" s="1">
        <v>5</v>
      </c>
      <c r="CA87" s="1">
        <v>5</v>
      </c>
      <c r="CB87" s="4">
        <v>42467.17007172454</v>
      </c>
      <c r="CC87" s="1">
        <v>1</v>
      </c>
      <c r="CD87" s="1">
        <v>1</v>
      </c>
      <c r="CE87" s="1">
        <v>1</v>
      </c>
      <c r="CF87" s="1">
        <v>4</v>
      </c>
      <c r="CG87" s="4">
        <v>42856.463384722221</v>
      </c>
      <c r="CH87" s="1" t="s">
        <v>112</v>
      </c>
      <c r="CI87" s="1" t="s">
        <v>1853</v>
      </c>
      <c r="CJ87" s="1" t="s">
        <v>157</v>
      </c>
    </row>
    <row r="88" spans="1:88" x14ac:dyDescent="0.35">
      <c r="A88" s="1">
        <v>432</v>
      </c>
      <c r="B88" s="1" t="s">
        <v>1857</v>
      </c>
      <c r="C88" s="1" t="s">
        <v>1858</v>
      </c>
      <c r="D88" s="1" t="s">
        <v>90</v>
      </c>
      <c r="E88" s="1" t="s">
        <v>1859</v>
      </c>
      <c r="F88" s="1" t="s">
        <v>996</v>
      </c>
      <c r="G88" s="1">
        <v>1</v>
      </c>
      <c r="H88" s="3">
        <v>34122</v>
      </c>
      <c r="I88" s="1">
        <v>1</v>
      </c>
      <c r="J88" s="1" t="s">
        <v>162</v>
      </c>
      <c r="K88" s="1" t="s">
        <v>163</v>
      </c>
      <c r="L88" s="2">
        <f>91-9429753113</f>
        <v>-9429753022</v>
      </c>
      <c r="M88" s="1" t="s">
        <v>150</v>
      </c>
      <c r="N88" s="1">
        <v>0</v>
      </c>
      <c r="O88" s="1">
        <v>0</v>
      </c>
      <c r="P88" s="1">
        <v>5.0599999999999996</v>
      </c>
      <c r="Q88" s="1">
        <v>5</v>
      </c>
      <c r="R88" s="1" t="s">
        <v>263</v>
      </c>
      <c r="S88" s="1" t="s">
        <v>165</v>
      </c>
      <c r="T88" s="1" t="s">
        <v>427</v>
      </c>
      <c r="U88" s="1" t="s">
        <v>1729</v>
      </c>
      <c r="V88" s="1" t="s">
        <v>1860</v>
      </c>
      <c r="X88" s="1" t="s">
        <v>296</v>
      </c>
      <c r="Y88" s="1" t="s">
        <v>111</v>
      </c>
      <c r="Z88" s="1" t="s">
        <v>192</v>
      </c>
      <c r="AA88" s="1" t="s">
        <v>1861</v>
      </c>
      <c r="AB88" s="1">
        <v>0</v>
      </c>
      <c r="AD88" s="1" t="s">
        <v>1862</v>
      </c>
      <c r="AE88" s="1">
        <f>91-9427370180</f>
        <v>-9427370089</v>
      </c>
      <c r="AF88" s="1" t="s">
        <v>105</v>
      </c>
      <c r="AG88" s="1" t="s">
        <v>1863</v>
      </c>
      <c r="AH88" s="1" t="s">
        <v>1864</v>
      </c>
      <c r="AI88" s="1" t="s">
        <v>1865</v>
      </c>
      <c r="AJ88" s="1" t="s">
        <v>109</v>
      </c>
      <c r="AK88" s="1" t="s">
        <v>1866</v>
      </c>
      <c r="AL88" s="1">
        <v>60</v>
      </c>
      <c r="AM88" s="1" t="s">
        <v>111</v>
      </c>
      <c r="AN88" s="1" t="s">
        <v>1867</v>
      </c>
      <c r="AO88" s="1" t="s">
        <v>1868</v>
      </c>
      <c r="AP88" s="1">
        <f>91-9427370180</f>
        <v>-9427370089</v>
      </c>
      <c r="AQ88" s="1" t="s">
        <v>1869</v>
      </c>
      <c r="AR88" s="1">
        <v>1</v>
      </c>
      <c r="AS88" s="1">
        <v>0</v>
      </c>
      <c r="AT88" s="1" t="s">
        <v>1870</v>
      </c>
      <c r="AU88" s="1" t="s">
        <v>1871</v>
      </c>
      <c r="AV88" s="1" t="s">
        <v>1872</v>
      </c>
      <c r="AW88" s="1">
        <f>91-9427048793</f>
        <v>-9427048702</v>
      </c>
      <c r="AX88" s="1" t="s">
        <v>1873</v>
      </c>
      <c r="AY88" s="1" t="s">
        <v>150</v>
      </c>
      <c r="AZ88" s="1">
        <v>4.09</v>
      </c>
      <c r="BA88" s="1">
        <v>5.09</v>
      </c>
      <c r="BB88" s="1" t="s">
        <v>151</v>
      </c>
      <c r="BC88" s="1" t="s">
        <v>304</v>
      </c>
      <c r="BD88" s="1" t="s">
        <v>1333</v>
      </c>
      <c r="BE88" s="1" t="s">
        <v>120</v>
      </c>
      <c r="BF88" s="1" t="s">
        <v>120</v>
      </c>
      <c r="BG88" s="1" t="s">
        <v>120</v>
      </c>
      <c r="BH88" s="1" t="s">
        <v>120</v>
      </c>
      <c r="BJ88" s="1" t="s">
        <v>120</v>
      </c>
      <c r="BK88" s="1" t="s">
        <v>120</v>
      </c>
      <c r="BL88" s="1">
        <v>0</v>
      </c>
      <c r="BM88" s="1">
        <v>0</v>
      </c>
      <c r="BN88" s="1" t="s">
        <v>1874</v>
      </c>
      <c r="BO88" s="1">
        <v>1</v>
      </c>
      <c r="BP88" s="1" t="s">
        <v>1875</v>
      </c>
      <c r="BQ88" s="1" t="s">
        <v>112</v>
      </c>
      <c r="BR88" s="1">
        <v>1</v>
      </c>
      <c r="BS88" s="1" t="s">
        <v>787</v>
      </c>
      <c r="BT88" s="1" t="s">
        <v>124</v>
      </c>
      <c r="BU88" s="1" t="s">
        <v>112</v>
      </c>
      <c r="BV88" s="1" t="s">
        <v>112</v>
      </c>
      <c r="BW88" s="1" t="s">
        <v>1876</v>
      </c>
      <c r="BX88" s="1" t="s">
        <v>1877</v>
      </c>
      <c r="BY88" s="1" t="s">
        <v>127</v>
      </c>
      <c r="BZ88" s="1">
        <v>0</v>
      </c>
      <c r="CA88" s="1">
        <v>0</v>
      </c>
      <c r="CB88" s="4">
        <v>42469.95127824074</v>
      </c>
      <c r="CC88" s="1">
        <v>1</v>
      </c>
      <c r="CD88" s="1">
        <v>1</v>
      </c>
      <c r="CE88" s="1">
        <v>1</v>
      </c>
      <c r="CF88" s="1">
        <v>4</v>
      </c>
      <c r="CG88" s="4">
        <v>42974.611522488427</v>
      </c>
      <c r="CH88" s="1" t="s">
        <v>112</v>
      </c>
      <c r="CI88" s="1" t="s">
        <v>1878</v>
      </c>
      <c r="CJ88" s="1" t="s">
        <v>157</v>
      </c>
    </row>
    <row r="89" spans="1:88" x14ac:dyDescent="0.35">
      <c r="A89" s="1">
        <v>440</v>
      </c>
      <c r="B89" s="1" t="s">
        <v>1879</v>
      </c>
      <c r="C89" s="1" t="s">
        <v>1880</v>
      </c>
      <c r="D89" s="1" t="s">
        <v>90</v>
      </c>
      <c r="E89" s="1" t="s">
        <v>160</v>
      </c>
      <c r="F89" s="1" t="s">
        <v>161</v>
      </c>
      <c r="G89" s="1">
        <v>1</v>
      </c>
      <c r="H89" s="3">
        <v>34583</v>
      </c>
      <c r="I89" s="1">
        <v>1</v>
      </c>
      <c r="J89" s="1" t="s">
        <v>162</v>
      </c>
      <c r="K89" s="1" t="s">
        <v>847</v>
      </c>
      <c r="L89" s="2">
        <f>91-8407914448</f>
        <v>-8407914357</v>
      </c>
      <c r="M89" s="1" t="s">
        <v>150</v>
      </c>
      <c r="N89" s="1">
        <v>0</v>
      </c>
      <c r="O89" s="1">
        <v>0</v>
      </c>
      <c r="P89" s="1">
        <v>5.05</v>
      </c>
      <c r="Q89" s="1">
        <v>14</v>
      </c>
      <c r="R89" s="1" t="s">
        <v>164</v>
      </c>
      <c r="S89" s="1" t="s">
        <v>492</v>
      </c>
      <c r="T89" s="1" t="s">
        <v>137</v>
      </c>
      <c r="U89" s="1" t="s">
        <v>1881</v>
      </c>
      <c r="V89" s="1" t="s">
        <v>1882</v>
      </c>
      <c r="W89" s="1" t="s">
        <v>1883</v>
      </c>
      <c r="X89" s="1" t="s">
        <v>100</v>
      </c>
      <c r="Y89" s="1" t="s">
        <v>111</v>
      </c>
      <c r="Z89" s="1" t="s">
        <v>198</v>
      </c>
      <c r="AB89" s="1">
        <v>0</v>
      </c>
      <c r="AD89" s="1" t="s">
        <v>1884</v>
      </c>
      <c r="AE89" s="1">
        <f>91-8407914448</f>
        <v>-8407914357</v>
      </c>
      <c r="AF89" s="1" t="s">
        <v>143</v>
      </c>
      <c r="AG89" s="1" t="s">
        <v>1885</v>
      </c>
      <c r="AH89" s="1" t="s">
        <v>1886</v>
      </c>
      <c r="AI89" s="1" t="s">
        <v>1887</v>
      </c>
      <c r="AJ89" s="1" t="s">
        <v>109</v>
      </c>
      <c r="AK89" s="1" t="s">
        <v>1888</v>
      </c>
      <c r="AL89" s="1">
        <v>40</v>
      </c>
      <c r="AM89" s="1" t="s">
        <v>111</v>
      </c>
      <c r="AP89" s="1">
        <f>91-8008222245</f>
        <v>-8008222154</v>
      </c>
      <c r="AR89" s="1">
        <v>1</v>
      </c>
      <c r="AS89" s="1">
        <v>0</v>
      </c>
      <c r="AW89" s="1" t="s">
        <v>142</v>
      </c>
      <c r="AX89" s="1" t="s">
        <v>1889</v>
      </c>
      <c r="AY89" s="1" t="s">
        <v>150</v>
      </c>
      <c r="AZ89" s="1">
        <v>5</v>
      </c>
      <c r="BA89" s="1">
        <v>5.03</v>
      </c>
      <c r="BB89" s="1" t="s">
        <v>151</v>
      </c>
      <c r="BC89" s="1" t="s">
        <v>152</v>
      </c>
      <c r="BD89" s="1" t="s">
        <v>1395</v>
      </c>
      <c r="BE89" s="1" t="s">
        <v>120</v>
      </c>
      <c r="BF89" s="1" t="s">
        <v>120</v>
      </c>
      <c r="BG89" s="1" t="s">
        <v>120</v>
      </c>
      <c r="BH89" s="1" t="s">
        <v>120</v>
      </c>
      <c r="BI89" s="1" t="s">
        <v>132</v>
      </c>
      <c r="BJ89" s="1" t="s">
        <v>154</v>
      </c>
      <c r="BK89" s="1" t="s">
        <v>120</v>
      </c>
      <c r="BL89" s="1">
        <v>0</v>
      </c>
      <c r="BM89" s="1">
        <v>0</v>
      </c>
      <c r="BN89" s="1" t="s">
        <v>1890</v>
      </c>
      <c r="BO89" s="1">
        <v>1</v>
      </c>
      <c r="BP89" s="1" t="s">
        <v>1891</v>
      </c>
      <c r="BQ89" s="1" t="s">
        <v>1892</v>
      </c>
      <c r="BR89" s="1">
        <v>0</v>
      </c>
      <c r="BS89" s="1" t="s">
        <v>181</v>
      </c>
      <c r="BT89" s="1" t="s">
        <v>124</v>
      </c>
      <c r="BV89" s="1" t="s">
        <v>112</v>
      </c>
      <c r="BY89" s="1" t="s">
        <v>120</v>
      </c>
      <c r="BZ89" s="1">
        <v>2</v>
      </c>
      <c r="CA89" s="1">
        <v>2</v>
      </c>
      <c r="CB89" s="4">
        <v>42474.924905520835</v>
      </c>
      <c r="CC89" s="1">
        <v>1</v>
      </c>
      <c r="CD89" s="1">
        <v>1</v>
      </c>
      <c r="CE89" s="1">
        <v>0</v>
      </c>
      <c r="CF89" s="1">
        <v>0</v>
      </c>
      <c r="CG89" s="1" t="s">
        <v>112</v>
      </c>
      <c r="CH89" s="1" t="s">
        <v>112</v>
      </c>
      <c r="CI89" s="1" t="s">
        <v>1893</v>
      </c>
      <c r="CJ89" s="1" t="s">
        <v>157</v>
      </c>
    </row>
    <row r="90" spans="1:88" x14ac:dyDescent="0.35">
      <c r="A90" s="1">
        <v>442</v>
      </c>
      <c r="B90" s="1" t="s">
        <v>1894</v>
      </c>
      <c r="C90" s="1" t="s">
        <v>1895</v>
      </c>
      <c r="D90" s="1" t="s">
        <v>90</v>
      </c>
      <c r="E90" s="1" t="s">
        <v>1896</v>
      </c>
      <c r="F90" s="1" t="s">
        <v>489</v>
      </c>
      <c r="G90" s="1">
        <v>1</v>
      </c>
      <c r="H90" s="3">
        <v>32240</v>
      </c>
      <c r="I90" s="1">
        <v>1</v>
      </c>
      <c r="J90" s="1" t="s">
        <v>93</v>
      </c>
      <c r="K90" s="1" t="s">
        <v>94</v>
      </c>
      <c r="L90" s="2">
        <f>91-7977052221</f>
        <v>-7977052130</v>
      </c>
      <c r="M90" s="1" t="s">
        <v>150</v>
      </c>
      <c r="N90" s="1">
        <v>0</v>
      </c>
      <c r="O90" s="1">
        <v>0</v>
      </c>
      <c r="P90" s="1">
        <v>5.0599999999999996</v>
      </c>
      <c r="Q90" s="1">
        <v>14</v>
      </c>
      <c r="R90" s="1" t="s">
        <v>164</v>
      </c>
      <c r="S90" s="1" t="s">
        <v>97</v>
      </c>
      <c r="T90" s="1" t="s">
        <v>137</v>
      </c>
      <c r="U90" s="1" t="s">
        <v>1897</v>
      </c>
      <c r="V90" s="1" t="s">
        <v>1898</v>
      </c>
      <c r="X90" s="1" t="s">
        <v>100</v>
      </c>
      <c r="Y90" s="1" t="s">
        <v>210</v>
      </c>
      <c r="Z90" s="1" t="s">
        <v>1899</v>
      </c>
      <c r="AA90" s="1" t="s">
        <v>1900</v>
      </c>
      <c r="AB90" s="1">
        <v>0</v>
      </c>
      <c r="AD90" s="1" t="s">
        <v>1901</v>
      </c>
      <c r="AE90" s="1">
        <f>91-7977052221</f>
        <v>-7977052130</v>
      </c>
      <c r="AF90" s="1" t="s">
        <v>143</v>
      </c>
      <c r="AG90" s="1" t="s">
        <v>1902</v>
      </c>
      <c r="AH90" s="1" t="s">
        <v>1903</v>
      </c>
      <c r="AI90" s="1" t="s">
        <v>1904</v>
      </c>
      <c r="AJ90" s="1" t="s">
        <v>109</v>
      </c>
      <c r="AK90" s="1" t="s">
        <v>1905</v>
      </c>
      <c r="AL90" s="1">
        <v>25</v>
      </c>
      <c r="AM90" s="1" t="s">
        <v>148</v>
      </c>
      <c r="AP90" s="1">
        <f>91-7738891111</f>
        <v>-7738891020</v>
      </c>
      <c r="AR90" s="1">
        <v>1</v>
      </c>
      <c r="AS90" s="1">
        <v>0</v>
      </c>
      <c r="AW90" s="1" t="s">
        <v>142</v>
      </c>
      <c r="AX90" s="1" t="s">
        <v>112</v>
      </c>
      <c r="AY90" s="1" t="s">
        <v>112</v>
      </c>
      <c r="AZ90" s="1" t="s">
        <v>112</v>
      </c>
      <c r="BA90" s="1" t="s">
        <v>112</v>
      </c>
      <c r="BB90" s="1" t="s">
        <v>112</v>
      </c>
      <c r="BC90" s="1" t="s">
        <v>112</v>
      </c>
      <c r="BD90" s="1" t="s">
        <v>112</v>
      </c>
      <c r="BE90" s="1" t="s">
        <v>112</v>
      </c>
      <c r="BF90" s="1" t="s">
        <v>112</v>
      </c>
      <c r="BG90" s="1" t="s">
        <v>112</v>
      </c>
      <c r="BH90" s="1" t="s">
        <v>112</v>
      </c>
      <c r="BI90" s="1" t="s">
        <v>112</v>
      </c>
      <c r="BJ90" s="1" t="s">
        <v>112</v>
      </c>
      <c r="BK90" s="1" t="s">
        <v>112</v>
      </c>
      <c r="BL90" s="1" t="s">
        <v>112</v>
      </c>
      <c r="BM90" s="1" t="s">
        <v>112</v>
      </c>
      <c r="BN90" s="1" t="s">
        <v>112</v>
      </c>
      <c r="BO90" s="1">
        <v>1</v>
      </c>
      <c r="BP90" s="1" t="s">
        <v>163</v>
      </c>
      <c r="BQ90" s="1" t="s">
        <v>112</v>
      </c>
      <c r="BR90" s="1">
        <v>1</v>
      </c>
      <c r="BS90" s="1" t="s">
        <v>334</v>
      </c>
      <c r="BT90" s="1" t="s">
        <v>124</v>
      </c>
      <c r="BU90" s="1" t="s">
        <v>112</v>
      </c>
      <c r="BV90" s="1" t="s">
        <v>112</v>
      </c>
      <c r="BW90" s="1" t="s">
        <v>1906</v>
      </c>
      <c r="BX90" s="1" t="s">
        <v>1907</v>
      </c>
      <c r="BY90" s="1" t="s">
        <v>127</v>
      </c>
      <c r="BZ90" s="1">
        <v>0</v>
      </c>
      <c r="CA90" s="1">
        <v>0</v>
      </c>
      <c r="CB90" s="4">
        <v>42476.258139814818</v>
      </c>
      <c r="CC90" s="1">
        <v>1</v>
      </c>
      <c r="CD90" s="1">
        <v>1</v>
      </c>
      <c r="CE90" s="1">
        <v>1</v>
      </c>
      <c r="CF90" s="1">
        <v>3</v>
      </c>
      <c r="CG90" s="4">
        <v>44024.758452314818</v>
      </c>
      <c r="CH90" s="1" t="s">
        <v>112</v>
      </c>
      <c r="CI90" s="1" t="s">
        <v>1908</v>
      </c>
      <c r="CJ90" s="1" t="s">
        <v>112</v>
      </c>
    </row>
    <row r="91" spans="1:88" x14ac:dyDescent="0.35">
      <c r="A91" s="1">
        <v>446</v>
      </c>
      <c r="B91" s="1" t="s">
        <v>1909</v>
      </c>
      <c r="C91" s="1" t="s">
        <v>1910</v>
      </c>
      <c r="D91" s="1" t="s">
        <v>259</v>
      </c>
      <c r="E91" s="1" t="s">
        <v>1911</v>
      </c>
      <c r="F91" s="1" t="s">
        <v>1912</v>
      </c>
      <c r="G91" s="1">
        <v>0</v>
      </c>
      <c r="H91" s="3">
        <v>32833</v>
      </c>
      <c r="I91" s="1">
        <v>1</v>
      </c>
      <c r="J91" s="1" t="s">
        <v>93</v>
      </c>
      <c r="K91" s="1" t="s">
        <v>1913</v>
      </c>
      <c r="L91" s="2">
        <f>91-9049228969</f>
        <v>-9049228878</v>
      </c>
      <c r="M91" s="1" t="s">
        <v>150</v>
      </c>
      <c r="N91" s="1">
        <v>0</v>
      </c>
      <c r="O91" s="1">
        <v>0</v>
      </c>
      <c r="P91" s="1">
        <v>5.0199999999999996</v>
      </c>
      <c r="Q91" s="1">
        <v>27</v>
      </c>
      <c r="R91" s="1" t="s">
        <v>653</v>
      </c>
      <c r="S91" s="1" t="s">
        <v>1914</v>
      </c>
      <c r="T91" s="1" t="s">
        <v>1915</v>
      </c>
      <c r="U91" s="1" t="s">
        <v>1916</v>
      </c>
      <c r="X91" s="1" t="s">
        <v>223</v>
      </c>
      <c r="Y91" s="1" t="s">
        <v>210</v>
      </c>
      <c r="Z91" s="1" t="s">
        <v>1917</v>
      </c>
      <c r="AB91" s="1">
        <v>0</v>
      </c>
      <c r="AD91" s="1" t="s">
        <v>1918</v>
      </c>
      <c r="AE91" s="1" t="s">
        <v>142</v>
      </c>
      <c r="AF91" s="1" t="s">
        <v>105</v>
      </c>
      <c r="AG91" s="1" t="s">
        <v>1919</v>
      </c>
      <c r="AH91" s="1" t="s">
        <v>638</v>
      </c>
      <c r="AI91" s="1" t="s">
        <v>1920</v>
      </c>
      <c r="AJ91" s="1" t="s">
        <v>109</v>
      </c>
      <c r="AK91" s="1" t="s">
        <v>1921</v>
      </c>
      <c r="AL91" s="1">
        <v>0</v>
      </c>
      <c r="AM91" s="1" t="s">
        <v>223</v>
      </c>
      <c r="AP91" s="1">
        <f>91-9637694433</f>
        <v>-9637694342</v>
      </c>
      <c r="AR91" s="1">
        <v>0</v>
      </c>
      <c r="AS91" s="1">
        <v>0</v>
      </c>
      <c r="AW91" s="1" t="s">
        <v>142</v>
      </c>
      <c r="AX91" s="1" t="s">
        <v>704</v>
      </c>
      <c r="AY91" s="1" t="s">
        <v>150</v>
      </c>
      <c r="AZ91" s="1">
        <v>5.08</v>
      </c>
      <c r="BA91" s="1">
        <v>6</v>
      </c>
      <c r="BB91" s="1" t="s">
        <v>151</v>
      </c>
      <c r="BC91" s="1" t="s">
        <v>152</v>
      </c>
      <c r="BD91" s="1" t="s">
        <v>1395</v>
      </c>
      <c r="BF91" s="1" t="s">
        <v>120</v>
      </c>
      <c r="BI91" s="1" t="s">
        <v>1917</v>
      </c>
      <c r="BJ91" s="1" t="s">
        <v>154</v>
      </c>
      <c r="BK91" s="1" t="s">
        <v>120</v>
      </c>
      <c r="BL91" s="1">
        <v>0</v>
      </c>
      <c r="BM91" s="1">
        <v>0</v>
      </c>
      <c r="BN91" s="1" t="s">
        <v>1922</v>
      </c>
      <c r="BO91" s="1">
        <v>0</v>
      </c>
      <c r="BQ91" s="1" t="s">
        <v>180</v>
      </c>
      <c r="BR91" s="1">
        <v>0</v>
      </c>
      <c r="BS91" s="1" t="s">
        <v>354</v>
      </c>
      <c r="BT91" s="1" t="s">
        <v>124</v>
      </c>
      <c r="BV91" s="1" t="s">
        <v>112</v>
      </c>
      <c r="BY91" s="1" t="s">
        <v>120</v>
      </c>
      <c r="BZ91" s="1">
        <v>0</v>
      </c>
      <c r="CA91" s="1">
        <v>0</v>
      </c>
      <c r="CB91" s="4">
        <v>42477.308193634257</v>
      </c>
      <c r="CC91" s="1">
        <v>1</v>
      </c>
      <c r="CD91" s="1">
        <v>1</v>
      </c>
      <c r="CE91" s="1">
        <v>1</v>
      </c>
      <c r="CF91" s="1">
        <v>4</v>
      </c>
      <c r="CG91" s="4">
        <v>42928.556564895836</v>
      </c>
      <c r="CH91" s="1" t="s">
        <v>112</v>
      </c>
      <c r="CI91" s="1" t="s">
        <v>1514</v>
      </c>
      <c r="CJ91" s="1" t="s">
        <v>157</v>
      </c>
    </row>
    <row r="92" spans="1:88" x14ac:dyDescent="0.35">
      <c r="A92" s="1">
        <v>454</v>
      </c>
      <c r="B92" s="1" t="s">
        <v>1923</v>
      </c>
      <c r="C92" s="1" t="s">
        <v>1924</v>
      </c>
      <c r="D92" s="1" t="s">
        <v>711</v>
      </c>
      <c r="E92" s="1" t="s">
        <v>1925</v>
      </c>
      <c r="F92" s="1" t="s">
        <v>1926</v>
      </c>
      <c r="G92" s="1">
        <v>0</v>
      </c>
      <c r="H92" s="3">
        <v>31288</v>
      </c>
      <c r="I92" s="1">
        <v>1</v>
      </c>
      <c r="J92" s="1" t="s">
        <v>162</v>
      </c>
      <c r="K92" s="1" t="s">
        <v>163</v>
      </c>
      <c r="L92" s="2">
        <f>91-9898034118</f>
        <v>-9898034027</v>
      </c>
      <c r="M92" s="1" t="s">
        <v>150</v>
      </c>
      <c r="N92" s="1">
        <v>0</v>
      </c>
      <c r="O92" s="1">
        <v>0</v>
      </c>
      <c r="P92" s="1">
        <v>5.04</v>
      </c>
      <c r="Q92" s="1">
        <v>38</v>
      </c>
      <c r="R92" s="1" t="s">
        <v>317</v>
      </c>
      <c r="S92" s="1" t="s">
        <v>136</v>
      </c>
      <c r="T92" s="1" t="s">
        <v>341</v>
      </c>
      <c r="U92" s="1" t="s">
        <v>1927</v>
      </c>
      <c r="V92" s="1" t="s">
        <v>364</v>
      </c>
      <c r="W92" s="1" t="s">
        <v>1928</v>
      </c>
      <c r="X92" s="1" t="s">
        <v>296</v>
      </c>
      <c r="Y92" s="1" t="s">
        <v>114</v>
      </c>
      <c r="Z92" s="1" t="s">
        <v>1064</v>
      </c>
      <c r="AB92" s="1">
        <v>0</v>
      </c>
      <c r="AD92" s="1" t="s">
        <v>887</v>
      </c>
      <c r="AE92" s="1" t="s">
        <v>142</v>
      </c>
      <c r="AF92" s="1" t="s">
        <v>105</v>
      </c>
      <c r="AG92" s="1" t="s">
        <v>454</v>
      </c>
      <c r="AH92" s="1" t="s">
        <v>1929</v>
      </c>
      <c r="AI92" s="1" t="s">
        <v>1930</v>
      </c>
      <c r="AJ92" s="1" t="s">
        <v>109</v>
      </c>
      <c r="AK92" s="1" t="s">
        <v>1931</v>
      </c>
      <c r="AL92" s="1">
        <v>19</v>
      </c>
      <c r="AM92" s="1" t="s">
        <v>111</v>
      </c>
      <c r="AO92" s="1" t="s">
        <v>1932</v>
      </c>
      <c r="AP92" s="1">
        <f>91-9898034118</f>
        <v>-9898034027</v>
      </c>
      <c r="AR92" s="1">
        <v>1</v>
      </c>
      <c r="AS92" s="1">
        <v>1</v>
      </c>
      <c r="AW92" s="1" t="s">
        <v>142</v>
      </c>
      <c r="AX92" s="1" t="s">
        <v>1933</v>
      </c>
      <c r="AY92" s="1" t="s">
        <v>150</v>
      </c>
      <c r="AZ92" s="1">
        <v>5.0199999999999996</v>
      </c>
      <c r="BA92" s="1">
        <v>5.0999999999999996</v>
      </c>
      <c r="BB92" s="1" t="s">
        <v>151</v>
      </c>
      <c r="BC92" s="1" t="s">
        <v>152</v>
      </c>
      <c r="BD92" s="1" t="s">
        <v>1395</v>
      </c>
      <c r="BE92" s="1" t="s">
        <v>219</v>
      </c>
      <c r="BF92" s="1" t="s">
        <v>120</v>
      </c>
      <c r="BG92" s="1" t="s">
        <v>120</v>
      </c>
      <c r="BH92" s="1" t="s">
        <v>724</v>
      </c>
      <c r="BI92" s="1" t="s">
        <v>1064</v>
      </c>
      <c r="BJ92" s="1" t="s">
        <v>120</v>
      </c>
      <c r="BK92" s="1" t="s">
        <v>120</v>
      </c>
      <c r="BL92" s="1">
        <v>0</v>
      </c>
      <c r="BM92" s="1">
        <v>1</v>
      </c>
      <c r="BN92" s="1" t="s">
        <v>1934</v>
      </c>
      <c r="BO92" s="1">
        <v>1</v>
      </c>
      <c r="BP92" s="1" t="s">
        <v>1935</v>
      </c>
      <c r="BQ92" s="1" t="s">
        <v>1936</v>
      </c>
      <c r="BR92" s="1">
        <v>0</v>
      </c>
      <c r="BS92" s="1" t="s">
        <v>123</v>
      </c>
      <c r="BT92" s="1" t="s">
        <v>120</v>
      </c>
      <c r="BV92" s="1" t="s">
        <v>112</v>
      </c>
      <c r="BW92" s="1" t="s">
        <v>1937</v>
      </c>
      <c r="BX92" s="1" t="s">
        <v>1938</v>
      </c>
      <c r="BY92" s="1" t="s">
        <v>120</v>
      </c>
      <c r="BZ92" s="1">
        <v>1</v>
      </c>
      <c r="CA92" s="1">
        <v>1</v>
      </c>
      <c r="CB92" s="4">
        <v>42480.481527812502</v>
      </c>
      <c r="CC92" s="1">
        <v>1</v>
      </c>
      <c r="CD92" s="1">
        <v>1</v>
      </c>
      <c r="CE92" s="1">
        <v>1</v>
      </c>
      <c r="CF92" s="1">
        <v>1</v>
      </c>
      <c r="CG92" s="4">
        <v>43692.601055243053</v>
      </c>
      <c r="CH92" s="1" t="s">
        <v>112</v>
      </c>
      <c r="CI92" s="1" t="s">
        <v>1939</v>
      </c>
      <c r="CJ92" s="1" t="s">
        <v>157</v>
      </c>
    </row>
    <row r="93" spans="1:88" x14ac:dyDescent="0.35">
      <c r="A93" s="1">
        <v>456</v>
      </c>
      <c r="B93" s="1" t="s">
        <v>1940</v>
      </c>
      <c r="C93" s="1" t="s">
        <v>1941</v>
      </c>
      <c r="D93" s="1" t="s">
        <v>229</v>
      </c>
      <c r="E93" s="1" t="s">
        <v>1942</v>
      </c>
      <c r="F93" s="1" t="s">
        <v>1943</v>
      </c>
      <c r="G93" s="1">
        <v>0</v>
      </c>
      <c r="H93" s="3">
        <v>33252</v>
      </c>
      <c r="I93" s="1">
        <v>1</v>
      </c>
      <c r="J93" s="1" t="s">
        <v>162</v>
      </c>
      <c r="K93" s="1" t="s">
        <v>1406</v>
      </c>
      <c r="L93" s="2">
        <f>91-9408255068</f>
        <v>-9408254977</v>
      </c>
      <c r="M93" s="1" t="s">
        <v>150</v>
      </c>
      <c r="N93" s="1">
        <v>0</v>
      </c>
      <c r="O93" s="1">
        <v>0</v>
      </c>
      <c r="P93" s="1">
        <v>5</v>
      </c>
      <c r="Q93" s="1">
        <v>12</v>
      </c>
      <c r="R93" s="1" t="s">
        <v>470</v>
      </c>
      <c r="S93" s="1" t="s">
        <v>97</v>
      </c>
      <c r="T93" s="1" t="s">
        <v>137</v>
      </c>
      <c r="U93" s="1" t="s">
        <v>1944</v>
      </c>
      <c r="X93" s="1" t="s">
        <v>170</v>
      </c>
      <c r="Y93" s="1" t="s">
        <v>129</v>
      </c>
      <c r="Z93" s="1" t="s">
        <v>1193</v>
      </c>
      <c r="AB93" s="1">
        <v>0</v>
      </c>
      <c r="AD93" s="1" t="s">
        <v>1945</v>
      </c>
      <c r="AE93" s="1" t="s">
        <v>142</v>
      </c>
      <c r="AF93" s="1" t="s">
        <v>105</v>
      </c>
      <c r="AG93" s="1" t="s">
        <v>1946</v>
      </c>
      <c r="AH93" s="1" t="s">
        <v>1947</v>
      </c>
      <c r="AI93" s="1" t="s">
        <v>1948</v>
      </c>
      <c r="AJ93" s="1" t="s">
        <v>109</v>
      </c>
      <c r="AK93" s="1" t="s">
        <v>1949</v>
      </c>
      <c r="AL93" s="1">
        <v>24</v>
      </c>
      <c r="AM93" s="1" t="s">
        <v>111</v>
      </c>
      <c r="AO93" s="1" t="s">
        <v>1950</v>
      </c>
      <c r="AP93" s="1">
        <f>91-9825553068</f>
        <v>-9825552977</v>
      </c>
      <c r="AQ93" s="1" t="s">
        <v>1951</v>
      </c>
      <c r="AR93" s="1">
        <v>2</v>
      </c>
      <c r="AS93" s="1">
        <v>1</v>
      </c>
      <c r="AW93" s="1" t="s">
        <v>142</v>
      </c>
      <c r="AX93" s="1" t="s">
        <v>1952</v>
      </c>
      <c r="AY93" s="1" t="s">
        <v>150</v>
      </c>
      <c r="AZ93" s="1">
        <v>5</v>
      </c>
      <c r="BA93" s="1">
        <v>5.08</v>
      </c>
      <c r="BB93" s="1" t="s">
        <v>151</v>
      </c>
      <c r="BC93" s="1" t="s">
        <v>304</v>
      </c>
      <c r="BD93" s="1" t="s">
        <v>1333</v>
      </c>
      <c r="BE93" s="1" t="s">
        <v>1953</v>
      </c>
      <c r="BF93" s="1" t="s">
        <v>120</v>
      </c>
      <c r="BG93" s="1" t="s">
        <v>120</v>
      </c>
      <c r="BH93" s="1" t="s">
        <v>1954</v>
      </c>
      <c r="BJ93" s="1" t="s">
        <v>120</v>
      </c>
      <c r="BK93" s="1" t="s">
        <v>120</v>
      </c>
      <c r="BL93" s="1">
        <v>0</v>
      </c>
      <c r="BM93" s="1">
        <v>1</v>
      </c>
      <c r="BN93" s="1" t="s">
        <v>1955</v>
      </c>
      <c r="BO93" s="1">
        <v>0</v>
      </c>
      <c r="BQ93" s="1" t="s">
        <v>180</v>
      </c>
      <c r="BR93" s="1">
        <v>0</v>
      </c>
      <c r="BS93" s="1" t="s">
        <v>1208</v>
      </c>
      <c r="BT93" s="1" t="s">
        <v>124</v>
      </c>
      <c r="BV93" s="1" t="s">
        <v>112</v>
      </c>
      <c r="BW93" s="1" t="s">
        <v>1956</v>
      </c>
      <c r="BX93" s="1" t="s">
        <v>1957</v>
      </c>
      <c r="BY93" s="1" t="s">
        <v>120</v>
      </c>
      <c r="BZ93" s="1">
        <v>0</v>
      </c>
      <c r="CA93" s="1">
        <v>0</v>
      </c>
      <c r="CB93" s="4">
        <v>42481.15783822917</v>
      </c>
      <c r="CC93" s="1">
        <v>1</v>
      </c>
      <c r="CD93" s="1">
        <v>1</v>
      </c>
      <c r="CE93" s="1">
        <v>1</v>
      </c>
      <c r="CF93" s="1">
        <v>4</v>
      </c>
      <c r="CG93" s="4">
        <v>42979.555954745367</v>
      </c>
      <c r="CH93" s="1" t="s">
        <v>112</v>
      </c>
      <c r="CI93" s="1" t="s">
        <v>1958</v>
      </c>
      <c r="CJ93" s="1" t="s">
        <v>157</v>
      </c>
    </row>
    <row r="94" spans="1:88" x14ac:dyDescent="0.35">
      <c r="A94" s="1">
        <v>462</v>
      </c>
      <c r="B94" s="1" t="s">
        <v>1959</v>
      </c>
      <c r="C94" s="1" t="s">
        <v>1960</v>
      </c>
      <c r="D94" s="1" t="s">
        <v>90</v>
      </c>
      <c r="E94" s="1" t="s">
        <v>1961</v>
      </c>
      <c r="F94" s="1" t="s">
        <v>1962</v>
      </c>
      <c r="G94" s="1">
        <v>1</v>
      </c>
      <c r="H94" s="3">
        <v>34098</v>
      </c>
      <c r="I94" s="1">
        <v>1</v>
      </c>
      <c r="J94" s="1" t="s">
        <v>162</v>
      </c>
      <c r="K94" s="1" t="s">
        <v>847</v>
      </c>
      <c r="L94" s="2">
        <f>91-9428773103</f>
        <v>-9428773012</v>
      </c>
      <c r="M94" s="1" t="s">
        <v>150</v>
      </c>
      <c r="N94" s="1">
        <v>0</v>
      </c>
      <c r="O94" s="1">
        <v>0</v>
      </c>
      <c r="P94" s="1">
        <v>5.05</v>
      </c>
      <c r="Q94" s="1">
        <v>19</v>
      </c>
      <c r="R94" s="1" t="s">
        <v>714</v>
      </c>
      <c r="S94" s="1" t="s">
        <v>492</v>
      </c>
      <c r="T94" s="1" t="s">
        <v>341</v>
      </c>
      <c r="U94" s="1" t="s">
        <v>1963</v>
      </c>
      <c r="V94" s="1" t="s">
        <v>1964</v>
      </c>
      <c r="X94" s="1" t="s">
        <v>296</v>
      </c>
      <c r="Y94" s="1" t="s">
        <v>111</v>
      </c>
      <c r="Z94" s="1" t="s">
        <v>1965</v>
      </c>
      <c r="AA94" s="1" t="s">
        <v>1966</v>
      </c>
      <c r="AB94" s="1">
        <v>0</v>
      </c>
      <c r="AD94" s="1" t="s">
        <v>1967</v>
      </c>
      <c r="AE94" s="1">
        <f>91-2835284531</f>
        <v>-2835284440</v>
      </c>
      <c r="AF94" s="1" t="s">
        <v>143</v>
      </c>
      <c r="AG94" s="1" t="s">
        <v>1968</v>
      </c>
      <c r="AH94" s="1" t="s">
        <v>1969</v>
      </c>
      <c r="AI94" s="1" t="s">
        <v>1759</v>
      </c>
      <c r="AJ94" s="1" t="s">
        <v>109</v>
      </c>
      <c r="AK94" s="1" t="s">
        <v>1970</v>
      </c>
      <c r="AL94" s="1">
        <v>6</v>
      </c>
      <c r="AM94" s="1" t="s">
        <v>1971</v>
      </c>
      <c r="AN94" s="1" t="s">
        <v>1972</v>
      </c>
      <c r="AO94" s="1" t="s">
        <v>1973</v>
      </c>
      <c r="AP94" s="1">
        <f>91-9427566330</f>
        <v>-9427566239</v>
      </c>
      <c r="AQ94" s="1" t="s">
        <v>1974</v>
      </c>
      <c r="AR94" s="1">
        <v>1</v>
      </c>
      <c r="AS94" s="1">
        <v>1</v>
      </c>
      <c r="AW94" s="1" t="s">
        <v>142</v>
      </c>
      <c r="AX94" s="1" t="s">
        <v>1975</v>
      </c>
      <c r="AY94" s="1" t="s">
        <v>150</v>
      </c>
      <c r="AZ94" s="1">
        <v>4.09</v>
      </c>
      <c r="BA94" s="1">
        <v>4.09</v>
      </c>
      <c r="BB94" s="1" t="s">
        <v>151</v>
      </c>
      <c r="BC94" s="1" t="s">
        <v>152</v>
      </c>
      <c r="BD94" s="1" t="s">
        <v>1395</v>
      </c>
      <c r="BE94" s="1" t="s">
        <v>492</v>
      </c>
      <c r="BF94" s="1" t="s">
        <v>120</v>
      </c>
      <c r="BG94" s="1" t="s">
        <v>296</v>
      </c>
      <c r="BH94" s="1" t="s">
        <v>120</v>
      </c>
      <c r="BI94" s="1" t="s">
        <v>132</v>
      </c>
      <c r="BJ94" s="1" t="s">
        <v>120</v>
      </c>
      <c r="BK94" s="1" t="s">
        <v>120</v>
      </c>
      <c r="BL94" s="1">
        <v>0</v>
      </c>
      <c r="BM94" s="1">
        <v>0</v>
      </c>
      <c r="BN94" s="1" t="s">
        <v>1976</v>
      </c>
      <c r="BO94" s="1">
        <v>1</v>
      </c>
      <c r="BP94" s="1" t="s">
        <v>1977</v>
      </c>
      <c r="BQ94" s="1" t="s">
        <v>1978</v>
      </c>
      <c r="BR94" s="1">
        <v>0</v>
      </c>
      <c r="BS94" s="1" t="s">
        <v>1208</v>
      </c>
      <c r="BT94" s="1" t="s">
        <v>124</v>
      </c>
      <c r="BV94" s="1" t="s">
        <v>112</v>
      </c>
      <c r="BW94" s="1" t="s">
        <v>1979</v>
      </c>
      <c r="BX94" s="1" t="s">
        <v>1980</v>
      </c>
      <c r="BY94" s="1" t="s">
        <v>120</v>
      </c>
      <c r="BZ94" s="1">
        <v>1</v>
      </c>
      <c r="CA94" s="1">
        <v>0</v>
      </c>
      <c r="CB94" s="4">
        <v>42482.795403506942</v>
      </c>
      <c r="CC94" s="1">
        <v>1</v>
      </c>
      <c r="CD94" s="1">
        <v>1</v>
      </c>
      <c r="CE94" s="1">
        <v>1</v>
      </c>
      <c r="CF94" s="1">
        <v>4</v>
      </c>
      <c r="CG94" s="1" t="s">
        <v>112</v>
      </c>
      <c r="CH94" s="1" t="s">
        <v>112</v>
      </c>
      <c r="CI94" s="1" t="s">
        <v>1981</v>
      </c>
      <c r="CJ94" s="1" t="s">
        <v>157</v>
      </c>
    </row>
    <row r="95" spans="1:88" x14ac:dyDescent="0.35">
      <c r="A95" s="1">
        <v>469</v>
      </c>
      <c r="B95" s="1" t="s">
        <v>1982</v>
      </c>
      <c r="C95" s="1" t="s">
        <v>1983</v>
      </c>
      <c r="D95" s="1" t="s">
        <v>90</v>
      </c>
      <c r="E95" s="1" t="s">
        <v>1984</v>
      </c>
      <c r="F95" s="1" t="s">
        <v>1985</v>
      </c>
      <c r="G95" s="1">
        <v>0</v>
      </c>
      <c r="H95" s="3">
        <v>33232</v>
      </c>
      <c r="I95" s="1">
        <v>1</v>
      </c>
      <c r="J95" s="1" t="s">
        <v>162</v>
      </c>
      <c r="K95" s="1" t="s">
        <v>1986</v>
      </c>
      <c r="L95" s="2" t="s">
        <v>142</v>
      </c>
      <c r="M95" s="1" t="s">
        <v>150</v>
      </c>
      <c r="N95" s="1">
        <v>0</v>
      </c>
      <c r="O95" s="1">
        <v>0</v>
      </c>
      <c r="P95" s="1">
        <v>4.09</v>
      </c>
      <c r="Q95" s="1">
        <v>23</v>
      </c>
      <c r="R95" s="1" t="s">
        <v>1987</v>
      </c>
      <c r="S95" s="1" t="s">
        <v>136</v>
      </c>
      <c r="T95" s="1" t="s">
        <v>1988</v>
      </c>
      <c r="U95" s="1" t="s">
        <v>1989</v>
      </c>
      <c r="X95" s="1" t="s">
        <v>223</v>
      </c>
      <c r="Y95" s="1" t="s">
        <v>268</v>
      </c>
      <c r="Z95" s="1" t="s">
        <v>1193</v>
      </c>
      <c r="AB95" s="1">
        <v>0</v>
      </c>
      <c r="AE95" s="1" t="s">
        <v>142</v>
      </c>
      <c r="AF95" s="1" t="s">
        <v>143</v>
      </c>
      <c r="AJ95" s="1" t="s">
        <v>478</v>
      </c>
      <c r="AL95" s="1">
        <v>0</v>
      </c>
      <c r="AM95" s="1" t="s">
        <v>223</v>
      </c>
      <c r="AP95" s="1" t="s">
        <v>142</v>
      </c>
      <c r="AR95" s="1">
        <v>0</v>
      </c>
      <c r="AS95" s="1">
        <v>0</v>
      </c>
      <c r="AW95" s="1" t="s">
        <v>142</v>
      </c>
      <c r="AX95" s="1" t="s">
        <v>1990</v>
      </c>
      <c r="AY95" s="1" t="s">
        <v>150</v>
      </c>
      <c r="AZ95" s="1">
        <v>4</v>
      </c>
      <c r="BA95" s="1">
        <v>7.05</v>
      </c>
      <c r="BB95" s="1" t="s">
        <v>151</v>
      </c>
      <c r="BC95" s="1" t="s">
        <v>152</v>
      </c>
      <c r="BD95" s="1" t="s">
        <v>1395</v>
      </c>
      <c r="BF95" s="1" t="s">
        <v>120</v>
      </c>
      <c r="BI95" s="1" t="s">
        <v>1193</v>
      </c>
      <c r="BJ95" s="1" t="s">
        <v>120</v>
      </c>
      <c r="BK95" s="1" t="s">
        <v>120</v>
      </c>
      <c r="BL95" s="1">
        <v>0</v>
      </c>
      <c r="BM95" s="1">
        <v>0</v>
      </c>
      <c r="BO95" s="1">
        <v>0</v>
      </c>
      <c r="BQ95" s="1" t="s">
        <v>180</v>
      </c>
      <c r="BR95" s="1">
        <v>0</v>
      </c>
      <c r="BS95" s="1" t="s">
        <v>399</v>
      </c>
      <c r="BT95" s="1" t="s">
        <v>124</v>
      </c>
      <c r="BV95" s="1" t="s">
        <v>112</v>
      </c>
      <c r="BY95" s="1" t="s">
        <v>120</v>
      </c>
      <c r="BZ95" s="1">
        <v>0</v>
      </c>
      <c r="CA95" s="1">
        <v>0</v>
      </c>
      <c r="CB95" s="4">
        <v>42484.83202519676</v>
      </c>
      <c r="CC95" s="1">
        <v>1</v>
      </c>
      <c r="CD95" s="1">
        <v>1</v>
      </c>
      <c r="CE95" s="1">
        <v>1</v>
      </c>
      <c r="CF95" s="1">
        <v>4</v>
      </c>
      <c r="CG95" s="4">
        <v>42967.720746145831</v>
      </c>
      <c r="CH95" s="1" t="s">
        <v>112</v>
      </c>
      <c r="CJ95" s="1" t="s">
        <v>157</v>
      </c>
    </row>
    <row r="96" spans="1:88" x14ac:dyDescent="0.35">
      <c r="A96" s="1">
        <v>472</v>
      </c>
      <c r="B96" s="1" t="s">
        <v>1991</v>
      </c>
      <c r="C96" s="1" t="s">
        <v>1992</v>
      </c>
      <c r="D96" s="1" t="s">
        <v>711</v>
      </c>
      <c r="E96" s="1" t="s">
        <v>1993</v>
      </c>
      <c r="F96" s="1" t="s">
        <v>1994</v>
      </c>
      <c r="G96" s="1">
        <v>0</v>
      </c>
      <c r="H96" s="3">
        <v>34800</v>
      </c>
      <c r="I96" s="1">
        <v>1</v>
      </c>
      <c r="J96" s="1" t="s">
        <v>315</v>
      </c>
      <c r="K96" s="1" t="s">
        <v>1995</v>
      </c>
      <c r="L96" s="2">
        <f>91-7829772261</f>
        <v>-7829772170</v>
      </c>
      <c r="M96" s="1" t="s">
        <v>150</v>
      </c>
      <c r="N96" s="1">
        <v>0</v>
      </c>
      <c r="O96" s="1">
        <v>0</v>
      </c>
      <c r="P96" s="1">
        <v>5.03</v>
      </c>
      <c r="Q96" s="1">
        <v>12</v>
      </c>
      <c r="R96" s="1" t="s">
        <v>470</v>
      </c>
      <c r="S96" s="1" t="s">
        <v>492</v>
      </c>
      <c r="T96" s="1" t="s">
        <v>137</v>
      </c>
      <c r="X96" s="1" t="s">
        <v>223</v>
      </c>
      <c r="Y96" s="1" t="s">
        <v>114</v>
      </c>
      <c r="Z96" s="1" t="s">
        <v>1064</v>
      </c>
      <c r="AB96" s="1">
        <v>0</v>
      </c>
      <c r="AE96" s="1" t="s">
        <v>142</v>
      </c>
      <c r="AF96" s="1" t="s">
        <v>105</v>
      </c>
      <c r="AG96" s="1" t="s">
        <v>1996</v>
      </c>
      <c r="AH96" s="1" t="s">
        <v>1997</v>
      </c>
      <c r="AI96" s="1" t="s">
        <v>1998</v>
      </c>
      <c r="AJ96" s="1" t="s">
        <v>109</v>
      </c>
      <c r="AK96" s="1" t="s">
        <v>1999</v>
      </c>
      <c r="AL96" s="1">
        <v>0</v>
      </c>
      <c r="AM96" s="1" t="s">
        <v>223</v>
      </c>
      <c r="AP96" s="1" t="s">
        <v>142</v>
      </c>
      <c r="AR96" s="1">
        <v>0</v>
      </c>
      <c r="AS96" s="1">
        <v>0</v>
      </c>
      <c r="AW96" s="1" t="s">
        <v>142</v>
      </c>
      <c r="AX96" s="1" t="s">
        <v>2000</v>
      </c>
      <c r="AY96" s="1" t="s">
        <v>150</v>
      </c>
      <c r="AZ96" s="1">
        <v>5.0999999999999996</v>
      </c>
      <c r="BA96" s="1">
        <v>5.0999999999999996</v>
      </c>
      <c r="BB96" s="1" t="s">
        <v>151</v>
      </c>
      <c r="BC96" s="1" t="s">
        <v>152</v>
      </c>
      <c r="BD96" s="1" t="s">
        <v>1395</v>
      </c>
      <c r="BF96" s="1" t="s">
        <v>120</v>
      </c>
      <c r="BI96" s="1" t="s">
        <v>1064</v>
      </c>
      <c r="BJ96" s="1" t="s">
        <v>154</v>
      </c>
      <c r="BK96" s="1" t="s">
        <v>120</v>
      </c>
      <c r="BL96" s="1">
        <v>0</v>
      </c>
      <c r="BM96" s="1">
        <v>1</v>
      </c>
      <c r="BO96" s="1">
        <v>0</v>
      </c>
      <c r="BQ96" s="1" t="s">
        <v>180</v>
      </c>
      <c r="BR96" s="1">
        <v>0</v>
      </c>
      <c r="BS96" s="1" t="s">
        <v>354</v>
      </c>
      <c r="BT96" s="1" t="s">
        <v>124</v>
      </c>
      <c r="BV96" s="1" t="s">
        <v>112</v>
      </c>
      <c r="BY96" s="1" t="s">
        <v>120</v>
      </c>
      <c r="BZ96" s="1">
        <v>0</v>
      </c>
      <c r="CA96" s="1">
        <v>0</v>
      </c>
      <c r="CB96" s="4">
        <v>42485.933682372684</v>
      </c>
      <c r="CC96" s="1">
        <v>1</v>
      </c>
      <c r="CD96" s="1">
        <v>1</v>
      </c>
      <c r="CE96" s="1">
        <v>1</v>
      </c>
      <c r="CF96" s="1">
        <v>4</v>
      </c>
      <c r="CG96" s="1" t="s">
        <v>112</v>
      </c>
      <c r="CH96" s="1" t="s">
        <v>112</v>
      </c>
      <c r="CI96" s="1" t="s">
        <v>1645</v>
      </c>
      <c r="CJ96" s="1" t="s">
        <v>157</v>
      </c>
    </row>
    <row r="97" spans="1:88" x14ac:dyDescent="0.35">
      <c r="A97" s="1">
        <v>479</v>
      </c>
      <c r="B97" s="1" t="s">
        <v>2001</v>
      </c>
      <c r="C97" s="1">
        <v>8758423</v>
      </c>
      <c r="D97" s="1" t="s">
        <v>90</v>
      </c>
      <c r="E97" s="1" t="s">
        <v>2002</v>
      </c>
      <c r="F97" s="1" t="s">
        <v>2003</v>
      </c>
      <c r="G97" s="1">
        <v>0</v>
      </c>
      <c r="H97" s="3">
        <v>34291</v>
      </c>
      <c r="I97" s="1">
        <v>1</v>
      </c>
      <c r="J97" s="1" t="s">
        <v>162</v>
      </c>
      <c r="K97" s="1" t="s">
        <v>847</v>
      </c>
      <c r="L97" s="2">
        <f>91-7507911155</f>
        <v>-7507911064</v>
      </c>
      <c r="M97" s="1" t="s">
        <v>150</v>
      </c>
      <c r="N97" s="1">
        <v>0</v>
      </c>
      <c r="O97" s="1">
        <v>0</v>
      </c>
      <c r="P97" s="1">
        <v>5.0599999999999996</v>
      </c>
      <c r="Q97" s="1">
        <v>8</v>
      </c>
      <c r="R97" s="1" t="s">
        <v>605</v>
      </c>
      <c r="S97" s="1" t="s">
        <v>97</v>
      </c>
      <c r="T97" s="1" t="s">
        <v>166</v>
      </c>
      <c r="U97" s="1" t="s">
        <v>2004</v>
      </c>
      <c r="X97" s="1" t="s">
        <v>223</v>
      </c>
      <c r="Y97" s="1" t="s">
        <v>210</v>
      </c>
      <c r="AB97" s="1">
        <v>0</v>
      </c>
      <c r="AD97" s="1" t="s">
        <v>2005</v>
      </c>
      <c r="AE97" s="1" t="s">
        <v>142</v>
      </c>
      <c r="AF97" s="1" t="s">
        <v>105</v>
      </c>
      <c r="AJ97" s="1" t="s">
        <v>478</v>
      </c>
      <c r="AL97" s="1">
        <v>0</v>
      </c>
      <c r="AM97" s="1" t="s">
        <v>223</v>
      </c>
      <c r="AP97" s="1" t="s">
        <v>142</v>
      </c>
      <c r="AR97" s="1">
        <v>0</v>
      </c>
      <c r="AS97" s="1">
        <v>0</v>
      </c>
      <c r="AW97" s="1" t="s">
        <v>142</v>
      </c>
      <c r="AX97" s="1" t="s">
        <v>1596</v>
      </c>
      <c r="AZ97" s="1">
        <v>4</v>
      </c>
      <c r="BA97" s="1">
        <v>7.05</v>
      </c>
      <c r="BB97" s="1" t="s">
        <v>151</v>
      </c>
      <c r="BC97" s="1" t="s">
        <v>152</v>
      </c>
      <c r="BD97" s="1" t="s">
        <v>1395</v>
      </c>
      <c r="BF97" s="1" t="s">
        <v>120</v>
      </c>
      <c r="BI97" s="1" t="s">
        <v>132</v>
      </c>
      <c r="BJ97" s="1" t="s">
        <v>120</v>
      </c>
      <c r="BK97" s="1" t="s">
        <v>120</v>
      </c>
      <c r="BL97" s="1">
        <v>0</v>
      </c>
      <c r="BM97" s="1">
        <v>0</v>
      </c>
      <c r="BO97" s="1">
        <v>0</v>
      </c>
      <c r="BQ97" s="1" t="s">
        <v>180</v>
      </c>
      <c r="BR97" s="1">
        <v>0</v>
      </c>
      <c r="BS97" s="1" t="s">
        <v>123</v>
      </c>
      <c r="BT97" s="1" t="s">
        <v>124</v>
      </c>
      <c r="BV97" s="1" t="s">
        <v>112</v>
      </c>
      <c r="BY97" s="1" t="s">
        <v>120</v>
      </c>
      <c r="BZ97" s="1">
        <v>0</v>
      </c>
      <c r="CA97" s="1">
        <v>0</v>
      </c>
      <c r="CB97" s="4">
        <v>42495.088164618057</v>
      </c>
      <c r="CC97" s="1">
        <v>1</v>
      </c>
      <c r="CD97" s="1">
        <v>1</v>
      </c>
      <c r="CE97" s="1">
        <v>1</v>
      </c>
      <c r="CF97" s="1">
        <v>4</v>
      </c>
      <c r="CG97" s="1" t="s">
        <v>112</v>
      </c>
      <c r="CH97" s="1" t="s">
        <v>112</v>
      </c>
      <c r="CJ97" s="1" t="s">
        <v>157</v>
      </c>
    </row>
    <row r="98" spans="1:88" x14ac:dyDescent="0.35">
      <c r="A98" s="1">
        <v>483</v>
      </c>
      <c r="B98" s="1" t="s">
        <v>2006</v>
      </c>
      <c r="C98" s="1" t="s">
        <v>2007</v>
      </c>
      <c r="D98" s="1" t="s">
        <v>90</v>
      </c>
      <c r="E98" s="1" t="s">
        <v>2008</v>
      </c>
      <c r="F98" s="1" t="s">
        <v>134</v>
      </c>
      <c r="G98" s="1">
        <v>1</v>
      </c>
      <c r="H98" s="3">
        <v>33174</v>
      </c>
      <c r="I98" s="1">
        <v>1</v>
      </c>
      <c r="J98" s="1" t="s">
        <v>162</v>
      </c>
      <c r="K98" s="1" t="s">
        <v>1037</v>
      </c>
      <c r="L98" s="2">
        <f>91-9714056737</f>
        <v>-9714056646</v>
      </c>
      <c r="M98" s="1" t="s">
        <v>95</v>
      </c>
      <c r="N98" s="1">
        <v>0</v>
      </c>
      <c r="O98" s="1">
        <v>0</v>
      </c>
      <c r="P98" s="1">
        <v>4.05</v>
      </c>
      <c r="Q98" s="1">
        <v>5</v>
      </c>
      <c r="R98" s="1" t="s">
        <v>263</v>
      </c>
      <c r="S98" s="1" t="s">
        <v>97</v>
      </c>
      <c r="T98" s="1" t="s">
        <v>341</v>
      </c>
      <c r="U98" s="1" t="s">
        <v>2009</v>
      </c>
      <c r="V98" s="1" t="s">
        <v>1812</v>
      </c>
      <c r="W98" s="1" t="s">
        <v>342</v>
      </c>
      <c r="X98" s="1" t="s">
        <v>296</v>
      </c>
      <c r="Y98" s="1" t="s">
        <v>306</v>
      </c>
      <c r="Z98" s="1" t="s">
        <v>1868</v>
      </c>
      <c r="AA98" s="1" t="s">
        <v>2010</v>
      </c>
      <c r="AB98" s="1">
        <v>0</v>
      </c>
      <c r="AD98" s="1" t="s">
        <v>2011</v>
      </c>
      <c r="AE98" s="1">
        <f>91-9427756737</f>
        <v>-9427756646</v>
      </c>
      <c r="AF98" s="1" t="s">
        <v>143</v>
      </c>
      <c r="AG98" s="1" t="s">
        <v>2012</v>
      </c>
      <c r="AH98" s="1" t="s">
        <v>2013</v>
      </c>
      <c r="AI98" s="1" t="s">
        <v>2014</v>
      </c>
      <c r="AJ98" s="1" t="s">
        <v>109</v>
      </c>
      <c r="AK98" s="1" t="s">
        <v>2015</v>
      </c>
      <c r="AL98" s="1">
        <v>26</v>
      </c>
      <c r="AM98" s="1" t="s">
        <v>306</v>
      </c>
      <c r="AN98" s="1" t="s">
        <v>124</v>
      </c>
      <c r="AO98" s="1" t="s">
        <v>2016</v>
      </c>
      <c r="AP98" s="1">
        <f>91-9428965810</f>
        <v>-9428965719</v>
      </c>
      <c r="AQ98" s="1">
        <v>9714056737</v>
      </c>
      <c r="AR98" s="1">
        <v>1</v>
      </c>
      <c r="AS98" s="1">
        <v>1</v>
      </c>
      <c r="AT98" s="1" t="s">
        <v>2017</v>
      </c>
      <c r="AU98" s="1" t="s">
        <v>2018</v>
      </c>
      <c r="AV98" s="1" t="s">
        <v>2019</v>
      </c>
      <c r="AW98" s="1">
        <f>91-9427756737</f>
        <v>-9427756646</v>
      </c>
      <c r="AX98" s="1" t="s">
        <v>199</v>
      </c>
      <c r="AY98" s="1" t="s">
        <v>95</v>
      </c>
      <c r="AZ98" s="1">
        <v>5.01</v>
      </c>
      <c r="BA98" s="1">
        <v>5.07</v>
      </c>
      <c r="BB98" s="1" t="s">
        <v>151</v>
      </c>
      <c r="BC98" s="1" t="s">
        <v>152</v>
      </c>
      <c r="BD98" s="1" t="s">
        <v>1395</v>
      </c>
      <c r="BE98" s="1" t="s">
        <v>120</v>
      </c>
      <c r="BF98" s="1" t="s">
        <v>120</v>
      </c>
      <c r="BG98" s="1" t="s">
        <v>120</v>
      </c>
      <c r="BH98" s="1" t="s">
        <v>120</v>
      </c>
      <c r="BI98" s="1" t="s">
        <v>1868</v>
      </c>
      <c r="BJ98" s="1" t="s">
        <v>120</v>
      </c>
      <c r="BK98" s="1" t="s">
        <v>120</v>
      </c>
      <c r="BL98" s="1">
        <v>0</v>
      </c>
      <c r="BM98" s="1">
        <v>0</v>
      </c>
      <c r="BN98" s="1" t="s">
        <v>2020</v>
      </c>
      <c r="BO98" s="1">
        <v>1</v>
      </c>
      <c r="BP98" s="1">
        <v>25</v>
      </c>
      <c r="BQ98" s="1" t="s">
        <v>2021</v>
      </c>
      <c r="BR98" s="1">
        <v>1</v>
      </c>
      <c r="BS98" s="1" t="s">
        <v>123</v>
      </c>
      <c r="BT98" s="1" t="s">
        <v>124</v>
      </c>
      <c r="BU98" s="1" t="s">
        <v>2022</v>
      </c>
      <c r="BV98" s="1" t="s">
        <v>112</v>
      </c>
      <c r="BW98" s="1" t="s">
        <v>2023</v>
      </c>
      <c r="BX98" s="1" t="s">
        <v>2024</v>
      </c>
      <c r="BY98" s="1" t="s">
        <v>127</v>
      </c>
      <c r="BZ98" s="1">
        <v>8</v>
      </c>
      <c r="CA98" s="1">
        <v>2</v>
      </c>
      <c r="CB98" s="4">
        <v>42501.915011111108</v>
      </c>
      <c r="CC98" s="1">
        <v>1</v>
      </c>
      <c r="CD98" s="1">
        <v>1</v>
      </c>
      <c r="CE98" s="1">
        <v>1</v>
      </c>
      <c r="CF98" s="1">
        <v>4</v>
      </c>
      <c r="CG98" s="1" t="s">
        <v>112</v>
      </c>
      <c r="CH98" s="1" t="s">
        <v>112</v>
      </c>
      <c r="CI98" s="1" t="s">
        <v>2019</v>
      </c>
      <c r="CJ98" s="1" t="s">
        <v>157</v>
      </c>
    </row>
    <row r="99" spans="1:88" x14ac:dyDescent="0.35">
      <c r="A99" s="1">
        <v>484</v>
      </c>
      <c r="B99" s="1" t="s">
        <v>2025</v>
      </c>
      <c r="C99" s="1" t="s">
        <v>2026</v>
      </c>
      <c r="D99" s="1" t="s">
        <v>312</v>
      </c>
      <c r="E99" s="1" t="s">
        <v>2027</v>
      </c>
      <c r="F99" s="1" t="s">
        <v>603</v>
      </c>
      <c r="G99" s="1">
        <v>1</v>
      </c>
      <c r="H99" s="3">
        <v>31189</v>
      </c>
      <c r="I99" s="1">
        <v>1</v>
      </c>
      <c r="J99" s="1" t="s">
        <v>162</v>
      </c>
      <c r="K99" s="1" t="s">
        <v>1037</v>
      </c>
      <c r="L99" s="2">
        <f>91-9898984682</f>
        <v>-9898984591</v>
      </c>
      <c r="M99" s="1" t="s">
        <v>150</v>
      </c>
      <c r="N99" s="1">
        <v>0</v>
      </c>
      <c r="O99" s="1">
        <v>0</v>
      </c>
      <c r="P99" s="1">
        <v>5.05</v>
      </c>
      <c r="Q99" s="1">
        <v>42</v>
      </c>
      <c r="R99" s="1" t="s">
        <v>2028</v>
      </c>
      <c r="S99" s="1" t="s">
        <v>233</v>
      </c>
      <c r="T99" s="1" t="s">
        <v>129</v>
      </c>
      <c r="U99" s="1" t="s">
        <v>2029</v>
      </c>
      <c r="V99" s="1" t="s">
        <v>2030</v>
      </c>
      <c r="W99" s="1" t="s">
        <v>2031</v>
      </c>
      <c r="X99" s="1" t="s">
        <v>100</v>
      </c>
      <c r="Y99" s="1" t="s">
        <v>111</v>
      </c>
      <c r="Z99" s="1" t="s">
        <v>192</v>
      </c>
      <c r="AA99" s="1" t="s">
        <v>2032</v>
      </c>
      <c r="AB99" s="1">
        <v>0</v>
      </c>
      <c r="AD99" s="1" t="s">
        <v>2033</v>
      </c>
      <c r="AE99" s="1">
        <f>91-9898984682</f>
        <v>-9898984591</v>
      </c>
      <c r="AF99" s="1" t="s">
        <v>143</v>
      </c>
      <c r="AG99" s="1" t="s">
        <v>2034</v>
      </c>
      <c r="AH99" s="1" t="s">
        <v>2035</v>
      </c>
      <c r="AI99" s="1" t="s">
        <v>2036</v>
      </c>
      <c r="AJ99" s="1" t="s">
        <v>478</v>
      </c>
      <c r="AK99" s="1" t="s">
        <v>2037</v>
      </c>
      <c r="AL99" s="1">
        <v>17</v>
      </c>
      <c r="AM99" s="1" t="s">
        <v>111</v>
      </c>
      <c r="AN99" s="1" t="s">
        <v>2038</v>
      </c>
      <c r="AO99" s="1" t="s">
        <v>2039</v>
      </c>
      <c r="AP99" s="1">
        <f>91-9909884861</f>
        <v>-9909884770</v>
      </c>
      <c r="AQ99" s="1" t="s">
        <v>1370</v>
      </c>
      <c r="AR99" s="1">
        <v>2</v>
      </c>
      <c r="AS99" s="1">
        <v>2</v>
      </c>
      <c r="AT99" s="1" t="s">
        <v>2040</v>
      </c>
      <c r="AU99" s="1" t="s">
        <v>2041</v>
      </c>
      <c r="AV99" s="1" t="s">
        <v>2042</v>
      </c>
      <c r="AW99" s="1">
        <f>91-9426321003</f>
        <v>-9426320912</v>
      </c>
      <c r="AX99" s="1" t="s">
        <v>2043</v>
      </c>
      <c r="AY99" s="1" t="s">
        <v>1332</v>
      </c>
      <c r="AZ99" s="1">
        <v>5.05</v>
      </c>
      <c r="BA99" s="1">
        <v>5.05</v>
      </c>
      <c r="BE99" s="1" t="s">
        <v>120</v>
      </c>
      <c r="BG99" s="1" t="s">
        <v>120</v>
      </c>
      <c r="BH99" s="1" t="s">
        <v>120</v>
      </c>
      <c r="BJ99" s="1" t="s">
        <v>120</v>
      </c>
      <c r="BK99" s="1" t="s">
        <v>143</v>
      </c>
      <c r="BL99" s="1">
        <v>0</v>
      </c>
      <c r="BM99" s="1">
        <v>0</v>
      </c>
      <c r="BN99" s="1" t="s">
        <v>2044</v>
      </c>
      <c r="BO99" s="1">
        <v>1</v>
      </c>
      <c r="BP99" s="1" t="s">
        <v>2045</v>
      </c>
      <c r="BQ99" s="1" t="s">
        <v>112</v>
      </c>
      <c r="BR99" s="1">
        <v>0</v>
      </c>
      <c r="BS99" s="1" t="s">
        <v>334</v>
      </c>
      <c r="BT99" s="1" t="s">
        <v>120</v>
      </c>
      <c r="BU99" s="1" t="s">
        <v>2046</v>
      </c>
      <c r="BV99" s="1" t="s">
        <v>112</v>
      </c>
      <c r="BW99" s="1" t="s">
        <v>2047</v>
      </c>
      <c r="BX99" s="1" t="s">
        <v>2048</v>
      </c>
      <c r="BY99" s="1" t="s">
        <v>127</v>
      </c>
      <c r="BZ99" s="1">
        <v>0</v>
      </c>
      <c r="CA99" s="1">
        <v>0</v>
      </c>
      <c r="CB99" s="4">
        <v>42503.112305787035</v>
      </c>
      <c r="CC99" s="1">
        <v>1</v>
      </c>
      <c r="CD99" s="1">
        <v>1</v>
      </c>
      <c r="CE99" s="1">
        <v>1</v>
      </c>
      <c r="CF99" s="1">
        <v>1</v>
      </c>
      <c r="CG99" s="4">
        <v>43882.639059803238</v>
      </c>
      <c r="CH99" s="1" t="s">
        <v>112</v>
      </c>
      <c r="CI99" s="1" t="s">
        <v>2049</v>
      </c>
      <c r="CJ99" s="1" t="s">
        <v>129</v>
      </c>
    </row>
    <row r="100" spans="1:88" x14ac:dyDescent="0.35">
      <c r="A100" s="1">
        <v>488</v>
      </c>
      <c r="B100" s="1" t="s">
        <v>2050</v>
      </c>
      <c r="C100" s="1" t="s">
        <v>2051</v>
      </c>
      <c r="D100" s="1" t="s">
        <v>90</v>
      </c>
      <c r="E100" s="1" t="s">
        <v>1428</v>
      </c>
      <c r="F100" s="1" t="s">
        <v>2052</v>
      </c>
      <c r="G100" s="1">
        <v>1</v>
      </c>
      <c r="H100" s="3">
        <v>33243</v>
      </c>
      <c r="I100" s="1">
        <v>1</v>
      </c>
      <c r="J100" s="1" t="s">
        <v>93</v>
      </c>
      <c r="K100" s="1" t="s">
        <v>1130</v>
      </c>
      <c r="L100" s="2">
        <f>91-9440961863</f>
        <v>-9440961772</v>
      </c>
      <c r="M100" s="1" t="s">
        <v>150</v>
      </c>
      <c r="N100" s="1">
        <v>0</v>
      </c>
      <c r="O100" s="1">
        <v>0</v>
      </c>
      <c r="P100" s="1">
        <v>5.09</v>
      </c>
      <c r="Q100" s="1">
        <v>51</v>
      </c>
      <c r="R100" s="1" t="s">
        <v>2053</v>
      </c>
      <c r="S100" s="1" t="s">
        <v>97</v>
      </c>
      <c r="T100" s="1" t="s">
        <v>137</v>
      </c>
      <c r="U100" s="1" t="s">
        <v>2054</v>
      </c>
      <c r="V100" s="1" t="s">
        <v>2055</v>
      </c>
      <c r="W100" s="1" t="s">
        <v>1361</v>
      </c>
      <c r="X100" s="1" t="s">
        <v>100</v>
      </c>
      <c r="Y100" s="1" t="s">
        <v>210</v>
      </c>
      <c r="Z100" s="1" t="s">
        <v>556</v>
      </c>
      <c r="AA100" s="1" t="s">
        <v>2056</v>
      </c>
      <c r="AB100" s="1">
        <v>0</v>
      </c>
      <c r="AD100" s="1" t="s">
        <v>2057</v>
      </c>
      <c r="AE100" s="1">
        <f>91-9096446654</f>
        <v>-9096446563</v>
      </c>
      <c r="AF100" s="1" t="s">
        <v>105</v>
      </c>
      <c r="AG100" s="1" t="s">
        <v>2058</v>
      </c>
      <c r="AH100" s="1" t="s">
        <v>2059</v>
      </c>
      <c r="AI100" s="1" t="s">
        <v>2060</v>
      </c>
      <c r="AJ100" s="1" t="s">
        <v>109</v>
      </c>
      <c r="AK100" s="1" t="s">
        <v>2061</v>
      </c>
      <c r="AL100" s="1">
        <v>26</v>
      </c>
      <c r="AM100" s="1" t="s">
        <v>210</v>
      </c>
      <c r="AN100" s="1" t="s">
        <v>2062</v>
      </c>
      <c r="AP100" s="1">
        <f>91-9049054975</f>
        <v>-9049054884</v>
      </c>
      <c r="AQ100" s="1" t="s">
        <v>2063</v>
      </c>
      <c r="AR100" s="1">
        <v>1</v>
      </c>
      <c r="AS100" s="1">
        <v>1</v>
      </c>
      <c r="AT100" s="1" t="s">
        <v>2064</v>
      </c>
      <c r="AU100" s="1" t="s">
        <v>2065</v>
      </c>
      <c r="AV100" s="1" t="s">
        <v>2066</v>
      </c>
      <c r="AW100" s="1">
        <f>91-9393813630</f>
        <v>-9393813539</v>
      </c>
      <c r="AX100" s="1" t="s">
        <v>504</v>
      </c>
      <c r="AY100" s="1" t="s">
        <v>150</v>
      </c>
      <c r="AZ100" s="1">
        <v>5</v>
      </c>
      <c r="BA100" s="1">
        <v>5.0999999999999996</v>
      </c>
      <c r="BB100" s="1" t="s">
        <v>151</v>
      </c>
      <c r="BC100" s="1" t="s">
        <v>152</v>
      </c>
      <c r="BD100" s="1" t="s">
        <v>1395</v>
      </c>
      <c r="BE100" s="1" t="s">
        <v>1033</v>
      </c>
      <c r="BF100" s="1" t="s">
        <v>120</v>
      </c>
      <c r="BG100" s="1" t="s">
        <v>120</v>
      </c>
      <c r="BH100" s="1" t="s">
        <v>120</v>
      </c>
      <c r="BI100" s="1" t="s">
        <v>556</v>
      </c>
      <c r="BJ100" s="1" t="s">
        <v>120</v>
      </c>
      <c r="BK100" s="1" t="s">
        <v>120</v>
      </c>
      <c r="BL100" s="1">
        <v>0</v>
      </c>
      <c r="BM100" s="1">
        <v>0</v>
      </c>
      <c r="BN100" s="1" t="s">
        <v>2067</v>
      </c>
      <c r="BO100" s="1">
        <v>1</v>
      </c>
      <c r="BP100" s="1" t="s">
        <v>2068</v>
      </c>
      <c r="BQ100" s="1" t="s">
        <v>2069</v>
      </c>
      <c r="BR100" s="1">
        <v>1</v>
      </c>
      <c r="BS100" s="1" t="s">
        <v>354</v>
      </c>
      <c r="BT100" s="1" t="s">
        <v>1123</v>
      </c>
      <c r="BV100" s="1" t="s">
        <v>112</v>
      </c>
      <c r="BW100" s="1" t="s">
        <v>2070</v>
      </c>
      <c r="BX100" s="1" t="s">
        <v>2071</v>
      </c>
      <c r="BY100" s="1" t="s">
        <v>127</v>
      </c>
      <c r="BZ100" s="1">
        <v>1</v>
      </c>
      <c r="CA100" s="1">
        <v>1</v>
      </c>
      <c r="CB100" s="4">
        <v>42511.947690856483</v>
      </c>
      <c r="CC100" s="1">
        <v>1</v>
      </c>
      <c r="CD100" s="1">
        <v>1</v>
      </c>
      <c r="CE100" s="1">
        <v>1</v>
      </c>
      <c r="CF100" s="1">
        <v>4</v>
      </c>
      <c r="CG100" s="4">
        <v>42929.214218402776</v>
      </c>
      <c r="CH100" s="1" t="s">
        <v>112</v>
      </c>
      <c r="CI100" s="1" t="s">
        <v>2072</v>
      </c>
      <c r="CJ100" s="1" t="s">
        <v>157</v>
      </c>
    </row>
    <row r="101" spans="1:88" x14ac:dyDescent="0.35">
      <c r="A101" s="1">
        <v>490</v>
      </c>
      <c r="B101" s="1" t="s">
        <v>2073</v>
      </c>
      <c r="C101" s="1" t="s">
        <v>2074</v>
      </c>
      <c r="D101" s="1" t="s">
        <v>90</v>
      </c>
      <c r="E101" s="1" t="s">
        <v>2075</v>
      </c>
      <c r="F101" s="1" t="s">
        <v>185</v>
      </c>
      <c r="G101" s="1">
        <v>1</v>
      </c>
      <c r="H101" s="3">
        <v>31384</v>
      </c>
      <c r="I101" s="1">
        <v>1</v>
      </c>
      <c r="J101" s="1" t="s">
        <v>186</v>
      </c>
      <c r="K101" s="1" t="s">
        <v>407</v>
      </c>
      <c r="L101" s="2">
        <f>91-9926022346</f>
        <v>-9926022255</v>
      </c>
      <c r="M101" s="1" t="s">
        <v>150</v>
      </c>
      <c r="N101" s="1">
        <v>0</v>
      </c>
      <c r="O101" s="1">
        <v>0</v>
      </c>
      <c r="P101" s="1">
        <v>5.0599999999999996</v>
      </c>
      <c r="Q101" s="1">
        <v>11</v>
      </c>
      <c r="R101" s="1" t="s">
        <v>340</v>
      </c>
      <c r="S101" s="1" t="s">
        <v>492</v>
      </c>
      <c r="T101" s="1" t="s">
        <v>137</v>
      </c>
      <c r="U101" s="1" t="s">
        <v>2076</v>
      </c>
      <c r="V101" s="1" t="s">
        <v>429</v>
      </c>
      <c r="X101" s="1" t="s">
        <v>236</v>
      </c>
      <c r="Y101" s="1" t="s">
        <v>111</v>
      </c>
      <c r="Z101" s="1" t="s">
        <v>2077</v>
      </c>
      <c r="AB101" s="1">
        <v>0</v>
      </c>
      <c r="AD101" s="1" t="s">
        <v>2078</v>
      </c>
      <c r="AE101" s="1">
        <f>91-9926022346</f>
        <v>-9926022255</v>
      </c>
      <c r="AF101" s="1" t="s">
        <v>105</v>
      </c>
      <c r="AG101" s="1" t="s">
        <v>2079</v>
      </c>
      <c r="AH101" s="1" t="s">
        <v>2080</v>
      </c>
      <c r="AI101" s="1" t="s">
        <v>2081</v>
      </c>
      <c r="AJ101" s="1" t="s">
        <v>109</v>
      </c>
      <c r="AK101" s="1" t="s">
        <v>2082</v>
      </c>
      <c r="AL101" s="1">
        <v>35</v>
      </c>
      <c r="AM101" s="1" t="s">
        <v>111</v>
      </c>
      <c r="AP101" s="1">
        <f>91-9926022346</f>
        <v>-9926022255</v>
      </c>
      <c r="AR101" s="1">
        <v>1</v>
      </c>
      <c r="AS101" s="1">
        <v>1</v>
      </c>
      <c r="AW101" s="1" t="s">
        <v>142</v>
      </c>
      <c r="AX101" s="1" t="s">
        <v>526</v>
      </c>
      <c r="AY101" s="1" t="s">
        <v>119</v>
      </c>
      <c r="AZ101" s="1">
        <v>4.09</v>
      </c>
      <c r="BA101" s="1">
        <v>5.0599999999999996</v>
      </c>
      <c r="BB101" s="1" t="s">
        <v>151</v>
      </c>
      <c r="BC101" s="1" t="s">
        <v>152</v>
      </c>
      <c r="BD101" s="1" t="s">
        <v>1395</v>
      </c>
      <c r="BE101" s="1" t="s">
        <v>120</v>
      </c>
      <c r="BF101" s="1" t="s">
        <v>120</v>
      </c>
      <c r="BG101" s="1" t="s">
        <v>120</v>
      </c>
      <c r="BH101" s="1" t="s">
        <v>120</v>
      </c>
      <c r="BI101" s="1" t="s">
        <v>132</v>
      </c>
      <c r="BJ101" s="1" t="s">
        <v>120</v>
      </c>
      <c r="BK101" s="1" t="s">
        <v>120</v>
      </c>
      <c r="BL101" s="1">
        <v>0</v>
      </c>
      <c r="BM101" s="1">
        <v>0</v>
      </c>
      <c r="BN101" s="1" t="s">
        <v>2083</v>
      </c>
      <c r="BO101" s="1">
        <v>1</v>
      </c>
      <c r="BQ101" s="1" t="s">
        <v>180</v>
      </c>
      <c r="BR101" s="1">
        <v>0</v>
      </c>
      <c r="BS101" s="1" t="s">
        <v>223</v>
      </c>
      <c r="BT101" s="1" t="s">
        <v>124</v>
      </c>
      <c r="BV101" s="1" t="s">
        <v>112</v>
      </c>
      <c r="BW101" s="1" t="s">
        <v>2084</v>
      </c>
      <c r="BX101" s="1" t="s">
        <v>2085</v>
      </c>
      <c r="BY101" s="1" t="s">
        <v>120</v>
      </c>
      <c r="BZ101" s="1">
        <v>2</v>
      </c>
      <c r="CA101" s="1">
        <v>2</v>
      </c>
      <c r="CB101" s="4">
        <v>42517.259324537037</v>
      </c>
      <c r="CC101" s="1">
        <v>1</v>
      </c>
      <c r="CD101" s="1">
        <v>1</v>
      </c>
      <c r="CE101" s="1">
        <v>1</v>
      </c>
      <c r="CF101" s="1">
        <v>4</v>
      </c>
      <c r="CG101" s="1" t="s">
        <v>112</v>
      </c>
      <c r="CH101" s="1" t="s">
        <v>112</v>
      </c>
      <c r="CI101" s="1" t="s">
        <v>2086</v>
      </c>
      <c r="CJ101" s="1" t="s">
        <v>157</v>
      </c>
    </row>
    <row r="102" spans="1:88" x14ac:dyDescent="0.35">
      <c r="A102" s="1">
        <v>492</v>
      </c>
      <c r="B102" s="1" t="s">
        <v>2087</v>
      </c>
      <c r="C102" s="1" t="s">
        <v>2088</v>
      </c>
      <c r="D102" s="1" t="s">
        <v>90</v>
      </c>
      <c r="E102" s="1" t="s">
        <v>1679</v>
      </c>
      <c r="F102" s="1" t="s">
        <v>1713</v>
      </c>
      <c r="G102" s="1">
        <v>0</v>
      </c>
      <c r="H102" s="3">
        <v>34955</v>
      </c>
      <c r="I102" s="1">
        <v>1</v>
      </c>
      <c r="J102" s="1" t="s">
        <v>93</v>
      </c>
      <c r="L102" s="2" t="s">
        <v>142</v>
      </c>
      <c r="M102" s="1" t="s">
        <v>150</v>
      </c>
      <c r="N102" s="1">
        <v>0</v>
      </c>
      <c r="O102" s="1">
        <v>0</v>
      </c>
      <c r="P102" s="1">
        <v>5.03</v>
      </c>
      <c r="Q102" s="1">
        <v>45</v>
      </c>
      <c r="R102" s="1" t="s">
        <v>1383</v>
      </c>
      <c r="S102" s="1" t="s">
        <v>97</v>
      </c>
      <c r="T102" s="1" t="s">
        <v>234</v>
      </c>
      <c r="X102" s="1" t="s">
        <v>223</v>
      </c>
      <c r="Y102" s="1" t="s">
        <v>223</v>
      </c>
      <c r="Z102" s="1" t="s">
        <v>223</v>
      </c>
      <c r="AB102" s="1">
        <v>0</v>
      </c>
      <c r="AE102" s="1" t="s">
        <v>142</v>
      </c>
      <c r="AF102" s="1" t="s">
        <v>143</v>
      </c>
      <c r="AJ102" s="1" t="s">
        <v>478</v>
      </c>
      <c r="AL102" s="1">
        <v>0</v>
      </c>
      <c r="AM102" s="1" t="s">
        <v>223</v>
      </c>
      <c r="AP102" s="1" t="s">
        <v>142</v>
      </c>
      <c r="AR102" s="1">
        <v>0</v>
      </c>
      <c r="AS102" s="1">
        <v>0</v>
      </c>
      <c r="AW102" s="1" t="s">
        <v>142</v>
      </c>
      <c r="AX102" s="1" t="s">
        <v>569</v>
      </c>
      <c r="AY102" s="1" t="s">
        <v>150</v>
      </c>
      <c r="AZ102" s="1">
        <v>5.05</v>
      </c>
      <c r="BA102" s="1">
        <v>5.08</v>
      </c>
      <c r="BB102" s="1" t="s">
        <v>151</v>
      </c>
      <c r="BC102" s="1" t="s">
        <v>152</v>
      </c>
      <c r="BD102" s="1" t="s">
        <v>1395</v>
      </c>
      <c r="BF102" s="1" t="s">
        <v>120</v>
      </c>
      <c r="BI102" s="1" t="s">
        <v>223</v>
      </c>
      <c r="BJ102" s="1" t="s">
        <v>154</v>
      </c>
      <c r="BK102" s="1" t="s">
        <v>120</v>
      </c>
      <c r="BL102" s="1">
        <v>0</v>
      </c>
      <c r="BM102" s="1">
        <v>1</v>
      </c>
      <c r="BN102" s="1" t="s">
        <v>2089</v>
      </c>
      <c r="BO102" s="1" t="s">
        <v>112</v>
      </c>
      <c r="BP102" s="1" t="s">
        <v>112</v>
      </c>
      <c r="BQ102" s="1" t="s">
        <v>112</v>
      </c>
      <c r="BR102" s="1" t="s">
        <v>112</v>
      </c>
      <c r="BS102" s="1" t="s">
        <v>112</v>
      </c>
      <c r="BT102" s="1" t="s">
        <v>112</v>
      </c>
      <c r="BU102" s="1" t="s">
        <v>112</v>
      </c>
      <c r="BV102" s="1" t="s">
        <v>112</v>
      </c>
      <c r="BW102" s="1" t="s">
        <v>112</v>
      </c>
      <c r="BX102" s="1" t="s">
        <v>112</v>
      </c>
      <c r="BY102" s="1" t="s">
        <v>120</v>
      </c>
      <c r="BZ102" s="1">
        <v>0</v>
      </c>
      <c r="CA102" s="1">
        <v>0</v>
      </c>
      <c r="CB102" s="4">
        <v>42521.34591265046</v>
      </c>
      <c r="CC102" s="1">
        <v>1</v>
      </c>
      <c r="CD102" s="1">
        <v>1</v>
      </c>
      <c r="CE102" s="1">
        <v>1</v>
      </c>
      <c r="CF102" s="1">
        <v>4</v>
      </c>
      <c r="CG102" s="1" t="s">
        <v>112</v>
      </c>
      <c r="CH102" s="1" t="s">
        <v>112</v>
      </c>
      <c r="CI102" s="1" t="s">
        <v>2090</v>
      </c>
      <c r="CJ102" s="1" t="s">
        <v>157</v>
      </c>
    </row>
    <row r="103" spans="1:88" x14ac:dyDescent="0.35">
      <c r="A103" s="1">
        <v>494</v>
      </c>
      <c r="B103" s="1" t="s">
        <v>2091</v>
      </c>
      <c r="C103" s="1" t="s">
        <v>2092</v>
      </c>
      <c r="D103" s="1" t="s">
        <v>90</v>
      </c>
      <c r="E103" s="1" t="s">
        <v>2093</v>
      </c>
      <c r="F103" s="1" t="s">
        <v>2094</v>
      </c>
      <c r="G103" s="1">
        <v>1</v>
      </c>
      <c r="H103" s="3">
        <v>33618</v>
      </c>
      <c r="I103" s="1">
        <v>1</v>
      </c>
      <c r="J103" s="1" t="s">
        <v>162</v>
      </c>
      <c r="K103" s="1" t="s">
        <v>232</v>
      </c>
      <c r="L103" s="2">
        <f>91-9824232383</f>
        <v>-9824232292</v>
      </c>
      <c r="M103" s="1" t="s">
        <v>150</v>
      </c>
      <c r="N103" s="1">
        <v>0</v>
      </c>
      <c r="O103" s="1">
        <v>0</v>
      </c>
      <c r="P103" s="1">
        <v>6.02</v>
      </c>
      <c r="Q103" s="1">
        <v>10</v>
      </c>
      <c r="S103" s="1" t="s">
        <v>97</v>
      </c>
      <c r="T103" s="1" t="s">
        <v>137</v>
      </c>
      <c r="U103" s="1" t="s">
        <v>2095</v>
      </c>
      <c r="V103" s="1" t="s">
        <v>2096</v>
      </c>
      <c r="X103" s="1" t="s">
        <v>170</v>
      </c>
      <c r="Y103" s="1" t="s">
        <v>210</v>
      </c>
      <c r="Z103" s="1" t="s">
        <v>556</v>
      </c>
      <c r="AA103" s="1" t="s">
        <v>2097</v>
      </c>
      <c r="AB103" s="1">
        <v>0</v>
      </c>
      <c r="AD103" s="1" t="s">
        <v>2098</v>
      </c>
      <c r="AE103" s="1">
        <f>91-8487036023</f>
        <v>-8487035932</v>
      </c>
      <c r="AF103" s="1" t="s">
        <v>105</v>
      </c>
      <c r="AG103" s="1" t="s">
        <v>2099</v>
      </c>
      <c r="AH103" s="1" t="s">
        <v>2100</v>
      </c>
      <c r="AI103" s="1" t="s">
        <v>2101</v>
      </c>
      <c r="AJ103" s="1" t="s">
        <v>109</v>
      </c>
      <c r="AK103" s="1" t="s">
        <v>2102</v>
      </c>
      <c r="AL103" s="1">
        <v>55</v>
      </c>
      <c r="AM103" s="1" t="s">
        <v>210</v>
      </c>
      <c r="AO103" s="1" t="s">
        <v>2103</v>
      </c>
      <c r="AP103" s="1">
        <f>91-9427566519</f>
        <v>-9427566428</v>
      </c>
      <c r="AR103" s="1">
        <v>0</v>
      </c>
      <c r="AS103" s="1">
        <v>0</v>
      </c>
      <c r="AT103" s="1" t="s">
        <v>2104</v>
      </c>
      <c r="AU103" s="1" t="s">
        <v>2105</v>
      </c>
      <c r="AV103" s="1" t="s">
        <v>2106</v>
      </c>
      <c r="AW103" s="1">
        <f>91-9428394150</f>
        <v>-9428394059</v>
      </c>
      <c r="AX103" s="1" t="s">
        <v>742</v>
      </c>
      <c r="AY103" s="1" t="s">
        <v>150</v>
      </c>
      <c r="AZ103" s="1">
        <v>5.05</v>
      </c>
      <c r="BA103" s="1">
        <v>6</v>
      </c>
      <c r="BB103" s="1" t="s">
        <v>151</v>
      </c>
      <c r="BC103" s="1" t="s">
        <v>304</v>
      </c>
      <c r="BD103" s="1" t="s">
        <v>1333</v>
      </c>
      <c r="BE103" s="1" t="s">
        <v>870</v>
      </c>
      <c r="BF103" s="1" t="s">
        <v>120</v>
      </c>
      <c r="BG103" s="1" t="s">
        <v>120</v>
      </c>
      <c r="BH103" s="1" t="s">
        <v>120</v>
      </c>
      <c r="BJ103" s="1" t="s">
        <v>120</v>
      </c>
      <c r="BK103" s="1" t="s">
        <v>120</v>
      </c>
      <c r="BL103" s="1">
        <v>0</v>
      </c>
      <c r="BM103" s="1">
        <v>0</v>
      </c>
      <c r="BN103" s="1" t="s">
        <v>2107</v>
      </c>
      <c r="BO103" s="1">
        <v>1</v>
      </c>
      <c r="BP103" s="1" t="s">
        <v>875</v>
      </c>
      <c r="BQ103" s="1" t="s">
        <v>112</v>
      </c>
      <c r="BR103" s="1">
        <v>1</v>
      </c>
      <c r="BS103" s="1" t="s">
        <v>334</v>
      </c>
      <c r="BT103" s="1" t="s">
        <v>124</v>
      </c>
      <c r="BU103" s="1" t="s">
        <v>112</v>
      </c>
      <c r="BV103" s="1" t="s">
        <v>112</v>
      </c>
      <c r="BW103" s="1" t="s">
        <v>2108</v>
      </c>
      <c r="BX103" s="1" t="s">
        <v>2109</v>
      </c>
      <c r="BY103" s="1" t="s">
        <v>127</v>
      </c>
      <c r="BZ103" s="1">
        <v>2</v>
      </c>
      <c r="CA103" s="1">
        <v>1</v>
      </c>
      <c r="CB103" s="4">
        <v>42522.992631909721</v>
      </c>
      <c r="CC103" s="1">
        <v>1</v>
      </c>
      <c r="CD103" s="1">
        <v>1</v>
      </c>
      <c r="CE103" s="1">
        <v>1</v>
      </c>
      <c r="CF103" s="1">
        <v>4</v>
      </c>
      <c r="CG103" s="4">
        <v>43038.460950266206</v>
      </c>
      <c r="CH103" s="1" t="s">
        <v>112</v>
      </c>
      <c r="CI103" s="1" t="s">
        <v>2110</v>
      </c>
      <c r="CJ103" s="1" t="s">
        <v>157</v>
      </c>
    </row>
    <row r="104" spans="1:88" x14ac:dyDescent="0.35">
      <c r="A104" s="1">
        <v>496</v>
      </c>
      <c r="B104" s="1" t="s">
        <v>2111</v>
      </c>
      <c r="C104" s="1" t="s">
        <v>2112</v>
      </c>
      <c r="D104" s="1" t="s">
        <v>90</v>
      </c>
      <c r="E104" s="1" t="s">
        <v>1791</v>
      </c>
      <c r="F104" s="1" t="s">
        <v>2113</v>
      </c>
      <c r="G104" s="1">
        <v>1</v>
      </c>
      <c r="H104" s="3">
        <v>30649</v>
      </c>
      <c r="I104" s="1">
        <v>1</v>
      </c>
      <c r="J104" s="1" t="s">
        <v>2114</v>
      </c>
      <c r="K104" s="1" t="s">
        <v>2115</v>
      </c>
      <c r="L104" s="2">
        <f>91-9423820173</f>
        <v>-9423820082</v>
      </c>
      <c r="M104" s="1" t="s">
        <v>95</v>
      </c>
      <c r="N104" s="1">
        <v>0</v>
      </c>
      <c r="O104" s="1">
        <v>0</v>
      </c>
      <c r="P104" s="1">
        <v>5.07</v>
      </c>
      <c r="Q104" s="1">
        <v>19</v>
      </c>
      <c r="R104" s="1" t="s">
        <v>714</v>
      </c>
      <c r="S104" s="1" t="s">
        <v>492</v>
      </c>
      <c r="T104" s="1" t="s">
        <v>137</v>
      </c>
      <c r="U104" s="1" t="s">
        <v>922</v>
      </c>
      <c r="V104" s="1" t="s">
        <v>2116</v>
      </c>
      <c r="X104" s="1" t="s">
        <v>129</v>
      </c>
      <c r="Y104" s="1" t="s">
        <v>111</v>
      </c>
      <c r="Z104" s="1" t="s">
        <v>192</v>
      </c>
      <c r="AA104" s="1" t="s">
        <v>2117</v>
      </c>
      <c r="AB104" s="1">
        <v>0</v>
      </c>
      <c r="AD104" s="1" t="s">
        <v>2118</v>
      </c>
      <c r="AE104" s="1">
        <f>91-8322767788</f>
        <v>-8322767697</v>
      </c>
      <c r="AF104" s="1" t="s">
        <v>105</v>
      </c>
      <c r="AG104" s="1" t="s">
        <v>2119</v>
      </c>
      <c r="AH104" s="1" t="s">
        <v>2120</v>
      </c>
      <c r="AI104" s="1" t="s">
        <v>2121</v>
      </c>
      <c r="AJ104" s="1" t="s">
        <v>109</v>
      </c>
      <c r="AK104" s="1" t="s">
        <v>2122</v>
      </c>
      <c r="AL104" s="1">
        <v>13</v>
      </c>
      <c r="AM104" s="1" t="s">
        <v>111</v>
      </c>
      <c r="AP104" s="1">
        <f>91-9420979377</f>
        <v>-9420979286</v>
      </c>
      <c r="AR104" s="1">
        <v>1</v>
      </c>
      <c r="AS104" s="1">
        <v>1</v>
      </c>
      <c r="AW104" s="1" t="s">
        <v>142</v>
      </c>
      <c r="AX104" s="1" t="s">
        <v>2123</v>
      </c>
      <c r="AY104" s="1" t="s">
        <v>351</v>
      </c>
      <c r="AZ104" s="1">
        <v>4.0599999999999996</v>
      </c>
      <c r="BA104" s="1">
        <v>6</v>
      </c>
      <c r="BE104" s="1" t="s">
        <v>120</v>
      </c>
      <c r="BG104" s="1" t="s">
        <v>120</v>
      </c>
      <c r="BH104" s="1" t="s">
        <v>120</v>
      </c>
      <c r="BJ104" s="1" t="s">
        <v>120</v>
      </c>
      <c r="BK104" s="1" t="s">
        <v>120</v>
      </c>
      <c r="BL104" s="1">
        <v>0</v>
      </c>
      <c r="BM104" s="1">
        <v>0</v>
      </c>
      <c r="BN104" s="1" t="s">
        <v>2124</v>
      </c>
      <c r="BO104" s="1">
        <v>1</v>
      </c>
      <c r="BP104" s="1" t="s">
        <v>2125</v>
      </c>
      <c r="BQ104" s="1" t="s">
        <v>112</v>
      </c>
      <c r="BR104" s="1">
        <v>0</v>
      </c>
      <c r="BS104" s="1" t="s">
        <v>1208</v>
      </c>
      <c r="BT104" s="1" t="s">
        <v>124</v>
      </c>
      <c r="BU104" s="1" t="s">
        <v>112</v>
      </c>
      <c r="BV104" s="1" t="s">
        <v>112</v>
      </c>
      <c r="BW104" s="1" t="s">
        <v>2126</v>
      </c>
      <c r="BX104" s="1" t="s">
        <v>2127</v>
      </c>
      <c r="BY104" s="1" t="s">
        <v>120</v>
      </c>
      <c r="BZ104" s="1">
        <v>1</v>
      </c>
      <c r="CA104" s="1">
        <v>1</v>
      </c>
      <c r="CB104" s="4">
        <v>42526.159450347222</v>
      </c>
      <c r="CC104" s="1">
        <v>1</v>
      </c>
      <c r="CD104" s="1">
        <v>1</v>
      </c>
      <c r="CE104" s="1">
        <v>1</v>
      </c>
      <c r="CF104" s="1">
        <v>4</v>
      </c>
      <c r="CG104" s="4">
        <v>43099.459796840281</v>
      </c>
      <c r="CH104" s="1" t="s">
        <v>112</v>
      </c>
      <c r="CI104" s="1" t="s">
        <v>2128</v>
      </c>
      <c r="CJ104" s="1" t="s">
        <v>129</v>
      </c>
    </row>
    <row r="105" spans="1:88" x14ac:dyDescent="0.35">
      <c r="A105" s="1">
        <v>499</v>
      </c>
      <c r="B105" s="1" t="s">
        <v>2129</v>
      </c>
      <c r="C105" s="1" t="s">
        <v>2130</v>
      </c>
      <c r="D105" s="1" t="s">
        <v>711</v>
      </c>
      <c r="E105" s="1" t="s">
        <v>2131</v>
      </c>
      <c r="F105" s="1" t="s">
        <v>2132</v>
      </c>
      <c r="G105" s="1">
        <v>0</v>
      </c>
      <c r="H105" s="3">
        <v>33073</v>
      </c>
      <c r="I105" s="1">
        <v>1</v>
      </c>
      <c r="J105" s="1" t="s">
        <v>93</v>
      </c>
      <c r="K105" s="1" t="s">
        <v>469</v>
      </c>
      <c r="L105" s="2">
        <f>91-9689914773</f>
        <v>-9689914682</v>
      </c>
      <c r="M105" s="1" t="s">
        <v>150</v>
      </c>
      <c r="N105" s="1">
        <v>0</v>
      </c>
      <c r="O105" s="1">
        <v>0</v>
      </c>
      <c r="P105" s="1">
        <v>5.01</v>
      </c>
      <c r="Q105" s="1">
        <v>50</v>
      </c>
      <c r="S105" s="1" t="s">
        <v>1914</v>
      </c>
      <c r="T105" s="1" t="s">
        <v>2133</v>
      </c>
      <c r="U105" s="1" t="s">
        <v>2134</v>
      </c>
      <c r="X105" s="1" t="s">
        <v>100</v>
      </c>
      <c r="Y105" s="1" t="s">
        <v>101</v>
      </c>
      <c r="Z105" s="1" t="s">
        <v>1917</v>
      </c>
      <c r="AB105" s="1">
        <v>0</v>
      </c>
      <c r="AE105" s="1">
        <f>91-7218964773</f>
        <v>-7218964682</v>
      </c>
      <c r="AF105" s="1" t="s">
        <v>143</v>
      </c>
      <c r="AG105" s="1" t="s">
        <v>2135</v>
      </c>
      <c r="AH105" s="1" t="s">
        <v>2136</v>
      </c>
      <c r="AI105" s="1" t="s">
        <v>2137</v>
      </c>
      <c r="AJ105" s="1" t="s">
        <v>109</v>
      </c>
      <c r="AK105" s="1" t="s">
        <v>2138</v>
      </c>
      <c r="AL105" s="1">
        <v>35</v>
      </c>
      <c r="AM105" s="1" t="s">
        <v>111</v>
      </c>
      <c r="AP105" s="1">
        <f>91-9822724773</f>
        <v>-9822724682</v>
      </c>
      <c r="AR105" s="1">
        <v>1</v>
      </c>
      <c r="AS105" s="1">
        <v>0</v>
      </c>
      <c r="AW105" s="1" t="s">
        <v>142</v>
      </c>
      <c r="AX105" s="1" t="s">
        <v>2043</v>
      </c>
      <c r="AY105" s="1" t="s">
        <v>150</v>
      </c>
      <c r="AZ105" s="1">
        <v>5.0199999999999996</v>
      </c>
      <c r="BA105" s="1">
        <v>6.03</v>
      </c>
      <c r="BB105" s="1" t="s">
        <v>151</v>
      </c>
      <c r="BC105" s="1" t="s">
        <v>304</v>
      </c>
      <c r="BD105" s="1" t="s">
        <v>1333</v>
      </c>
      <c r="BE105" s="1" t="s">
        <v>1914</v>
      </c>
      <c r="BF105" s="1" t="s">
        <v>120</v>
      </c>
      <c r="BG105" s="1" t="s">
        <v>120</v>
      </c>
      <c r="BH105" s="1" t="s">
        <v>120</v>
      </c>
      <c r="BJ105" s="1" t="s">
        <v>120</v>
      </c>
      <c r="BK105" s="1" t="s">
        <v>120</v>
      </c>
      <c r="BL105" s="1">
        <v>0</v>
      </c>
      <c r="BM105" s="1">
        <v>0</v>
      </c>
      <c r="BN105" s="1" t="s">
        <v>2139</v>
      </c>
      <c r="BO105" s="1">
        <v>1</v>
      </c>
      <c r="BP105" s="1" t="s">
        <v>2140</v>
      </c>
      <c r="BQ105" s="1" t="s">
        <v>180</v>
      </c>
      <c r="BR105" s="1">
        <v>1</v>
      </c>
      <c r="BS105" s="1" t="s">
        <v>334</v>
      </c>
      <c r="BT105" s="1" t="s">
        <v>124</v>
      </c>
      <c r="BV105" s="1" t="s">
        <v>112</v>
      </c>
      <c r="BY105" s="1" t="s">
        <v>120</v>
      </c>
      <c r="BZ105" s="1">
        <v>3</v>
      </c>
      <c r="CA105" s="1">
        <v>2</v>
      </c>
      <c r="CB105" s="4">
        <v>42532.155626539352</v>
      </c>
      <c r="CC105" s="1">
        <v>1</v>
      </c>
      <c r="CD105" s="1">
        <v>1</v>
      </c>
      <c r="CE105" s="1">
        <v>1</v>
      </c>
      <c r="CF105" s="1">
        <v>4</v>
      </c>
      <c r="CG105" s="1" t="s">
        <v>112</v>
      </c>
      <c r="CH105" s="1" t="s">
        <v>112</v>
      </c>
      <c r="CI105" s="1" t="s">
        <v>1270</v>
      </c>
      <c r="CJ105" s="1" t="s">
        <v>157</v>
      </c>
    </row>
    <row r="106" spans="1:88" x14ac:dyDescent="0.35">
      <c r="A106" s="1">
        <v>503</v>
      </c>
      <c r="B106" s="1" t="s">
        <v>2141</v>
      </c>
      <c r="C106" s="1" t="s">
        <v>2142</v>
      </c>
      <c r="D106" s="1" t="s">
        <v>90</v>
      </c>
      <c r="E106" s="1" t="s">
        <v>2143</v>
      </c>
      <c r="F106" s="1" t="s">
        <v>2144</v>
      </c>
      <c r="G106" s="1">
        <v>1</v>
      </c>
      <c r="H106" s="3">
        <v>32951</v>
      </c>
      <c r="I106" s="1">
        <v>1</v>
      </c>
      <c r="J106" s="1" t="s">
        <v>162</v>
      </c>
      <c r="K106" s="1" t="s">
        <v>666</v>
      </c>
      <c r="L106" s="2">
        <f>91-8758926240</f>
        <v>-8758926149</v>
      </c>
      <c r="M106" s="1" t="s">
        <v>150</v>
      </c>
      <c r="N106" s="1">
        <v>0</v>
      </c>
      <c r="O106" s="1">
        <v>0</v>
      </c>
      <c r="P106" s="1">
        <v>5.05</v>
      </c>
      <c r="Q106" s="1">
        <v>10</v>
      </c>
      <c r="S106" s="1" t="s">
        <v>165</v>
      </c>
      <c r="T106" s="1" t="s">
        <v>1915</v>
      </c>
      <c r="U106" s="1" t="s">
        <v>2145</v>
      </c>
      <c r="V106" s="1" t="s">
        <v>2146</v>
      </c>
      <c r="W106" s="1" t="s">
        <v>432</v>
      </c>
      <c r="X106" s="1" t="s">
        <v>100</v>
      </c>
      <c r="Y106" s="1" t="s">
        <v>210</v>
      </c>
      <c r="Z106" s="1" t="s">
        <v>634</v>
      </c>
      <c r="AA106" s="1" t="s">
        <v>2147</v>
      </c>
      <c r="AB106" s="1">
        <v>0</v>
      </c>
      <c r="AD106" s="1" t="s">
        <v>2148</v>
      </c>
      <c r="AE106" s="1">
        <f>91-7874413354</f>
        <v>-7874413263</v>
      </c>
      <c r="AF106" s="1" t="s">
        <v>105</v>
      </c>
      <c r="AG106" s="1" t="s">
        <v>2144</v>
      </c>
      <c r="AH106" s="1" t="s">
        <v>2149</v>
      </c>
      <c r="AI106" s="1" t="s">
        <v>2150</v>
      </c>
      <c r="AJ106" s="1" t="s">
        <v>109</v>
      </c>
      <c r="AK106" s="1" t="s">
        <v>2151</v>
      </c>
      <c r="AL106" s="1">
        <v>12</v>
      </c>
      <c r="AM106" s="1" t="s">
        <v>210</v>
      </c>
      <c r="AN106" s="1" t="s">
        <v>2152</v>
      </c>
      <c r="AO106" s="1" t="s">
        <v>2153</v>
      </c>
      <c r="AP106" s="1">
        <f>91-7874413354</f>
        <v>-7874413263</v>
      </c>
      <c r="AQ106" s="1" t="s">
        <v>2154</v>
      </c>
      <c r="AR106" s="1">
        <v>0</v>
      </c>
      <c r="AS106" s="1">
        <v>0</v>
      </c>
      <c r="AT106" s="1" t="s">
        <v>2155</v>
      </c>
      <c r="AU106" s="1" t="s">
        <v>2156</v>
      </c>
      <c r="AV106" s="1" t="s">
        <v>2157</v>
      </c>
      <c r="AW106" s="1">
        <f>91-6353385697</f>
        <v>-6353385606</v>
      </c>
      <c r="AX106" s="1" t="s">
        <v>526</v>
      </c>
      <c r="AY106" s="1" t="s">
        <v>1332</v>
      </c>
      <c r="AZ106" s="1">
        <v>4</v>
      </c>
      <c r="BA106" s="1">
        <v>5.0999999999999996</v>
      </c>
      <c r="BB106" s="1" t="s">
        <v>151</v>
      </c>
      <c r="BC106" s="1" t="s">
        <v>304</v>
      </c>
      <c r="BD106" s="1" t="s">
        <v>1333</v>
      </c>
      <c r="BE106" s="1" t="s">
        <v>120</v>
      </c>
      <c r="BF106" s="1" t="s">
        <v>120</v>
      </c>
      <c r="BG106" s="1" t="s">
        <v>120</v>
      </c>
      <c r="BH106" s="1" t="s">
        <v>120</v>
      </c>
      <c r="BJ106" s="1" t="s">
        <v>120</v>
      </c>
      <c r="BK106" s="1" t="s">
        <v>120</v>
      </c>
      <c r="BL106" s="1">
        <v>0</v>
      </c>
      <c r="BM106" s="1">
        <v>0</v>
      </c>
      <c r="BN106" s="1" t="s">
        <v>2158</v>
      </c>
      <c r="BO106" s="1">
        <v>1</v>
      </c>
      <c r="BP106" s="1" t="s">
        <v>2159</v>
      </c>
      <c r="BQ106" s="1" t="s">
        <v>2160</v>
      </c>
      <c r="BR106" s="1">
        <v>0</v>
      </c>
      <c r="BS106" s="1" t="s">
        <v>376</v>
      </c>
      <c r="BT106" s="1" t="s">
        <v>306</v>
      </c>
      <c r="BU106" s="1" t="s">
        <v>2161</v>
      </c>
      <c r="BV106" s="1" t="s">
        <v>112</v>
      </c>
      <c r="BW106" s="1" t="s">
        <v>2162</v>
      </c>
      <c r="BX106" s="1" t="s">
        <v>2163</v>
      </c>
      <c r="BY106" s="1" t="s">
        <v>127</v>
      </c>
      <c r="BZ106" s="1">
        <v>1</v>
      </c>
      <c r="CA106" s="1">
        <v>1</v>
      </c>
      <c r="CB106" s="4">
        <v>42534.214183715281</v>
      </c>
      <c r="CC106" s="1">
        <v>1</v>
      </c>
      <c r="CD106" s="1">
        <v>1</v>
      </c>
      <c r="CE106" s="1">
        <v>1</v>
      </c>
      <c r="CF106" s="1">
        <v>1</v>
      </c>
      <c r="CG106" s="4">
        <v>43258.176009224539</v>
      </c>
      <c r="CH106" s="1" t="s">
        <v>112</v>
      </c>
      <c r="CI106" s="1" t="s">
        <v>627</v>
      </c>
      <c r="CJ106" s="1" t="s">
        <v>157</v>
      </c>
    </row>
    <row r="107" spans="1:88" x14ac:dyDescent="0.35">
      <c r="A107" s="1">
        <v>504</v>
      </c>
      <c r="B107" s="1" t="s">
        <v>2164</v>
      </c>
      <c r="C107" s="1" t="s">
        <v>2165</v>
      </c>
      <c r="D107" s="1" t="s">
        <v>90</v>
      </c>
      <c r="E107" s="1" t="s">
        <v>1044</v>
      </c>
      <c r="F107" s="1" t="s">
        <v>134</v>
      </c>
      <c r="G107" s="1">
        <v>1</v>
      </c>
      <c r="H107" s="3">
        <v>33741</v>
      </c>
      <c r="I107" s="1">
        <v>1</v>
      </c>
      <c r="J107" s="1" t="s">
        <v>162</v>
      </c>
      <c r="K107" s="1" t="s">
        <v>2166</v>
      </c>
      <c r="L107" s="2">
        <f>91-9429958806</f>
        <v>-9429958715</v>
      </c>
      <c r="M107" s="1" t="s">
        <v>150</v>
      </c>
      <c r="N107" s="1">
        <v>0</v>
      </c>
      <c r="O107" s="1">
        <v>0</v>
      </c>
      <c r="P107" s="1">
        <v>5.03</v>
      </c>
      <c r="Q107" s="1">
        <v>50</v>
      </c>
      <c r="S107" s="1" t="s">
        <v>136</v>
      </c>
      <c r="T107" s="1" t="s">
        <v>137</v>
      </c>
      <c r="U107" s="1" t="s">
        <v>1361</v>
      </c>
      <c r="V107" s="1" t="s">
        <v>554</v>
      </c>
      <c r="W107" s="1" t="s">
        <v>1361</v>
      </c>
      <c r="X107" s="1" t="s">
        <v>170</v>
      </c>
      <c r="Y107" s="1" t="s">
        <v>210</v>
      </c>
      <c r="Z107" s="1" t="s">
        <v>2167</v>
      </c>
      <c r="AA107" s="1" t="s">
        <v>2168</v>
      </c>
      <c r="AB107" s="1">
        <v>0</v>
      </c>
      <c r="AD107" s="1" t="s">
        <v>2169</v>
      </c>
      <c r="AE107" s="1">
        <f>91-9429958806</f>
        <v>-9429958715</v>
      </c>
      <c r="AF107" s="1" t="s">
        <v>143</v>
      </c>
      <c r="AG107" s="1" t="s">
        <v>2170</v>
      </c>
      <c r="AH107" s="1" t="s">
        <v>2171</v>
      </c>
      <c r="AI107" s="1" t="s">
        <v>2172</v>
      </c>
      <c r="AJ107" s="1" t="s">
        <v>109</v>
      </c>
      <c r="AK107" s="1" t="s">
        <v>2173</v>
      </c>
      <c r="AL107" s="1">
        <v>41</v>
      </c>
      <c r="AM107" s="1" t="s">
        <v>111</v>
      </c>
      <c r="AN107" s="1" t="s">
        <v>2174</v>
      </c>
      <c r="AO107" s="1" t="s">
        <v>2175</v>
      </c>
      <c r="AP107" s="1">
        <f>91-9427857612</f>
        <v>-9427857521</v>
      </c>
      <c r="AQ107" s="1" t="s">
        <v>502</v>
      </c>
      <c r="AR107" s="1">
        <v>0</v>
      </c>
      <c r="AS107" s="1">
        <v>0</v>
      </c>
      <c r="AW107" s="1" t="s">
        <v>142</v>
      </c>
      <c r="AX107" s="1" t="s">
        <v>329</v>
      </c>
      <c r="AY107" s="1" t="s">
        <v>150</v>
      </c>
      <c r="AZ107" s="1">
        <v>4.1100000000000003</v>
      </c>
      <c r="BA107" s="1">
        <v>5.0199999999999996</v>
      </c>
      <c r="BB107" s="1" t="s">
        <v>151</v>
      </c>
      <c r="BC107" s="1" t="s">
        <v>304</v>
      </c>
      <c r="BD107" s="1" t="s">
        <v>1333</v>
      </c>
      <c r="BE107" s="1" t="s">
        <v>2176</v>
      </c>
      <c r="BF107" s="1" t="s">
        <v>120</v>
      </c>
      <c r="BG107" s="1" t="s">
        <v>120</v>
      </c>
      <c r="BH107" s="1" t="s">
        <v>120</v>
      </c>
      <c r="BJ107" s="1" t="s">
        <v>154</v>
      </c>
      <c r="BK107" s="1" t="s">
        <v>120</v>
      </c>
      <c r="BL107" s="1">
        <v>0</v>
      </c>
      <c r="BM107" s="1">
        <v>0</v>
      </c>
      <c r="BN107" s="1" t="s">
        <v>2177</v>
      </c>
      <c r="BO107" s="1">
        <v>1</v>
      </c>
      <c r="BP107" s="1" t="s">
        <v>2166</v>
      </c>
      <c r="BQ107" s="1" t="s">
        <v>180</v>
      </c>
      <c r="BR107" s="1">
        <v>0</v>
      </c>
      <c r="BS107" s="1" t="s">
        <v>376</v>
      </c>
      <c r="BT107" s="1" t="s">
        <v>124</v>
      </c>
      <c r="BV107" s="1" t="s">
        <v>112</v>
      </c>
      <c r="BY107" s="1" t="s">
        <v>120</v>
      </c>
      <c r="BZ107" s="1">
        <v>2</v>
      </c>
      <c r="CA107" s="1">
        <v>2</v>
      </c>
      <c r="CB107" s="4">
        <v>42534.45274922454</v>
      </c>
      <c r="CC107" s="1">
        <v>1</v>
      </c>
      <c r="CD107" s="1">
        <v>1</v>
      </c>
      <c r="CE107" s="1">
        <v>0</v>
      </c>
      <c r="CF107" s="1">
        <v>0</v>
      </c>
      <c r="CG107" s="4">
        <v>43971.462180324073</v>
      </c>
      <c r="CH107" s="1" t="s">
        <v>112</v>
      </c>
      <c r="CI107" s="1" t="s">
        <v>2178</v>
      </c>
      <c r="CJ107" s="1" t="s">
        <v>157</v>
      </c>
    </row>
    <row r="108" spans="1:88" x14ac:dyDescent="0.35">
      <c r="A108" s="1">
        <v>514</v>
      </c>
      <c r="B108" s="1" t="s">
        <v>2179</v>
      </c>
      <c r="C108" s="1" t="s">
        <v>2180</v>
      </c>
      <c r="D108" s="1" t="s">
        <v>90</v>
      </c>
      <c r="E108" s="1" t="s">
        <v>957</v>
      </c>
      <c r="F108" s="1" t="s">
        <v>134</v>
      </c>
      <c r="G108" s="1">
        <v>1</v>
      </c>
      <c r="H108" s="3">
        <v>31835</v>
      </c>
      <c r="I108" s="1">
        <v>1</v>
      </c>
      <c r="J108" s="1" t="s">
        <v>93</v>
      </c>
      <c r="K108" s="1" t="s">
        <v>490</v>
      </c>
      <c r="L108" s="2">
        <f>91-9767526264</f>
        <v>-9767526173</v>
      </c>
      <c r="M108" s="1" t="s">
        <v>95</v>
      </c>
      <c r="N108" s="1">
        <v>0</v>
      </c>
      <c r="O108" s="1">
        <v>0</v>
      </c>
      <c r="P108" s="1">
        <v>5.05</v>
      </c>
      <c r="Q108" s="1">
        <v>54</v>
      </c>
      <c r="R108" s="1" t="s">
        <v>1131</v>
      </c>
      <c r="S108" s="1" t="s">
        <v>136</v>
      </c>
      <c r="T108" s="1" t="s">
        <v>137</v>
      </c>
      <c r="U108" s="1" t="s">
        <v>189</v>
      </c>
      <c r="V108" s="1" t="s">
        <v>2181</v>
      </c>
      <c r="W108" s="1" t="s">
        <v>1293</v>
      </c>
      <c r="X108" s="1" t="s">
        <v>170</v>
      </c>
      <c r="Y108" s="1" t="s">
        <v>210</v>
      </c>
      <c r="Z108" s="1" t="s">
        <v>584</v>
      </c>
      <c r="AA108" s="1" t="s">
        <v>2182</v>
      </c>
      <c r="AB108" s="1">
        <v>0</v>
      </c>
      <c r="AD108" s="1" t="s">
        <v>2183</v>
      </c>
      <c r="AE108" s="1">
        <f>91-9767526264</f>
        <v>-9767526173</v>
      </c>
      <c r="AF108" s="1" t="s">
        <v>105</v>
      </c>
      <c r="AG108" s="1" t="s">
        <v>2184</v>
      </c>
      <c r="AH108" s="1" t="s">
        <v>2185</v>
      </c>
      <c r="AI108" s="1" t="s">
        <v>2186</v>
      </c>
      <c r="AJ108" s="1" t="s">
        <v>109</v>
      </c>
      <c r="AK108" s="1" t="s">
        <v>2187</v>
      </c>
      <c r="AL108" s="1">
        <v>30</v>
      </c>
      <c r="AM108" s="1" t="s">
        <v>210</v>
      </c>
      <c r="AN108" s="1" t="s">
        <v>2188</v>
      </c>
      <c r="AO108" s="1" t="s">
        <v>2189</v>
      </c>
      <c r="AP108" s="1">
        <f>91-9422269787</f>
        <v>-9422269696</v>
      </c>
      <c r="AQ108" s="1" t="s">
        <v>326</v>
      </c>
      <c r="AR108" s="1">
        <v>1</v>
      </c>
      <c r="AS108" s="1">
        <v>1</v>
      </c>
      <c r="AW108" s="1" t="s">
        <v>142</v>
      </c>
      <c r="AX108" s="1" t="s">
        <v>2190</v>
      </c>
      <c r="AY108" s="1" t="s">
        <v>351</v>
      </c>
      <c r="AZ108" s="1">
        <v>4.05</v>
      </c>
      <c r="BA108" s="1">
        <v>5.05</v>
      </c>
      <c r="BB108" s="1" t="s">
        <v>151</v>
      </c>
      <c r="BC108" s="1" t="s">
        <v>304</v>
      </c>
      <c r="BD108" s="1" t="s">
        <v>1333</v>
      </c>
      <c r="BE108" s="1" t="s">
        <v>219</v>
      </c>
      <c r="BF108" s="1" t="s">
        <v>120</v>
      </c>
      <c r="BG108" s="1" t="s">
        <v>1420</v>
      </c>
      <c r="BH108" s="1" t="s">
        <v>2191</v>
      </c>
      <c r="BJ108" s="1" t="s">
        <v>120</v>
      </c>
      <c r="BK108" s="1" t="s">
        <v>120</v>
      </c>
      <c r="BL108" s="1">
        <v>0</v>
      </c>
      <c r="BM108" s="1">
        <v>0</v>
      </c>
      <c r="BN108" s="1" t="s">
        <v>2192</v>
      </c>
      <c r="BO108" s="1">
        <v>1</v>
      </c>
      <c r="BP108" s="1" t="s">
        <v>490</v>
      </c>
      <c r="BQ108" s="1" t="s">
        <v>112</v>
      </c>
      <c r="BR108" s="1">
        <v>1</v>
      </c>
      <c r="BS108" s="1" t="s">
        <v>1668</v>
      </c>
      <c r="BT108" s="1" t="s">
        <v>124</v>
      </c>
      <c r="BU108" s="1" t="s">
        <v>2193</v>
      </c>
      <c r="BV108" s="1" t="s">
        <v>112</v>
      </c>
      <c r="BW108" s="1" t="s">
        <v>2194</v>
      </c>
      <c r="BX108" s="1" t="s">
        <v>2195</v>
      </c>
      <c r="BY108" s="1" t="s">
        <v>120</v>
      </c>
      <c r="BZ108" s="1">
        <v>1</v>
      </c>
      <c r="CA108" s="1">
        <v>1</v>
      </c>
      <c r="CB108" s="4">
        <v>42540.962836076389</v>
      </c>
      <c r="CC108" s="1">
        <v>1</v>
      </c>
      <c r="CD108" s="1">
        <v>1</v>
      </c>
      <c r="CE108" s="1">
        <v>1</v>
      </c>
      <c r="CF108" s="1">
        <v>1</v>
      </c>
      <c r="CG108" s="4">
        <v>43150.722116701392</v>
      </c>
      <c r="CH108" s="1" t="s">
        <v>112</v>
      </c>
      <c r="CI108" s="1" t="s">
        <v>379</v>
      </c>
      <c r="CJ108" s="1" t="s">
        <v>157</v>
      </c>
    </row>
    <row r="109" spans="1:88" x14ac:dyDescent="0.35">
      <c r="A109" s="1">
        <v>1522</v>
      </c>
      <c r="B109" s="1" t="s">
        <v>2196</v>
      </c>
      <c r="C109" s="1" t="s">
        <v>2197</v>
      </c>
      <c r="D109" s="1" t="s">
        <v>312</v>
      </c>
      <c r="E109" s="1" t="s">
        <v>2198</v>
      </c>
      <c r="F109" s="1" t="s">
        <v>134</v>
      </c>
      <c r="G109" s="1">
        <v>1</v>
      </c>
      <c r="H109" s="3">
        <v>31941</v>
      </c>
      <c r="I109" s="1">
        <v>1</v>
      </c>
      <c r="J109" s="1" t="s">
        <v>162</v>
      </c>
      <c r="K109" s="1" t="s">
        <v>163</v>
      </c>
      <c r="L109" s="2">
        <f>91-8141481477</f>
        <v>-8141481386</v>
      </c>
      <c r="M109" s="1" t="s">
        <v>95</v>
      </c>
      <c r="N109" s="1">
        <v>0</v>
      </c>
      <c r="O109" s="1">
        <v>0</v>
      </c>
      <c r="P109" s="1">
        <v>6.04</v>
      </c>
      <c r="Q109" s="1">
        <v>23</v>
      </c>
      <c r="R109" s="1" t="s">
        <v>1987</v>
      </c>
      <c r="S109" s="1" t="s">
        <v>97</v>
      </c>
      <c r="T109" s="1" t="s">
        <v>98</v>
      </c>
      <c r="U109" s="1" t="s">
        <v>2199</v>
      </c>
      <c r="V109" s="1" t="s">
        <v>2200</v>
      </c>
      <c r="X109" s="1" t="s">
        <v>170</v>
      </c>
      <c r="Y109" s="1" t="s">
        <v>111</v>
      </c>
      <c r="Z109" s="1" t="s">
        <v>192</v>
      </c>
      <c r="AA109" s="1" t="s">
        <v>2201</v>
      </c>
      <c r="AB109" s="1">
        <v>0</v>
      </c>
      <c r="AD109" s="1" t="s">
        <v>2202</v>
      </c>
      <c r="AE109" s="1">
        <f>91-9909738251</f>
        <v>-9909738160</v>
      </c>
      <c r="AF109" s="1" t="s">
        <v>105</v>
      </c>
      <c r="AG109" s="1" t="s">
        <v>2203</v>
      </c>
      <c r="AH109" s="1" t="s">
        <v>2204</v>
      </c>
      <c r="AI109" s="1" t="s">
        <v>2205</v>
      </c>
      <c r="AJ109" s="1" t="s">
        <v>109</v>
      </c>
      <c r="AK109" s="1" t="s">
        <v>2206</v>
      </c>
      <c r="AL109" s="1">
        <v>25</v>
      </c>
      <c r="AM109" s="1" t="s">
        <v>210</v>
      </c>
      <c r="AP109" s="1">
        <f>91-9727816799</f>
        <v>-9727816708</v>
      </c>
      <c r="AR109" s="1">
        <v>1</v>
      </c>
      <c r="AS109" s="1">
        <v>0</v>
      </c>
      <c r="AW109" s="1" t="s">
        <v>142</v>
      </c>
      <c r="AX109" s="1" t="s">
        <v>2207</v>
      </c>
      <c r="AY109" s="1" t="s">
        <v>2208</v>
      </c>
      <c r="AZ109" s="1">
        <v>5.0599999999999996</v>
      </c>
      <c r="BA109" s="1">
        <v>5.0999999999999996</v>
      </c>
      <c r="BB109" s="1" t="s">
        <v>151</v>
      </c>
      <c r="BC109" s="1" t="s">
        <v>304</v>
      </c>
      <c r="BD109" s="1" t="s">
        <v>1333</v>
      </c>
      <c r="BE109" s="1" t="s">
        <v>2209</v>
      </c>
      <c r="BF109" s="1" t="s">
        <v>120</v>
      </c>
      <c r="BG109" s="1" t="s">
        <v>120</v>
      </c>
      <c r="BH109" s="1" t="s">
        <v>120</v>
      </c>
      <c r="BJ109" s="1" t="s">
        <v>120</v>
      </c>
      <c r="BK109" s="1" t="s">
        <v>120</v>
      </c>
      <c r="BL109" s="1">
        <v>0</v>
      </c>
      <c r="BM109" s="1">
        <v>0</v>
      </c>
      <c r="BN109" s="1" t="s">
        <v>2210</v>
      </c>
      <c r="BO109" s="1">
        <v>0</v>
      </c>
      <c r="BQ109" s="1" t="s">
        <v>112</v>
      </c>
      <c r="BR109" s="1">
        <v>0</v>
      </c>
      <c r="BS109" s="1" t="s">
        <v>129</v>
      </c>
      <c r="BT109" s="1" t="s">
        <v>124</v>
      </c>
      <c r="BU109" s="1" t="s">
        <v>112</v>
      </c>
      <c r="BV109" s="1" t="s">
        <v>112</v>
      </c>
      <c r="BW109" s="1" t="s">
        <v>2211</v>
      </c>
      <c r="BX109" s="1" t="s">
        <v>2212</v>
      </c>
      <c r="BY109" s="1" t="s">
        <v>120</v>
      </c>
      <c r="BZ109" s="1">
        <v>0</v>
      </c>
      <c r="CA109" s="1">
        <v>0</v>
      </c>
      <c r="CB109" s="4">
        <v>42546.365272488423</v>
      </c>
      <c r="CC109" s="1">
        <v>1</v>
      </c>
      <c r="CD109" s="1">
        <v>1</v>
      </c>
      <c r="CE109" s="1">
        <v>1</v>
      </c>
      <c r="CF109" s="1">
        <v>1</v>
      </c>
      <c r="CG109" s="4">
        <v>43422.609210532406</v>
      </c>
      <c r="CH109" s="1" t="s">
        <v>112</v>
      </c>
      <c r="CI109" s="1" t="s">
        <v>2213</v>
      </c>
      <c r="CJ109" s="1" t="s">
        <v>157</v>
      </c>
    </row>
    <row r="110" spans="1:88" x14ac:dyDescent="0.35">
      <c r="A110" s="1">
        <v>1524</v>
      </c>
      <c r="B110" s="1" t="s">
        <v>2214</v>
      </c>
      <c r="C110" s="1" t="s">
        <v>2215</v>
      </c>
      <c r="D110" s="1" t="s">
        <v>90</v>
      </c>
      <c r="E110" s="1" t="s">
        <v>2216</v>
      </c>
      <c r="F110" s="1" t="s">
        <v>1985</v>
      </c>
      <c r="G110" s="1">
        <v>0</v>
      </c>
      <c r="H110" s="3">
        <v>33968</v>
      </c>
      <c r="I110" s="1">
        <v>1</v>
      </c>
      <c r="J110" s="1" t="s">
        <v>93</v>
      </c>
      <c r="K110" s="1" t="s">
        <v>2217</v>
      </c>
      <c r="L110" s="2" t="s">
        <v>142</v>
      </c>
      <c r="M110" s="1" t="s">
        <v>150</v>
      </c>
      <c r="N110" s="1">
        <v>0</v>
      </c>
      <c r="O110" s="1">
        <v>0</v>
      </c>
      <c r="P110" s="1">
        <v>5.03</v>
      </c>
      <c r="Q110" s="1">
        <v>27</v>
      </c>
      <c r="R110" s="1" t="s">
        <v>653</v>
      </c>
      <c r="S110" s="1" t="s">
        <v>1914</v>
      </c>
      <c r="T110" s="1" t="s">
        <v>1915</v>
      </c>
      <c r="U110" s="1" t="s">
        <v>2218</v>
      </c>
      <c r="V110" s="1" t="s">
        <v>2219</v>
      </c>
      <c r="X110" s="1" t="s">
        <v>100</v>
      </c>
      <c r="Y110" s="1" t="s">
        <v>210</v>
      </c>
      <c r="Z110" s="1" t="s">
        <v>1899</v>
      </c>
      <c r="AB110" s="1">
        <v>0</v>
      </c>
      <c r="AD110" s="1" t="s">
        <v>2220</v>
      </c>
      <c r="AE110" s="1">
        <f>91-8888416991</f>
        <v>-8888416900</v>
      </c>
      <c r="AF110" s="1" t="s">
        <v>112</v>
      </c>
      <c r="AG110" s="1" t="s">
        <v>112</v>
      </c>
      <c r="AH110" s="1" t="s">
        <v>112</v>
      </c>
      <c r="AI110" s="1" t="s">
        <v>112</v>
      </c>
      <c r="AJ110" s="1" t="s">
        <v>112</v>
      </c>
      <c r="AK110" s="1" t="s">
        <v>112</v>
      </c>
      <c r="AL110" s="1" t="s">
        <v>112</v>
      </c>
      <c r="AM110" s="1" t="s">
        <v>112</v>
      </c>
      <c r="AN110" s="1" t="s">
        <v>112</v>
      </c>
      <c r="AO110" s="1" t="s">
        <v>112</v>
      </c>
      <c r="AP110" s="1" t="s">
        <v>112</v>
      </c>
      <c r="AQ110" s="1" t="s">
        <v>112</v>
      </c>
      <c r="AR110" s="1" t="s">
        <v>112</v>
      </c>
      <c r="AS110" s="1" t="s">
        <v>112</v>
      </c>
      <c r="AT110" s="1" t="s">
        <v>112</v>
      </c>
      <c r="AU110" s="1" t="s">
        <v>112</v>
      </c>
      <c r="AV110" s="1" t="s">
        <v>112</v>
      </c>
      <c r="AW110" s="1" t="s">
        <v>112</v>
      </c>
      <c r="AX110" s="1" t="s">
        <v>112</v>
      </c>
      <c r="AY110" s="1" t="s">
        <v>112</v>
      </c>
      <c r="AZ110" s="1" t="s">
        <v>112</v>
      </c>
      <c r="BA110" s="1" t="s">
        <v>112</v>
      </c>
      <c r="BB110" s="1" t="s">
        <v>112</v>
      </c>
      <c r="BC110" s="1" t="s">
        <v>112</v>
      </c>
      <c r="BD110" s="1" t="s">
        <v>112</v>
      </c>
      <c r="BE110" s="1" t="s">
        <v>112</v>
      </c>
      <c r="BF110" s="1" t="s">
        <v>112</v>
      </c>
      <c r="BG110" s="1" t="s">
        <v>112</v>
      </c>
      <c r="BH110" s="1" t="s">
        <v>112</v>
      </c>
      <c r="BI110" s="1" t="s">
        <v>112</v>
      </c>
      <c r="BJ110" s="1" t="s">
        <v>112</v>
      </c>
      <c r="BK110" s="1" t="s">
        <v>112</v>
      </c>
      <c r="BL110" s="1" t="s">
        <v>112</v>
      </c>
      <c r="BM110" s="1" t="s">
        <v>112</v>
      </c>
      <c r="BN110" s="1" t="s">
        <v>112</v>
      </c>
      <c r="BO110" s="1" t="s">
        <v>112</v>
      </c>
      <c r="BP110" s="1" t="s">
        <v>112</v>
      </c>
      <c r="BQ110" s="1" t="s">
        <v>112</v>
      </c>
      <c r="BR110" s="1" t="s">
        <v>112</v>
      </c>
      <c r="BS110" s="1" t="s">
        <v>112</v>
      </c>
      <c r="BT110" s="1" t="s">
        <v>112</v>
      </c>
      <c r="BU110" s="1" t="s">
        <v>112</v>
      </c>
      <c r="BV110" s="1" t="s">
        <v>112</v>
      </c>
      <c r="BW110" s="1" t="s">
        <v>112</v>
      </c>
      <c r="BX110" s="1" t="s">
        <v>112</v>
      </c>
      <c r="BY110" s="1" t="s">
        <v>112</v>
      </c>
      <c r="BZ110" s="1" t="s">
        <v>112</v>
      </c>
      <c r="CA110" s="1" t="s">
        <v>112</v>
      </c>
      <c r="CB110" s="4">
        <v>42549.15848302083</v>
      </c>
      <c r="CC110" s="1">
        <v>1</v>
      </c>
      <c r="CD110" s="1">
        <v>1</v>
      </c>
      <c r="CE110" s="1">
        <v>1</v>
      </c>
      <c r="CF110" s="1">
        <v>4</v>
      </c>
      <c r="CG110" s="1" t="s">
        <v>112</v>
      </c>
      <c r="CH110" s="1" t="s">
        <v>112</v>
      </c>
      <c r="CI110" s="1" t="s">
        <v>112</v>
      </c>
      <c r="CJ110" s="1" t="s">
        <v>112</v>
      </c>
    </row>
    <row r="111" spans="1:88" x14ac:dyDescent="0.35">
      <c r="A111" s="1">
        <v>1527</v>
      </c>
      <c r="B111" s="1" t="s">
        <v>2221</v>
      </c>
      <c r="C111" s="1" t="s">
        <v>2222</v>
      </c>
      <c r="D111" s="1" t="s">
        <v>90</v>
      </c>
      <c r="E111" s="1" t="s">
        <v>2223</v>
      </c>
      <c r="F111" s="1" t="s">
        <v>185</v>
      </c>
      <c r="G111" s="1">
        <v>1</v>
      </c>
      <c r="H111" s="3">
        <v>32816</v>
      </c>
      <c r="I111" s="1">
        <v>1</v>
      </c>
      <c r="J111" s="1" t="s">
        <v>2224</v>
      </c>
      <c r="K111" s="1" t="s">
        <v>2225</v>
      </c>
      <c r="L111" s="2">
        <f>91-8885283997</f>
        <v>-8885283906</v>
      </c>
      <c r="M111" s="1" t="s">
        <v>150</v>
      </c>
      <c r="N111" s="1">
        <v>0</v>
      </c>
      <c r="O111" s="1">
        <v>0</v>
      </c>
      <c r="P111" s="1">
        <v>5.04</v>
      </c>
      <c r="Q111" s="1">
        <v>54</v>
      </c>
      <c r="R111" s="1" t="s">
        <v>1131</v>
      </c>
      <c r="S111" s="1" t="s">
        <v>492</v>
      </c>
      <c r="T111" s="1" t="s">
        <v>341</v>
      </c>
      <c r="U111" s="1" t="s">
        <v>198</v>
      </c>
      <c r="V111" s="1" t="s">
        <v>2226</v>
      </c>
      <c r="W111" s="1" t="s">
        <v>198</v>
      </c>
      <c r="X111" s="1" t="s">
        <v>296</v>
      </c>
      <c r="Y111" s="1" t="s">
        <v>111</v>
      </c>
      <c r="Z111" s="1" t="s">
        <v>192</v>
      </c>
      <c r="AA111" s="1" t="s">
        <v>2227</v>
      </c>
      <c r="AB111" s="1">
        <v>0</v>
      </c>
      <c r="AD111" s="1" t="s">
        <v>2228</v>
      </c>
      <c r="AE111" s="1">
        <f>91-8885283998</f>
        <v>-8885283907</v>
      </c>
      <c r="AF111" s="1" t="s">
        <v>143</v>
      </c>
      <c r="AG111" s="1" t="s">
        <v>2229</v>
      </c>
      <c r="AH111" s="1" t="s">
        <v>2230</v>
      </c>
      <c r="AI111" s="1" t="s">
        <v>2231</v>
      </c>
      <c r="AJ111" s="1" t="s">
        <v>109</v>
      </c>
      <c r="AK111" s="1" t="s">
        <v>2232</v>
      </c>
      <c r="AL111" s="1">
        <v>3</v>
      </c>
      <c r="AM111" s="1" t="s">
        <v>111</v>
      </c>
      <c r="AN111" s="1" t="s">
        <v>2233</v>
      </c>
      <c r="AO111" s="1" t="s">
        <v>2234</v>
      </c>
      <c r="AP111" s="1">
        <f>91-9700990808</f>
        <v>-9700990717</v>
      </c>
      <c r="AQ111" s="1" t="s">
        <v>124</v>
      </c>
      <c r="AR111" s="1">
        <v>0</v>
      </c>
      <c r="AS111" s="1">
        <v>0</v>
      </c>
      <c r="AT111" s="1" t="s">
        <v>2235</v>
      </c>
      <c r="AU111" s="1" t="s">
        <v>2236</v>
      </c>
      <c r="AV111" s="1" t="s">
        <v>2237</v>
      </c>
      <c r="AW111" s="1">
        <f>91-9912054567</f>
        <v>-9912054476</v>
      </c>
      <c r="AX111" s="1" t="s">
        <v>1544</v>
      </c>
      <c r="AY111" s="1" t="s">
        <v>150</v>
      </c>
      <c r="AZ111" s="1">
        <v>4.0999999999999996</v>
      </c>
      <c r="BA111" s="1">
        <v>5.03</v>
      </c>
      <c r="BB111" s="1" t="s">
        <v>151</v>
      </c>
      <c r="BC111" s="1" t="s">
        <v>152</v>
      </c>
      <c r="BD111" s="1" t="s">
        <v>1395</v>
      </c>
      <c r="BE111" s="1" t="s">
        <v>233</v>
      </c>
      <c r="BF111" s="1" t="s">
        <v>120</v>
      </c>
      <c r="BG111" s="1" t="s">
        <v>120</v>
      </c>
      <c r="BH111" s="1" t="s">
        <v>120</v>
      </c>
      <c r="BI111" s="1" t="s">
        <v>192</v>
      </c>
      <c r="BJ111" s="1" t="s">
        <v>120</v>
      </c>
      <c r="BK111" s="1" t="s">
        <v>120</v>
      </c>
      <c r="BL111" s="1">
        <v>0</v>
      </c>
      <c r="BM111" s="1">
        <v>0</v>
      </c>
      <c r="BN111" s="1" t="s">
        <v>2238</v>
      </c>
      <c r="BO111" s="1">
        <v>1</v>
      </c>
      <c r="BP111" s="1" t="s">
        <v>2239</v>
      </c>
      <c r="BQ111" s="1" t="s">
        <v>2240</v>
      </c>
      <c r="BR111" s="1">
        <v>0</v>
      </c>
      <c r="BS111" s="1" t="s">
        <v>354</v>
      </c>
      <c r="BT111" s="1" t="s">
        <v>124</v>
      </c>
      <c r="BV111" s="1" t="s">
        <v>112</v>
      </c>
      <c r="BW111" s="1" t="s">
        <v>2241</v>
      </c>
      <c r="BY111" s="1" t="s">
        <v>120</v>
      </c>
      <c r="BZ111" s="1">
        <v>1</v>
      </c>
      <c r="CA111" s="1">
        <v>1</v>
      </c>
      <c r="CB111" s="4">
        <v>42552.092446724535</v>
      </c>
      <c r="CC111" s="1">
        <v>1</v>
      </c>
      <c r="CD111" s="1">
        <v>1</v>
      </c>
      <c r="CE111" s="1">
        <v>1</v>
      </c>
      <c r="CF111" s="1">
        <v>3</v>
      </c>
      <c r="CG111" s="1" t="s">
        <v>112</v>
      </c>
      <c r="CH111" s="1" t="s">
        <v>112</v>
      </c>
      <c r="CI111" s="1" t="s">
        <v>2242</v>
      </c>
      <c r="CJ111" s="1" t="s">
        <v>157</v>
      </c>
    </row>
    <row r="112" spans="1:88" x14ac:dyDescent="0.35">
      <c r="A112" s="1">
        <v>1531</v>
      </c>
      <c r="B112" s="1" t="s">
        <v>2243</v>
      </c>
      <c r="C112" s="1" t="s">
        <v>2244</v>
      </c>
      <c r="D112" s="1" t="s">
        <v>259</v>
      </c>
      <c r="E112" s="1" t="s">
        <v>2245</v>
      </c>
      <c r="F112" s="1" t="s">
        <v>2246</v>
      </c>
      <c r="G112" s="1">
        <v>0</v>
      </c>
      <c r="H112" s="3">
        <v>33055</v>
      </c>
      <c r="I112" s="1">
        <v>1</v>
      </c>
      <c r="J112" s="1" t="s">
        <v>997</v>
      </c>
      <c r="K112" s="1" t="s">
        <v>2247</v>
      </c>
      <c r="L112" s="2">
        <f>91-9178518909</f>
        <v>-9178518818</v>
      </c>
      <c r="M112" s="1" t="s">
        <v>150</v>
      </c>
      <c r="N112" s="1">
        <v>0</v>
      </c>
      <c r="O112" s="1">
        <v>0</v>
      </c>
      <c r="P112" s="1">
        <v>5.03</v>
      </c>
      <c r="Q112" s="1">
        <v>10</v>
      </c>
      <c r="S112" s="1" t="s">
        <v>492</v>
      </c>
      <c r="T112" s="1" t="s">
        <v>223</v>
      </c>
      <c r="U112" s="1" t="s">
        <v>2248</v>
      </c>
      <c r="X112" s="1" t="s">
        <v>223</v>
      </c>
      <c r="Y112" s="1" t="s">
        <v>114</v>
      </c>
      <c r="Z112" s="1" t="s">
        <v>1064</v>
      </c>
      <c r="AB112" s="1">
        <v>1</v>
      </c>
      <c r="AC112" s="1" t="s">
        <v>2249</v>
      </c>
      <c r="AD112" s="1" t="s">
        <v>2250</v>
      </c>
      <c r="AE112" s="1">
        <f>91-9178518909</f>
        <v>-9178518818</v>
      </c>
      <c r="AF112" s="1" t="s">
        <v>143</v>
      </c>
      <c r="AG112" s="1" t="s">
        <v>2251</v>
      </c>
      <c r="AH112" s="1" t="s">
        <v>1681</v>
      </c>
      <c r="AI112" s="1" t="s">
        <v>2252</v>
      </c>
      <c r="AJ112" s="1" t="s">
        <v>109</v>
      </c>
      <c r="AL112" s="1">
        <v>0</v>
      </c>
      <c r="AM112" s="1" t="s">
        <v>223</v>
      </c>
      <c r="AP112" s="1">
        <f>91-9178518909</f>
        <v>-9178518818</v>
      </c>
      <c r="AR112" s="1">
        <v>0</v>
      </c>
      <c r="AS112" s="1">
        <v>0</v>
      </c>
      <c r="AW112" s="1" t="s">
        <v>142</v>
      </c>
      <c r="AX112" s="1" t="s">
        <v>2253</v>
      </c>
      <c r="AY112" s="1" t="s">
        <v>150</v>
      </c>
      <c r="AZ112" s="1">
        <v>5.03</v>
      </c>
      <c r="BA112" s="1">
        <v>6</v>
      </c>
      <c r="BB112" s="1" t="s">
        <v>151</v>
      </c>
      <c r="BC112" s="1" t="s">
        <v>152</v>
      </c>
      <c r="BD112" s="1" t="s">
        <v>1395</v>
      </c>
      <c r="BF112" s="1" t="s">
        <v>120</v>
      </c>
      <c r="BI112" s="1" t="s">
        <v>1064</v>
      </c>
      <c r="BJ112" s="1" t="s">
        <v>120</v>
      </c>
      <c r="BK112" s="1" t="s">
        <v>120</v>
      </c>
      <c r="BL112" s="1">
        <v>1</v>
      </c>
      <c r="BM112" s="1">
        <v>0</v>
      </c>
      <c r="BO112" s="1">
        <v>0</v>
      </c>
      <c r="BQ112" s="1" t="s">
        <v>180</v>
      </c>
      <c r="BR112" s="1">
        <v>0</v>
      </c>
      <c r="BS112" s="1" t="s">
        <v>787</v>
      </c>
      <c r="BT112" s="1" t="s">
        <v>124</v>
      </c>
      <c r="BV112" s="1" t="s">
        <v>112</v>
      </c>
      <c r="BY112" s="1" t="s">
        <v>120</v>
      </c>
      <c r="BZ112" s="1">
        <v>0</v>
      </c>
      <c r="CA112" s="1">
        <v>0</v>
      </c>
      <c r="CB112" s="4">
        <v>42553.966011076387</v>
      </c>
      <c r="CC112" s="1">
        <v>1</v>
      </c>
      <c r="CD112" s="1">
        <v>1</v>
      </c>
      <c r="CE112" s="1">
        <v>1</v>
      </c>
      <c r="CF112" s="1">
        <v>4</v>
      </c>
      <c r="CG112" s="1" t="s">
        <v>112</v>
      </c>
      <c r="CH112" s="1" t="s">
        <v>112</v>
      </c>
      <c r="CI112" s="1" t="s">
        <v>992</v>
      </c>
      <c r="CJ112" s="1" t="s">
        <v>157</v>
      </c>
    </row>
    <row r="113" spans="1:88" x14ac:dyDescent="0.35">
      <c r="A113" s="1">
        <v>1533</v>
      </c>
      <c r="B113" s="1" t="s">
        <v>2254</v>
      </c>
      <c r="C113" s="1">
        <v>11191983</v>
      </c>
      <c r="D113" s="1" t="s">
        <v>90</v>
      </c>
      <c r="G113" s="1">
        <v>1</v>
      </c>
      <c r="H113" s="3">
        <v>30639</v>
      </c>
      <c r="I113" s="1">
        <v>1</v>
      </c>
      <c r="J113" s="1" t="s">
        <v>162</v>
      </c>
      <c r="K113" s="1" t="s">
        <v>921</v>
      </c>
      <c r="L113" s="2">
        <f>91-9913693590</f>
        <v>-9913693499</v>
      </c>
      <c r="M113" s="1" t="s">
        <v>150</v>
      </c>
      <c r="N113" s="1">
        <v>0</v>
      </c>
      <c r="O113" s="1">
        <v>0</v>
      </c>
      <c r="P113" s="1">
        <v>5.05</v>
      </c>
      <c r="Q113" s="1">
        <v>11</v>
      </c>
      <c r="R113" s="1" t="s">
        <v>340</v>
      </c>
      <c r="S113" s="1" t="s">
        <v>233</v>
      </c>
      <c r="U113" s="1" t="s">
        <v>198</v>
      </c>
      <c r="X113" s="1" t="s">
        <v>296</v>
      </c>
      <c r="Y113" s="1" t="s">
        <v>210</v>
      </c>
      <c r="Z113" s="1" t="s">
        <v>2255</v>
      </c>
      <c r="AB113" s="1">
        <v>0</v>
      </c>
      <c r="AD113" s="1" t="s">
        <v>124</v>
      </c>
      <c r="AE113" s="1">
        <f>91-9913693590</f>
        <v>-9913693499</v>
      </c>
      <c r="AF113" s="1" t="s">
        <v>105</v>
      </c>
      <c r="AG113" s="1" t="s">
        <v>2256</v>
      </c>
      <c r="AH113" s="1" t="s">
        <v>2257</v>
      </c>
      <c r="AI113" s="1" t="s">
        <v>2258</v>
      </c>
      <c r="AJ113" s="1" t="s">
        <v>1238</v>
      </c>
      <c r="AK113" s="1" t="s">
        <v>2259</v>
      </c>
      <c r="AL113" s="1">
        <v>30</v>
      </c>
      <c r="AM113" s="1" t="s">
        <v>198</v>
      </c>
      <c r="AN113" s="1" t="s">
        <v>198</v>
      </c>
      <c r="AP113" s="1">
        <f>91-9033335892</f>
        <v>-9033335801</v>
      </c>
      <c r="AQ113" s="1" t="s">
        <v>124</v>
      </c>
      <c r="AR113" s="1">
        <v>2</v>
      </c>
      <c r="AS113" s="1">
        <v>2</v>
      </c>
      <c r="AW113" s="1" t="s">
        <v>142</v>
      </c>
      <c r="AX113" s="1" t="s">
        <v>1990</v>
      </c>
      <c r="AY113" s="1" t="s">
        <v>150</v>
      </c>
      <c r="AZ113" s="1">
        <v>5.04</v>
      </c>
      <c r="BA113" s="1">
        <v>5.04</v>
      </c>
      <c r="BB113" s="1" t="s">
        <v>151</v>
      </c>
      <c r="BC113" s="1" t="s">
        <v>152</v>
      </c>
      <c r="BD113" s="1" t="s">
        <v>1395</v>
      </c>
      <c r="BE113" s="1" t="s">
        <v>2260</v>
      </c>
      <c r="BF113" s="1" t="s">
        <v>120</v>
      </c>
      <c r="BG113" s="1" t="s">
        <v>120</v>
      </c>
      <c r="BH113" s="1" t="s">
        <v>120</v>
      </c>
      <c r="BI113" s="1" t="s">
        <v>132</v>
      </c>
      <c r="BJ113" s="1" t="s">
        <v>71</v>
      </c>
      <c r="BK113" s="1" t="s">
        <v>120</v>
      </c>
      <c r="BL113" s="1">
        <v>0</v>
      </c>
      <c r="BM113" s="1">
        <v>0</v>
      </c>
      <c r="BN113" s="1" t="s">
        <v>124</v>
      </c>
      <c r="BO113" s="1">
        <v>1</v>
      </c>
      <c r="BP113" s="1" t="s">
        <v>2261</v>
      </c>
      <c r="BQ113" s="1" t="s">
        <v>2262</v>
      </c>
      <c r="BR113" s="1">
        <v>1</v>
      </c>
      <c r="BS113" s="1" t="s">
        <v>596</v>
      </c>
      <c r="BT113" s="1" t="s">
        <v>120</v>
      </c>
      <c r="BV113" s="1" t="s">
        <v>112</v>
      </c>
      <c r="BW113" s="1" t="s">
        <v>2263</v>
      </c>
      <c r="BX113" s="1" t="s">
        <v>2264</v>
      </c>
      <c r="BY113" s="1" t="s">
        <v>120</v>
      </c>
      <c r="BZ113" s="1">
        <v>1</v>
      </c>
      <c r="CA113" s="1">
        <v>1</v>
      </c>
      <c r="CB113" s="4">
        <v>42554.910143865738</v>
      </c>
      <c r="CC113" s="1">
        <v>1</v>
      </c>
      <c r="CD113" s="1">
        <v>1</v>
      </c>
      <c r="CE113" s="1">
        <v>1</v>
      </c>
      <c r="CF113" s="1">
        <v>4</v>
      </c>
      <c r="CG113" s="1" t="s">
        <v>112</v>
      </c>
      <c r="CH113" s="1" t="s">
        <v>112</v>
      </c>
      <c r="CI113" s="1" t="s">
        <v>2265</v>
      </c>
      <c r="CJ113" s="1" t="s">
        <v>157</v>
      </c>
    </row>
    <row r="114" spans="1:88" x14ac:dyDescent="0.35">
      <c r="A114" s="1">
        <v>1540</v>
      </c>
      <c r="B114" s="1" t="s">
        <v>2266</v>
      </c>
      <c r="D114" s="1" t="s">
        <v>259</v>
      </c>
      <c r="E114" s="1" t="s">
        <v>2267</v>
      </c>
      <c r="F114" s="1" t="s">
        <v>2268</v>
      </c>
      <c r="G114" s="1">
        <v>0</v>
      </c>
      <c r="H114" s="3">
        <v>33791</v>
      </c>
      <c r="I114" s="1">
        <v>1</v>
      </c>
      <c r="J114" s="1" t="s">
        <v>162</v>
      </c>
      <c r="K114" s="1" t="s">
        <v>232</v>
      </c>
      <c r="L114" s="2">
        <f>91-9408338555</f>
        <v>-9408338464</v>
      </c>
      <c r="M114" s="1" t="s">
        <v>150</v>
      </c>
      <c r="N114" s="1">
        <v>0</v>
      </c>
      <c r="O114" s="1">
        <v>0</v>
      </c>
      <c r="P114" s="1">
        <v>5.03</v>
      </c>
      <c r="Q114" s="1">
        <v>51</v>
      </c>
      <c r="R114" s="1" t="s">
        <v>2053</v>
      </c>
      <c r="S114" s="1" t="s">
        <v>136</v>
      </c>
      <c r="T114" s="1" t="s">
        <v>234</v>
      </c>
      <c r="U114" s="1" t="s">
        <v>694</v>
      </c>
      <c r="X114" s="1" t="s">
        <v>223</v>
      </c>
      <c r="Y114" s="1" t="s">
        <v>223</v>
      </c>
      <c r="Z114" s="1" t="s">
        <v>223</v>
      </c>
      <c r="AB114" s="1">
        <v>0</v>
      </c>
      <c r="AE114" s="1" t="s">
        <v>142</v>
      </c>
      <c r="AF114" s="1" t="s">
        <v>478</v>
      </c>
      <c r="AJ114" s="1" t="s">
        <v>109</v>
      </c>
      <c r="AK114" s="1" t="s">
        <v>232</v>
      </c>
      <c r="AL114" s="1">
        <v>0</v>
      </c>
      <c r="AM114" s="1" t="s">
        <v>223</v>
      </c>
      <c r="AP114" s="1" t="s">
        <v>142</v>
      </c>
      <c r="AR114" s="1">
        <v>0</v>
      </c>
      <c r="AS114" s="1">
        <v>0</v>
      </c>
      <c r="AW114" s="1" t="s">
        <v>142</v>
      </c>
      <c r="AX114" s="1" t="s">
        <v>1952</v>
      </c>
      <c r="AY114" s="1" t="s">
        <v>150</v>
      </c>
      <c r="AZ114" s="1">
        <v>5.03</v>
      </c>
      <c r="BA114" s="1">
        <v>5.09</v>
      </c>
      <c r="BB114" s="1" t="s">
        <v>151</v>
      </c>
      <c r="BC114" s="1" t="s">
        <v>152</v>
      </c>
      <c r="BD114" s="1" t="s">
        <v>1395</v>
      </c>
      <c r="BF114" s="1" t="s">
        <v>120</v>
      </c>
      <c r="BI114" s="1" t="s">
        <v>223</v>
      </c>
      <c r="BJ114" s="1" t="s">
        <v>120</v>
      </c>
      <c r="BK114" s="1" t="s">
        <v>120</v>
      </c>
      <c r="BL114" s="1">
        <v>0</v>
      </c>
      <c r="BM114" s="1">
        <v>1</v>
      </c>
      <c r="BO114" s="1">
        <v>0</v>
      </c>
      <c r="BQ114" s="1" t="s">
        <v>180</v>
      </c>
      <c r="BR114" s="1">
        <v>0</v>
      </c>
      <c r="BS114" s="1" t="s">
        <v>223</v>
      </c>
      <c r="BT114" s="1" t="s">
        <v>124</v>
      </c>
      <c r="BV114" s="1" t="s">
        <v>112</v>
      </c>
      <c r="BY114" s="1" t="s">
        <v>120</v>
      </c>
      <c r="BZ114" s="1">
        <v>0</v>
      </c>
      <c r="CA114" s="1">
        <v>0</v>
      </c>
      <c r="CB114" s="4">
        <v>42565.433878206015</v>
      </c>
      <c r="CC114" s="1">
        <v>1</v>
      </c>
      <c r="CD114" s="1">
        <v>1</v>
      </c>
      <c r="CE114" s="1">
        <v>1</v>
      </c>
      <c r="CF114" s="1">
        <v>4</v>
      </c>
      <c r="CG114" s="1" t="s">
        <v>112</v>
      </c>
      <c r="CH114" s="1" t="s">
        <v>112</v>
      </c>
      <c r="CI114" s="1" t="s">
        <v>2269</v>
      </c>
      <c r="CJ114" s="1" t="s">
        <v>157</v>
      </c>
    </row>
    <row r="115" spans="1:88" x14ac:dyDescent="0.35">
      <c r="A115" s="1">
        <v>1546</v>
      </c>
      <c r="B115" s="1" t="s">
        <v>2270</v>
      </c>
      <c r="C115" s="1" t="s">
        <v>2271</v>
      </c>
      <c r="D115" s="1" t="s">
        <v>90</v>
      </c>
      <c r="E115" s="1" t="s">
        <v>446</v>
      </c>
      <c r="F115" s="1" t="s">
        <v>2272</v>
      </c>
      <c r="G115" s="1">
        <v>1</v>
      </c>
      <c r="H115" s="3">
        <v>32798</v>
      </c>
      <c r="I115" s="1">
        <v>1</v>
      </c>
      <c r="J115" s="1" t="s">
        <v>162</v>
      </c>
      <c r="K115" s="1" t="s">
        <v>232</v>
      </c>
      <c r="L115" s="2">
        <f>91-7621056897</f>
        <v>-7621056806</v>
      </c>
      <c r="M115" s="1" t="s">
        <v>150</v>
      </c>
      <c r="N115" s="1">
        <v>0</v>
      </c>
      <c r="O115" s="1">
        <v>0</v>
      </c>
      <c r="P115" s="1">
        <v>5.07</v>
      </c>
      <c r="Q115" s="1">
        <v>46</v>
      </c>
      <c r="R115" s="1" t="s">
        <v>292</v>
      </c>
      <c r="S115" s="1" t="s">
        <v>97</v>
      </c>
      <c r="T115" s="1" t="s">
        <v>137</v>
      </c>
      <c r="U115" s="1" t="s">
        <v>386</v>
      </c>
      <c r="V115" s="1" t="s">
        <v>2273</v>
      </c>
      <c r="W115" s="1" t="s">
        <v>1361</v>
      </c>
      <c r="X115" s="1" t="s">
        <v>170</v>
      </c>
      <c r="Y115" s="1" t="s">
        <v>2274</v>
      </c>
      <c r="Z115" s="1" t="s">
        <v>584</v>
      </c>
      <c r="AA115" s="1" t="s">
        <v>2275</v>
      </c>
      <c r="AB115" s="1">
        <v>0</v>
      </c>
      <c r="AD115" s="1" t="s">
        <v>2276</v>
      </c>
      <c r="AE115" s="1">
        <f>91-9429040081</f>
        <v>-9429039990</v>
      </c>
      <c r="AF115" s="1" t="s">
        <v>105</v>
      </c>
      <c r="AG115" s="1" t="s">
        <v>2277</v>
      </c>
      <c r="AH115" s="1" t="s">
        <v>2278</v>
      </c>
      <c r="AI115" s="1" t="s">
        <v>2279</v>
      </c>
      <c r="AJ115" s="1" t="s">
        <v>109</v>
      </c>
      <c r="AK115" s="1" t="s">
        <v>2280</v>
      </c>
      <c r="AL115" s="1">
        <v>1</v>
      </c>
      <c r="AM115" s="1" t="s">
        <v>210</v>
      </c>
      <c r="AP115" s="1">
        <f>91-9726120719</f>
        <v>-9726120628</v>
      </c>
      <c r="AR115" s="1">
        <v>1</v>
      </c>
      <c r="AS115" s="1">
        <v>0</v>
      </c>
      <c r="AT115" s="1" t="s">
        <v>2281</v>
      </c>
      <c r="AU115" s="1" t="s">
        <v>2282</v>
      </c>
      <c r="AV115" s="1" t="s">
        <v>2283</v>
      </c>
      <c r="AW115" s="1">
        <f>91-9443349122</f>
        <v>-9443349031</v>
      </c>
      <c r="AX115" s="1" t="s">
        <v>664</v>
      </c>
      <c r="AY115" s="1" t="s">
        <v>351</v>
      </c>
      <c r="AZ115" s="1">
        <v>5</v>
      </c>
      <c r="BA115" s="1">
        <v>5.0599999999999996</v>
      </c>
      <c r="BB115" s="1" t="s">
        <v>151</v>
      </c>
      <c r="BC115" s="1" t="s">
        <v>304</v>
      </c>
      <c r="BD115" s="1" t="s">
        <v>1333</v>
      </c>
      <c r="BE115" s="1" t="s">
        <v>120</v>
      </c>
      <c r="BF115" s="1" t="s">
        <v>120</v>
      </c>
      <c r="BG115" s="1" t="s">
        <v>120</v>
      </c>
      <c r="BH115" s="1" t="s">
        <v>120</v>
      </c>
      <c r="BJ115" s="1" t="s">
        <v>120</v>
      </c>
      <c r="BK115" s="1" t="s">
        <v>120</v>
      </c>
      <c r="BL115" s="1">
        <v>0</v>
      </c>
      <c r="BM115" s="1">
        <v>0</v>
      </c>
      <c r="BN115" s="1" t="s">
        <v>2284</v>
      </c>
      <c r="BO115" s="1">
        <v>1</v>
      </c>
      <c r="BP115" s="1" t="s">
        <v>2285</v>
      </c>
      <c r="BQ115" s="1" t="s">
        <v>180</v>
      </c>
      <c r="BR115" s="1">
        <v>0</v>
      </c>
      <c r="BS115" s="1" t="s">
        <v>334</v>
      </c>
      <c r="BT115" s="1" t="s">
        <v>124</v>
      </c>
      <c r="BV115" s="1" t="s">
        <v>112</v>
      </c>
      <c r="BW115" s="1" t="s">
        <v>2286</v>
      </c>
      <c r="BX115" s="1" t="s">
        <v>2287</v>
      </c>
      <c r="BY115" s="1" t="s">
        <v>127</v>
      </c>
      <c r="BZ115" s="1">
        <v>0</v>
      </c>
      <c r="CA115" s="1">
        <v>0</v>
      </c>
      <c r="CB115" s="4">
        <v>42571.059716863427</v>
      </c>
      <c r="CC115" s="1">
        <v>1</v>
      </c>
      <c r="CD115" s="1">
        <v>1</v>
      </c>
      <c r="CE115" s="1">
        <v>1</v>
      </c>
      <c r="CF115" s="1">
        <v>1</v>
      </c>
      <c r="CG115" s="4">
        <v>43541.61681550926</v>
      </c>
      <c r="CH115" s="1" t="s">
        <v>112</v>
      </c>
      <c r="CI115" s="1" t="s">
        <v>2288</v>
      </c>
      <c r="CJ115" s="1" t="s">
        <v>157</v>
      </c>
    </row>
    <row r="116" spans="1:88" x14ac:dyDescent="0.35">
      <c r="A116" s="1">
        <v>1548</v>
      </c>
      <c r="B116" s="1" t="s">
        <v>2289</v>
      </c>
      <c r="C116" s="1" t="s">
        <v>2290</v>
      </c>
      <c r="D116" s="1" t="s">
        <v>90</v>
      </c>
      <c r="E116" s="1" t="s">
        <v>2291</v>
      </c>
      <c r="F116" s="1" t="s">
        <v>1994</v>
      </c>
      <c r="G116" s="1">
        <v>0</v>
      </c>
      <c r="H116" s="3">
        <v>31886</v>
      </c>
      <c r="I116" s="1">
        <v>1</v>
      </c>
      <c r="J116" s="1" t="s">
        <v>162</v>
      </c>
      <c r="K116" s="1" t="s">
        <v>1232</v>
      </c>
      <c r="L116" s="2">
        <f>91-9979478487</f>
        <v>-9979478396</v>
      </c>
      <c r="M116" s="1" t="s">
        <v>95</v>
      </c>
      <c r="N116" s="1">
        <v>0</v>
      </c>
      <c r="O116" s="1">
        <v>0</v>
      </c>
      <c r="P116" s="1">
        <v>5.1100000000000003</v>
      </c>
      <c r="Q116" s="1">
        <v>0</v>
      </c>
      <c r="S116" s="1" t="s">
        <v>97</v>
      </c>
      <c r="T116" s="1" t="s">
        <v>137</v>
      </c>
      <c r="U116" s="1" t="s">
        <v>2292</v>
      </c>
      <c r="X116" s="1" t="s">
        <v>223</v>
      </c>
      <c r="Y116" s="1" t="s">
        <v>114</v>
      </c>
      <c r="Z116" s="1" t="s">
        <v>1064</v>
      </c>
      <c r="AB116" s="1">
        <v>0</v>
      </c>
      <c r="AD116" s="1" t="s">
        <v>2293</v>
      </c>
      <c r="AE116" s="1" t="s">
        <v>142</v>
      </c>
      <c r="AF116" s="1" t="s">
        <v>143</v>
      </c>
      <c r="AG116" s="1" t="s">
        <v>2294</v>
      </c>
      <c r="AH116" s="1" t="s">
        <v>2295</v>
      </c>
      <c r="AI116" s="1" t="s">
        <v>2296</v>
      </c>
      <c r="AJ116" s="1" t="s">
        <v>1238</v>
      </c>
      <c r="AK116" s="1" t="s">
        <v>2297</v>
      </c>
      <c r="AL116" s="1">
        <v>0</v>
      </c>
      <c r="AM116" s="1" t="s">
        <v>223</v>
      </c>
      <c r="AP116" s="1">
        <f>91-982522339</f>
        <v>-982522248</v>
      </c>
      <c r="AR116" s="1">
        <v>0</v>
      </c>
      <c r="AS116" s="1">
        <v>0</v>
      </c>
      <c r="AW116" s="1" t="s">
        <v>142</v>
      </c>
      <c r="AX116" s="1" t="s">
        <v>2298</v>
      </c>
      <c r="AY116" s="1" t="s">
        <v>2299</v>
      </c>
      <c r="AZ116" s="1">
        <v>6</v>
      </c>
      <c r="BA116" s="1">
        <v>6.03</v>
      </c>
      <c r="BB116" s="1" t="s">
        <v>151</v>
      </c>
      <c r="BC116" s="1" t="s">
        <v>152</v>
      </c>
      <c r="BD116" s="1" t="s">
        <v>1395</v>
      </c>
      <c r="BF116" s="1" t="s">
        <v>120</v>
      </c>
      <c r="BI116" s="1" t="s">
        <v>1064</v>
      </c>
      <c r="BJ116" s="1" t="s">
        <v>120</v>
      </c>
      <c r="BK116" s="1" t="s">
        <v>120</v>
      </c>
      <c r="BL116" s="1">
        <v>0</v>
      </c>
      <c r="BM116" s="1">
        <v>0</v>
      </c>
      <c r="BN116" s="1" t="s">
        <v>2300</v>
      </c>
      <c r="BO116" s="1">
        <v>0</v>
      </c>
      <c r="BQ116" s="1" t="s">
        <v>180</v>
      </c>
      <c r="BR116" s="1">
        <v>0</v>
      </c>
      <c r="BS116" s="1" t="s">
        <v>1208</v>
      </c>
      <c r="BT116" s="1" t="s">
        <v>124</v>
      </c>
      <c r="BV116" s="1" t="s">
        <v>112</v>
      </c>
      <c r="BY116" s="1" t="s">
        <v>120</v>
      </c>
      <c r="BZ116" s="1">
        <v>0</v>
      </c>
      <c r="CA116" s="1">
        <v>0</v>
      </c>
      <c r="CB116" s="4">
        <v>42578.084557025461</v>
      </c>
      <c r="CC116" s="1">
        <v>1</v>
      </c>
      <c r="CD116" s="1">
        <v>1</v>
      </c>
      <c r="CE116" s="1">
        <v>1</v>
      </c>
      <c r="CF116" s="1">
        <v>4</v>
      </c>
      <c r="CG116" s="1" t="s">
        <v>112</v>
      </c>
      <c r="CH116" s="1" t="s">
        <v>112</v>
      </c>
      <c r="CI116" s="1" t="s">
        <v>2283</v>
      </c>
      <c r="CJ116" s="1" t="s">
        <v>157</v>
      </c>
    </row>
    <row r="117" spans="1:88" x14ac:dyDescent="0.35">
      <c r="A117" s="1">
        <v>1554</v>
      </c>
      <c r="B117" s="1" t="s">
        <v>2301</v>
      </c>
      <c r="C117" s="1" t="s">
        <v>2302</v>
      </c>
      <c r="D117" s="1" t="s">
        <v>711</v>
      </c>
      <c r="E117" s="1" t="s">
        <v>2303</v>
      </c>
      <c r="F117" s="1" t="s">
        <v>2304</v>
      </c>
      <c r="G117" s="1">
        <v>0</v>
      </c>
      <c r="H117" s="3">
        <v>34157</v>
      </c>
      <c r="I117" s="1">
        <v>1</v>
      </c>
      <c r="J117" s="1" t="s">
        <v>93</v>
      </c>
      <c r="K117" s="1" t="s">
        <v>94</v>
      </c>
      <c r="L117" s="2" t="s">
        <v>142</v>
      </c>
      <c r="M117" s="1" t="s">
        <v>150</v>
      </c>
      <c r="N117" s="1">
        <v>0</v>
      </c>
      <c r="O117" s="1">
        <v>0</v>
      </c>
      <c r="P117" s="1">
        <v>5.05</v>
      </c>
      <c r="Q117" s="1">
        <v>0</v>
      </c>
      <c r="S117" s="1" t="s">
        <v>97</v>
      </c>
      <c r="T117" s="1" t="s">
        <v>137</v>
      </c>
      <c r="X117" s="1" t="s">
        <v>223</v>
      </c>
      <c r="Y117" s="1" t="s">
        <v>111</v>
      </c>
      <c r="Z117" s="1" t="s">
        <v>223</v>
      </c>
      <c r="AB117" s="1">
        <v>0</v>
      </c>
      <c r="AE117" s="1" t="s">
        <v>142</v>
      </c>
      <c r="AF117" s="1" t="s">
        <v>105</v>
      </c>
      <c r="AJ117" s="1" t="s">
        <v>109</v>
      </c>
      <c r="AL117" s="1">
        <v>0</v>
      </c>
      <c r="AM117" s="1" t="s">
        <v>223</v>
      </c>
      <c r="AP117" s="1" t="s">
        <v>142</v>
      </c>
      <c r="AR117" s="1">
        <v>0</v>
      </c>
      <c r="AS117" s="1">
        <v>0</v>
      </c>
      <c r="AW117" s="1" t="s">
        <v>142</v>
      </c>
      <c r="AX117" s="1" t="s">
        <v>2305</v>
      </c>
      <c r="AY117" s="1" t="s">
        <v>150</v>
      </c>
      <c r="AZ117" s="1">
        <v>5.07</v>
      </c>
      <c r="BA117" s="1">
        <v>5.0999999999999996</v>
      </c>
      <c r="BB117" s="1" t="s">
        <v>151</v>
      </c>
      <c r="BC117" s="1" t="s">
        <v>152</v>
      </c>
      <c r="BD117" s="1" t="s">
        <v>1395</v>
      </c>
      <c r="BF117" s="1" t="s">
        <v>120</v>
      </c>
      <c r="BI117" s="1" t="s">
        <v>223</v>
      </c>
      <c r="BJ117" s="1" t="s">
        <v>120</v>
      </c>
      <c r="BK117" s="1" t="s">
        <v>120</v>
      </c>
      <c r="BL117" s="1">
        <v>0</v>
      </c>
      <c r="BM117" s="1">
        <v>0</v>
      </c>
      <c r="BO117" s="1">
        <v>0</v>
      </c>
      <c r="BQ117" s="1" t="s">
        <v>180</v>
      </c>
      <c r="BR117" s="1">
        <v>0</v>
      </c>
      <c r="BS117" s="1" t="s">
        <v>223</v>
      </c>
      <c r="BT117" s="1" t="s">
        <v>124</v>
      </c>
      <c r="BV117" s="1" t="s">
        <v>112</v>
      </c>
      <c r="BY117" s="1" t="s">
        <v>120</v>
      </c>
      <c r="BZ117" s="1">
        <v>0</v>
      </c>
      <c r="CA117" s="1">
        <v>0</v>
      </c>
      <c r="CB117" s="4">
        <v>42607.576727002313</v>
      </c>
      <c r="CC117" s="1">
        <v>1</v>
      </c>
      <c r="CD117" s="1">
        <v>1</v>
      </c>
      <c r="CE117" s="1">
        <v>1</v>
      </c>
      <c r="CF117" s="1">
        <v>4</v>
      </c>
      <c r="CG117" s="1" t="s">
        <v>112</v>
      </c>
      <c r="CH117" s="1" t="s">
        <v>112</v>
      </c>
      <c r="CI117" s="1" t="s">
        <v>847</v>
      </c>
      <c r="CJ117" s="1" t="s">
        <v>157</v>
      </c>
    </row>
    <row r="118" spans="1:88" x14ac:dyDescent="0.35">
      <c r="A118" s="1">
        <v>1562</v>
      </c>
      <c r="B118" s="1" t="s">
        <v>2306</v>
      </c>
      <c r="C118" s="1" t="s">
        <v>2307</v>
      </c>
      <c r="D118" s="1" t="s">
        <v>90</v>
      </c>
      <c r="E118" s="1" t="s">
        <v>2308</v>
      </c>
      <c r="F118" s="1" t="s">
        <v>603</v>
      </c>
      <c r="G118" s="1">
        <v>1</v>
      </c>
      <c r="H118" s="3">
        <v>32116</v>
      </c>
      <c r="I118" s="1">
        <v>1</v>
      </c>
      <c r="J118" s="1" t="s">
        <v>93</v>
      </c>
      <c r="K118" s="1" t="s">
        <v>490</v>
      </c>
      <c r="L118" s="2">
        <f>91-8600435825</f>
        <v>-8600435734</v>
      </c>
      <c r="M118" s="1" t="s">
        <v>150</v>
      </c>
      <c r="N118" s="1">
        <v>0</v>
      </c>
      <c r="O118" s="1">
        <v>0</v>
      </c>
      <c r="P118" s="1">
        <v>5.05</v>
      </c>
      <c r="Q118" s="1">
        <v>19</v>
      </c>
      <c r="R118" s="1" t="s">
        <v>714</v>
      </c>
      <c r="S118" s="1" t="s">
        <v>97</v>
      </c>
      <c r="T118" s="1" t="s">
        <v>166</v>
      </c>
      <c r="U118" s="1" t="s">
        <v>2309</v>
      </c>
      <c r="V118" s="1" t="s">
        <v>2068</v>
      </c>
      <c r="W118" s="1" t="s">
        <v>432</v>
      </c>
      <c r="X118" s="1" t="s">
        <v>100</v>
      </c>
      <c r="Y118" s="1" t="s">
        <v>111</v>
      </c>
      <c r="Z118" s="1" t="s">
        <v>556</v>
      </c>
      <c r="AA118" s="1" t="s">
        <v>2310</v>
      </c>
      <c r="AB118" s="1">
        <v>0</v>
      </c>
      <c r="AD118" s="1" t="s">
        <v>2311</v>
      </c>
      <c r="AE118" s="1">
        <f>91-8600435825</f>
        <v>-8600435734</v>
      </c>
      <c r="AF118" s="1" t="s">
        <v>105</v>
      </c>
      <c r="AG118" s="1" t="s">
        <v>2312</v>
      </c>
      <c r="AH118" s="1" t="s">
        <v>2313</v>
      </c>
      <c r="AI118" s="1" t="s">
        <v>2314</v>
      </c>
      <c r="AJ118" s="1" t="s">
        <v>109</v>
      </c>
      <c r="AK118" s="1" t="s">
        <v>2315</v>
      </c>
      <c r="AL118" s="1">
        <v>5</v>
      </c>
      <c r="AM118" s="1" t="s">
        <v>148</v>
      </c>
      <c r="AP118" s="1">
        <f>91-8600435825</f>
        <v>-8600435734</v>
      </c>
      <c r="AR118" s="1">
        <v>0</v>
      </c>
      <c r="AS118" s="1">
        <v>0</v>
      </c>
      <c r="AW118" s="1" t="s">
        <v>142</v>
      </c>
      <c r="AX118" s="1" t="s">
        <v>2316</v>
      </c>
      <c r="AY118" s="1" t="s">
        <v>1332</v>
      </c>
      <c r="AZ118" s="1">
        <v>4</v>
      </c>
      <c r="BA118" s="1">
        <v>5.07</v>
      </c>
      <c r="BB118" s="1" t="s">
        <v>151</v>
      </c>
      <c r="BC118" s="1" t="s">
        <v>152</v>
      </c>
      <c r="BD118" s="1" t="s">
        <v>1395</v>
      </c>
      <c r="BE118" s="1" t="s">
        <v>120</v>
      </c>
      <c r="BF118" s="1" t="s">
        <v>120</v>
      </c>
      <c r="BG118" s="1" t="s">
        <v>120</v>
      </c>
      <c r="BH118" s="1" t="s">
        <v>120</v>
      </c>
      <c r="BI118" s="1" t="s">
        <v>556</v>
      </c>
      <c r="BJ118" s="1" t="s">
        <v>154</v>
      </c>
      <c r="BK118" s="1" t="s">
        <v>120</v>
      </c>
      <c r="BL118" s="1">
        <v>0</v>
      </c>
      <c r="BM118" s="1">
        <v>0</v>
      </c>
      <c r="BN118" s="1" t="s">
        <v>2317</v>
      </c>
      <c r="BO118" s="1">
        <v>1</v>
      </c>
      <c r="BP118" s="1" t="s">
        <v>2068</v>
      </c>
      <c r="BQ118" s="1" t="s">
        <v>2318</v>
      </c>
      <c r="BR118" s="1">
        <v>1</v>
      </c>
      <c r="BS118" s="1" t="s">
        <v>334</v>
      </c>
      <c r="BT118" s="1" t="s">
        <v>124</v>
      </c>
      <c r="BV118" s="1" t="s">
        <v>112</v>
      </c>
      <c r="BW118" s="1" t="s">
        <v>2319</v>
      </c>
      <c r="BX118" s="1" t="s">
        <v>2320</v>
      </c>
      <c r="BY118" s="1" t="s">
        <v>120</v>
      </c>
      <c r="BZ118" s="1">
        <v>5</v>
      </c>
      <c r="CA118" s="1">
        <v>5</v>
      </c>
      <c r="CB118" s="4">
        <v>42650.991022071757</v>
      </c>
      <c r="CC118" s="1">
        <v>1</v>
      </c>
      <c r="CD118" s="1">
        <v>1</v>
      </c>
      <c r="CE118" s="1">
        <v>1</v>
      </c>
      <c r="CF118" s="1">
        <v>4</v>
      </c>
      <c r="CG118" s="4">
        <v>42892.354547951392</v>
      </c>
      <c r="CH118" s="1" t="s">
        <v>112</v>
      </c>
      <c r="CI118" s="1" t="s">
        <v>2321</v>
      </c>
      <c r="CJ118" s="1" t="s">
        <v>157</v>
      </c>
    </row>
    <row r="119" spans="1:88" x14ac:dyDescent="0.35">
      <c r="A119" s="1">
        <v>1565</v>
      </c>
      <c r="B119" s="1" t="s">
        <v>2322</v>
      </c>
      <c r="C119" s="1" t="s">
        <v>2323</v>
      </c>
      <c r="D119" s="1" t="s">
        <v>229</v>
      </c>
      <c r="E119" s="1" t="s">
        <v>2324</v>
      </c>
      <c r="F119" s="1" t="s">
        <v>2325</v>
      </c>
      <c r="G119" s="1">
        <v>1</v>
      </c>
      <c r="H119" s="3">
        <v>32747</v>
      </c>
      <c r="I119" s="1">
        <v>1</v>
      </c>
      <c r="J119" s="1" t="s">
        <v>2326</v>
      </c>
      <c r="K119" s="1" t="s">
        <v>2327</v>
      </c>
      <c r="L119" s="2">
        <f>91-8889071071</f>
        <v>-8889070980</v>
      </c>
      <c r="M119" s="1" t="s">
        <v>112</v>
      </c>
      <c r="N119" s="1" t="s">
        <v>112</v>
      </c>
      <c r="O119" s="1" t="s">
        <v>112</v>
      </c>
      <c r="P119" s="1" t="s">
        <v>112</v>
      </c>
      <c r="Q119" s="1" t="s">
        <v>112</v>
      </c>
      <c r="R119" s="1" t="s">
        <v>112</v>
      </c>
      <c r="S119" s="1" t="s">
        <v>112</v>
      </c>
      <c r="T119" s="1" t="s">
        <v>112</v>
      </c>
      <c r="U119" s="1" t="s">
        <v>112</v>
      </c>
      <c r="V119" s="1" t="s">
        <v>112</v>
      </c>
      <c r="W119" s="1" t="s">
        <v>112</v>
      </c>
      <c r="X119" s="1" t="s">
        <v>112</v>
      </c>
      <c r="Y119" s="1" t="s">
        <v>112</v>
      </c>
      <c r="Z119" s="1" t="s">
        <v>112</v>
      </c>
      <c r="AA119" s="1" t="s">
        <v>112</v>
      </c>
      <c r="AB119" s="1" t="s">
        <v>112</v>
      </c>
      <c r="AC119" s="1" t="s">
        <v>112</v>
      </c>
      <c r="AD119" s="1" t="s">
        <v>112</v>
      </c>
      <c r="AE119" s="1" t="s">
        <v>112</v>
      </c>
      <c r="AF119" s="1" t="s">
        <v>112</v>
      </c>
      <c r="AG119" s="1" t="s">
        <v>112</v>
      </c>
      <c r="AH119" s="1" t="s">
        <v>112</v>
      </c>
      <c r="AI119" s="1" t="s">
        <v>112</v>
      </c>
      <c r="AJ119" s="1" t="s">
        <v>112</v>
      </c>
      <c r="AK119" s="1" t="s">
        <v>112</v>
      </c>
      <c r="AL119" s="1" t="s">
        <v>112</v>
      </c>
      <c r="AM119" s="1" t="s">
        <v>112</v>
      </c>
      <c r="AN119" s="1" t="s">
        <v>112</v>
      </c>
      <c r="AO119" s="1" t="s">
        <v>112</v>
      </c>
      <c r="AP119" s="1" t="s">
        <v>112</v>
      </c>
      <c r="AQ119" s="1" t="s">
        <v>112</v>
      </c>
      <c r="AR119" s="1" t="s">
        <v>112</v>
      </c>
      <c r="AS119" s="1" t="s">
        <v>112</v>
      </c>
      <c r="AT119" s="1" t="s">
        <v>112</v>
      </c>
      <c r="AU119" s="1" t="s">
        <v>112</v>
      </c>
      <c r="AV119" s="1" t="s">
        <v>112</v>
      </c>
      <c r="AW119" s="1" t="s">
        <v>112</v>
      </c>
      <c r="AX119" s="1" t="s">
        <v>112</v>
      </c>
      <c r="AY119" s="1" t="s">
        <v>112</v>
      </c>
      <c r="AZ119" s="1" t="s">
        <v>112</v>
      </c>
      <c r="BA119" s="1" t="s">
        <v>112</v>
      </c>
      <c r="BB119" s="1" t="s">
        <v>112</v>
      </c>
      <c r="BC119" s="1" t="s">
        <v>112</v>
      </c>
      <c r="BD119" s="1" t="s">
        <v>112</v>
      </c>
      <c r="BE119" s="1" t="s">
        <v>112</v>
      </c>
      <c r="BF119" s="1" t="s">
        <v>112</v>
      </c>
      <c r="BG119" s="1" t="s">
        <v>112</v>
      </c>
      <c r="BH119" s="1" t="s">
        <v>112</v>
      </c>
      <c r="BI119" s="1" t="s">
        <v>112</v>
      </c>
      <c r="BJ119" s="1" t="s">
        <v>112</v>
      </c>
      <c r="BK119" s="1" t="s">
        <v>112</v>
      </c>
      <c r="BL119" s="1" t="s">
        <v>112</v>
      </c>
      <c r="BM119" s="1" t="s">
        <v>112</v>
      </c>
      <c r="BN119" s="1" t="s">
        <v>112</v>
      </c>
      <c r="BO119" s="1" t="s">
        <v>112</v>
      </c>
      <c r="BP119" s="1" t="s">
        <v>112</v>
      </c>
      <c r="BQ119" s="1" t="s">
        <v>112</v>
      </c>
      <c r="BR119" s="1" t="s">
        <v>112</v>
      </c>
      <c r="BS119" s="1" t="s">
        <v>112</v>
      </c>
      <c r="BT119" s="1" t="s">
        <v>112</v>
      </c>
      <c r="BU119" s="1" t="s">
        <v>112</v>
      </c>
      <c r="BV119" s="1" t="s">
        <v>112</v>
      </c>
      <c r="BW119" s="1" t="s">
        <v>2328</v>
      </c>
      <c r="BX119" s="1" t="s">
        <v>2329</v>
      </c>
      <c r="BY119" s="1" t="s">
        <v>112</v>
      </c>
      <c r="BZ119" s="1" t="s">
        <v>112</v>
      </c>
      <c r="CA119" s="1" t="s">
        <v>112</v>
      </c>
      <c r="CB119" s="4">
        <v>42683.174134409725</v>
      </c>
      <c r="CC119" s="1">
        <v>1</v>
      </c>
      <c r="CD119" s="1">
        <v>1</v>
      </c>
      <c r="CE119" s="1">
        <v>1</v>
      </c>
      <c r="CF119" s="1">
        <v>4</v>
      </c>
      <c r="CG119" s="4">
        <v>42760.48397577546</v>
      </c>
      <c r="CH119" s="1" t="s">
        <v>112</v>
      </c>
      <c r="CI119" s="1" t="s">
        <v>112</v>
      </c>
      <c r="CJ119" s="1" t="s">
        <v>112</v>
      </c>
    </row>
    <row r="120" spans="1:88" x14ac:dyDescent="0.35">
      <c r="A120" s="1">
        <v>1567</v>
      </c>
      <c r="B120" s="1" t="s">
        <v>2330</v>
      </c>
      <c r="C120" s="1" t="s">
        <v>2331</v>
      </c>
      <c r="D120" s="1" t="s">
        <v>90</v>
      </c>
      <c r="E120" s="1" t="s">
        <v>2332</v>
      </c>
      <c r="F120" s="1" t="s">
        <v>552</v>
      </c>
      <c r="G120" s="1">
        <v>0</v>
      </c>
      <c r="H120" s="3">
        <v>32997</v>
      </c>
      <c r="I120" s="1">
        <v>1</v>
      </c>
      <c r="J120" s="1" t="s">
        <v>162</v>
      </c>
      <c r="K120" s="1" t="s">
        <v>1061</v>
      </c>
      <c r="L120" s="2">
        <f>91-8758482130</f>
        <v>-8758482039</v>
      </c>
      <c r="M120" s="1" t="s">
        <v>150</v>
      </c>
      <c r="N120" s="1">
        <v>0</v>
      </c>
      <c r="O120" s="1">
        <v>0</v>
      </c>
      <c r="P120" s="1">
        <v>5.03</v>
      </c>
      <c r="Q120" s="1">
        <v>11</v>
      </c>
      <c r="R120" s="1" t="s">
        <v>340</v>
      </c>
      <c r="S120" s="1" t="s">
        <v>136</v>
      </c>
      <c r="T120" s="1" t="s">
        <v>98</v>
      </c>
      <c r="U120" s="1" t="s">
        <v>2333</v>
      </c>
      <c r="V120" s="1" t="s">
        <v>2334</v>
      </c>
      <c r="X120" s="1" t="s">
        <v>170</v>
      </c>
      <c r="Y120" s="1" t="s">
        <v>210</v>
      </c>
      <c r="Z120" s="1" t="s">
        <v>2335</v>
      </c>
      <c r="AB120" s="1">
        <v>0</v>
      </c>
      <c r="AD120" s="1" t="s">
        <v>2336</v>
      </c>
      <c r="AE120" s="1" t="s">
        <v>142</v>
      </c>
      <c r="AF120" s="1" t="s">
        <v>143</v>
      </c>
      <c r="AG120" s="1" t="s">
        <v>2337</v>
      </c>
      <c r="AH120" s="1" t="s">
        <v>2338</v>
      </c>
      <c r="AI120" s="1" t="s">
        <v>965</v>
      </c>
      <c r="AJ120" s="1" t="s">
        <v>109</v>
      </c>
      <c r="AK120" s="1" t="s">
        <v>2339</v>
      </c>
      <c r="AL120" s="1">
        <v>24</v>
      </c>
      <c r="AM120" s="1" t="s">
        <v>111</v>
      </c>
      <c r="AP120" s="1">
        <f>91-8734004268</f>
        <v>-8734004177</v>
      </c>
      <c r="AR120" s="1">
        <v>1</v>
      </c>
      <c r="AS120" s="1">
        <v>0</v>
      </c>
      <c r="AW120" s="1" t="s">
        <v>142</v>
      </c>
      <c r="AX120" s="1" t="s">
        <v>2340</v>
      </c>
      <c r="AY120" s="1" t="s">
        <v>150</v>
      </c>
      <c r="AZ120" s="1">
        <v>6.03</v>
      </c>
      <c r="BA120" s="1">
        <v>6.03</v>
      </c>
      <c r="BB120" s="1" t="s">
        <v>151</v>
      </c>
      <c r="BC120" s="1" t="s">
        <v>152</v>
      </c>
      <c r="BD120" s="1" t="s">
        <v>1395</v>
      </c>
      <c r="BE120" s="1" t="s">
        <v>97</v>
      </c>
      <c r="BF120" s="1" t="s">
        <v>120</v>
      </c>
      <c r="BG120" s="1" t="s">
        <v>132</v>
      </c>
      <c r="BH120" s="1" t="s">
        <v>724</v>
      </c>
      <c r="BI120" s="1" t="s">
        <v>2335</v>
      </c>
      <c r="BJ120" s="1" t="s">
        <v>154</v>
      </c>
      <c r="BK120" s="1" t="s">
        <v>120</v>
      </c>
      <c r="BL120" s="1">
        <v>0</v>
      </c>
      <c r="BM120" s="1">
        <v>0</v>
      </c>
      <c r="BN120" s="1" t="s">
        <v>2341</v>
      </c>
      <c r="BO120" s="1">
        <v>1</v>
      </c>
      <c r="BP120" s="1" t="s">
        <v>970</v>
      </c>
      <c r="BQ120" s="1" t="s">
        <v>2342</v>
      </c>
      <c r="BR120" s="1">
        <v>0</v>
      </c>
      <c r="BS120" s="1" t="s">
        <v>354</v>
      </c>
      <c r="BT120" s="1" t="s">
        <v>124</v>
      </c>
      <c r="BV120" s="1" t="s">
        <v>112</v>
      </c>
      <c r="BW120" s="1" t="s">
        <v>2343</v>
      </c>
      <c r="BX120" s="1" t="s">
        <v>2344</v>
      </c>
      <c r="BY120" s="1" t="s">
        <v>120</v>
      </c>
      <c r="BZ120" s="1">
        <v>0</v>
      </c>
      <c r="CA120" s="1">
        <v>0</v>
      </c>
      <c r="CB120" s="4">
        <v>42686.043619756943</v>
      </c>
      <c r="CC120" s="1">
        <v>1</v>
      </c>
      <c r="CD120" s="1">
        <v>1</v>
      </c>
      <c r="CE120" s="1">
        <v>1</v>
      </c>
      <c r="CF120" s="1">
        <v>4</v>
      </c>
      <c r="CG120" s="4">
        <v>42855.693219293978</v>
      </c>
      <c r="CH120" s="1" t="s">
        <v>112</v>
      </c>
      <c r="CI120" s="1" t="s">
        <v>2345</v>
      </c>
      <c r="CJ120" s="1" t="s">
        <v>157</v>
      </c>
    </row>
    <row r="121" spans="1:88" x14ac:dyDescent="0.35">
      <c r="A121" s="1">
        <v>1570</v>
      </c>
      <c r="B121" s="1" t="s">
        <v>2346</v>
      </c>
      <c r="C121" s="1" t="s">
        <v>2347</v>
      </c>
      <c r="D121" s="1" t="s">
        <v>90</v>
      </c>
      <c r="E121" s="1" t="s">
        <v>2348</v>
      </c>
      <c r="F121" s="1" t="s">
        <v>2349</v>
      </c>
      <c r="G121" s="1">
        <v>1</v>
      </c>
      <c r="H121" s="3">
        <v>34719</v>
      </c>
      <c r="I121" s="1">
        <v>1</v>
      </c>
      <c r="J121" s="1" t="s">
        <v>162</v>
      </c>
      <c r="K121" s="1" t="s">
        <v>163</v>
      </c>
      <c r="L121" s="2">
        <f>91-9428631616</f>
        <v>-9428631525</v>
      </c>
      <c r="M121" s="1" t="s">
        <v>150</v>
      </c>
      <c r="N121" s="1">
        <v>0</v>
      </c>
      <c r="O121" s="1">
        <v>0</v>
      </c>
      <c r="P121" s="1">
        <v>5.04</v>
      </c>
      <c r="Q121" s="1">
        <v>5</v>
      </c>
      <c r="R121" s="1" t="s">
        <v>263</v>
      </c>
      <c r="S121" s="1" t="s">
        <v>97</v>
      </c>
      <c r="T121" s="1" t="s">
        <v>98</v>
      </c>
      <c r="U121" s="1" t="s">
        <v>2350</v>
      </c>
      <c r="V121" s="1" t="s">
        <v>2351</v>
      </c>
      <c r="X121" s="1" t="s">
        <v>296</v>
      </c>
      <c r="Y121" s="1" t="s">
        <v>210</v>
      </c>
      <c r="Z121" s="1" t="s">
        <v>297</v>
      </c>
      <c r="AA121" s="1" t="s">
        <v>2352</v>
      </c>
      <c r="AB121" s="1">
        <v>0</v>
      </c>
      <c r="AD121" s="1" t="s">
        <v>2353</v>
      </c>
      <c r="AE121" s="1" t="s">
        <v>142</v>
      </c>
      <c r="AF121" s="1" t="s">
        <v>105</v>
      </c>
      <c r="AG121" s="1" t="s">
        <v>369</v>
      </c>
      <c r="AH121" s="1" t="s">
        <v>2354</v>
      </c>
      <c r="AI121" s="1" t="s">
        <v>371</v>
      </c>
      <c r="AJ121" s="1" t="s">
        <v>109</v>
      </c>
      <c r="AK121" s="1" t="s">
        <v>2355</v>
      </c>
      <c r="AL121" s="1">
        <v>60</v>
      </c>
      <c r="AM121" s="1" t="s">
        <v>111</v>
      </c>
      <c r="AN121" s="1" t="s">
        <v>2356</v>
      </c>
      <c r="AO121" s="1" t="s">
        <v>1868</v>
      </c>
      <c r="AP121" s="1">
        <f>91-9537533018</f>
        <v>-9537532927</v>
      </c>
      <c r="AQ121" s="1" t="s">
        <v>502</v>
      </c>
      <c r="AR121" s="1">
        <v>0</v>
      </c>
      <c r="AS121" s="1">
        <v>0</v>
      </c>
      <c r="AT121" s="1" t="s">
        <v>2357</v>
      </c>
      <c r="AU121" s="1" t="s">
        <v>2358</v>
      </c>
      <c r="AV121" s="1" t="s">
        <v>1423</v>
      </c>
      <c r="AW121" s="1">
        <f>91-0</f>
        <v>91</v>
      </c>
      <c r="AX121" s="1" t="s">
        <v>1223</v>
      </c>
      <c r="AY121" s="1" t="s">
        <v>150</v>
      </c>
      <c r="AZ121" s="1">
        <v>4.1100000000000003</v>
      </c>
      <c r="BA121" s="1">
        <v>5.0599999999999996</v>
      </c>
      <c r="BB121" s="1" t="s">
        <v>151</v>
      </c>
      <c r="BC121" s="1" t="s">
        <v>152</v>
      </c>
      <c r="BD121" s="1" t="s">
        <v>1395</v>
      </c>
      <c r="BE121" s="1" t="s">
        <v>120</v>
      </c>
      <c r="BF121" s="1" t="s">
        <v>120</v>
      </c>
      <c r="BG121" s="1" t="s">
        <v>120</v>
      </c>
      <c r="BH121" s="1" t="s">
        <v>120</v>
      </c>
      <c r="BI121" s="1" t="s">
        <v>297</v>
      </c>
      <c r="BJ121" s="1" t="s">
        <v>120</v>
      </c>
      <c r="BK121" s="1" t="s">
        <v>120</v>
      </c>
      <c r="BL121" s="1">
        <v>0</v>
      </c>
      <c r="BM121" s="1">
        <v>0</v>
      </c>
      <c r="BN121" s="1" t="s">
        <v>2359</v>
      </c>
      <c r="BO121" s="1">
        <v>1</v>
      </c>
      <c r="BP121" s="1" t="s">
        <v>1935</v>
      </c>
      <c r="BQ121" s="1" t="s">
        <v>2360</v>
      </c>
      <c r="BR121" s="1">
        <v>0</v>
      </c>
      <c r="BS121" s="1" t="s">
        <v>354</v>
      </c>
      <c r="BT121" s="1" t="s">
        <v>124</v>
      </c>
      <c r="BV121" s="1" t="s">
        <v>112</v>
      </c>
      <c r="BW121" s="1" t="s">
        <v>2361</v>
      </c>
      <c r="BX121" s="1" t="s">
        <v>2362</v>
      </c>
      <c r="BY121" s="1" t="s">
        <v>465</v>
      </c>
      <c r="BZ121" s="1">
        <v>2</v>
      </c>
      <c r="CA121" s="1">
        <v>2</v>
      </c>
      <c r="CB121" s="4">
        <v>42694.325022951387</v>
      </c>
      <c r="CC121" s="1">
        <v>1</v>
      </c>
      <c r="CD121" s="1">
        <v>1</v>
      </c>
      <c r="CE121" s="1">
        <v>1</v>
      </c>
      <c r="CF121" s="1">
        <v>4</v>
      </c>
      <c r="CG121" s="4">
        <v>43001.393184490742</v>
      </c>
      <c r="CH121" s="1" t="s">
        <v>112</v>
      </c>
      <c r="CI121" s="1" t="s">
        <v>1878</v>
      </c>
      <c r="CJ121" s="1" t="s">
        <v>157</v>
      </c>
    </row>
    <row r="122" spans="1:88" x14ac:dyDescent="0.35">
      <c r="A122" s="1">
        <v>1571</v>
      </c>
      <c r="B122" s="1" t="s">
        <v>2363</v>
      </c>
      <c r="C122" s="1" t="s">
        <v>2364</v>
      </c>
      <c r="D122" s="1" t="s">
        <v>259</v>
      </c>
      <c r="E122" s="1" t="s">
        <v>2365</v>
      </c>
      <c r="F122" s="1" t="s">
        <v>2366</v>
      </c>
      <c r="G122" s="1">
        <v>0</v>
      </c>
      <c r="H122" s="3">
        <v>33988</v>
      </c>
      <c r="I122" s="1">
        <v>1</v>
      </c>
      <c r="J122" s="1" t="s">
        <v>162</v>
      </c>
      <c r="K122" s="1" t="s">
        <v>847</v>
      </c>
      <c r="L122" s="2">
        <f>91-9619006145</f>
        <v>-9619006054</v>
      </c>
      <c r="M122" s="1" t="s">
        <v>150</v>
      </c>
      <c r="N122" s="1">
        <v>0</v>
      </c>
      <c r="O122" s="1">
        <v>0</v>
      </c>
      <c r="P122" s="1">
        <v>5.01</v>
      </c>
      <c r="Q122" s="1">
        <v>32</v>
      </c>
      <c r="R122" s="1" t="s">
        <v>1020</v>
      </c>
      <c r="S122" s="1" t="s">
        <v>97</v>
      </c>
      <c r="T122" s="1" t="s">
        <v>1915</v>
      </c>
      <c r="U122" s="1" t="s">
        <v>2134</v>
      </c>
      <c r="V122" s="1" t="s">
        <v>2367</v>
      </c>
      <c r="X122" s="1" t="s">
        <v>170</v>
      </c>
      <c r="Y122" s="1" t="s">
        <v>268</v>
      </c>
      <c r="Z122" s="1" t="s">
        <v>1064</v>
      </c>
      <c r="AA122" s="1" t="s">
        <v>2368</v>
      </c>
      <c r="AB122" s="1">
        <v>0</v>
      </c>
      <c r="AD122" s="1" t="s">
        <v>2369</v>
      </c>
      <c r="AE122" s="1">
        <f>91-9892434032</f>
        <v>-9892433941</v>
      </c>
      <c r="AF122" s="1" t="s">
        <v>105</v>
      </c>
      <c r="AG122" s="1" t="s">
        <v>2370</v>
      </c>
      <c r="AH122" s="1" t="s">
        <v>2371</v>
      </c>
      <c r="AI122" s="1" t="s">
        <v>2372</v>
      </c>
      <c r="AJ122" s="1" t="s">
        <v>109</v>
      </c>
      <c r="AK122" s="1" t="s">
        <v>2373</v>
      </c>
      <c r="AL122" s="1">
        <v>7</v>
      </c>
      <c r="AM122" s="1" t="s">
        <v>210</v>
      </c>
      <c r="AN122" s="1" t="s">
        <v>2374</v>
      </c>
      <c r="AO122" s="1" t="s">
        <v>2375</v>
      </c>
      <c r="AP122" s="1">
        <f>91-9619006145</f>
        <v>-9619006054</v>
      </c>
      <c r="AQ122" s="1" t="s">
        <v>244</v>
      </c>
      <c r="AR122" s="1">
        <v>1</v>
      </c>
      <c r="AS122" s="1">
        <v>0</v>
      </c>
      <c r="AT122" s="1" t="s">
        <v>2376</v>
      </c>
      <c r="AU122" s="1" t="s">
        <v>2377</v>
      </c>
      <c r="AV122" s="1" t="s">
        <v>2378</v>
      </c>
      <c r="AW122" s="1">
        <f>91-1234567890</f>
        <v>-1234567799</v>
      </c>
      <c r="AX122" s="1" t="s">
        <v>373</v>
      </c>
      <c r="AY122" s="1" t="s">
        <v>150</v>
      </c>
      <c r="AZ122" s="1">
        <v>5.03</v>
      </c>
      <c r="BA122" s="1">
        <v>5.07</v>
      </c>
      <c r="BB122" s="1" t="s">
        <v>151</v>
      </c>
      <c r="BC122" s="1" t="s">
        <v>304</v>
      </c>
      <c r="BD122" s="1" t="s">
        <v>1333</v>
      </c>
      <c r="BE122" s="1" t="s">
        <v>1914</v>
      </c>
      <c r="BF122" s="1" t="s">
        <v>120</v>
      </c>
      <c r="BG122" s="1" t="s">
        <v>2379</v>
      </c>
      <c r="BH122" s="1" t="s">
        <v>2380</v>
      </c>
      <c r="BJ122" s="1" t="s">
        <v>154</v>
      </c>
      <c r="BK122" s="1" t="s">
        <v>120</v>
      </c>
      <c r="BL122" s="1">
        <v>0</v>
      </c>
      <c r="BM122" s="1">
        <v>0</v>
      </c>
      <c r="BN122" s="1" t="s">
        <v>2381</v>
      </c>
      <c r="BO122" s="1">
        <v>1</v>
      </c>
      <c r="BP122" s="1" t="s">
        <v>490</v>
      </c>
      <c r="BQ122" s="1" t="s">
        <v>2382</v>
      </c>
      <c r="BR122" s="1">
        <v>1</v>
      </c>
      <c r="BS122" s="1" t="s">
        <v>376</v>
      </c>
      <c r="BT122" s="1" t="s">
        <v>124</v>
      </c>
      <c r="BV122" s="1" t="s">
        <v>112</v>
      </c>
      <c r="BW122" s="1" t="s">
        <v>2383</v>
      </c>
      <c r="BX122" s="1" t="s">
        <v>2384</v>
      </c>
      <c r="BY122" s="1" t="s">
        <v>465</v>
      </c>
      <c r="BZ122" s="1">
        <v>1</v>
      </c>
      <c r="CA122" s="1">
        <v>1</v>
      </c>
      <c r="CB122" s="4">
        <v>42701.990078206021</v>
      </c>
      <c r="CC122" s="1">
        <v>1</v>
      </c>
      <c r="CD122" s="1">
        <v>1</v>
      </c>
      <c r="CE122" s="1">
        <v>1</v>
      </c>
      <c r="CF122" s="1">
        <v>1</v>
      </c>
      <c r="CG122" s="4">
        <v>43240.516128738425</v>
      </c>
      <c r="CH122" s="1" t="s">
        <v>112</v>
      </c>
      <c r="CI122" s="1" t="s">
        <v>2385</v>
      </c>
      <c r="CJ122" s="1" t="s">
        <v>157</v>
      </c>
    </row>
    <row r="123" spans="1:88" x14ac:dyDescent="0.35">
      <c r="A123" s="1">
        <v>1572</v>
      </c>
      <c r="B123" s="1" t="s">
        <v>2386</v>
      </c>
      <c r="C123" s="1" t="s">
        <v>2387</v>
      </c>
      <c r="D123" s="1" t="s">
        <v>90</v>
      </c>
      <c r="E123" s="1" t="s">
        <v>2388</v>
      </c>
      <c r="F123" s="1" t="s">
        <v>92</v>
      </c>
      <c r="G123" s="1">
        <v>1</v>
      </c>
      <c r="H123" s="3">
        <v>32064</v>
      </c>
      <c r="I123" s="1">
        <v>1</v>
      </c>
      <c r="J123" s="1" t="s">
        <v>93</v>
      </c>
      <c r="K123" s="1" t="s">
        <v>1130</v>
      </c>
      <c r="L123" s="2">
        <f>91-8180890155</f>
        <v>-8180890064</v>
      </c>
      <c r="M123" s="1" t="s">
        <v>150</v>
      </c>
      <c r="N123" s="1">
        <v>0</v>
      </c>
      <c r="O123" s="1">
        <v>0</v>
      </c>
      <c r="P123" s="1">
        <v>5.08</v>
      </c>
      <c r="Q123" s="1">
        <v>12</v>
      </c>
      <c r="R123" s="1" t="s">
        <v>470</v>
      </c>
      <c r="S123" s="1" t="s">
        <v>1914</v>
      </c>
      <c r="T123" s="1" t="s">
        <v>1107</v>
      </c>
      <c r="U123" s="1" t="s">
        <v>2389</v>
      </c>
      <c r="V123" s="1" t="s">
        <v>2390</v>
      </c>
      <c r="W123" s="1" t="s">
        <v>2391</v>
      </c>
      <c r="X123" s="1" t="s">
        <v>100</v>
      </c>
      <c r="Y123" s="1" t="s">
        <v>210</v>
      </c>
      <c r="Z123" s="1" t="s">
        <v>1193</v>
      </c>
      <c r="AA123" s="1" t="s">
        <v>2392</v>
      </c>
      <c r="AB123" s="1">
        <v>0</v>
      </c>
      <c r="AD123" s="1" t="s">
        <v>2393</v>
      </c>
      <c r="AE123" s="1">
        <f>91-9421815569</f>
        <v>-9421815478</v>
      </c>
      <c r="AF123" s="1" t="s">
        <v>105</v>
      </c>
      <c r="AG123" s="1" t="s">
        <v>2394</v>
      </c>
      <c r="AH123" s="1" t="s">
        <v>2395</v>
      </c>
      <c r="AI123" s="1" t="s">
        <v>2396</v>
      </c>
      <c r="AJ123" s="1" t="s">
        <v>109</v>
      </c>
      <c r="AK123" s="1" t="s">
        <v>2397</v>
      </c>
      <c r="AL123" s="1">
        <v>5</v>
      </c>
      <c r="AM123" s="1" t="s">
        <v>210</v>
      </c>
      <c r="AP123" s="1">
        <f>91-9923499237</f>
        <v>-9923499146</v>
      </c>
      <c r="AR123" s="1">
        <v>0</v>
      </c>
      <c r="AS123" s="1">
        <v>0</v>
      </c>
      <c r="AT123" s="1" t="s">
        <v>2398</v>
      </c>
      <c r="AU123" s="1" t="s">
        <v>2399</v>
      </c>
      <c r="AV123" s="1" t="s">
        <v>2400</v>
      </c>
      <c r="AW123" s="1">
        <f>91-9826082011</f>
        <v>-9826081920</v>
      </c>
      <c r="AX123" s="1" t="s">
        <v>2401</v>
      </c>
      <c r="AY123" s="1" t="s">
        <v>150</v>
      </c>
      <c r="AZ123" s="1">
        <v>5.01</v>
      </c>
      <c r="BA123" s="1">
        <v>5.08</v>
      </c>
      <c r="BB123" s="1" t="s">
        <v>151</v>
      </c>
      <c r="BC123" s="1" t="s">
        <v>304</v>
      </c>
      <c r="BD123" s="1" t="s">
        <v>1333</v>
      </c>
      <c r="BE123" s="1" t="s">
        <v>120</v>
      </c>
      <c r="BF123" s="1" t="s">
        <v>120</v>
      </c>
      <c r="BG123" s="1" t="s">
        <v>120</v>
      </c>
      <c r="BH123" s="1" t="s">
        <v>120</v>
      </c>
      <c r="BI123" s="1" t="s">
        <v>1193</v>
      </c>
      <c r="BJ123" s="1" t="s">
        <v>120</v>
      </c>
      <c r="BK123" s="1" t="s">
        <v>120</v>
      </c>
      <c r="BL123" s="1">
        <v>0</v>
      </c>
      <c r="BM123" s="1">
        <v>0</v>
      </c>
      <c r="BN123" s="1" t="s">
        <v>2402</v>
      </c>
      <c r="BO123" s="1">
        <v>1</v>
      </c>
      <c r="BP123" s="1" t="s">
        <v>2403</v>
      </c>
      <c r="BQ123" s="1" t="s">
        <v>2404</v>
      </c>
      <c r="BR123" s="1">
        <v>1</v>
      </c>
      <c r="BS123" s="1" t="s">
        <v>252</v>
      </c>
      <c r="BT123" s="1" t="s">
        <v>120</v>
      </c>
      <c r="BV123" s="1" t="s">
        <v>112</v>
      </c>
      <c r="BW123" s="1" t="s">
        <v>2405</v>
      </c>
      <c r="BX123" s="1" t="s">
        <v>2406</v>
      </c>
      <c r="BY123" s="1" t="s">
        <v>127</v>
      </c>
      <c r="BZ123" s="1">
        <v>2</v>
      </c>
      <c r="CA123" s="1">
        <v>1</v>
      </c>
      <c r="CB123" s="4">
        <v>42708.295882638886</v>
      </c>
      <c r="CC123" s="1">
        <v>1</v>
      </c>
      <c r="CD123" s="1">
        <v>1</v>
      </c>
      <c r="CE123" s="1">
        <v>1</v>
      </c>
      <c r="CF123" s="1">
        <v>1</v>
      </c>
      <c r="CG123" s="4">
        <v>43921.507791932869</v>
      </c>
      <c r="CH123" s="1" t="s">
        <v>112</v>
      </c>
      <c r="CI123" s="1" t="s">
        <v>2407</v>
      </c>
      <c r="CJ123" s="1" t="s">
        <v>157</v>
      </c>
    </row>
    <row r="124" spans="1:88" x14ac:dyDescent="0.35">
      <c r="A124" s="1">
        <v>1573</v>
      </c>
      <c r="B124" s="1" t="s">
        <v>2408</v>
      </c>
      <c r="C124" s="1" t="s">
        <v>2409</v>
      </c>
      <c r="D124" s="1" t="s">
        <v>90</v>
      </c>
      <c r="E124" s="1" t="s">
        <v>2410</v>
      </c>
      <c r="F124" s="1" t="s">
        <v>2411</v>
      </c>
      <c r="G124" s="1">
        <v>1</v>
      </c>
      <c r="H124" s="3">
        <v>34261</v>
      </c>
      <c r="I124" s="1">
        <v>1</v>
      </c>
      <c r="J124" s="1" t="s">
        <v>162</v>
      </c>
      <c r="K124" s="1" t="s">
        <v>163</v>
      </c>
      <c r="L124" s="2">
        <f>91-9601587900</f>
        <v>-9601587809</v>
      </c>
      <c r="M124" s="1" t="s">
        <v>150</v>
      </c>
      <c r="N124" s="1">
        <v>0</v>
      </c>
      <c r="O124" s="1">
        <v>0</v>
      </c>
      <c r="P124" s="1">
        <v>5.07</v>
      </c>
      <c r="Q124" s="1">
        <v>19</v>
      </c>
      <c r="R124" s="1" t="s">
        <v>1535</v>
      </c>
      <c r="S124" s="1" t="s">
        <v>136</v>
      </c>
      <c r="T124" s="1" t="s">
        <v>137</v>
      </c>
      <c r="U124" s="1" t="s">
        <v>554</v>
      </c>
      <c r="V124" s="1" t="s">
        <v>2412</v>
      </c>
      <c r="X124" s="1" t="s">
        <v>170</v>
      </c>
      <c r="Y124" s="1" t="s">
        <v>111</v>
      </c>
      <c r="Z124" s="1" t="s">
        <v>556</v>
      </c>
      <c r="AA124" s="1" t="s">
        <v>2413</v>
      </c>
      <c r="AB124" s="1">
        <v>0</v>
      </c>
      <c r="AD124" s="1" t="s">
        <v>2414</v>
      </c>
      <c r="AE124" s="1">
        <f>91-7016586335</f>
        <v>-7016586244</v>
      </c>
      <c r="AF124" s="1" t="s">
        <v>105</v>
      </c>
      <c r="AG124" s="1" t="s">
        <v>2415</v>
      </c>
      <c r="AH124" s="1" t="s">
        <v>2416</v>
      </c>
      <c r="AI124" s="1" t="s">
        <v>2417</v>
      </c>
      <c r="AJ124" s="1" t="s">
        <v>109</v>
      </c>
      <c r="AK124" s="1" t="s">
        <v>2418</v>
      </c>
      <c r="AL124" s="1">
        <v>9</v>
      </c>
      <c r="AM124" s="1" t="s">
        <v>111</v>
      </c>
      <c r="AO124" s="1" t="s">
        <v>2419</v>
      </c>
      <c r="AP124" s="1">
        <f>91-9879147882</f>
        <v>-9879147791</v>
      </c>
      <c r="AQ124" s="1" t="s">
        <v>1626</v>
      </c>
      <c r="AR124" s="1">
        <v>1</v>
      </c>
      <c r="AS124" s="1">
        <v>0</v>
      </c>
      <c r="AT124" s="1" t="s">
        <v>2420</v>
      </c>
      <c r="AU124" s="1" t="s">
        <v>232</v>
      </c>
      <c r="AV124" s="1" t="s">
        <v>2421</v>
      </c>
      <c r="AW124" s="1">
        <f>91-9924671133</f>
        <v>-9924671042</v>
      </c>
      <c r="AX124" s="1" t="s">
        <v>742</v>
      </c>
      <c r="AY124" s="1" t="s">
        <v>150</v>
      </c>
      <c r="AZ124" s="1">
        <v>5.01</v>
      </c>
      <c r="BA124" s="1">
        <v>5.07</v>
      </c>
      <c r="BE124" s="1" t="s">
        <v>120</v>
      </c>
      <c r="BG124" s="1" t="s">
        <v>120</v>
      </c>
      <c r="BH124" s="1" t="s">
        <v>120</v>
      </c>
      <c r="BJ124" s="1" t="s">
        <v>120</v>
      </c>
      <c r="BK124" s="1" t="s">
        <v>120</v>
      </c>
      <c r="BL124" s="1">
        <v>0</v>
      </c>
      <c r="BM124" s="1">
        <v>0</v>
      </c>
      <c r="BN124" s="1" t="s">
        <v>2422</v>
      </c>
      <c r="BO124" s="1">
        <v>1</v>
      </c>
      <c r="BP124" s="1" t="s">
        <v>232</v>
      </c>
      <c r="BQ124" s="1" t="s">
        <v>112</v>
      </c>
      <c r="BR124" s="1">
        <v>1</v>
      </c>
      <c r="BS124" s="1" t="s">
        <v>376</v>
      </c>
      <c r="BT124" s="1" t="s">
        <v>120</v>
      </c>
      <c r="BU124" s="1" t="s">
        <v>112</v>
      </c>
      <c r="BV124" s="1" t="s">
        <v>112</v>
      </c>
      <c r="BW124" s="1" t="s">
        <v>2423</v>
      </c>
      <c r="BX124" s="1" t="s">
        <v>2424</v>
      </c>
      <c r="BY124" s="1" t="s">
        <v>127</v>
      </c>
      <c r="BZ124" s="1">
        <v>0</v>
      </c>
      <c r="CA124" s="1">
        <v>0</v>
      </c>
      <c r="CB124" s="4">
        <v>42710.979868206021</v>
      </c>
      <c r="CC124" s="1">
        <v>1</v>
      </c>
      <c r="CD124" s="1">
        <v>1</v>
      </c>
      <c r="CE124" s="1">
        <v>1</v>
      </c>
      <c r="CF124" s="1">
        <v>1</v>
      </c>
      <c r="CG124" s="4">
        <v>44018.493239004631</v>
      </c>
      <c r="CH124" s="1" t="s">
        <v>112</v>
      </c>
      <c r="CI124" s="1" t="s">
        <v>2425</v>
      </c>
      <c r="CJ124" s="1" t="s">
        <v>129</v>
      </c>
    </row>
    <row r="125" spans="1:88" x14ac:dyDescent="0.35">
      <c r="A125" s="1">
        <v>1591</v>
      </c>
      <c r="B125" s="1" t="s">
        <v>2426</v>
      </c>
      <c r="C125" s="1" t="s">
        <v>2427</v>
      </c>
      <c r="D125" s="1" t="s">
        <v>90</v>
      </c>
      <c r="E125" s="1" t="s">
        <v>2428</v>
      </c>
      <c r="F125" s="1" t="s">
        <v>2429</v>
      </c>
      <c r="G125" s="1">
        <v>1</v>
      </c>
      <c r="H125" s="3">
        <v>33945</v>
      </c>
      <c r="I125" s="1">
        <v>1</v>
      </c>
      <c r="J125" s="1" t="s">
        <v>162</v>
      </c>
      <c r="K125" s="1" t="s">
        <v>1037</v>
      </c>
      <c r="L125" s="2">
        <f>91-9428250541</f>
        <v>-9428250450</v>
      </c>
      <c r="M125" s="1" t="s">
        <v>150</v>
      </c>
      <c r="N125" s="1">
        <v>0</v>
      </c>
      <c r="O125" s="1">
        <v>0</v>
      </c>
      <c r="P125" s="1">
        <v>5.07</v>
      </c>
      <c r="Q125" s="1">
        <v>50</v>
      </c>
      <c r="S125" s="1" t="s">
        <v>136</v>
      </c>
      <c r="T125" s="1" t="s">
        <v>427</v>
      </c>
      <c r="U125" s="1" t="s">
        <v>2430</v>
      </c>
      <c r="V125" s="1" t="s">
        <v>2431</v>
      </c>
      <c r="W125" s="1" t="s">
        <v>2432</v>
      </c>
      <c r="X125" s="1" t="s">
        <v>170</v>
      </c>
      <c r="Y125" s="1" t="s">
        <v>210</v>
      </c>
      <c r="Z125" s="1" t="s">
        <v>171</v>
      </c>
      <c r="AA125" s="1" t="s">
        <v>2433</v>
      </c>
      <c r="AB125" s="1">
        <v>0</v>
      </c>
      <c r="AD125" s="1" t="s">
        <v>2434</v>
      </c>
      <c r="AE125" s="1" t="s">
        <v>142</v>
      </c>
      <c r="AF125" s="1" t="s">
        <v>105</v>
      </c>
      <c r="AG125" s="1" t="s">
        <v>2435</v>
      </c>
      <c r="AH125" s="1" t="s">
        <v>2436</v>
      </c>
      <c r="AI125" s="1" t="s">
        <v>2437</v>
      </c>
      <c r="AJ125" s="1" t="s">
        <v>109</v>
      </c>
      <c r="AK125" s="1" t="s">
        <v>2438</v>
      </c>
      <c r="AL125" s="1">
        <v>60</v>
      </c>
      <c r="AM125" s="1" t="s">
        <v>132</v>
      </c>
      <c r="AO125" s="1" t="s">
        <v>2439</v>
      </c>
      <c r="AP125" s="1">
        <f>91-9429236442</f>
        <v>-9429236351</v>
      </c>
      <c r="AQ125" s="1" t="s">
        <v>502</v>
      </c>
      <c r="AR125" s="1">
        <v>1</v>
      </c>
      <c r="AS125" s="1">
        <v>0</v>
      </c>
      <c r="AW125" s="1" t="s">
        <v>142</v>
      </c>
      <c r="AX125" s="1" t="s">
        <v>1544</v>
      </c>
      <c r="AY125" s="1" t="s">
        <v>150</v>
      </c>
      <c r="AZ125" s="1">
        <v>5.0199999999999996</v>
      </c>
      <c r="BA125" s="1">
        <v>5.0599999999999996</v>
      </c>
      <c r="BB125" s="1" t="s">
        <v>151</v>
      </c>
      <c r="BC125" s="1" t="s">
        <v>304</v>
      </c>
      <c r="BD125" s="1" t="s">
        <v>1333</v>
      </c>
      <c r="BE125" s="1" t="s">
        <v>2440</v>
      </c>
      <c r="BF125" s="1" t="s">
        <v>120</v>
      </c>
      <c r="BG125" s="1" t="s">
        <v>120</v>
      </c>
      <c r="BH125" s="1" t="s">
        <v>120</v>
      </c>
      <c r="BJ125" s="1" t="s">
        <v>154</v>
      </c>
      <c r="BK125" s="1" t="s">
        <v>120</v>
      </c>
      <c r="BL125" s="1">
        <v>0</v>
      </c>
      <c r="BM125" s="1">
        <v>0</v>
      </c>
      <c r="BN125" s="1" t="s">
        <v>2441</v>
      </c>
      <c r="BO125" s="1">
        <v>1</v>
      </c>
      <c r="BQ125" s="1" t="s">
        <v>180</v>
      </c>
      <c r="BR125" s="1">
        <v>0</v>
      </c>
      <c r="BS125" s="1" t="s">
        <v>129</v>
      </c>
      <c r="BT125" s="1" t="s">
        <v>124</v>
      </c>
      <c r="BV125" s="1" t="s">
        <v>112</v>
      </c>
      <c r="BW125" s="1" t="s">
        <v>2442</v>
      </c>
      <c r="BX125" s="1" t="s">
        <v>2443</v>
      </c>
      <c r="BY125" s="1" t="s">
        <v>120</v>
      </c>
      <c r="BZ125" s="1">
        <v>0</v>
      </c>
      <c r="CA125" s="1">
        <v>0</v>
      </c>
      <c r="CB125" s="4">
        <v>42722.436285844909</v>
      </c>
      <c r="CC125" s="1">
        <v>1</v>
      </c>
      <c r="CD125" s="1">
        <v>1</v>
      </c>
      <c r="CE125" s="1">
        <v>1</v>
      </c>
      <c r="CF125" s="1">
        <v>1</v>
      </c>
      <c r="CG125" s="4">
        <v>44068.242032141206</v>
      </c>
      <c r="CH125" s="1" t="s">
        <v>112</v>
      </c>
      <c r="CI125" s="1" t="s">
        <v>2444</v>
      </c>
      <c r="CJ125" s="1" t="s">
        <v>157</v>
      </c>
    </row>
    <row r="126" spans="1:88" x14ac:dyDescent="0.35">
      <c r="A126" s="1">
        <v>1592</v>
      </c>
      <c r="B126" s="1" t="s">
        <v>2445</v>
      </c>
      <c r="C126" s="1" t="s">
        <v>2427</v>
      </c>
      <c r="D126" s="1" t="s">
        <v>90</v>
      </c>
      <c r="E126" s="1" t="s">
        <v>2446</v>
      </c>
      <c r="F126" s="1" t="s">
        <v>2429</v>
      </c>
      <c r="G126" s="1">
        <v>1</v>
      </c>
      <c r="H126" s="3">
        <v>32822</v>
      </c>
      <c r="I126" s="1">
        <v>1</v>
      </c>
      <c r="J126" s="1" t="s">
        <v>162</v>
      </c>
      <c r="K126" s="1" t="s">
        <v>2447</v>
      </c>
      <c r="L126" s="2">
        <f>91-9586576368</f>
        <v>-9586576277</v>
      </c>
      <c r="M126" s="1" t="s">
        <v>150</v>
      </c>
      <c r="N126" s="1">
        <v>0</v>
      </c>
      <c r="O126" s="1">
        <v>0</v>
      </c>
      <c r="P126" s="1">
        <v>5.0599999999999996</v>
      </c>
      <c r="Q126" s="1">
        <v>50</v>
      </c>
      <c r="S126" s="1" t="s">
        <v>492</v>
      </c>
      <c r="T126" s="1" t="s">
        <v>341</v>
      </c>
      <c r="U126" s="1" t="s">
        <v>2448</v>
      </c>
      <c r="X126" s="1" t="s">
        <v>296</v>
      </c>
      <c r="Y126" s="1" t="s">
        <v>210</v>
      </c>
      <c r="Z126" s="1" t="s">
        <v>584</v>
      </c>
      <c r="AA126" s="1" t="s">
        <v>2449</v>
      </c>
      <c r="AB126" s="1">
        <v>0</v>
      </c>
      <c r="AD126" s="1" t="s">
        <v>2450</v>
      </c>
      <c r="AE126" s="1">
        <f>91-9428250541</f>
        <v>-9428250450</v>
      </c>
      <c r="AF126" s="1" t="s">
        <v>105</v>
      </c>
      <c r="AG126" s="1" t="s">
        <v>2435</v>
      </c>
      <c r="AH126" s="1" t="s">
        <v>2436</v>
      </c>
      <c r="AI126" s="1" t="s">
        <v>2437</v>
      </c>
      <c r="AJ126" s="1" t="s">
        <v>109</v>
      </c>
      <c r="AK126" s="1" t="s">
        <v>2451</v>
      </c>
      <c r="AL126" s="1">
        <v>60</v>
      </c>
      <c r="AM126" s="1" t="s">
        <v>132</v>
      </c>
      <c r="AN126" s="1" t="s">
        <v>1868</v>
      </c>
      <c r="AP126" s="1">
        <f>91-9429236442</f>
        <v>-9429236351</v>
      </c>
      <c r="AQ126" s="1" t="s">
        <v>502</v>
      </c>
      <c r="AR126" s="1">
        <v>1</v>
      </c>
      <c r="AS126" s="1">
        <v>0</v>
      </c>
      <c r="AW126" s="1" t="s">
        <v>142</v>
      </c>
      <c r="AX126" s="1" t="s">
        <v>2452</v>
      </c>
      <c r="AY126" s="1" t="s">
        <v>351</v>
      </c>
      <c r="AZ126" s="1">
        <v>5</v>
      </c>
      <c r="BA126" s="1">
        <v>5</v>
      </c>
      <c r="BB126" s="1" t="s">
        <v>151</v>
      </c>
      <c r="BC126" s="1" t="s">
        <v>304</v>
      </c>
      <c r="BD126" s="1" t="s">
        <v>1333</v>
      </c>
      <c r="BE126" s="1" t="s">
        <v>120</v>
      </c>
      <c r="BF126" s="1" t="s">
        <v>120</v>
      </c>
      <c r="BG126" s="1" t="s">
        <v>120</v>
      </c>
      <c r="BH126" s="1" t="s">
        <v>120</v>
      </c>
      <c r="BJ126" s="1" t="s">
        <v>120</v>
      </c>
      <c r="BK126" s="1" t="s">
        <v>120</v>
      </c>
      <c r="BL126" s="1">
        <v>0</v>
      </c>
      <c r="BM126" s="1">
        <v>0</v>
      </c>
      <c r="BN126" s="1" t="s">
        <v>2453</v>
      </c>
      <c r="BO126" s="1">
        <v>1</v>
      </c>
      <c r="BQ126" s="1" t="s">
        <v>180</v>
      </c>
      <c r="BR126" s="1">
        <v>0</v>
      </c>
      <c r="BS126" s="1" t="s">
        <v>399</v>
      </c>
      <c r="BT126" s="1" t="s">
        <v>124</v>
      </c>
      <c r="BV126" s="1" t="s">
        <v>112</v>
      </c>
      <c r="BW126" s="1" t="s">
        <v>2454</v>
      </c>
      <c r="BX126" s="1" t="s">
        <v>2455</v>
      </c>
      <c r="BY126" s="1" t="s">
        <v>465</v>
      </c>
      <c r="BZ126" s="1">
        <v>0</v>
      </c>
      <c r="CA126" s="1">
        <v>0</v>
      </c>
      <c r="CB126" s="4">
        <v>42723.298603935182</v>
      </c>
      <c r="CC126" s="1">
        <v>1</v>
      </c>
      <c r="CD126" s="1">
        <v>1</v>
      </c>
      <c r="CE126" s="1">
        <v>1</v>
      </c>
      <c r="CF126" s="1">
        <v>1</v>
      </c>
      <c r="CG126" s="4">
        <v>44068.2424034375</v>
      </c>
      <c r="CH126" s="1" t="s">
        <v>112</v>
      </c>
      <c r="CI126" s="1" t="s">
        <v>2456</v>
      </c>
      <c r="CJ126" s="1" t="s">
        <v>157</v>
      </c>
    </row>
    <row r="127" spans="1:88" x14ac:dyDescent="0.35">
      <c r="A127" s="1">
        <v>1593</v>
      </c>
      <c r="B127" s="1" t="s">
        <v>2457</v>
      </c>
      <c r="C127" s="1" t="s">
        <v>2458</v>
      </c>
      <c r="D127" s="1" t="s">
        <v>90</v>
      </c>
      <c r="E127" s="1" t="s">
        <v>2459</v>
      </c>
      <c r="F127" s="1" t="s">
        <v>185</v>
      </c>
      <c r="G127" s="1">
        <v>1</v>
      </c>
      <c r="H127" s="3">
        <v>33100</v>
      </c>
      <c r="I127" s="1">
        <v>189</v>
      </c>
      <c r="J127" s="1" t="s">
        <v>2460</v>
      </c>
      <c r="K127" s="1" t="s">
        <v>2460</v>
      </c>
      <c r="L127" s="2">
        <f>91-9909674798</f>
        <v>-9909674707</v>
      </c>
      <c r="M127" s="1" t="s">
        <v>150</v>
      </c>
      <c r="N127" s="1">
        <v>0</v>
      </c>
      <c r="O127" s="1">
        <v>0</v>
      </c>
      <c r="P127" s="1">
        <v>5.05</v>
      </c>
      <c r="Q127" s="1">
        <v>10</v>
      </c>
      <c r="S127" s="1" t="s">
        <v>97</v>
      </c>
      <c r="T127" s="1" t="s">
        <v>427</v>
      </c>
      <c r="U127" s="1" t="s">
        <v>2461</v>
      </c>
      <c r="V127" s="1" t="s">
        <v>2462</v>
      </c>
      <c r="W127" s="1" t="s">
        <v>2463</v>
      </c>
      <c r="X127" s="1" t="s">
        <v>100</v>
      </c>
      <c r="Y127" s="1" t="s">
        <v>111</v>
      </c>
      <c r="Z127" s="1" t="s">
        <v>858</v>
      </c>
      <c r="AB127" s="1">
        <v>0</v>
      </c>
      <c r="AD127" s="1" t="s">
        <v>2464</v>
      </c>
      <c r="AE127" s="1">
        <f>91-9913415206</f>
        <v>-9913415115</v>
      </c>
      <c r="AF127" s="1" t="s">
        <v>105</v>
      </c>
      <c r="AG127" s="1" t="s">
        <v>2465</v>
      </c>
      <c r="AH127" s="1" t="s">
        <v>2466</v>
      </c>
      <c r="AI127" s="1" t="s">
        <v>2467</v>
      </c>
      <c r="AJ127" s="1" t="s">
        <v>109</v>
      </c>
      <c r="AK127" s="1" t="s">
        <v>2468</v>
      </c>
      <c r="AL127" s="1">
        <v>10</v>
      </c>
      <c r="AM127" s="1" t="s">
        <v>111</v>
      </c>
      <c r="AN127" s="1" t="s">
        <v>2469</v>
      </c>
      <c r="AO127" s="1" t="s">
        <v>2470</v>
      </c>
      <c r="AP127" s="1">
        <f>91-9913415206</f>
        <v>-9913415115</v>
      </c>
      <c r="AR127" s="1">
        <v>2</v>
      </c>
      <c r="AS127" s="1">
        <v>2</v>
      </c>
      <c r="AW127" s="1" t="s">
        <v>142</v>
      </c>
      <c r="AX127" s="1" t="s">
        <v>642</v>
      </c>
      <c r="AY127" s="1" t="s">
        <v>150</v>
      </c>
      <c r="AZ127" s="1">
        <v>4</v>
      </c>
      <c r="BA127" s="1">
        <v>5.0599999999999996</v>
      </c>
      <c r="BB127" s="1" t="s">
        <v>151</v>
      </c>
      <c r="BC127" s="1" t="s">
        <v>152</v>
      </c>
      <c r="BD127" s="1" t="s">
        <v>1395</v>
      </c>
      <c r="BE127" s="1" t="s">
        <v>120</v>
      </c>
      <c r="BF127" s="1" t="s">
        <v>120</v>
      </c>
      <c r="BG127" s="1" t="s">
        <v>120</v>
      </c>
      <c r="BH127" s="1" t="s">
        <v>120</v>
      </c>
      <c r="BI127" s="1" t="s">
        <v>858</v>
      </c>
      <c r="BJ127" s="1" t="s">
        <v>120</v>
      </c>
      <c r="BK127" s="1" t="s">
        <v>120</v>
      </c>
      <c r="BL127" s="1">
        <v>0</v>
      </c>
      <c r="BM127" s="1">
        <v>0</v>
      </c>
      <c r="BN127" s="1" t="s">
        <v>2471</v>
      </c>
      <c r="BO127" s="1">
        <v>1</v>
      </c>
      <c r="BP127" s="1" t="s">
        <v>2472</v>
      </c>
      <c r="BQ127" s="1" t="s">
        <v>2473</v>
      </c>
      <c r="BR127" s="1">
        <v>0</v>
      </c>
      <c r="BS127" s="1" t="s">
        <v>354</v>
      </c>
      <c r="BT127" s="1" t="s">
        <v>124</v>
      </c>
      <c r="BV127" s="1" t="s">
        <v>112</v>
      </c>
      <c r="BW127" s="1" t="s">
        <v>2474</v>
      </c>
      <c r="BX127" s="1" t="s">
        <v>2475</v>
      </c>
      <c r="BY127" s="1" t="s">
        <v>120</v>
      </c>
      <c r="BZ127" s="1">
        <v>0</v>
      </c>
      <c r="CA127" s="1">
        <v>0</v>
      </c>
      <c r="CB127" s="4">
        <v>42723.306795023149</v>
      </c>
      <c r="CC127" s="1">
        <v>1</v>
      </c>
      <c r="CD127" s="1">
        <v>1</v>
      </c>
      <c r="CE127" s="1">
        <v>1</v>
      </c>
      <c r="CF127" s="1">
        <v>4</v>
      </c>
      <c r="CG127" s="4">
        <v>42890.315123692133</v>
      </c>
      <c r="CH127" s="1" t="s">
        <v>112</v>
      </c>
      <c r="CI127" s="1" t="s">
        <v>2476</v>
      </c>
      <c r="CJ127" s="1" t="s">
        <v>157</v>
      </c>
    </row>
    <row r="128" spans="1:88" x14ac:dyDescent="0.35">
      <c r="A128" s="1">
        <v>1598</v>
      </c>
      <c r="B128" s="1" t="s">
        <v>2477</v>
      </c>
      <c r="C128" s="1" t="s">
        <v>2478</v>
      </c>
      <c r="D128" s="1" t="s">
        <v>90</v>
      </c>
      <c r="E128" s="1" t="s">
        <v>2479</v>
      </c>
      <c r="F128" s="1" t="s">
        <v>996</v>
      </c>
      <c r="G128" s="1">
        <v>1</v>
      </c>
      <c r="H128" s="3">
        <v>32865</v>
      </c>
      <c r="I128" s="1">
        <v>1</v>
      </c>
      <c r="J128" s="1" t="s">
        <v>162</v>
      </c>
      <c r="K128" s="1" t="s">
        <v>847</v>
      </c>
      <c r="L128" s="2">
        <f>91-9408243276</f>
        <v>-9408243185</v>
      </c>
      <c r="M128" s="1" t="s">
        <v>150</v>
      </c>
      <c r="N128" s="1">
        <v>0</v>
      </c>
      <c r="O128" s="1">
        <v>0</v>
      </c>
      <c r="P128" s="1">
        <v>5.08</v>
      </c>
      <c r="Q128" s="1">
        <v>5</v>
      </c>
      <c r="R128" s="1" t="s">
        <v>263</v>
      </c>
      <c r="S128" s="1" t="s">
        <v>165</v>
      </c>
      <c r="T128" s="1" t="s">
        <v>166</v>
      </c>
      <c r="U128" s="1" t="s">
        <v>2480</v>
      </c>
      <c r="V128" s="1" t="s">
        <v>2481</v>
      </c>
      <c r="X128" s="1" t="s">
        <v>100</v>
      </c>
      <c r="Y128" s="1" t="s">
        <v>2482</v>
      </c>
      <c r="Z128" s="1" t="s">
        <v>2483</v>
      </c>
      <c r="AB128" s="1">
        <v>0</v>
      </c>
      <c r="AD128" s="1" t="s">
        <v>2484</v>
      </c>
      <c r="AE128" s="1">
        <f>91-9408243276</f>
        <v>-9408243185</v>
      </c>
      <c r="AF128" s="1" t="s">
        <v>105</v>
      </c>
      <c r="AG128" s="1" t="s">
        <v>2485</v>
      </c>
      <c r="AH128" s="1" t="s">
        <v>2486</v>
      </c>
      <c r="AI128" s="1" t="s">
        <v>2487</v>
      </c>
      <c r="AJ128" s="1" t="s">
        <v>109</v>
      </c>
      <c r="AK128" s="1" t="s">
        <v>2488</v>
      </c>
      <c r="AL128" s="1">
        <v>10</v>
      </c>
      <c r="AM128" s="1" t="s">
        <v>210</v>
      </c>
      <c r="AN128" s="1" t="s">
        <v>2489</v>
      </c>
      <c r="AP128" s="1">
        <f>91-9597333588</f>
        <v>-9597333497</v>
      </c>
      <c r="AR128" s="1">
        <v>2</v>
      </c>
      <c r="AS128" s="1">
        <v>1</v>
      </c>
      <c r="AW128" s="1" t="s">
        <v>142</v>
      </c>
      <c r="AX128" s="1" t="s">
        <v>2490</v>
      </c>
      <c r="AY128" s="1" t="s">
        <v>150</v>
      </c>
      <c r="AZ128" s="1">
        <v>5</v>
      </c>
      <c r="BA128" s="1">
        <v>6</v>
      </c>
      <c r="BB128" s="1" t="s">
        <v>151</v>
      </c>
      <c r="BC128" s="1" t="s">
        <v>152</v>
      </c>
      <c r="BD128" s="1" t="s">
        <v>1395</v>
      </c>
      <c r="BE128" s="1" t="s">
        <v>120</v>
      </c>
      <c r="BF128" s="1" t="s">
        <v>120</v>
      </c>
      <c r="BG128" s="1" t="s">
        <v>120</v>
      </c>
      <c r="BH128" s="1" t="s">
        <v>120</v>
      </c>
      <c r="BI128" s="1" t="s">
        <v>2483</v>
      </c>
      <c r="BJ128" s="1" t="s">
        <v>120</v>
      </c>
      <c r="BK128" s="1" t="s">
        <v>120</v>
      </c>
      <c r="BL128" s="1">
        <v>0</v>
      </c>
      <c r="BM128" s="1">
        <v>0</v>
      </c>
      <c r="BN128" s="1" t="s">
        <v>2491</v>
      </c>
      <c r="BO128" s="1">
        <v>1</v>
      </c>
      <c r="BP128" s="1" t="s">
        <v>2492</v>
      </c>
      <c r="BQ128" s="1" t="s">
        <v>2493</v>
      </c>
      <c r="BR128" s="1">
        <v>0</v>
      </c>
      <c r="BS128" s="1" t="s">
        <v>787</v>
      </c>
      <c r="BT128" s="1" t="s">
        <v>124</v>
      </c>
      <c r="BV128" s="1" t="s">
        <v>112</v>
      </c>
      <c r="BW128" s="1" t="s">
        <v>2494</v>
      </c>
      <c r="BX128" s="1" t="s">
        <v>2495</v>
      </c>
      <c r="BY128" s="1" t="s">
        <v>120</v>
      </c>
      <c r="BZ128" s="1">
        <v>0</v>
      </c>
      <c r="CA128" s="1">
        <v>0</v>
      </c>
      <c r="CB128" s="4">
        <v>42733.869428587961</v>
      </c>
      <c r="CC128" s="1">
        <v>1</v>
      </c>
      <c r="CD128" s="1">
        <v>1</v>
      </c>
      <c r="CE128" s="1">
        <v>1</v>
      </c>
      <c r="CF128" s="1">
        <v>4</v>
      </c>
      <c r="CG128" s="4">
        <v>42739.356792280094</v>
      </c>
      <c r="CH128" s="1" t="s">
        <v>112</v>
      </c>
      <c r="CI128" s="1" t="s">
        <v>2496</v>
      </c>
      <c r="CJ128" s="1" t="s">
        <v>157</v>
      </c>
    </row>
    <row r="129" spans="1:88" x14ac:dyDescent="0.35">
      <c r="A129" s="1">
        <v>1600</v>
      </c>
      <c r="B129" s="1" t="s">
        <v>2497</v>
      </c>
      <c r="C129" s="1">
        <v>9898451355</v>
      </c>
      <c r="D129" s="1" t="s">
        <v>711</v>
      </c>
      <c r="E129" s="1" t="s">
        <v>2498</v>
      </c>
      <c r="F129" s="1" t="s">
        <v>2499</v>
      </c>
      <c r="G129" s="1">
        <v>0</v>
      </c>
      <c r="H129" s="3">
        <v>34284</v>
      </c>
      <c r="I129" s="1">
        <v>1</v>
      </c>
      <c r="L129" s="2">
        <f>91-9898451355</f>
        <v>-9898451264</v>
      </c>
      <c r="M129" s="1" t="s">
        <v>150</v>
      </c>
      <c r="N129" s="1">
        <v>0</v>
      </c>
      <c r="O129" s="1">
        <v>0</v>
      </c>
      <c r="P129" s="1">
        <v>5</v>
      </c>
      <c r="Q129" s="1">
        <v>27</v>
      </c>
      <c r="R129" s="1" t="s">
        <v>653</v>
      </c>
      <c r="S129" s="1" t="s">
        <v>136</v>
      </c>
      <c r="T129" s="1" t="s">
        <v>137</v>
      </c>
      <c r="U129" s="1" t="s">
        <v>189</v>
      </c>
      <c r="V129" s="1" t="s">
        <v>2500</v>
      </c>
      <c r="X129" s="1" t="s">
        <v>296</v>
      </c>
      <c r="Y129" s="1" t="s">
        <v>114</v>
      </c>
      <c r="Z129" s="1" t="s">
        <v>1064</v>
      </c>
      <c r="AA129" s="1" t="s">
        <v>2501</v>
      </c>
      <c r="AB129" s="1">
        <v>0</v>
      </c>
      <c r="AD129" s="1" t="s">
        <v>2502</v>
      </c>
      <c r="AE129" s="1">
        <f>91-9898451355</f>
        <v>-9898451264</v>
      </c>
      <c r="AF129" s="1" t="s">
        <v>112</v>
      </c>
      <c r="AG129" s="1" t="s">
        <v>112</v>
      </c>
      <c r="AH129" s="1" t="s">
        <v>112</v>
      </c>
      <c r="AI129" s="1" t="s">
        <v>112</v>
      </c>
      <c r="AJ129" s="1" t="s">
        <v>112</v>
      </c>
      <c r="AK129" s="1" t="s">
        <v>112</v>
      </c>
      <c r="AL129" s="1" t="s">
        <v>112</v>
      </c>
      <c r="AM129" s="1" t="s">
        <v>112</v>
      </c>
      <c r="AN129" s="1" t="s">
        <v>112</v>
      </c>
      <c r="AO129" s="1" t="s">
        <v>112</v>
      </c>
      <c r="AP129" s="1" t="s">
        <v>112</v>
      </c>
      <c r="AQ129" s="1" t="s">
        <v>112</v>
      </c>
      <c r="AR129" s="1" t="s">
        <v>112</v>
      </c>
      <c r="AS129" s="1" t="s">
        <v>112</v>
      </c>
      <c r="AT129" s="1" t="s">
        <v>112</v>
      </c>
      <c r="AU129" s="1" t="s">
        <v>112</v>
      </c>
      <c r="AV129" s="1" t="s">
        <v>112</v>
      </c>
      <c r="AW129" s="1" t="s">
        <v>112</v>
      </c>
      <c r="AX129" s="1" t="s">
        <v>112</v>
      </c>
      <c r="AY129" s="1" t="s">
        <v>112</v>
      </c>
      <c r="AZ129" s="1" t="s">
        <v>112</v>
      </c>
      <c r="BA129" s="1" t="s">
        <v>112</v>
      </c>
      <c r="BB129" s="1" t="s">
        <v>112</v>
      </c>
      <c r="BC129" s="1" t="s">
        <v>112</v>
      </c>
      <c r="BD129" s="1" t="s">
        <v>112</v>
      </c>
      <c r="BE129" s="1" t="s">
        <v>112</v>
      </c>
      <c r="BF129" s="1" t="s">
        <v>112</v>
      </c>
      <c r="BG129" s="1" t="s">
        <v>112</v>
      </c>
      <c r="BH129" s="1" t="s">
        <v>112</v>
      </c>
      <c r="BI129" s="1" t="s">
        <v>112</v>
      </c>
      <c r="BJ129" s="1" t="s">
        <v>112</v>
      </c>
      <c r="BK129" s="1" t="s">
        <v>112</v>
      </c>
      <c r="BL129" s="1" t="s">
        <v>112</v>
      </c>
      <c r="BM129" s="1" t="s">
        <v>112</v>
      </c>
      <c r="BN129" s="1" t="s">
        <v>112</v>
      </c>
      <c r="BO129" s="1" t="s">
        <v>112</v>
      </c>
      <c r="BP129" s="1" t="s">
        <v>112</v>
      </c>
      <c r="BQ129" s="1" t="s">
        <v>112</v>
      </c>
      <c r="BR129" s="1" t="s">
        <v>112</v>
      </c>
      <c r="BS129" s="1" t="s">
        <v>112</v>
      </c>
      <c r="BT129" s="1" t="s">
        <v>112</v>
      </c>
      <c r="BU129" s="1" t="s">
        <v>112</v>
      </c>
      <c r="BV129" s="1" t="s">
        <v>112</v>
      </c>
      <c r="BW129" s="1" t="s">
        <v>112</v>
      </c>
      <c r="BX129" s="1" t="s">
        <v>112</v>
      </c>
      <c r="BY129" s="1" t="s">
        <v>112</v>
      </c>
      <c r="BZ129" s="1" t="s">
        <v>112</v>
      </c>
      <c r="CA129" s="1" t="s">
        <v>112</v>
      </c>
      <c r="CB129" s="4">
        <v>42741.17148394676</v>
      </c>
      <c r="CC129" s="1">
        <v>1</v>
      </c>
      <c r="CD129" s="1">
        <v>1</v>
      </c>
      <c r="CE129" s="1">
        <v>1</v>
      </c>
      <c r="CF129" s="1">
        <v>4</v>
      </c>
      <c r="CG129" s="1" t="s">
        <v>112</v>
      </c>
      <c r="CH129" s="1" t="s">
        <v>112</v>
      </c>
      <c r="CI129" s="1" t="s">
        <v>112</v>
      </c>
      <c r="CJ129" s="1" t="s">
        <v>112</v>
      </c>
    </row>
    <row r="130" spans="1:88" x14ac:dyDescent="0.35">
      <c r="A130" s="1">
        <v>1601</v>
      </c>
      <c r="B130" s="1" t="s">
        <v>2503</v>
      </c>
      <c r="C130" s="1" t="s">
        <v>2504</v>
      </c>
      <c r="D130" s="1" t="s">
        <v>90</v>
      </c>
      <c r="E130" s="1" t="s">
        <v>2505</v>
      </c>
      <c r="F130" s="1" t="s">
        <v>2506</v>
      </c>
      <c r="G130" s="1">
        <v>0</v>
      </c>
      <c r="H130" s="3">
        <v>33518</v>
      </c>
      <c r="I130" s="1">
        <v>1</v>
      </c>
      <c r="J130" s="1" t="s">
        <v>162</v>
      </c>
      <c r="K130" s="1" t="s">
        <v>163</v>
      </c>
      <c r="L130" s="2">
        <f>91-7698720082</f>
        <v>-7698719991</v>
      </c>
      <c r="M130" s="1" t="s">
        <v>112</v>
      </c>
      <c r="N130" s="1" t="s">
        <v>112</v>
      </c>
      <c r="O130" s="1" t="s">
        <v>112</v>
      </c>
      <c r="P130" s="1" t="s">
        <v>112</v>
      </c>
      <c r="Q130" s="1" t="s">
        <v>112</v>
      </c>
      <c r="R130" s="1" t="s">
        <v>112</v>
      </c>
      <c r="S130" s="1" t="s">
        <v>112</v>
      </c>
      <c r="T130" s="1" t="s">
        <v>112</v>
      </c>
      <c r="U130" s="1" t="s">
        <v>112</v>
      </c>
      <c r="V130" s="1" t="s">
        <v>112</v>
      </c>
      <c r="W130" s="1" t="s">
        <v>112</v>
      </c>
      <c r="X130" s="1" t="s">
        <v>112</v>
      </c>
      <c r="Y130" s="1" t="s">
        <v>112</v>
      </c>
      <c r="Z130" s="1" t="s">
        <v>112</v>
      </c>
      <c r="AA130" s="1" t="s">
        <v>112</v>
      </c>
      <c r="AB130" s="1" t="s">
        <v>112</v>
      </c>
      <c r="AC130" s="1" t="s">
        <v>112</v>
      </c>
      <c r="AD130" s="1" t="s">
        <v>112</v>
      </c>
      <c r="AE130" s="1" t="s">
        <v>112</v>
      </c>
      <c r="AF130" s="1" t="s">
        <v>112</v>
      </c>
      <c r="AG130" s="1" t="s">
        <v>112</v>
      </c>
      <c r="AH130" s="1" t="s">
        <v>112</v>
      </c>
      <c r="AI130" s="1" t="s">
        <v>112</v>
      </c>
      <c r="AJ130" s="1" t="s">
        <v>112</v>
      </c>
      <c r="AK130" s="1" t="s">
        <v>112</v>
      </c>
      <c r="AL130" s="1" t="s">
        <v>112</v>
      </c>
      <c r="AM130" s="1" t="s">
        <v>112</v>
      </c>
      <c r="AN130" s="1" t="s">
        <v>112</v>
      </c>
      <c r="AO130" s="1" t="s">
        <v>112</v>
      </c>
      <c r="AP130" s="1" t="s">
        <v>112</v>
      </c>
      <c r="AQ130" s="1" t="s">
        <v>112</v>
      </c>
      <c r="AR130" s="1" t="s">
        <v>112</v>
      </c>
      <c r="AS130" s="1" t="s">
        <v>112</v>
      </c>
      <c r="AT130" s="1" t="s">
        <v>112</v>
      </c>
      <c r="AU130" s="1" t="s">
        <v>112</v>
      </c>
      <c r="AV130" s="1" t="s">
        <v>112</v>
      </c>
      <c r="AW130" s="1" t="s">
        <v>112</v>
      </c>
      <c r="AX130" s="1" t="s">
        <v>112</v>
      </c>
      <c r="AY130" s="1" t="s">
        <v>112</v>
      </c>
      <c r="AZ130" s="1" t="s">
        <v>112</v>
      </c>
      <c r="BA130" s="1" t="s">
        <v>112</v>
      </c>
      <c r="BB130" s="1" t="s">
        <v>112</v>
      </c>
      <c r="BC130" s="1" t="s">
        <v>112</v>
      </c>
      <c r="BD130" s="1" t="s">
        <v>112</v>
      </c>
      <c r="BE130" s="1" t="s">
        <v>112</v>
      </c>
      <c r="BF130" s="1" t="s">
        <v>112</v>
      </c>
      <c r="BG130" s="1" t="s">
        <v>112</v>
      </c>
      <c r="BH130" s="1" t="s">
        <v>112</v>
      </c>
      <c r="BI130" s="1" t="s">
        <v>112</v>
      </c>
      <c r="BJ130" s="1" t="s">
        <v>112</v>
      </c>
      <c r="BK130" s="1" t="s">
        <v>112</v>
      </c>
      <c r="BL130" s="1" t="s">
        <v>112</v>
      </c>
      <c r="BM130" s="1" t="s">
        <v>112</v>
      </c>
      <c r="BN130" s="1" t="s">
        <v>112</v>
      </c>
      <c r="BO130" s="1" t="s">
        <v>112</v>
      </c>
      <c r="BP130" s="1" t="s">
        <v>112</v>
      </c>
      <c r="BQ130" s="1" t="s">
        <v>112</v>
      </c>
      <c r="BR130" s="1" t="s">
        <v>112</v>
      </c>
      <c r="BS130" s="1" t="s">
        <v>112</v>
      </c>
      <c r="BT130" s="1" t="s">
        <v>112</v>
      </c>
      <c r="BU130" s="1" t="s">
        <v>112</v>
      </c>
      <c r="BV130" s="1" t="s">
        <v>112</v>
      </c>
      <c r="BW130" s="1" t="s">
        <v>112</v>
      </c>
      <c r="BX130" s="1" t="s">
        <v>112</v>
      </c>
      <c r="BY130" s="1" t="s">
        <v>112</v>
      </c>
      <c r="BZ130" s="1" t="s">
        <v>112</v>
      </c>
      <c r="CA130" s="1" t="s">
        <v>112</v>
      </c>
      <c r="CB130" s="4">
        <v>42742.186955821759</v>
      </c>
      <c r="CC130" s="1">
        <v>1</v>
      </c>
      <c r="CD130" s="1">
        <v>1</v>
      </c>
      <c r="CE130" s="1">
        <v>1</v>
      </c>
      <c r="CF130" s="1">
        <v>4</v>
      </c>
      <c r="CG130" s="1" t="s">
        <v>112</v>
      </c>
      <c r="CH130" s="1" t="s">
        <v>112</v>
      </c>
      <c r="CI130" s="1" t="s">
        <v>112</v>
      </c>
      <c r="CJ130" s="1" t="s">
        <v>112</v>
      </c>
    </row>
    <row r="131" spans="1:88" x14ac:dyDescent="0.35">
      <c r="A131" s="1">
        <v>1604</v>
      </c>
      <c r="B131" s="1" t="s">
        <v>2507</v>
      </c>
      <c r="C131" s="1" t="s">
        <v>2508</v>
      </c>
      <c r="D131" s="1" t="s">
        <v>90</v>
      </c>
      <c r="E131" s="1" t="s">
        <v>2509</v>
      </c>
      <c r="F131" s="1" t="s">
        <v>134</v>
      </c>
      <c r="G131" s="1">
        <v>1</v>
      </c>
      <c r="H131" s="3">
        <v>33572</v>
      </c>
      <c r="I131" s="1">
        <v>1</v>
      </c>
      <c r="J131" s="1" t="s">
        <v>162</v>
      </c>
      <c r="K131" s="1" t="s">
        <v>163</v>
      </c>
      <c r="L131" s="2">
        <f>91-9662626252</f>
        <v>-9662626161</v>
      </c>
      <c r="M131" s="1" t="s">
        <v>150</v>
      </c>
      <c r="N131" s="1">
        <v>0</v>
      </c>
      <c r="O131" s="1">
        <v>0</v>
      </c>
      <c r="P131" s="1">
        <v>5.03</v>
      </c>
      <c r="Q131" s="1">
        <v>33</v>
      </c>
      <c r="R131" s="1" t="s">
        <v>1714</v>
      </c>
      <c r="S131" s="1" t="s">
        <v>293</v>
      </c>
      <c r="T131" s="1" t="s">
        <v>341</v>
      </c>
      <c r="U131" s="1" t="s">
        <v>2510</v>
      </c>
      <c r="X131" s="1" t="s">
        <v>296</v>
      </c>
      <c r="Y131" s="1" t="s">
        <v>111</v>
      </c>
      <c r="Z131" s="1" t="s">
        <v>733</v>
      </c>
      <c r="AA131" s="1" t="s">
        <v>2511</v>
      </c>
      <c r="AB131" s="1">
        <v>0</v>
      </c>
      <c r="AD131" s="1" t="s">
        <v>2512</v>
      </c>
      <c r="AE131" s="1" t="s">
        <v>142</v>
      </c>
      <c r="AF131" s="1" t="s">
        <v>143</v>
      </c>
      <c r="AG131" s="1" t="s">
        <v>2513</v>
      </c>
      <c r="AH131" s="1" t="s">
        <v>1138</v>
      </c>
      <c r="AI131" s="1" t="s">
        <v>1605</v>
      </c>
      <c r="AJ131" s="1" t="s">
        <v>109</v>
      </c>
      <c r="AK131" s="1" t="s">
        <v>2514</v>
      </c>
      <c r="AL131" s="1">
        <v>3</v>
      </c>
      <c r="AM131" s="1" t="s">
        <v>111</v>
      </c>
      <c r="AP131" s="1">
        <f>91-9898953099</f>
        <v>-9898953008</v>
      </c>
      <c r="AR131" s="1">
        <v>1</v>
      </c>
      <c r="AS131" s="1">
        <v>0</v>
      </c>
      <c r="AW131" s="1" t="s">
        <v>142</v>
      </c>
      <c r="AX131" s="1" t="s">
        <v>1053</v>
      </c>
      <c r="AY131" s="1" t="s">
        <v>150</v>
      </c>
      <c r="AZ131" s="1">
        <v>4.0999999999999996</v>
      </c>
      <c r="BA131" s="1">
        <v>5.01</v>
      </c>
      <c r="BB131" s="1" t="s">
        <v>151</v>
      </c>
      <c r="BC131" s="1" t="s">
        <v>152</v>
      </c>
      <c r="BD131" s="1" t="s">
        <v>1395</v>
      </c>
      <c r="BE131" s="1" t="s">
        <v>120</v>
      </c>
      <c r="BF131" s="1" t="s">
        <v>120</v>
      </c>
      <c r="BG131" s="1" t="s">
        <v>120</v>
      </c>
      <c r="BH131" s="1" t="s">
        <v>120</v>
      </c>
      <c r="BI131" s="1" t="s">
        <v>733</v>
      </c>
      <c r="BJ131" s="1" t="s">
        <v>120</v>
      </c>
      <c r="BK131" s="1" t="s">
        <v>120</v>
      </c>
      <c r="BL131" s="1">
        <v>0</v>
      </c>
      <c r="BM131" s="1">
        <v>0</v>
      </c>
      <c r="BN131" s="1" t="s">
        <v>2515</v>
      </c>
      <c r="BO131" s="1">
        <v>1</v>
      </c>
      <c r="BP131" s="1" t="s">
        <v>2516</v>
      </c>
      <c r="BQ131" s="1" t="s">
        <v>2517</v>
      </c>
      <c r="BR131" s="1">
        <v>0</v>
      </c>
      <c r="BS131" s="1" t="s">
        <v>181</v>
      </c>
      <c r="BT131" s="1" t="s">
        <v>124</v>
      </c>
      <c r="BV131" s="1" t="s">
        <v>112</v>
      </c>
      <c r="BW131" s="1" t="s">
        <v>2518</v>
      </c>
      <c r="BX131" s="1" t="s">
        <v>2519</v>
      </c>
      <c r="BY131" s="1" t="s">
        <v>120</v>
      </c>
      <c r="BZ131" s="1">
        <v>0</v>
      </c>
      <c r="CA131" s="1">
        <v>0</v>
      </c>
      <c r="CB131" s="4">
        <v>42743.391181446757</v>
      </c>
      <c r="CC131" s="1">
        <v>1</v>
      </c>
      <c r="CD131" s="1">
        <v>1</v>
      </c>
      <c r="CE131" s="1">
        <v>1</v>
      </c>
      <c r="CF131" s="1">
        <v>1</v>
      </c>
      <c r="CG131" s="4">
        <v>43111.635826273145</v>
      </c>
      <c r="CH131" s="1" t="s">
        <v>112</v>
      </c>
      <c r="CI131" s="1" t="s">
        <v>2520</v>
      </c>
      <c r="CJ131" s="1" t="s">
        <v>157</v>
      </c>
    </row>
    <row r="132" spans="1:88" x14ac:dyDescent="0.35">
      <c r="A132" s="1">
        <v>1607</v>
      </c>
      <c r="B132" s="1" t="s">
        <v>2521</v>
      </c>
      <c r="C132" s="1" t="s">
        <v>2522</v>
      </c>
      <c r="D132" s="1" t="s">
        <v>90</v>
      </c>
      <c r="E132" s="1" t="s">
        <v>2523</v>
      </c>
      <c r="F132" s="1" t="s">
        <v>134</v>
      </c>
      <c r="G132" s="1">
        <v>0</v>
      </c>
      <c r="H132" s="3">
        <v>34499</v>
      </c>
      <c r="I132" s="1">
        <v>1</v>
      </c>
      <c r="J132" s="1" t="s">
        <v>2224</v>
      </c>
      <c r="K132" s="1" t="s">
        <v>2225</v>
      </c>
      <c r="L132" s="2">
        <f>91-9849434236</f>
        <v>-9849434145</v>
      </c>
      <c r="M132" s="1" t="s">
        <v>150</v>
      </c>
      <c r="N132" s="1">
        <v>0</v>
      </c>
      <c r="O132" s="1">
        <v>0</v>
      </c>
      <c r="P132" s="1">
        <v>5.03</v>
      </c>
      <c r="Q132" s="1">
        <v>11</v>
      </c>
      <c r="R132" s="1" t="s">
        <v>340</v>
      </c>
      <c r="S132" s="1" t="s">
        <v>97</v>
      </c>
      <c r="T132" s="1" t="s">
        <v>1915</v>
      </c>
      <c r="U132" s="1" t="s">
        <v>1916</v>
      </c>
      <c r="V132" s="1" t="s">
        <v>2524</v>
      </c>
      <c r="X132" s="1" t="s">
        <v>100</v>
      </c>
      <c r="Y132" s="1" t="s">
        <v>268</v>
      </c>
      <c r="Z132" s="1" t="s">
        <v>1917</v>
      </c>
      <c r="AB132" s="1">
        <v>0</v>
      </c>
      <c r="AD132" s="1" t="s">
        <v>2525</v>
      </c>
      <c r="AE132" s="1">
        <f>91-9248144567</f>
        <v>-9248144476</v>
      </c>
      <c r="AF132" s="1" t="s">
        <v>143</v>
      </c>
      <c r="AG132" s="1" t="s">
        <v>2526</v>
      </c>
      <c r="AH132" s="1" t="s">
        <v>2527</v>
      </c>
      <c r="AI132" s="1" t="s">
        <v>2528</v>
      </c>
      <c r="AJ132" s="1" t="s">
        <v>109</v>
      </c>
      <c r="AK132" s="1" t="s">
        <v>2529</v>
      </c>
      <c r="AL132" s="1">
        <v>40</v>
      </c>
      <c r="AM132" s="1" t="s">
        <v>111</v>
      </c>
      <c r="AO132" s="1" t="s">
        <v>2530</v>
      </c>
      <c r="AP132" s="1">
        <f>91-9849434236</f>
        <v>-9849434145</v>
      </c>
      <c r="AR132" s="1">
        <v>1</v>
      </c>
      <c r="AS132" s="1">
        <v>0</v>
      </c>
      <c r="AW132" s="1" t="s">
        <v>142</v>
      </c>
      <c r="AX132" s="1" t="s">
        <v>2531</v>
      </c>
      <c r="AY132" s="1" t="s">
        <v>150</v>
      </c>
      <c r="AZ132" s="1">
        <v>5.08</v>
      </c>
      <c r="BA132" s="1">
        <v>5.08</v>
      </c>
      <c r="BB132" s="1" t="s">
        <v>151</v>
      </c>
      <c r="BC132" s="1" t="s">
        <v>304</v>
      </c>
      <c r="BD132" s="1" t="s">
        <v>1333</v>
      </c>
      <c r="BE132" s="1" t="s">
        <v>136</v>
      </c>
      <c r="BF132" s="1" t="s">
        <v>120</v>
      </c>
      <c r="BG132" s="1" t="s">
        <v>100</v>
      </c>
      <c r="BH132" s="1" t="s">
        <v>101</v>
      </c>
      <c r="BJ132" s="1" t="s">
        <v>154</v>
      </c>
      <c r="BK132" s="1" t="s">
        <v>105</v>
      </c>
      <c r="BL132" s="1">
        <v>0</v>
      </c>
      <c r="BM132" s="1">
        <v>1</v>
      </c>
      <c r="BN132" s="1" t="s">
        <v>2532</v>
      </c>
      <c r="BO132" s="1">
        <v>1</v>
      </c>
      <c r="BP132" s="1" t="s">
        <v>2225</v>
      </c>
      <c r="BQ132" s="1" t="s">
        <v>2533</v>
      </c>
      <c r="BR132" s="1">
        <v>1</v>
      </c>
      <c r="BS132" s="1" t="s">
        <v>129</v>
      </c>
      <c r="BT132" s="1" t="s">
        <v>124</v>
      </c>
      <c r="BV132" s="1" t="s">
        <v>112</v>
      </c>
      <c r="BW132" s="1" t="s">
        <v>2534</v>
      </c>
      <c r="BX132" s="1" t="s">
        <v>2535</v>
      </c>
      <c r="BY132" s="1" t="s">
        <v>120</v>
      </c>
      <c r="BZ132" s="1">
        <v>0</v>
      </c>
      <c r="CA132" s="1">
        <v>0</v>
      </c>
      <c r="CB132" s="4">
        <v>42749.06933445602</v>
      </c>
      <c r="CC132" s="1">
        <v>1</v>
      </c>
      <c r="CD132" s="1">
        <v>1</v>
      </c>
      <c r="CE132" s="1">
        <v>1</v>
      </c>
      <c r="CF132" s="1">
        <v>4</v>
      </c>
      <c r="CG132" s="4">
        <v>43047.678365127314</v>
      </c>
      <c r="CH132" s="1" t="s">
        <v>112</v>
      </c>
      <c r="CI132" s="1" t="s">
        <v>2536</v>
      </c>
      <c r="CJ132" s="1" t="s">
        <v>157</v>
      </c>
    </row>
    <row r="133" spans="1:88" x14ac:dyDescent="0.35">
      <c r="A133" s="1">
        <v>1608</v>
      </c>
      <c r="B133" s="1" t="s">
        <v>2537</v>
      </c>
      <c r="C133" s="1">
        <v>8827099319</v>
      </c>
      <c r="D133" s="1" t="s">
        <v>90</v>
      </c>
      <c r="E133" s="1" t="s">
        <v>2538</v>
      </c>
      <c r="F133" s="1" t="s">
        <v>2539</v>
      </c>
      <c r="G133" s="1">
        <v>1</v>
      </c>
      <c r="H133" s="3">
        <v>32960</v>
      </c>
      <c r="I133" s="1">
        <v>1</v>
      </c>
      <c r="J133" s="1" t="s">
        <v>162</v>
      </c>
      <c r="K133" s="1" t="s">
        <v>291</v>
      </c>
      <c r="L133" s="2">
        <f>91-9624548128</f>
        <v>-9624548037</v>
      </c>
      <c r="M133" s="1" t="s">
        <v>150</v>
      </c>
      <c r="N133" s="1">
        <v>0</v>
      </c>
      <c r="O133" s="1">
        <v>0</v>
      </c>
      <c r="P133" s="1">
        <v>5.0599999999999996</v>
      </c>
      <c r="Q133" s="1">
        <v>43</v>
      </c>
      <c r="R133" s="1" t="s">
        <v>188</v>
      </c>
      <c r="S133" s="1" t="s">
        <v>136</v>
      </c>
      <c r="T133" s="1" t="s">
        <v>1107</v>
      </c>
      <c r="U133" s="1" t="s">
        <v>2540</v>
      </c>
      <c r="V133" s="1" t="s">
        <v>2540</v>
      </c>
      <c r="X133" s="1" t="s">
        <v>100</v>
      </c>
      <c r="Y133" s="1" t="s">
        <v>210</v>
      </c>
      <c r="Z133" s="1" t="s">
        <v>2541</v>
      </c>
      <c r="AB133" s="1">
        <v>0</v>
      </c>
      <c r="AD133" s="1" t="s">
        <v>2542</v>
      </c>
      <c r="AE133" s="1">
        <f>91-7778856499</f>
        <v>-7778856408</v>
      </c>
      <c r="AF133" s="1" t="s">
        <v>105</v>
      </c>
      <c r="AG133" s="1" t="s">
        <v>2543</v>
      </c>
      <c r="AH133" s="1" t="s">
        <v>2544</v>
      </c>
      <c r="AI133" s="1" t="s">
        <v>2545</v>
      </c>
      <c r="AJ133" s="1" t="s">
        <v>1238</v>
      </c>
      <c r="AK133" s="1" t="s">
        <v>2546</v>
      </c>
      <c r="AL133" s="1">
        <v>1</v>
      </c>
      <c r="AM133" s="1" t="s">
        <v>210</v>
      </c>
      <c r="AP133" s="1">
        <f>91-8128635482</f>
        <v>-8128635391</v>
      </c>
      <c r="AQ133" s="1" t="s">
        <v>565</v>
      </c>
      <c r="AR133" s="1">
        <v>1</v>
      </c>
      <c r="AS133" s="1">
        <v>0</v>
      </c>
      <c r="AT133" s="1" t="s">
        <v>2547</v>
      </c>
      <c r="AU133" s="1" t="s">
        <v>2548</v>
      </c>
      <c r="AV133" s="1" t="s">
        <v>1783</v>
      </c>
      <c r="AW133" s="1" t="s">
        <v>142</v>
      </c>
      <c r="AX133" s="1" t="s">
        <v>642</v>
      </c>
      <c r="AY133" s="1" t="s">
        <v>1332</v>
      </c>
      <c r="AZ133" s="1">
        <v>5.01</v>
      </c>
      <c r="BA133" s="1">
        <v>5.05</v>
      </c>
      <c r="BB133" s="1" t="s">
        <v>151</v>
      </c>
      <c r="BC133" s="1" t="s">
        <v>152</v>
      </c>
      <c r="BD133" s="1" t="s">
        <v>1395</v>
      </c>
      <c r="BE133" s="1" t="s">
        <v>120</v>
      </c>
      <c r="BF133" s="1" t="s">
        <v>120</v>
      </c>
      <c r="BG133" s="1" t="s">
        <v>120</v>
      </c>
      <c r="BH133" s="1" t="s">
        <v>120</v>
      </c>
      <c r="BI133" s="1" t="s">
        <v>2541</v>
      </c>
      <c r="BJ133" s="1" t="s">
        <v>154</v>
      </c>
      <c r="BK133" s="1" t="s">
        <v>120</v>
      </c>
      <c r="BL133" s="1">
        <v>0</v>
      </c>
      <c r="BM133" s="1">
        <v>0</v>
      </c>
      <c r="BN133" s="1" t="s">
        <v>2549</v>
      </c>
      <c r="BO133" s="1">
        <v>1</v>
      </c>
      <c r="BP133" s="1" t="s">
        <v>2550</v>
      </c>
      <c r="BQ133" s="1" t="s">
        <v>2551</v>
      </c>
      <c r="BR133" s="1">
        <v>0</v>
      </c>
      <c r="BS133" s="1" t="s">
        <v>596</v>
      </c>
      <c r="BT133" s="1" t="s">
        <v>124</v>
      </c>
      <c r="BV133" s="1" t="s">
        <v>112</v>
      </c>
      <c r="BX133" s="1" t="s">
        <v>2552</v>
      </c>
      <c r="BY133" s="1" t="s">
        <v>127</v>
      </c>
      <c r="BZ133" s="1">
        <v>0</v>
      </c>
      <c r="CA133" s="1">
        <v>0</v>
      </c>
      <c r="CB133" s="4">
        <v>42750.102571678239</v>
      </c>
      <c r="CC133" s="1">
        <v>1</v>
      </c>
      <c r="CD133" s="1">
        <v>1</v>
      </c>
      <c r="CE133" s="1">
        <v>1</v>
      </c>
      <c r="CF133" s="1">
        <v>4</v>
      </c>
      <c r="CG133" s="1" t="s">
        <v>112</v>
      </c>
      <c r="CH133" s="1" t="s">
        <v>112</v>
      </c>
      <c r="CI133" s="1" t="s">
        <v>2553</v>
      </c>
      <c r="CJ133" s="1" t="s">
        <v>157</v>
      </c>
    </row>
    <row r="134" spans="1:88" x14ac:dyDescent="0.35">
      <c r="A134" s="1">
        <v>1611</v>
      </c>
      <c r="B134" s="1" t="s">
        <v>2554</v>
      </c>
      <c r="C134" s="1">
        <v>28101982</v>
      </c>
      <c r="D134" s="1" t="s">
        <v>312</v>
      </c>
      <c r="E134" s="1" t="s">
        <v>1839</v>
      </c>
      <c r="F134" s="1" t="s">
        <v>751</v>
      </c>
      <c r="G134" s="1">
        <v>1</v>
      </c>
      <c r="H134" s="3">
        <v>32206</v>
      </c>
      <c r="I134" s="1">
        <v>1</v>
      </c>
      <c r="J134" s="1" t="s">
        <v>93</v>
      </c>
      <c r="K134" s="1" t="s">
        <v>2555</v>
      </c>
      <c r="L134" s="2">
        <f>91-9420842160</f>
        <v>-9420842069</v>
      </c>
      <c r="M134" s="1" t="s">
        <v>150</v>
      </c>
      <c r="N134" s="1">
        <v>0</v>
      </c>
      <c r="O134" s="1">
        <v>0</v>
      </c>
      <c r="P134" s="1">
        <v>5.0599999999999996</v>
      </c>
      <c r="Q134" s="1">
        <v>14</v>
      </c>
      <c r="R134" s="1" t="s">
        <v>164</v>
      </c>
      <c r="S134" s="1" t="s">
        <v>293</v>
      </c>
      <c r="T134" s="1" t="s">
        <v>137</v>
      </c>
      <c r="U134" s="1" t="s">
        <v>2540</v>
      </c>
      <c r="V134" s="1" t="s">
        <v>2540</v>
      </c>
      <c r="X134" s="1" t="s">
        <v>236</v>
      </c>
      <c r="Y134" s="1" t="s">
        <v>111</v>
      </c>
      <c r="Z134" s="1" t="s">
        <v>192</v>
      </c>
      <c r="AB134" s="1">
        <v>0</v>
      </c>
      <c r="AD134" s="1" t="s">
        <v>2556</v>
      </c>
      <c r="AE134" s="1">
        <f>91-9420842160</f>
        <v>-9420842069</v>
      </c>
      <c r="AF134" s="1" t="s">
        <v>2541</v>
      </c>
      <c r="AG134" s="1" t="s">
        <v>2557</v>
      </c>
      <c r="AH134" s="1" t="s">
        <v>2558</v>
      </c>
      <c r="AI134" s="1" t="s">
        <v>2559</v>
      </c>
      <c r="AJ134" s="1" t="s">
        <v>109</v>
      </c>
      <c r="AK134" s="1" t="s">
        <v>2560</v>
      </c>
      <c r="AL134" s="1">
        <v>51</v>
      </c>
      <c r="AM134" s="1" t="s">
        <v>2541</v>
      </c>
      <c r="AP134" s="1">
        <f>91-9422052560</f>
        <v>-9422052469</v>
      </c>
      <c r="AR134" s="1">
        <v>0</v>
      </c>
      <c r="AS134" s="1">
        <v>0</v>
      </c>
      <c r="AW134" s="1" t="s">
        <v>142</v>
      </c>
      <c r="AX134" s="1" t="s">
        <v>2561</v>
      </c>
      <c r="AY134" s="1" t="s">
        <v>150</v>
      </c>
      <c r="AZ134" s="1">
        <v>5</v>
      </c>
      <c r="BA134" s="1">
        <v>5.0599999999999996</v>
      </c>
      <c r="BB134" s="1" t="s">
        <v>151</v>
      </c>
      <c r="BC134" s="1" t="s">
        <v>152</v>
      </c>
      <c r="BD134" s="1" t="s">
        <v>1395</v>
      </c>
      <c r="BE134" s="1" t="s">
        <v>120</v>
      </c>
      <c r="BF134" s="1" t="s">
        <v>120</v>
      </c>
      <c r="BG134" s="1" t="s">
        <v>2541</v>
      </c>
      <c r="BH134" s="1" t="s">
        <v>2541</v>
      </c>
      <c r="BI134" s="1" t="s">
        <v>192</v>
      </c>
      <c r="BL134" s="1">
        <v>0</v>
      </c>
      <c r="BM134" s="1">
        <v>0</v>
      </c>
      <c r="BN134" s="1" t="s">
        <v>2562</v>
      </c>
      <c r="BO134" s="1">
        <v>0</v>
      </c>
      <c r="BQ134" s="1" t="s">
        <v>180</v>
      </c>
      <c r="BR134" s="1">
        <v>0</v>
      </c>
      <c r="BS134" s="1" t="s">
        <v>181</v>
      </c>
      <c r="BT134" s="1" t="s">
        <v>124</v>
      </c>
      <c r="BV134" s="1" t="s">
        <v>112</v>
      </c>
      <c r="BW134" s="1" t="s">
        <v>2563</v>
      </c>
      <c r="BX134" s="1" t="s">
        <v>2564</v>
      </c>
      <c r="BY134" s="1" t="s">
        <v>120</v>
      </c>
      <c r="BZ134" s="1">
        <v>0</v>
      </c>
      <c r="CA134" s="1">
        <v>0</v>
      </c>
      <c r="CB134" s="4">
        <v>42752.9117934838</v>
      </c>
      <c r="CC134" s="1">
        <v>1</v>
      </c>
      <c r="CD134" s="1">
        <v>1</v>
      </c>
      <c r="CE134" s="1">
        <v>1</v>
      </c>
      <c r="CF134" s="1">
        <v>4</v>
      </c>
      <c r="CG134" s="4">
        <v>42782.179887233797</v>
      </c>
      <c r="CH134" s="1" t="s">
        <v>112</v>
      </c>
      <c r="CI134" s="1" t="s">
        <v>2565</v>
      </c>
      <c r="CJ134" s="1" t="s">
        <v>157</v>
      </c>
    </row>
    <row r="135" spans="1:88" x14ac:dyDescent="0.35">
      <c r="A135" s="1">
        <v>1612</v>
      </c>
      <c r="B135" s="1" t="s">
        <v>2566</v>
      </c>
      <c r="C135" s="1" t="s">
        <v>2567</v>
      </c>
      <c r="D135" s="1" t="s">
        <v>312</v>
      </c>
      <c r="E135" s="1" t="s">
        <v>2568</v>
      </c>
      <c r="F135" s="1" t="s">
        <v>603</v>
      </c>
      <c r="G135" s="1">
        <v>1</v>
      </c>
      <c r="H135" s="3">
        <v>33124</v>
      </c>
      <c r="I135" s="1">
        <v>1</v>
      </c>
      <c r="J135" s="1" t="s">
        <v>162</v>
      </c>
      <c r="K135" s="1" t="s">
        <v>1406</v>
      </c>
      <c r="L135" s="2">
        <f>91-9427271766</f>
        <v>-9427271675</v>
      </c>
      <c r="M135" s="1" t="s">
        <v>150</v>
      </c>
      <c r="N135" s="1">
        <v>0</v>
      </c>
      <c r="O135" s="1">
        <v>0</v>
      </c>
      <c r="P135" s="1">
        <v>5.0999999999999996</v>
      </c>
      <c r="Q135" s="1">
        <v>12</v>
      </c>
      <c r="R135" s="1" t="s">
        <v>470</v>
      </c>
      <c r="S135" s="1" t="s">
        <v>136</v>
      </c>
      <c r="T135" s="1" t="s">
        <v>341</v>
      </c>
      <c r="U135" s="1" t="s">
        <v>2540</v>
      </c>
      <c r="V135" s="1" t="s">
        <v>2540</v>
      </c>
      <c r="X135" s="1" t="s">
        <v>296</v>
      </c>
      <c r="Y135" s="1" t="s">
        <v>111</v>
      </c>
      <c r="Z135" s="1" t="s">
        <v>192</v>
      </c>
      <c r="AA135" s="1" t="s">
        <v>2569</v>
      </c>
      <c r="AB135" s="1">
        <v>0</v>
      </c>
      <c r="AD135" s="1" t="s">
        <v>2570</v>
      </c>
      <c r="AE135" s="1" t="s">
        <v>142</v>
      </c>
      <c r="AF135" s="1" t="s">
        <v>143</v>
      </c>
      <c r="AG135" s="1" t="s">
        <v>2571</v>
      </c>
      <c r="AH135" s="1" t="s">
        <v>2572</v>
      </c>
      <c r="AI135" s="1" t="s">
        <v>2573</v>
      </c>
      <c r="AJ135" s="1" t="s">
        <v>109</v>
      </c>
      <c r="AK135" s="1" t="s">
        <v>2574</v>
      </c>
      <c r="AL135" s="1">
        <v>60</v>
      </c>
      <c r="AM135" s="1" t="s">
        <v>111</v>
      </c>
      <c r="AN135" s="1" t="s">
        <v>2575</v>
      </c>
      <c r="AO135" s="1" t="s">
        <v>2576</v>
      </c>
      <c r="AP135" s="1">
        <f>91-9427271766</f>
        <v>-9427271675</v>
      </c>
      <c r="AR135" s="1">
        <v>0</v>
      </c>
      <c r="AS135" s="1">
        <v>0</v>
      </c>
      <c r="AT135" s="1" t="s">
        <v>2577</v>
      </c>
      <c r="AU135" s="1" t="s">
        <v>2578</v>
      </c>
      <c r="AV135" s="1" t="s">
        <v>1645</v>
      </c>
      <c r="AW135" s="1">
        <f>91-9662614280</f>
        <v>-9662614189</v>
      </c>
      <c r="AX135" s="1" t="s">
        <v>396</v>
      </c>
      <c r="AY135" s="1" t="s">
        <v>150</v>
      </c>
      <c r="AZ135" s="1">
        <v>5</v>
      </c>
      <c r="BA135" s="1">
        <v>5.0599999999999996</v>
      </c>
      <c r="BB135" s="1" t="s">
        <v>151</v>
      </c>
      <c r="BC135" s="1" t="s">
        <v>304</v>
      </c>
      <c r="BD135" s="1" t="s">
        <v>1333</v>
      </c>
      <c r="BE135" s="1" t="s">
        <v>120</v>
      </c>
      <c r="BF135" s="1" t="s">
        <v>120</v>
      </c>
      <c r="BG135" s="1" t="s">
        <v>120</v>
      </c>
      <c r="BH135" s="1" t="s">
        <v>120</v>
      </c>
      <c r="BJ135" s="1" t="s">
        <v>120</v>
      </c>
      <c r="BK135" s="1" t="s">
        <v>120</v>
      </c>
      <c r="BL135" s="1">
        <v>0</v>
      </c>
      <c r="BM135" s="1">
        <v>0</v>
      </c>
      <c r="BN135" s="1" t="s">
        <v>432</v>
      </c>
      <c r="BO135" s="1">
        <v>1</v>
      </c>
      <c r="BP135" s="1" t="s">
        <v>1935</v>
      </c>
      <c r="BQ135" s="1" t="s">
        <v>180</v>
      </c>
      <c r="BR135" s="1">
        <v>1</v>
      </c>
      <c r="BS135" s="1" t="s">
        <v>596</v>
      </c>
      <c r="BT135" s="1" t="s">
        <v>124</v>
      </c>
      <c r="BU135" s="1" t="s">
        <v>2579</v>
      </c>
      <c r="BV135" s="1" t="s">
        <v>112</v>
      </c>
      <c r="BW135" s="1" t="s">
        <v>2580</v>
      </c>
      <c r="BX135" s="1" t="s">
        <v>2581</v>
      </c>
      <c r="BY135" s="1" t="s">
        <v>127</v>
      </c>
      <c r="BZ135" s="1">
        <v>1</v>
      </c>
      <c r="CA135" s="1">
        <v>0</v>
      </c>
      <c r="CB135" s="4">
        <v>42753.102915659721</v>
      </c>
      <c r="CC135" s="1">
        <v>1</v>
      </c>
      <c r="CD135" s="1">
        <v>1</v>
      </c>
      <c r="CE135" s="1">
        <v>1</v>
      </c>
      <c r="CF135" s="1">
        <v>4</v>
      </c>
      <c r="CG135" s="4">
        <v>42754.612404131942</v>
      </c>
      <c r="CH135" s="1" t="s">
        <v>112</v>
      </c>
      <c r="CI135" s="1" t="s">
        <v>2582</v>
      </c>
      <c r="CJ135" s="1" t="s">
        <v>157</v>
      </c>
    </row>
    <row r="136" spans="1:88" x14ac:dyDescent="0.35">
      <c r="A136" s="1">
        <v>1613</v>
      </c>
      <c r="B136" s="1" t="s">
        <v>2583</v>
      </c>
      <c r="C136" s="1" t="s">
        <v>2584</v>
      </c>
      <c r="D136" s="1" t="s">
        <v>90</v>
      </c>
      <c r="E136" s="1" t="s">
        <v>2585</v>
      </c>
      <c r="F136" s="1" t="s">
        <v>92</v>
      </c>
      <c r="G136" s="1">
        <v>1</v>
      </c>
      <c r="H136" s="3">
        <v>29061</v>
      </c>
      <c r="I136" s="1">
        <v>1</v>
      </c>
      <c r="J136" s="1" t="s">
        <v>93</v>
      </c>
      <c r="K136" s="1" t="s">
        <v>1130</v>
      </c>
      <c r="L136" s="2">
        <f>91-9422801695</f>
        <v>-9422801604</v>
      </c>
      <c r="M136" s="1" t="s">
        <v>150</v>
      </c>
      <c r="N136" s="1">
        <v>0</v>
      </c>
      <c r="O136" s="1">
        <v>0</v>
      </c>
      <c r="P136" s="1">
        <v>5.07</v>
      </c>
      <c r="Q136" s="1">
        <v>12</v>
      </c>
      <c r="R136" s="1" t="s">
        <v>470</v>
      </c>
      <c r="S136" s="1" t="s">
        <v>492</v>
      </c>
      <c r="T136" s="1" t="s">
        <v>137</v>
      </c>
      <c r="U136" s="1" t="s">
        <v>2540</v>
      </c>
      <c r="V136" s="1" t="s">
        <v>2540</v>
      </c>
      <c r="X136" s="1" t="s">
        <v>170</v>
      </c>
      <c r="Y136" s="1" t="s">
        <v>111</v>
      </c>
      <c r="Z136" s="1" t="s">
        <v>192</v>
      </c>
      <c r="AB136" s="1">
        <v>0</v>
      </c>
      <c r="AD136" s="1" t="s">
        <v>2586</v>
      </c>
      <c r="AE136" s="1">
        <f>91-8275744822</f>
        <v>-8275744731</v>
      </c>
      <c r="AF136" s="1" t="s">
        <v>2541</v>
      </c>
      <c r="AG136" s="1" t="s">
        <v>1111</v>
      </c>
      <c r="AH136" s="1" t="s">
        <v>2587</v>
      </c>
      <c r="AI136" s="1" t="s">
        <v>2588</v>
      </c>
      <c r="AJ136" s="1" t="s">
        <v>109</v>
      </c>
      <c r="AK136" s="1" t="s">
        <v>2589</v>
      </c>
      <c r="AL136" s="1">
        <v>60</v>
      </c>
      <c r="AM136" s="1" t="s">
        <v>2541</v>
      </c>
      <c r="AP136" s="1">
        <f>91-9422801695</f>
        <v>-9422801604</v>
      </c>
      <c r="AR136" s="1">
        <v>0</v>
      </c>
      <c r="AS136" s="1">
        <v>0</v>
      </c>
      <c r="AW136" s="1" t="s">
        <v>142</v>
      </c>
      <c r="AX136" s="1" t="s">
        <v>2590</v>
      </c>
      <c r="AY136" s="1" t="s">
        <v>150</v>
      </c>
      <c r="AZ136" s="1">
        <v>5.0199999999999996</v>
      </c>
      <c r="BA136" s="1">
        <v>5.0199999999999996</v>
      </c>
      <c r="BB136" s="1" t="s">
        <v>151</v>
      </c>
      <c r="BC136" s="1" t="s">
        <v>152</v>
      </c>
      <c r="BD136" s="1" t="s">
        <v>1395</v>
      </c>
      <c r="BE136" s="1" t="s">
        <v>120</v>
      </c>
      <c r="BF136" s="1" t="s">
        <v>120</v>
      </c>
      <c r="BG136" s="1" t="s">
        <v>2541</v>
      </c>
      <c r="BH136" s="1" t="s">
        <v>2541</v>
      </c>
      <c r="BI136" s="1" t="s">
        <v>192</v>
      </c>
      <c r="BL136" s="1">
        <v>0</v>
      </c>
      <c r="BM136" s="1">
        <v>0</v>
      </c>
      <c r="BN136" s="1" t="s">
        <v>2591</v>
      </c>
      <c r="BO136" s="1">
        <v>0</v>
      </c>
      <c r="BQ136" s="1" t="s">
        <v>180</v>
      </c>
      <c r="BR136" s="1">
        <v>0</v>
      </c>
      <c r="BS136" s="1" t="s">
        <v>307</v>
      </c>
      <c r="BT136" s="1" t="s">
        <v>124</v>
      </c>
      <c r="BU136" s="1" t="s">
        <v>2592</v>
      </c>
      <c r="BV136" s="1" t="s">
        <v>112</v>
      </c>
      <c r="BW136" s="1" t="s">
        <v>2593</v>
      </c>
      <c r="BX136" s="1" t="s">
        <v>2594</v>
      </c>
      <c r="BY136" s="1" t="s">
        <v>120</v>
      </c>
      <c r="BZ136" s="1">
        <v>0</v>
      </c>
      <c r="CA136" s="1">
        <v>0</v>
      </c>
      <c r="CB136" s="4">
        <v>42753.258764849539</v>
      </c>
      <c r="CC136" s="1">
        <v>1</v>
      </c>
      <c r="CD136" s="1">
        <v>1</v>
      </c>
      <c r="CE136" s="1">
        <v>1</v>
      </c>
      <c r="CF136" s="1">
        <v>4</v>
      </c>
      <c r="CG136" s="4">
        <v>42754.614288194447</v>
      </c>
      <c r="CH136" s="1" t="s">
        <v>112</v>
      </c>
      <c r="CI136" s="1" t="s">
        <v>1320</v>
      </c>
      <c r="CJ136" s="1" t="s">
        <v>157</v>
      </c>
    </row>
    <row r="137" spans="1:88" x14ac:dyDescent="0.35">
      <c r="A137" s="1">
        <v>1614</v>
      </c>
      <c r="B137" s="1" t="s">
        <v>2595</v>
      </c>
      <c r="C137" s="1">
        <v>569010</v>
      </c>
      <c r="D137" s="1" t="s">
        <v>90</v>
      </c>
      <c r="E137" s="1" t="s">
        <v>2596</v>
      </c>
      <c r="F137" s="1" t="s">
        <v>2597</v>
      </c>
      <c r="G137" s="1">
        <v>1</v>
      </c>
      <c r="H137" s="3">
        <v>32360</v>
      </c>
      <c r="I137" s="1">
        <v>1</v>
      </c>
      <c r="J137" s="1" t="s">
        <v>315</v>
      </c>
      <c r="K137" s="1" t="s">
        <v>316</v>
      </c>
      <c r="L137" s="2">
        <f>91-9844480345</f>
        <v>-9844480254</v>
      </c>
      <c r="M137" s="1" t="s">
        <v>150</v>
      </c>
      <c r="N137" s="1">
        <v>0</v>
      </c>
      <c r="O137" s="1">
        <v>0</v>
      </c>
      <c r="P137" s="1">
        <v>5.0599999999999996</v>
      </c>
      <c r="Q137" s="1">
        <v>14</v>
      </c>
      <c r="R137" s="1" t="s">
        <v>164</v>
      </c>
      <c r="S137" s="1" t="s">
        <v>233</v>
      </c>
      <c r="T137" s="1" t="s">
        <v>2077</v>
      </c>
      <c r="U137" s="1" t="s">
        <v>2540</v>
      </c>
      <c r="V137" s="1" t="s">
        <v>2540</v>
      </c>
      <c r="X137" s="1" t="s">
        <v>296</v>
      </c>
      <c r="Y137" s="1" t="s">
        <v>111</v>
      </c>
      <c r="Z137" s="1" t="s">
        <v>774</v>
      </c>
      <c r="AB137" s="1">
        <v>0</v>
      </c>
      <c r="AD137" s="1" t="s">
        <v>2598</v>
      </c>
      <c r="AE137" s="1">
        <f>91-9844480345</f>
        <v>-9844480254</v>
      </c>
      <c r="AF137" s="1" t="s">
        <v>2541</v>
      </c>
      <c r="AG137" s="1" t="s">
        <v>2599</v>
      </c>
      <c r="AH137" s="1" t="s">
        <v>2600</v>
      </c>
      <c r="AI137" s="1" t="s">
        <v>2601</v>
      </c>
      <c r="AJ137" s="1" t="s">
        <v>109</v>
      </c>
      <c r="AK137" s="1" t="s">
        <v>2602</v>
      </c>
      <c r="AL137" s="1">
        <v>5</v>
      </c>
      <c r="AM137" s="1" t="s">
        <v>2541</v>
      </c>
      <c r="AP137" s="1">
        <f>91-7411263634</f>
        <v>-7411263543</v>
      </c>
      <c r="AR137" s="1">
        <v>0</v>
      </c>
      <c r="AS137" s="1">
        <v>0</v>
      </c>
      <c r="AW137" s="1" t="s">
        <v>142</v>
      </c>
      <c r="AX137" s="1" t="s">
        <v>2603</v>
      </c>
      <c r="AY137" s="1" t="s">
        <v>150</v>
      </c>
      <c r="AZ137" s="1">
        <v>5.03</v>
      </c>
      <c r="BA137" s="1">
        <v>5.03</v>
      </c>
      <c r="BB137" s="1" t="s">
        <v>151</v>
      </c>
      <c r="BC137" s="1" t="s">
        <v>152</v>
      </c>
      <c r="BD137" s="1" t="s">
        <v>1395</v>
      </c>
      <c r="BE137" s="1" t="s">
        <v>2260</v>
      </c>
      <c r="BF137" s="1" t="s">
        <v>120</v>
      </c>
      <c r="BG137" s="1" t="s">
        <v>2541</v>
      </c>
      <c r="BH137" s="1" t="s">
        <v>2541</v>
      </c>
      <c r="BI137" s="1" t="s">
        <v>774</v>
      </c>
      <c r="BL137" s="1">
        <v>0</v>
      </c>
      <c r="BM137" s="1">
        <v>1</v>
      </c>
      <c r="BN137" s="1" t="s">
        <v>124</v>
      </c>
      <c r="BO137" s="1">
        <v>0</v>
      </c>
      <c r="BQ137" s="1" t="s">
        <v>180</v>
      </c>
      <c r="BR137" s="1">
        <v>0</v>
      </c>
      <c r="BS137" s="1" t="s">
        <v>307</v>
      </c>
      <c r="BT137" s="1" t="s">
        <v>120</v>
      </c>
      <c r="BV137" s="1" t="s">
        <v>112</v>
      </c>
      <c r="BY137" s="1" t="s">
        <v>120</v>
      </c>
      <c r="BZ137" s="1">
        <v>0</v>
      </c>
      <c r="CA137" s="1">
        <v>0</v>
      </c>
      <c r="CB137" s="4">
        <v>42753.901255289355</v>
      </c>
      <c r="CC137" s="1">
        <v>1</v>
      </c>
      <c r="CD137" s="1">
        <v>1</v>
      </c>
      <c r="CE137" s="1">
        <v>1</v>
      </c>
      <c r="CF137" s="1">
        <v>3</v>
      </c>
      <c r="CG137" s="1" t="s">
        <v>112</v>
      </c>
      <c r="CH137" s="1" t="s">
        <v>112</v>
      </c>
      <c r="CI137" s="1" t="s">
        <v>332</v>
      </c>
      <c r="CJ137" s="1" t="s">
        <v>157</v>
      </c>
    </row>
    <row r="138" spans="1:88" x14ac:dyDescent="0.35">
      <c r="A138" s="1">
        <v>1618</v>
      </c>
      <c r="B138" s="1" t="s">
        <v>2604</v>
      </c>
      <c r="C138" s="1" t="s">
        <v>2605</v>
      </c>
      <c r="D138" s="1" t="s">
        <v>90</v>
      </c>
      <c r="E138" s="1" t="s">
        <v>2606</v>
      </c>
      <c r="F138" s="1" t="s">
        <v>134</v>
      </c>
      <c r="G138" s="1">
        <v>1</v>
      </c>
      <c r="H138" s="3">
        <v>33178</v>
      </c>
      <c r="I138" s="1">
        <v>1</v>
      </c>
      <c r="J138" s="1" t="s">
        <v>93</v>
      </c>
      <c r="K138" s="1" t="s">
        <v>2217</v>
      </c>
      <c r="L138" s="2">
        <f>91-7639088891</f>
        <v>-7639088800</v>
      </c>
      <c r="M138" s="1" t="s">
        <v>150</v>
      </c>
      <c r="N138" s="1">
        <v>0</v>
      </c>
      <c r="O138" s="1">
        <v>0</v>
      </c>
      <c r="P138" s="1">
        <v>5.08</v>
      </c>
      <c r="Q138" s="1">
        <v>29</v>
      </c>
      <c r="R138" s="1" t="s">
        <v>2607</v>
      </c>
      <c r="S138" s="1" t="s">
        <v>136</v>
      </c>
      <c r="T138" s="1" t="s">
        <v>137</v>
      </c>
      <c r="U138" s="1" t="s">
        <v>2540</v>
      </c>
      <c r="V138" s="1" t="s">
        <v>2540</v>
      </c>
      <c r="X138" s="1" t="s">
        <v>100</v>
      </c>
      <c r="Y138" s="1" t="s">
        <v>2608</v>
      </c>
      <c r="Z138" s="1" t="s">
        <v>2609</v>
      </c>
      <c r="AB138" s="1">
        <v>0</v>
      </c>
      <c r="AD138" s="1" t="s">
        <v>2610</v>
      </c>
      <c r="AE138" s="1" t="s">
        <v>142</v>
      </c>
      <c r="AF138" s="1" t="s">
        <v>2541</v>
      </c>
      <c r="AG138" s="1" t="s">
        <v>2611</v>
      </c>
      <c r="AH138" s="1" t="s">
        <v>2612</v>
      </c>
      <c r="AI138" s="1" t="s">
        <v>2613</v>
      </c>
      <c r="AJ138" s="1" t="s">
        <v>109</v>
      </c>
      <c r="AK138" s="1" t="s">
        <v>2614</v>
      </c>
      <c r="AL138" s="1">
        <v>18</v>
      </c>
      <c r="AM138" s="1" t="s">
        <v>2541</v>
      </c>
      <c r="AP138" s="1">
        <f>91-8489688891</f>
        <v>-8489688800</v>
      </c>
      <c r="AR138" s="1">
        <v>0</v>
      </c>
      <c r="AS138" s="1">
        <v>0</v>
      </c>
      <c r="AW138" s="1" t="s">
        <v>142</v>
      </c>
      <c r="AX138" s="1" t="s">
        <v>2615</v>
      </c>
      <c r="AY138" s="1" t="s">
        <v>150</v>
      </c>
      <c r="AZ138" s="1">
        <v>5.04</v>
      </c>
      <c r="BA138" s="1">
        <v>5.04</v>
      </c>
      <c r="BB138" s="1" t="s">
        <v>151</v>
      </c>
      <c r="BC138" s="1" t="s">
        <v>152</v>
      </c>
      <c r="BD138" s="1" t="s">
        <v>1395</v>
      </c>
      <c r="BE138" s="1" t="s">
        <v>2176</v>
      </c>
      <c r="BF138" s="1" t="s">
        <v>120</v>
      </c>
      <c r="BG138" s="1" t="s">
        <v>2541</v>
      </c>
      <c r="BH138" s="1" t="s">
        <v>2541</v>
      </c>
      <c r="BI138" s="1" t="s">
        <v>2609</v>
      </c>
      <c r="BL138" s="1">
        <v>0</v>
      </c>
      <c r="BM138" s="1">
        <v>0</v>
      </c>
      <c r="BN138" s="1" t="s">
        <v>2616</v>
      </c>
      <c r="BO138" s="1">
        <v>0</v>
      </c>
      <c r="BQ138" s="1" t="s">
        <v>180</v>
      </c>
      <c r="BR138" s="1">
        <v>0</v>
      </c>
      <c r="BS138" s="1" t="s">
        <v>596</v>
      </c>
      <c r="BT138" s="1" t="s">
        <v>124</v>
      </c>
      <c r="BU138" s="1" t="s">
        <v>2617</v>
      </c>
      <c r="BV138" s="1" t="s">
        <v>112</v>
      </c>
      <c r="BW138" s="1" t="s">
        <v>2618</v>
      </c>
      <c r="BX138" s="1" t="s">
        <v>2619</v>
      </c>
      <c r="BY138" s="1" t="s">
        <v>120</v>
      </c>
      <c r="BZ138" s="1">
        <v>0</v>
      </c>
      <c r="CA138" s="1">
        <v>0</v>
      </c>
      <c r="CB138" s="4">
        <v>42757.290412499999</v>
      </c>
      <c r="CC138" s="1">
        <v>1</v>
      </c>
      <c r="CD138" s="1">
        <v>1</v>
      </c>
      <c r="CE138" s="1">
        <v>1</v>
      </c>
      <c r="CF138" s="1">
        <v>4</v>
      </c>
      <c r="CG138" s="4">
        <v>42817.143146527778</v>
      </c>
      <c r="CH138" s="1" t="s">
        <v>112</v>
      </c>
      <c r="CI138" s="1" t="s">
        <v>525</v>
      </c>
      <c r="CJ138" s="1" t="s">
        <v>157</v>
      </c>
    </row>
    <row r="139" spans="1:88" x14ac:dyDescent="0.35">
      <c r="A139" s="1">
        <v>1620</v>
      </c>
      <c r="B139" s="1" t="s">
        <v>2620</v>
      </c>
      <c r="C139" s="1" t="s">
        <v>2621</v>
      </c>
      <c r="D139" s="1" t="s">
        <v>90</v>
      </c>
      <c r="E139" s="1" t="s">
        <v>2622</v>
      </c>
      <c r="F139" s="1" t="s">
        <v>2623</v>
      </c>
      <c r="G139" s="1">
        <v>1</v>
      </c>
      <c r="H139" s="3">
        <v>30530</v>
      </c>
      <c r="I139" s="1">
        <v>1</v>
      </c>
      <c r="J139" s="1" t="s">
        <v>2624</v>
      </c>
      <c r="L139" s="2">
        <f>91-8019568166</f>
        <v>-8019568075</v>
      </c>
      <c r="M139" s="1" t="s">
        <v>150</v>
      </c>
      <c r="N139" s="1">
        <v>0</v>
      </c>
      <c r="O139" s="1">
        <v>0</v>
      </c>
      <c r="P139" s="1">
        <v>5.09</v>
      </c>
      <c r="Q139" s="1">
        <v>34</v>
      </c>
      <c r="R139" s="1" t="s">
        <v>2625</v>
      </c>
      <c r="S139" s="1" t="s">
        <v>293</v>
      </c>
      <c r="T139" s="1" t="s">
        <v>137</v>
      </c>
      <c r="U139" s="1" t="s">
        <v>2540</v>
      </c>
      <c r="V139" s="1" t="s">
        <v>2540</v>
      </c>
      <c r="X139" s="1" t="s">
        <v>100</v>
      </c>
      <c r="Y139" s="1" t="s">
        <v>111</v>
      </c>
      <c r="Z139" s="1" t="s">
        <v>192</v>
      </c>
      <c r="AB139" s="1">
        <v>0</v>
      </c>
      <c r="AD139" s="1" t="s">
        <v>2626</v>
      </c>
      <c r="AE139" s="1">
        <f>91-8019568166</f>
        <v>-8019568075</v>
      </c>
      <c r="AF139" s="1" t="s">
        <v>2541</v>
      </c>
      <c r="AG139" s="1" t="s">
        <v>2627</v>
      </c>
      <c r="AH139" s="1" t="s">
        <v>2628</v>
      </c>
      <c r="AI139" s="1" t="s">
        <v>2629</v>
      </c>
      <c r="AJ139" s="1" t="s">
        <v>109</v>
      </c>
      <c r="AK139" s="1" t="s">
        <v>2630</v>
      </c>
      <c r="AL139" s="1">
        <v>9</v>
      </c>
      <c r="AM139" s="1" t="s">
        <v>2541</v>
      </c>
      <c r="AP139" s="1">
        <f>91-9492025805</f>
        <v>-9492025714</v>
      </c>
      <c r="AR139" s="1">
        <v>0</v>
      </c>
      <c r="AS139" s="1">
        <v>0</v>
      </c>
      <c r="AW139" s="1" t="s">
        <v>142</v>
      </c>
      <c r="AX139" s="1" t="s">
        <v>931</v>
      </c>
      <c r="AY139" s="1" t="s">
        <v>150</v>
      </c>
      <c r="AZ139" s="1">
        <v>4.09</v>
      </c>
      <c r="BA139" s="1">
        <v>5.09</v>
      </c>
      <c r="BB139" s="1" t="s">
        <v>151</v>
      </c>
      <c r="BC139" s="1" t="s">
        <v>152</v>
      </c>
      <c r="BD139" s="1" t="s">
        <v>1395</v>
      </c>
      <c r="BE139" s="1" t="s">
        <v>120</v>
      </c>
      <c r="BF139" s="1" t="s">
        <v>120</v>
      </c>
      <c r="BG139" s="1" t="s">
        <v>2541</v>
      </c>
      <c r="BH139" s="1" t="s">
        <v>2541</v>
      </c>
      <c r="BI139" s="1" t="s">
        <v>192</v>
      </c>
      <c r="BL139" s="1">
        <v>0</v>
      </c>
      <c r="BM139" s="1">
        <v>0</v>
      </c>
      <c r="BN139" s="1" t="s">
        <v>2631</v>
      </c>
      <c r="BO139" s="1">
        <v>0</v>
      </c>
      <c r="BQ139" s="1" t="s">
        <v>180</v>
      </c>
      <c r="BR139" s="1">
        <v>0</v>
      </c>
      <c r="BS139" s="1" t="s">
        <v>223</v>
      </c>
      <c r="BT139" s="1" t="s">
        <v>120</v>
      </c>
      <c r="BV139" s="1" t="s">
        <v>112</v>
      </c>
      <c r="BW139" s="1" t="s">
        <v>2632</v>
      </c>
      <c r="BX139" s="1" t="s">
        <v>2633</v>
      </c>
      <c r="BY139" s="1" t="s">
        <v>120</v>
      </c>
      <c r="BZ139" s="1">
        <v>0</v>
      </c>
      <c r="CA139" s="1">
        <v>0</v>
      </c>
      <c r="CB139" s="4">
        <v>42758.43172364583</v>
      </c>
      <c r="CC139" s="1">
        <v>1</v>
      </c>
      <c r="CD139" s="1">
        <v>1</v>
      </c>
      <c r="CE139" s="1">
        <v>1</v>
      </c>
      <c r="CF139" s="1">
        <v>4</v>
      </c>
      <c r="CG139" s="4">
        <v>42889.737145370367</v>
      </c>
      <c r="CH139" s="1" t="s">
        <v>112</v>
      </c>
      <c r="CI139" s="1" t="s">
        <v>2634</v>
      </c>
      <c r="CJ139" s="1" t="s">
        <v>157</v>
      </c>
    </row>
    <row r="140" spans="1:88" x14ac:dyDescent="0.35">
      <c r="A140" s="1">
        <v>1621</v>
      </c>
      <c r="B140" s="1" t="s">
        <v>2635</v>
      </c>
      <c r="C140" s="1" t="s">
        <v>2636</v>
      </c>
      <c r="D140" s="1" t="s">
        <v>90</v>
      </c>
      <c r="E140" s="1" t="s">
        <v>1251</v>
      </c>
      <c r="F140" s="1" t="s">
        <v>134</v>
      </c>
      <c r="G140" s="1">
        <v>1</v>
      </c>
      <c r="H140" s="3">
        <v>32488</v>
      </c>
      <c r="I140" s="1">
        <v>1</v>
      </c>
      <c r="J140" s="1" t="s">
        <v>93</v>
      </c>
      <c r="K140" s="1" t="s">
        <v>1130</v>
      </c>
      <c r="L140" s="2">
        <f>91-9970276827</f>
        <v>-9970276736</v>
      </c>
      <c r="M140" s="1" t="s">
        <v>150</v>
      </c>
      <c r="N140" s="1">
        <v>0</v>
      </c>
      <c r="O140" s="1">
        <v>0</v>
      </c>
      <c r="P140" s="1">
        <v>5.04</v>
      </c>
      <c r="Q140" s="1">
        <v>10</v>
      </c>
      <c r="S140" s="1" t="s">
        <v>136</v>
      </c>
      <c r="T140" s="1" t="s">
        <v>137</v>
      </c>
      <c r="U140" s="1" t="s">
        <v>2540</v>
      </c>
      <c r="V140" s="1" t="s">
        <v>2540</v>
      </c>
      <c r="X140" s="1" t="s">
        <v>100</v>
      </c>
      <c r="Y140" s="1" t="s">
        <v>111</v>
      </c>
      <c r="Z140" s="1" t="s">
        <v>192</v>
      </c>
      <c r="AB140" s="1">
        <v>0</v>
      </c>
      <c r="AD140" s="1" t="s">
        <v>2637</v>
      </c>
      <c r="AE140" s="1">
        <f>91-9423630271</f>
        <v>-9423630180</v>
      </c>
      <c r="AF140" s="1" t="s">
        <v>129</v>
      </c>
      <c r="AG140" s="1" t="s">
        <v>2638</v>
      </c>
      <c r="AH140" s="1" t="s">
        <v>2639</v>
      </c>
      <c r="AI140" s="1" t="s">
        <v>2640</v>
      </c>
      <c r="AJ140" s="1" t="s">
        <v>109</v>
      </c>
      <c r="AK140" s="1" t="s">
        <v>2641</v>
      </c>
      <c r="AL140" s="1">
        <v>20</v>
      </c>
      <c r="AM140" s="1" t="s">
        <v>129</v>
      </c>
      <c r="AP140" s="1">
        <f>91-9423630271</f>
        <v>-9423630180</v>
      </c>
      <c r="AR140" s="1">
        <v>1</v>
      </c>
      <c r="AS140" s="1">
        <v>1</v>
      </c>
      <c r="AW140" s="1" t="s">
        <v>142</v>
      </c>
      <c r="AX140" s="1" t="s">
        <v>664</v>
      </c>
      <c r="AY140" s="1" t="s">
        <v>150</v>
      </c>
      <c r="AZ140" s="1">
        <v>4.08</v>
      </c>
      <c r="BA140" s="1">
        <v>5.04</v>
      </c>
      <c r="BB140" s="1" t="s">
        <v>151</v>
      </c>
      <c r="BC140" s="1" t="s">
        <v>152</v>
      </c>
      <c r="BD140" s="1" t="s">
        <v>1395</v>
      </c>
      <c r="BE140" s="1" t="s">
        <v>120</v>
      </c>
      <c r="BF140" s="1" t="s">
        <v>120</v>
      </c>
      <c r="BG140" s="1" t="s">
        <v>2541</v>
      </c>
      <c r="BH140" s="1" t="s">
        <v>2541</v>
      </c>
      <c r="BI140" s="1" t="s">
        <v>192</v>
      </c>
      <c r="BL140" s="1">
        <v>0</v>
      </c>
      <c r="BM140" s="1">
        <v>0</v>
      </c>
      <c r="BN140" s="1" t="s">
        <v>2642</v>
      </c>
      <c r="BO140" s="1">
        <v>1</v>
      </c>
      <c r="BP140" s="1" t="s">
        <v>1130</v>
      </c>
      <c r="BQ140" s="1" t="s">
        <v>112</v>
      </c>
      <c r="BR140" s="1">
        <v>1</v>
      </c>
      <c r="BS140" s="1" t="s">
        <v>1208</v>
      </c>
      <c r="BT140" s="1" t="s">
        <v>124</v>
      </c>
      <c r="BU140" s="1" t="s">
        <v>2643</v>
      </c>
      <c r="BV140" s="1" t="s">
        <v>112</v>
      </c>
      <c r="BW140" s="1" t="s">
        <v>2644</v>
      </c>
      <c r="BX140" s="1" t="s">
        <v>2645</v>
      </c>
      <c r="BY140" s="1" t="s">
        <v>120</v>
      </c>
      <c r="BZ140" s="1">
        <v>0</v>
      </c>
      <c r="CA140" s="1">
        <v>0</v>
      </c>
      <c r="CB140" s="4">
        <v>42759.415030752316</v>
      </c>
      <c r="CC140" s="1">
        <v>1</v>
      </c>
      <c r="CD140" s="1">
        <v>1</v>
      </c>
      <c r="CE140" s="1">
        <v>1</v>
      </c>
      <c r="CF140" s="1">
        <v>4</v>
      </c>
      <c r="CG140" s="4">
        <v>42772.501415127314</v>
      </c>
      <c r="CH140" s="1" t="s">
        <v>112</v>
      </c>
      <c r="CI140" s="1" t="s">
        <v>306</v>
      </c>
      <c r="CJ140" s="1" t="s">
        <v>157</v>
      </c>
    </row>
    <row r="141" spans="1:88" x14ac:dyDescent="0.35">
      <c r="A141" s="1">
        <v>1622</v>
      </c>
      <c r="B141" s="1" t="s">
        <v>2646</v>
      </c>
      <c r="C141" s="1" t="s">
        <v>2647</v>
      </c>
      <c r="D141" s="1" t="s">
        <v>90</v>
      </c>
      <c r="E141" s="1" t="s">
        <v>2648</v>
      </c>
      <c r="F141" s="1" t="s">
        <v>134</v>
      </c>
      <c r="G141" s="1">
        <v>1</v>
      </c>
      <c r="H141" s="3">
        <v>33043</v>
      </c>
      <c r="I141" s="1">
        <v>1</v>
      </c>
      <c r="J141" s="1" t="s">
        <v>186</v>
      </c>
      <c r="K141" s="1" t="s">
        <v>2649</v>
      </c>
      <c r="L141" s="2">
        <f>91-7507154115</f>
        <v>-7507154024</v>
      </c>
      <c r="M141" s="1" t="s">
        <v>150</v>
      </c>
      <c r="N141" s="1">
        <v>0</v>
      </c>
      <c r="O141" s="1">
        <v>0</v>
      </c>
      <c r="P141" s="1">
        <v>5.0599999999999996</v>
      </c>
      <c r="Q141" s="1">
        <v>43</v>
      </c>
      <c r="R141" s="1" t="s">
        <v>2650</v>
      </c>
      <c r="S141" s="1" t="s">
        <v>97</v>
      </c>
      <c r="T141" s="1" t="s">
        <v>427</v>
      </c>
      <c r="U141" s="1" t="s">
        <v>2651</v>
      </c>
      <c r="V141" s="1" t="s">
        <v>2652</v>
      </c>
      <c r="X141" s="1" t="s">
        <v>236</v>
      </c>
      <c r="Y141" s="1" t="s">
        <v>101</v>
      </c>
      <c r="Z141" s="1" t="s">
        <v>2653</v>
      </c>
      <c r="AA141" s="1" t="s">
        <v>2654</v>
      </c>
      <c r="AB141" s="1">
        <v>0</v>
      </c>
      <c r="AD141" s="1" t="s">
        <v>2655</v>
      </c>
      <c r="AE141" s="1" t="s">
        <v>142</v>
      </c>
      <c r="AF141" s="1" t="s">
        <v>105</v>
      </c>
      <c r="AG141" s="1" t="s">
        <v>2656</v>
      </c>
      <c r="AH141" s="1" t="s">
        <v>2657</v>
      </c>
      <c r="AI141" s="1" t="s">
        <v>2658</v>
      </c>
      <c r="AJ141" s="1" t="s">
        <v>478</v>
      </c>
      <c r="AK141" s="1" t="s">
        <v>2659</v>
      </c>
      <c r="AL141" s="1">
        <v>50</v>
      </c>
      <c r="AM141" s="1" t="s">
        <v>111</v>
      </c>
      <c r="AN141" s="1" t="s">
        <v>1867</v>
      </c>
      <c r="AO141" s="1" t="s">
        <v>2660</v>
      </c>
      <c r="AP141" s="1">
        <f>91-9425635464</f>
        <v>-9425635373</v>
      </c>
      <c r="AQ141" s="1" t="s">
        <v>244</v>
      </c>
      <c r="AR141" s="1">
        <v>0</v>
      </c>
      <c r="AS141" s="1">
        <v>0</v>
      </c>
      <c r="AT141" s="1" t="s">
        <v>2661</v>
      </c>
      <c r="AU141" s="1" t="s">
        <v>2662</v>
      </c>
      <c r="AV141" s="1" t="s">
        <v>887</v>
      </c>
      <c r="AW141" s="1">
        <f>91-9424037677</f>
        <v>-9424037586</v>
      </c>
      <c r="AX141" s="1" t="s">
        <v>396</v>
      </c>
      <c r="AY141" s="1" t="s">
        <v>150</v>
      </c>
      <c r="AZ141" s="1">
        <v>4.1100000000000003</v>
      </c>
      <c r="BA141" s="1">
        <v>5.03</v>
      </c>
      <c r="BE141" s="1" t="s">
        <v>2176</v>
      </c>
      <c r="BG141" s="1" t="s">
        <v>1665</v>
      </c>
      <c r="BH141" s="1" t="s">
        <v>724</v>
      </c>
      <c r="BJ141" s="1" t="s">
        <v>154</v>
      </c>
      <c r="BK141" s="1" t="s">
        <v>120</v>
      </c>
      <c r="BL141" s="1">
        <v>0</v>
      </c>
      <c r="BM141" s="1">
        <v>0</v>
      </c>
      <c r="BN141" s="1" t="s">
        <v>2663</v>
      </c>
      <c r="BO141" s="1">
        <v>1</v>
      </c>
      <c r="BP141" s="1" t="s">
        <v>2664</v>
      </c>
      <c r="BQ141" s="1" t="s">
        <v>112</v>
      </c>
      <c r="BR141" s="1">
        <v>1</v>
      </c>
      <c r="BS141" s="1" t="s">
        <v>596</v>
      </c>
      <c r="BT141" s="1" t="s">
        <v>120</v>
      </c>
      <c r="BU141" s="1" t="s">
        <v>112</v>
      </c>
      <c r="BV141" s="1" t="s">
        <v>112</v>
      </c>
      <c r="BW141" s="1" t="s">
        <v>2665</v>
      </c>
      <c r="BX141" s="1" t="s">
        <v>2666</v>
      </c>
      <c r="BY141" s="1" t="s">
        <v>127</v>
      </c>
      <c r="BZ141" s="1">
        <v>0</v>
      </c>
      <c r="CA141" s="1">
        <v>0</v>
      </c>
      <c r="CB141" s="4">
        <v>42759.500410381945</v>
      </c>
      <c r="CC141" s="1">
        <v>1</v>
      </c>
      <c r="CD141" s="1">
        <v>1</v>
      </c>
      <c r="CE141" s="1">
        <v>1</v>
      </c>
      <c r="CF141" s="1">
        <v>1</v>
      </c>
      <c r="CG141" s="4">
        <v>43254.601978472223</v>
      </c>
      <c r="CH141" s="1" t="s">
        <v>112</v>
      </c>
      <c r="CI141" s="1" t="s">
        <v>1645</v>
      </c>
      <c r="CJ141" s="1" t="s">
        <v>129</v>
      </c>
    </row>
    <row r="142" spans="1:88" x14ac:dyDescent="0.35">
      <c r="A142" s="1">
        <v>1626</v>
      </c>
      <c r="B142" s="1" t="s">
        <v>2667</v>
      </c>
      <c r="C142" s="1" t="s">
        <v>2668</v>
      </c>
      <c r="D142" s="1" t="s">
        <v>90</v>
      </c>
      <c r="E142" s="1" t="s">
        <v>2669</v>
      </c>
      <c r="F142" s="1" t="s">
        <v>185</v>
      </c>
      <c r="G142" s="1">
        <v>1</v>
      </c>
      <c r="H142" s="3">
        <v>31872</v>
      </c>
      <c r="I142" s="1">
        <v>1</v>
      </c>
      <c r="J142" s="1" t="s">
        <v>186</v>
      </c>
      <c r="K142" s="1" t="s">
        <v>2670</v>
      </c>
      <c r="L142" s="2">
        <f>91-9826453820</f>
        <v>-9826453729</v>
      </c>
      <c r="M142" s="1" t="s">
        <v>95</v>
      </c>
      <c r="N142" s="1">
        <v>0</v>
      </c>
      <c r="O142" s="1">
        <v>0</v>
      </c>
      <c r="P142" s="1">
        <v>5.1100000000000003</v>
      </c>
      <c r="Q142" s="1">
        <v>15</v>
      </c>
      <c r="R142" s="1" t="s">
        <v>2671</v>
      </c>
      <c r="S142" s="1" t="s">
        <v>97</v>
      </c>
      <c r="T142" s="1" t="s">
        <v>137</v>
      </c>
      <c r="U142" s="1" t="s">
        <v>2540</v>
      </c>
      <c r="V142" s="1" t="s">
        <v>2540</v>
      </c>
      <c r="X142" s="1" t="s">
        <v>236</v>
      </c>
      <c r="Y142" s="1" t="s">
        <v>111</v>
      </c>
      <c r="Z142" s="1" t="s">
        <v>192</v>
      </c>
      <c r="AB142" s="1">
        <v>0</v>
      </c>
      <c r="AD142" s="1" t="s">
        <v>2672</v>
      </c>
      <c r="AE142" s="1">
        <f>91-7332222099</f>
        <v>-7332222008</v>
      </c>
      <c r="AF142" s="1" t="s">
        <v>129</v>
      </c>
      <c r="AG142" s="1" t="s">
        <v>2673</v>
      </c>
      <c r="AH142" s="1" t="s">
        <v>2674</v>
      </c>
      <c r="AI142" s="1" t="s">
        <v>2675</v>
      </c>
      <c r="AJ142" s="1" t="s">
        <v>109</v>
      </c>
      <c r="AK142" s="1" t="s">
        <v>2676</v>
      </c>
      <c r="AL142" s="1">
        <v>52</v>
      </c>
      <c r="AM142" s="1" t="s">
        <v>129</v>
      </c>
      <c r="AP142" s="1">
        <f>91-9039351154</f>
        <v>-9039351063</v>
      </c>
      <c r="AR142" s="1">
        <v>2</v>
      </c>
      <c r="AS142" s="1">
        <v>2</v>
      </c>
      <c r="AW142" s="1" t="s">
        <v>142</v>
      </c>
      <c r="AX142" s="1" t="s">
        <v>350</v>
      </c>
      <c r="AY142" s="1" t="s">
        <v>2677</v>
      </c>
      <c r="AZ142" s="1">
        <v>5.1100000000000003</v>
      </c>
      <c r="BA142" s="1">
        <v>5.1100000000000003</v>
      </c>
      <c r="BB142" s="1" t="s">
        <v>151</v>
      </c>
      <c r="BC142" s="1" t="s">
        <v>152</v>
      </c>
      <c r="BD142" s="1" t="s">
        <v>1395</v>
      </c>
      <c r="BE142" s="1" t="s">
        <v>2260</v>
      </c>
      <c r="BF142" s="1" t="s">
        <v>120</v>
      </c>
      <c r="BG142" s="1" t="s">
        <v>2541</v>
      </c>
      <c r="BH142" s="1" t="s">
        <v>2541</v>
      </c>
      <c r="BI142" s="1" t="s">
        <v>192</v>
      </c>
      <c r="BL142" s="1">
        <v>0</v>
      </c>
      <c r="BM142" s="1">
        <v>1</v>
      </c>
      <c r="BN142" s="1" t="s">
        <v>2678</v>
      </c>
      <c r="BO142" s="1">
        <v>0</v>
      </c>
      <c r="BQ142" s="1" t="s">
        <v>180</v>
      </c>
      <c r="BR142" s="1">
        <v>0</v>
      </c>
      <c r="BS142" s="1" t="s">
        <v>252</v>
      </c>
      <c r="BT142" s="1" t="s">
        <v>124</v>
      </c>
      <c r="BU142" s="1" t="s">
        <v>2679</v>
      </c>
      <c r="BV142" s="1" t="s">
        <v>112</v>
      </c>
      <c r="BW142" s="1" t="s">
        <v>2680</v>
      </c>
      <c r="BX142" s="1" t="s">
        <v>2681</v>
      </c>
      <c r="BY142" s="1" t="s">
        <v>120</v>
      </c>
      <c r="BZ142" s="1">
        <v>1</v>
      </c>
      <c r="CA142" s="1">
        <v>1</v>
      </c>
      <c r="CB142" s="4">
        <v>42760.07942696759</v>
      </c>
      <c r="CC142" s="1">
        <v>1</v>
      </c>
      <c r="CD142" s="1">
        <v>1</v>
      </c>
      <c r="CE142" s="1">
        <v>1</v>
      </c>
      <c r="CF142" s="1">
        <v>4</v>
      </c>
      <c r="CG142" s="4">
        <v>42951.692884918979</v>
      </c>
      <c r="CH142" s="1" t="s">
        <v>112</v>
      </c>
      <c r="CI142" s="1" t="s">
        <v>2682</v>
      </c>
      <c r="CJ142" s="1" t="s">
        <v>157</v>
      </c>
    </row>
    <row r="143" spans="1:88" x14ac:dyDescent="0.35">
      <c r="A143" s="1">
        <v>1627</v>
      </c>
      <c r="B143" s="1" t="s">
        <v>2683</v>
      </c>
      <c r="C143" s="1" t="s">
        <v>2684</v>
      </c>
      <c r="D143" s="1" t="s">
        <v>90</v>
      </c>
      <c r="E143" s="1" t="s">
        <v>2685</v>
      </c>
      <c r="F143" s="1" t="s">
        <v>208</v>
      </c>
      <c r="G143" s="1">
        <v>0</v>
      </c>
      <c r="H143" s="3">
        <v>34554</v>
      </c>
      <c r="I143" s="1">
        <v>1</v>
      </c>
      <c r="J143" s="1" t="s">
        <v>162</v>
      </c>
      <c r="K143" s="1" t="s">
        <v>163</v>
      </c>
      <c r="L143" s="2">
        <f>91-1234567890</f>
        <v>-1234567799</v>
      </c>
      <c r="M143" s="1" t="s">
        <v>150</v>
      </c>
      <c r="N143" s="1">
        <v>0</v>
      </c>
      <c r="O143" s="1">
        <v>0</v>
      </c>
      <c r="P143" s="1">
        <v>5.01</v>
      </c>
      <c r="Q143" s="1">
        <v>10</v>
      </c>
      <c r="S143" s="1" t="s">
        <v>136</v>
      </c>
      <c r="T143" s="1" t="s">
        <v>166</v>
      </c>
      <c r="U143" s="1" t="s">
        <v>430</v>
      </c>
      <c r="X143" s="1" t="s">
        <v>100</v>
      </c>
      <c r="Y143" s="1" t="s">
        <v>210</v>
      </c>
      <c r="Z143" s="1" t="s">
        <v>171</v>
      </c>
      <c r="AB143" s="1">
        <v>0</v>
      </c>
      <c r="AD143" s="1" t="s">
        <v>2686</v>
      </c>
      <c r="AE143" s="1">
        <f>91-9512736014</f>
        <v>-9512735923</v>
      </c>
      <c r="AF143" s="1" t="s">
        <v>105</v>
      </c>
      <c r="AG143" s="1" t="s">
        <v>2687</v>
      </c>
      <c r="AH143" s="1" t="s">
        <v>2674</v>
      </c>
      <c r="AI143" s="1" t="s">
        <v>2688</v>
      </c>
      <c r="AJ143" s="1" t="s">
        <v>1238</v>
      </c>
      <c r="AK143" s="1" t="s">
        <v>2689</v>
      </c>
      <c r="AL143" s="1">
        <v>2</v>
      </c>
      <c r="AM143" s="1" t="s">
        <v>210</v>
      </c>
      <c r="AP143" s="1">
        <f>91-8690096822</f>
        <v>-8690096731</v>
      </c>
      <c r="AR143" s="1">
        <v>0</v>
      </c>
      <c r="AS143" s="1">
        <v>0</v>
      </c>
      <c r="AW143" s="1" t="s">
        <v>142</v>
      </c>
      <c r="AX143" s="1" t="s">
        <v>2340</v>
      </c>
      <c r="AY143" s="1" t="s">
        <v>150</v>
      </c>
      <c r="AZ143" s="1">
        <v>5.05</v>
      </c>
      <c r="BA143" s="1">
        <v>6</v>
      </c>
      <c r="BB143" s="1" t="s">
        <v>151</v>
      </c>
      <c r="BC143" s="1" t="s">
        <v>304</v>
      </c>
      <c r="BD143" s="1" t="s">
        <v>1333</v>
      </c>
      <c r="BE143" s="1" t="s">
        <v>219</v>
      </c>
      <c r="BF143" s="1" t="s">
        <v>120</v>
      </c>
      <c r="BG143" s="1" t="s">
        <v>120</v>
      </c>
      <c r="BH143" s="1" t="s">
        <v>120</v>
      </c>
      <c r="BJ143" s="1" t="s">
        <v>154</v>
      </c>
      <c r="BK143" s="1" t="s">
        <v>105</v>
      </c>
      <c r="BL143" s="1">
        <v>0</v>
      </c>
      <c r="BM143" s="1">
        <v>0</v>
      </c>
      <c r="BN143" s="1" t="s">
        <v>2690</v>
      </c>
      <c r="BO143" s="1">
        <v>0</v>
      </c>
      <c r="BQ143" s="1" t="s">
        <v>180</v>
      </c>
      <c r="BR143" s="1">
        <v>0</v>
      </c>
      <c r="BS143" s="1" t="s">
        <v>307</v>
      </c>
      <c r="BT143" s="1" t="s">
        <v>1123</v>
      </c>
      <c r="BV143" s="1" t="s">
        <v>112</v>
      </c>
      <c r="BY143" s="1" t="s">
        <v>120</v>
      </c>
      <c r="BZ143" s="1">
        <v>1</v>
      </c>
      <c r="CA143" s="1">
        <v>1</v>
      </c>
      <c r="CB143" s="4">
        <v>42760.404341782407</v>
      </c>
      <c r="CC143" s="1">
        <v>1</v>
      </c>
      <c r="CD143" s="1">
        <v>1</v>
      </c>
      <c r="CE143" s="1">
        <v>1</v>
      </c>
      <c r="CF143" s="1">
        <v>1</v>
      </c>
      <c r="CG143" s="4">
        <v>44081.325267974535</v>
      </c>
      <c r="CH143" s="1" t="s">
        <v>112</v>
      </c>
      <c r="CI143" s="1" t="s">
        <v>2691</v>
      </c>
      <c r="CJ143" s="1" t="s">
        <v>157</v>
      </c>
    </row>
    <row r="144" spans="1:88" x14ac:dyDescent="0.35">
      <c r="A144" s="1">
        <v>1628</v>
      </c>
      <c r="B144" s="1" t="s">
        <v>2692</v>
      </c>
      <c r="C144" s="1" t="s">
        <v>2693</v>
      </c>
      <c r="D144" s="1" t="s">
        <v>90</v>
      </c>
      <c r="E144" s="1" t="s">
        <v>2694</v>
      </c>
      <c r="F144" s="1" t="s">
        <v>2623</v>
      </c>
      <c r="G144" s="1">
        <v>1</v>
      </c>
      <c r="H144" s="3">
        <v>29280</v>
      </c>
      <c r="I144" s="1">
        <v>1</v>
      </c>
      <c r="J144" s="1" t="s">
        <v>2624</v>
      </c>
      <c r="L144" s="2">
        <f>91-8019568155</f>
        <v>-8019568064</v>
      </c>
      <c r="M144" s="1" t="s">
        <v>150</v>
      </c>
      <c r="N144" s="1">
        <v>0</v>
      </c>
      <c r="O144" s="1">
        <v>0</v>
      </c>
      <c r="P144" s="1">
        <v>5.03</v>
      </c>
      <c r="Q144" s="1">
        <v>34</v>
      </c>
      <c r="R144" s="1" t="s">
        <v>2625</v>
      </c>
      <c r="S144" s="1" t="s">
        <v>492</v>
      </c>
      <c r="T144" s="1" t="s">
        <v>137</v>
      </c>
      <c r="U144" s="1" t="s">
        <v>2540</v>
      </c>
      <c r="V144" s="1" t="s">
        <v>2540</v>
      </c>
      <c r="X144" s="1" t="s">
        <v>100</v>
      </c>
      <c r="Y144" s="1" t="s">
        <v>111</v>
      </c>
      <c r="Z144" s="1" t="s">
        <v>192</v>
      </c>
      <c r="AB144" s="1">
        <v>0</v>
      </c>
      <c r="AD144" s="1" t="s">
        <v>2695</v>
      </c>
      <c r="AE144" s="1">
        <f>91-9492025805</f>
        <v>-9492025714</v>
      </c>
      <c r="AF144" s="1" t="s">
        <v>2541</v>
      </c>
      <c r="AG144" s="1" t="s">
        <v>2627</v>
      </c>
      <c r="AH144" s="1" t="s">
        <v>2628</v>
      </c>
      <c r="AI144" s="1" t="s">
        <v>2629</v>
      </c>
      <c r="AJ144" s="1" t="s">
        <v>109</v>
      </c>
      <c r="AK144" s="1" t="s">
        <v>2696</v>
      </c>
      <c r="AL144" s="1">
        <v>9</v>
      </c>
      <c r="AM144" s="1" t="s">
        <v>2541</v>
      </c>
      <c r="AP144" s="1">
        <f>91-8019568166</f>
        <v>-8019568075</v>
      </c>
      <c r="AR144" s="1">
        <v>0</v>
      </c>
      <c r="AS144" s="1">
        <v>0</v>
      </c>
      <c r="AW144" s="1" t="s">
        <v>142</v>
      </c>
      <c r="AX144" s="1" t="s">
        <v>2253</v>
      </c>
      <c r="AY144" s="1" t="s">
        <v>150</v>
      </c>
      <c r="AZ144" s="1">
        <v>4.0599999999999996</v>
      </c>
      <c r="BA144" s="1">
        <v>5.0199999999999996</v>
      </c>
      <c r="BB144" s="1" t="s">
        <v>151</v>
      </c>
      <c r="BC144" s="1" t="s">
        <v>152</v>
      </c>
      <c r="BD144" s="1" t="s">
        <v>1395</v>
      </c>
      <c r="BE144" s="1" t="s">
        <v>120</v>
      </c>
      <c r="BF144" s="1" t="s">
        <v>120</v>
      </c>
      <c r="BG144" s="1" t="s">
        <v>2541</v>
      </c>
      <c r="BH144" s="1" t="s">
        <v>2541</v>
      </c>
      <c r="BI144" s="1" t="s">
        <v>192</v>
      </c>
      <c r="BL144" s="1">
        <v>0</v>
      </c>
      <c r="BM144" s="1">
        <v>0</v>
      </c>
      <c r="BN144" s="1" t="s">
        <v>2697</v>
      </c>
      <c r="BO144" s="1">
        <v>0</v>
      </c>
      <c r="BQ144" s="1" t="s">
        <v>180</v>
      </c>
      <c r="BR144" s="1">
        <v>0</v>
      </c>
      <c r="BS144" s="1" t="s">
        <v>223</v>
      </c>
      <c r="BT144" s="1" t="s">
        <v>120</v>
      </c>
      <c r="BV144" s="1" t="s">
        <v>112</v>
      </c>
      <c r="BW144" s="1" t="s">
        <v>2698</v>
      </c>
      <c r="BX144" s="1" t="s">
        <v>2699</v>
      </c>
      <c r="BY144" s="1" t="s">
        <v>120</v>
      </c>
      <c r="BZ144" s="1">
        <v>0</v>
      </c>
      <c r="CA144" s="1">
        <v>0</v>
      </c>
      <c r="CB144" s="4">
        <v>42760.889980474538</v>
      </c>
      <c r="CC144" s="1">
        <v>1</v>
      </c>
      <c r="CD144" s="1">
        <v>1</v>
      </c>
      <c r="CE144" s="1">
        <v>1</v>
      </c>
      <c r="CF144" s="1">
        <v>4</v>
      </c>
      <c r="CG144" s="4">
        <v>42778.511845717592</v>
      </c>
      <c r="CH144" s="1" t="s">
        <v>112</v>
      </c>
      <c r="CI144" s="1" t="s">
        <v>2700</v>
      </c>
      <c r="CJ144" s="1" t="s">
        <v>157</v>
      </c>
    </row>
    <row r="145" spans="1:88" x14ac:dyDescent="0.35">
      <c r="A145" s="1">
        <v>1631</v>
      </c>
      <c r="B145" s="1" t="s">
        <v>2701</v>
      </c>
      <c r="C145" s="1" t="s">
        <v>2702</v>
      </c>
      <c r="D145" s="1" t="s">
        <v>90</v>
      </c>
      <c r="E145" s="1" t="s">
        <v>2703</v>
      </c>
      <c r="F145" s="1" t="s">
        <v>2704</v>
      </c>
      <c r="G145" s="1">
        <v>1</v>
      </c>
      <c r="H145" s="3">
        <v>31805</v>
      </c>
      <c r="I145" s="1">
        <v>1</v>
      </c>
      <c r="J145" s="1" t="s">
        <v>315</v>
      </c>
      <c r="K145" s="1" t="s">
        <v>2705</v>
      </c>
      <c r="L145" s="2">
        <f>91-8722046664</f>
        <v>-8722046573</v>
      </c>
      <c r="M145" s="1" t="s">
        <v>95</v>
      </c>
      <c r="N145" s="1">
        <v>0</v>
      </c>
      <c r="O145" s="1">
        <v>0</v>
      </c>
      <c r="P145" s="1">
        <v>5.09</v>
      </c>
      <c r="Q145" s="1">
        <v>14</v>
      </c>
      <c r="R145" s="1" t="s">
        <v>164</v>
      </c>
      <c r="S145" s="1" t="s">
        <v>492</v>
      </c>
      <c r="T145" s="1" t="s">
        <v>166</v>
      </c>
      <c r="U145" s="1" t="s">
        <v>2706</v>
      </c>
      <c r="V145" s="1" t="s">
        <v>2707</v>
      </c>
      <c r="X145" s="1" t="s">
        <v>132</v>
      </c>
      <c r="Y145" s="1" t="s">
        <v>111</v>
      </c>
      <c r="Z145" s="1" t="s">
        <v>192</v>
      </c>
      <c r="AA145" s="1" t="s">
        <v>2708</v>
      </c>
      <c r="AB145" s="1">
        <v>0</v>
      </c>
      <c r="AD145" s="1" t="s">
        <v>2709</v>
      </c>
      <c r="AE145" s="1">
        <f>91-8277615901</f>
        <v>-8277615810</v>
      </c>
      <c r="AF145" s="1" t="s">
        <v>105</v>
      </c>
      <c r="AG145" s="1" t="s">
        <v>2710</v>
      </c>
      <c r="AH145" s="1" t="s">
        <v>2711</v>
      </c>
      <c r="AI145" s="1" t="s">
        <v>2712</v>
      </c>
      <c r="AJ145" s="1" t="s">
        <v>109</v>
      </c>
      <c r="AK145" s="1" t="s">
        <v>2713</v>
      </c>
      <c r="AL145" s="1">
        <v>1</v>
      </c>
      <c r="AM145" s="1" t="s">
        <v>111</v>
      </c>
      <c r="AN145" s="1" t="s">
        <v>2714</v>
      </c>
      <c r="AO145" s="1" t="s">
        <v>2715</v>
      </c>
      <c r="AP145" s="1">
        <f>91-9449258720</f>
        <v>-9449258629</v>
      </c>
      <c r="AQ145" s="1" t="s">
        <v>2714</v>
      </c>
      <c r="AR145" s="1">
        <v>0</v>
      </c>
      <c r="AS145" s="1">
        <v>0</v>
      </c>
      <c r="AW145" s="1" t="s">
        <v>142</v>
      </c>
      <c r="AX145" s="1" t="s">
        <v>1145</v>
      </c>
      <c r="AY145" s="1" t="s">
        <v>95</v>
      </c>
      <c r="AZ145" s="1">
        <v>5</v>
      </c>
      <c r="BA145" s="1">
        <v>5.09</v>
      </c>
      <c r="BB145" s="1" t="s">
        <v>151</v>
      </c>
      <c r="BC145" s="1" t="s">
        <v>304</v>
      </c>
      <c r="BD145" s="1" t="s">
        <v>1333</v>
      </c>
      <c r="BE145" s="1" t="s">
        <v>870</v>
      </c>
      <c r="BF145" s="1" t="s">
        <v>120</v>
      </c>
      <c r="BG145" s="1" t="s">
        <v>120</v>
      </c>
      <c r="BH145" s="1" t="s">
        <v>120</v>
      </c>
      <c r="BJ145" s="1" t="s">
        <v>120</v>
      </c>
      <c r="BK145" s="1" t="s">
        <v>120</v>
      </c>
      <c r="BL145" s="1">
        <v>0</v>
      </c>
      <c r="BM145" s="1">
        <v>0</v>
      </c>
      <c r="BN145" s="1" t="s">
        <v>2716</v>
      </c>
      <c r="BO145" s="1">
        <v>1</v>
      </c>
      <c r="BP145" s="1" t="s">
        <v>2717</v>
      </c>
      <c r="BQ145" s="1" t="s">
        <v>180</v>
      </c>
      <c r="BR145" s="1">
        <v>0</v>
      </c>
      <c r="BS145" s="1" t="s">
        <v>129</v>
      </c>
      <c r="BT145" s="1" t="s">
        <v>120</v>
      </c>
      <c r="BV145" s="1" t="s">
        <v>112</v>
      </c>
      <c r="BW145" s="1" t="s">
        <v>2718</v>
      </c>
      <c r="BX145" s="1" t="s">
        <v>2719</v>
      </c>
      <c r="BY145" s="1" t="s">
        <v>120</v>
      </c>
      <c r="BZ145" s="1">
        <v>3</v>
      </c>
      <c r="CA145" s="1">
        <v>3</v>
      </c>
      <c r="CB145" s="4">
        <v>42763.300653969905</v>
      </c>
      <c r="CC145" s="1">
        <v>1</v>
      </c>
      <c r="CD145" s="1">
        <v>1</v>
      </c>
      <c r="CE145" s="1">
        <v>1</v>
      </c>
      <c r="CF145" s="1">
        <v>4</v>
      </c>
      <c r="CG145" s="4">
        <v>42767.286015428239</v>
      </c>
      <c r="CH145" s="1" t="s">
        <v>112</v>
      </c>
      <c r="CI145" s="1" t="s">
        <v>2720</v>
      </c>
      <c r="CJ145" s="1" t="s">
        <v>157</v>
      </c>
    </row>
    <row r="146" spans="1:88" x14ac:dyDescent="0.35">
      <c r="A146" s="1">
        <v>1632</v>
      </c>
      <c r="B146" s="1" t="s">
        <v>2721</v>
      </c>
      <c r="C146" s="1" t="s">
        <v>2722</v>
      </c>
      <c r="D146" s="1" t="s">
        <v>312</v>
      </c>
      <c r="E146" s="1" t="s">
        <v>134</v>
      </c>
      <c r="F146" s="1" t="s">
        <v>1633</v>
      </c>
      <c r="G146" s="1">
        <v>1</v>
      </c>
      <c r="H146" s="3">
        <v>33948</v>
      </c>
      <c r="I146" s="1">
        <v>1</v>
      </c>
      <c r="J146" s="1" t="s">
        <v>162</v>
      </c>
      <c r="K146" s="1" t="s">
        <v>163</v>
      </c>
      <c r="L146" s="2">
        <f>91-9824996631</f>
        <v>-9824996540</v>
      </c>
      <c r="M146" s="1" t="s">
        <v>150</v>
      </c>
      <c r="N146" s="1">
        <v>0</v>
      </c>
      <c r="O146" s="1">
        <v>0</v>
      </c>
      <c r="P146" s="1">
        <v>5.09</v>
      </c>
      <c r="Q146" s="1">
        <v>42</v>
      </c>
      <c r="R146" s="1" t="s">
        <v>2723</v>
      </c>
      <c r="S146" s="1" t="s">
        <v>97</v>
      </c>
      <c r="T146" s="1" t="s">
        <v>137</v>
      </c>
      <c r="U146" s="1" t="s">
        <v>752</v>
      </c>
      <c r="V146" s="1" t="s">
        <v>364</v>
      </c>
      <c r="X146" s="1" t="s">
        <v>100</v>
      </c>
      <c r="Y146" s="1" t="s">
        <v>111</v>
      </c>
      <c r="Z146" s="1" t="s">
        <v>2724</v>
      </c>
      <c r="AA146" s="1" t="s">
        <v>2725</v>
      </c>
      <c r="AB146" s="1">
        <v>0</v>
      </c>
      <c r="AD146" s="1" t="s">
        <v>2726</v>
      </c>
      <c r="AE146" s="1">
        <f>91-9714836393</f>
        <v>-9714836302</v>
      </c>
      <c r="AF146" s="1" t="s">
        <v>105</v>
      </c>
      <c r="AG146" s="1" t="s">
        <v>1776</v>
      </c>
      <c r="AH146" s="1" t="s">
        <v>2727</v>
      </c>
      <c r="AI146" s="1" t="s">
        <v>2728</v>
      </c>
      <c r="AJ146" s="1" t="s">
        <v>109</v>
      </c>
      <c r="AK146" s="1" t="s">
        <v>2729</v>
      </c>
      <c r="AL146" s="1">
        <v>40</v>
      </c>
      <c r="AM146" s="1" t="s">
        <v>111</v>
      </c>
      <c r="AO146" s="1" t="s">
        <v>2730</v>
      </c>
      <c r="AP146" s="1">
        <f>91-9824316831</f>
        <v>-9824316740</v>
      </c>
      <c r="AR146" s="1">
        <v>1</v>
      </c>
      <c r="AS146" s="1">
        <v>0</v>
      </c>
      <c r="AT146" s="1" t="s">
        <v>2731</v>
      </c>
      <c r="AU146" s="1" t="s">
        <v>2729</v>
      </c>
      <c r="AV146" s="1" t="s">
        <v>1531</v>
      </c>
      <c r="AW146" s="1">
        <f>91-9979332332</f>
        <v>-9979332241</v>
      </c>
      <c r="AX146" s="1" t="s">
        <v>742</v>
      </c>
      <c r="AY146" s="1" t="s">
        <v>150</v>
      </c>
      <c r="AZ146" s="1">
        <v>5.05</v>
      </c>
      <c r="BA146" s="1">
        <v>5.07</v>
      </c>
      <c r="BE146" s="1" t="s">
        <v>2732</v>
      </c>
      <c r="BG146" s="1" t="s">
        <v>120</v>
      </c>
      <c r="BH146" s="1" t="s">
        <v>120</v>
      </c>
      <c r="BJ146" s="1" t="s">
        <v>120</v>
      </c>
      <c r="BK146" s="1" t="s">
        <v>120</v>
      </c>
      <c r="BL146" s="1">
        <v>0</v>
      </c>
      <c r="BM146" s="1">
        <v>0</v>
      </c>
      <c r="BN146" s="1" t="s">
        <v>2733</v>
      </c>
      <c r="BO146" s="1">
        <v>1</v>
      </c>
      <c r="BP146" s="1" t="s">
        <v>163</v>
      </c>
      <c r="BQ146" s="1" t="s">
        <v>112</v>
      </c>
      <c r="BR146" s="1">
        <v>1</v>
      </c>
      <c r="BS146" s="1" t="s">
        <v>334</v>
      </c>
      <c r="BT146" s="1" t="s">
        <v>124</v>
      </c>
      <c r="BU146" s="1" t="s">
        <v>2734</v>
      </c>
      <c r="BV146" s="1" t="s">
        <v>112</v>
      </c>
      <c r="BW146" s="1" t="s">
        <v>2735</v>
      </c>
      <c r="BX146" s="1" t="s">
        <v>2736</v>
      </c>
      <c r="BY146" s="1" t="s">
        <v>465</v>
      </c>
      <c r="BZ146" s="1">
        <v>0</v>
      </c>
      <c r="CA146" s="1">
        <v>0</v>
      </c>
      <c r="CB146" s="4">
        <v>42764.223641585646</v>
      </c>
      <c r="CC146" s="1">
        <v>1</v>
      </c>
      <c r="CD146" s="1">
        <v>1</v>
      </c>
      <c r="CE146" s="1">
        <v>1</v>
      </c>
      <c r="CF146" s="1">
        <v>4</v>
      </c>
      <c r="CG146" s="4">
        <v>42764.536615358797</v>
      </c>
      <c r="CH146" s="1" t="s">
        <v>112</v>
      </c>
      <c r="CI146" s="1" t="s">
        <v>2737</v>
      </c>
      <c r="CJ146" s="1" t="s">
        <v>129</v>
      </c>
    </row>
    <row r="147" spans="1:88" x14ac:dyDescent="0.35">
      <c r="A147" s="1">
        <v>1634</v>
      </c>
      <c r="B147" s="1" t="s">
        <v>2738</v>
      </c>
      <c r="C147" s="1" t="s">
        <v>2739</v>
      </c>
      <c r="D147" s="1" t="s">
        <v>90</v>
      </c>
      <c r="E147" s="1" t="s">
        <v>2740</v>
      </c>
      <c r="F147" s="1" t="s">
        <v>134</v>
      </c>
      <c r="G147" s="1">
        <v>1</v>
      </c>
      <c r="H147" s="3">
        <v>31847</v>
      </c>
      <c r="I147" s="1">
        <v>1</v>
      </c>
      <c r="J147" s="1" t="s">
        <v>93</v>
      </c>
      <c r="K147" s="1" t="s">
        <v>94</v>
      </c>
      <c r="L147" s="2">
        <f>91-9619531534</f>
        <v>-9619531443</v>
      </c>
      <c r="M147" s="1" t="s">
        <v>150</v>
      </c>
      <c r="N147" s="1">
        <v>0</v>
      </c>
      <c r="O147" s="1">
        <v>0</v>
      </c>
      <c r="P147" s="1">
        <v>5.07</v>
      </c>
      <c r="Q147" s="1">
        <v>43</v>
      </c>
      <c r="R147" s="1" t="s">
        <v>188</v>
      </c>
      <c r="S147" s="1" t="s">
        <v>165</v>
      </c>
      <c r="T147" s="1" t="s">
        <v>427</v>
      </c>
      <c r="U147" s="1" t="s">
        <v>2540</v>
      </c>
      <c r="V147" s="1" t="s">
        <v>2540</v>
      </c>
      <c r="X147" s="1" t="s">
        <v>100</v>
      </c>
      <c r="Y147" s="1" t="s">
        <v>210</v>
      </c>
      <c r="Z147" s="1" t="s">
        <v>2741</v>
      </c>
      <c r="AB147" s="1">
        <v>0</v>
      </c>
      <c r="AD147" s="1" t="s">
        <v>2742</v>
      </c>
      <c r="AE147" s="1">
        <f>91-9867876345</f>
        <v>-9867876254</v>
      </c>
      <c r="AF147" s="1" t="s">
        <v>105</v>
      </c>
      <c r="AG147" s="1" t="s">
        <v>2743</v>
      </c>
      <c r="AH147" s="1" t="s">
        <v>2744</v>
      </c>
      <c r="AI147" s="1" t="s">
        <v>2745</v>
      </c>
      <c r="AJ147" s="1" t="s">
        <v>109</v>
      </c>
      <c r="AK147" s="1" t="s">
        <v>2746</v>
      </c>
      <c r="AL147" s="1">
        <v>10</v>
      </c>
      <c r="AM147" s="1" t="s">
        <v>111</v>
      </c>
      <c r="AP147" s="1">
        <f>91-9920801816</f>
        <v>-9920801725</v>
      </c>
      <c r="AR147" s="1">
        <v>1</v>
      </c>
      <c r="AS147" s="1">
        <v>0</v>
      </c>
      <c r="AW147" s="1" t="s">
        <v>142</v>
      </c>
      <c r="AX147" s="1" t="s">
        <v>2747</v>
      </c>
      <c r="AY147" s="1" t="s">
        <v>150</v>
      </c>
      <c r="AZ147" s="1">
        <v>4.0599999999999996</v>
      </c>
      <c r="BA147" s="1">
        <v>5.04</v>
      </c>
      <c r="BB147" s="1" t="s">
        <v>151</v>
      </c>
      <c r="BC147" s="1" t="s">
        <v>152</v>
      </c>
      <c r="BD147" s="1" t="s">
        <v>1395</v>
      </c>
      <c r="BE147" s="1" t="s">
        <v>2440</v>
      </c>
      <c r="BF147" s="1" t="s">
        <v>120</v>
      </c>
      <c r="BG147" s="1" t="s">
        <v>2541</v>
      </c>
      <c r="BH147" s="1" t="s">
        <v>2541</v>
      </c>
      <c r="BI147" s="1" t="s">
        <v>132</v>
      </c>
      <c r="BL147" s="1">
        <v>0</v>
      </c>
      <c r="BM147" s="1">
        <v>0</v>
      </c>
      <c r="BN147" s="1" t="s">
        <v>2748</v>
      </c>
      <c r="BO147" s="1">
        <v>1</v>
      </c>
      <c r="BP147" s="1" t="s">
        <v>94</v>
      </c>
      <c r="BQ147" s="1" t="s">
        <v>112</v>
      </c>
      <c r="BR147" s="1">
        <v>0</v>
      </c>
      <c r="BS147" s="1" t="s">
        <v>129</v>
      </c>
      <c r="BT147" s="1" t="s">
        <v>124</v>
      </c>
      <c r="BU147" s="1" t="s">
        <v>112</v>
      </c>
      <c r="BV147" s="1" t="s">
        <v>112</v>
      </c>
      <c r="BW147" s="1" t="s">
        <v>2749</v>
      </c>
      <c r="BX147" s="1" t="s">
        <v>2750</v>
      </c>
      <c r="BY147" s="1" t="s">
        <v>120</v>
      </c>
      <c r="BZ147" s="1">
        <v>0</v>
      </c>
      <c r="CA147" s="1">
        <v>0</v>
      </c>
      <c r="CB147" s="4">
        <v>42765.309454085647</v>
      </c>
      <c r="CC147" s="1">
        <v>1</v>
      </c>
      <c r="CD147" s="1">
        <v>1</v>
      </c>
      <c r="CE147" s="1">
        <v>1</v>
      </c>
      <c r="CF147" s="1">
        <v>4</v>
      </c>
      <c r="CG147" s="4">
        <v>43053.414589386572</v>
      </c>
      <c r="CH147" s="1" t="s">
        <v>112</v>
      </c>
      <c r="CI147" s="1" t="s">
        <v>2751</v>
      </c>
      <c r="CJ147" s="1" t="s">
        <v>157</v>
      </c>
    </row>
    <row r="148" spans="1:88" x14ac:dyDescent="0.35">
      <c r="A148" s="1">
        <v>1636</v>
      </c>
      <c r="B148" s="1" t="s">
        <v>2752</v>
      </c>
      <c r="C148" s="1" t="s">
        <v>2753</v>
      </c>
      <c r="D148" s="1" t="s">
        <v>90</v>
      </c>
      <c r="E148" s="1" t="s">
        <v>1019</v>
      </c>
      <c r="F148" s="1" t="s">
        <v>208</v>
      </c>
      <c r="G148" s="1">
        <v>1</v>
      </c>
      <c r="H148" s="3">
        <v>34275</v>
      </c>
      <c r="I148" s="1">
        <v>1</v>
      </c>
      <c r="J148" s="1" t="s">
        <v>93</v>
      </c>
      <c r="K148" s="1" t="s">
        <v>1045</v>
      </c>
      <c r="L148" s="2">
        <f>91-9423285156</f>
        <v>-9423285065</v>
      </c>
      <c r="M148" s="1" t="s">
        <v>150</v>
      </c>
      <c r="N148" s="1">
        <v>0</v>
      </c>
      <c r="O148" s="1">
        <v>0</v>
      </c>
      <c r="P148" s="1">
        <v>5.0599999999999996</v>
      </c>
      <c r="Q148" s="1">
        <v>10</v>
      </c>
      <c r="S148" s="1" t="s">
        <v>492</v>
      </c>
      <c r="T148" s="1" t="s">
        <v>2754</v>
      </c>
      <c r="U148" s="1" t="s">
        <v>2540</v>
      </c>
      <c r="V148" s="1" t="s">
        <v>2540</v>
      </c>
      <c r="X148" s="1" t="s">
        <v>100</v>
      </c>
      <c r="Y148" s="1" t="s">
        <v>268</v>
      </c>
      <c r="Z148" s="1" t="s">
        <v>515</v>
      </c>
      <c r="AB148" s="1">
        <v>0</v>
      </c>
      <c r="AD148" s="1" t="s">
        <v>2755</v>
      </c>
      <c r="AE148" s="1">
        <f>91-9423285156</f>
        <v>-9423285065</v>
      </c>
      <c r="AF148" s="1" t="s">
        <v>2541</v>
      </c>
      <c r="AG148" s="1" t="s">
        <v>2756</v>
      </c>
      <c r="AH148" s="1" t="s">
        <v>2757</v>
      </c>
      <c r="AI148" s="1" t="s">
        <v>2758</v>
      </c>
      <c r="AJ148" s="1" t="s">
        <v>109</v>
      </c>
      <c r="AK148" s="1" t="s">
        <v>2759</v>
      </c>
      <c r="AL148" s="1">
        <v>32</v>
      </c>
      <c r="AM148" s="1" t="s">
        <v>2541</v>
      </c>
      <c r="AP148" s="1">
        <f>91-9423285156</f>
        <v>-9423285065</v>
      </c>
      <c r="AR148" s="1">
        <v>0</v>
      </c>
      <c r="AS148" s="1">
        <v>0</v>
      </c>
      <c r="AW148" s="1" t="s">
        <v>142</v>
      </c>
      <c r="AX148" s="1" t="s">
        <v>1095</v>
      </c>
      <c r="AY148" s="1" t="s">
        <v>150</v>
      </c>
      <c r="AZ148" s="1">
        <v>5.04</v>
      </c>
      <c r="BA148" s="1">
        <v>5.0599999999999996</v>
      </c>
      <c r="BB148" s="1" t="s">
        <v>151</v>
      </c>
      <c r="BC148" s="1" t="s">
        <v>152</v>
      </c>
      <c r="BD148" s="1" t="s">
        <v>1395</v>
      </c>
      <c r="BE148" s="1" t="s">
        <v>120</v>
      </c>
      <c r="BF148" s="1" t="s">
        <v>120</v>
      </c>
      <c r="BG148" s="1" t="s">
        <v>2541</v>
      </c>
      <c r="BH148" s="1" t="s">
        <v>2541</v>
      </c>
      <c r="BI148" s="1" t="s">
        <v>515</v>
      </c>
      <c r="BL148" s="1">
        <v>0</v>
      </c>
      <c r="BM148" s="1">
        <v>1</v>
      </c>
      <c r="BN148" s="1" t="s">
        <v>2760</v>
      </c>
      <c r="BO148" s="1">
        <v>0</v>
      </c>
      <c r="BQ148" s="1" t="s">
        <v>180</v>
      </c>
      <c r="BR148" s="1">
        <v>0</v>
      </c>
      <c r="BS148" s="1" t="s">
        <v>334</v>
      </c>
      <c r="BT148" s="1" t="s">
        <v>124</v>
      </c>
      <c r="BV148" s="1" t="s">
        <v>112</v>
      </c>
      <c r="BW148" s="1" t="s">
        <v>2761</v>
      </c>
      <c r="BX148" s="1" t="s">
        <v>2762</v>
      </c>
      <c r="BY148" s="1" t="s">
        <v>120</v>
      </c>
      <c r="BZ148" s="1">
        <v>0</v>
      </c>
      <c r="CA148" s="1">
        <v>0</v>
      </c>
      <c r="CB148" s="4">
        <v>42767.243243090277</v>
      </c>
      <c r="CC148" s="1">
        <v>1</v>
      </c>
      <c r="CD148" s="1">
        <v>1</v>
      </c>
      <c r="CE148" s="1">
        <v>1</v>
      </c>
      <c r="CF148" s="1">
        <v>4</v>
      </c>
      <c r="CG148" s="1" t="s">
        <v>112</v>
      </c>
      <c r="CH148" s="1" t="s">
        <v>112</v>
      </c>
      <c r="CI148" s="1" t="s">
        <v>2763</v>
      </c>
      <c r="CJ148" s="1" t="s">
        <v>157</v>
      </c>
    </row>
    <row r="149" spans="1:88" x14ac:dyDescent="0.35">
      <c r="A149" s="1">
        <v>1637</v>
      </c>
      <c r="B149" s="1" t="s">
        <v>2764</v>
      </c>
      <c r="C149" s="1" t="s">
        <v>2765</v>
      </c>
      <c r="D149" s="1" t="s">
        <v>90</v>
      </c>
      <c r="E149" s="1" t="s">
        <v>2766</v>
      </c>
      <c r="F149" s="1" t="s">
        <v>134</v>
      </c>
      <c r="G149" s="1">
        <v>1</v>
      </c>
      <c r="H149" s="3">
        <v>29818</v>
      </c>
      <c r="I149" s="1">
        <v>1</v>
      </c>
      <c r="J149" s="1" t="s">
        <v>93</v>
      </c>
      <c r="K149" s="1" t="s">
        <v>1913</v>
      </c>
      <c r="L149" s="2">
        <f>91-9881154854</f>
        <v>-9881154763</v>
      </c>
      <c r="M149" s="1" t="s">
        <v>95</v>
      </c>
      <c r="N149" s="1">
        <v>1</v>
      </c>
      <c r="O149" s="1">
        <v>0</v>
      </c>
      <c r="P149" s="1">
        <v>5.04</v>
      </c>
      <c r="Q149" s="1">
        <v>10</v>
      </c>
      <c r="S149" s="1" t="s">
        <v>233</v>
      </c>
      <c r="T149" s="1" t="s">
        <v>427</v>
      </c>
      <c r="U149" s="1" t="s">
        <v>2540</v>
      </c>
      <c r="V149" s="1" t="s">
        <v>2540</v>
      </c>
      <c r="X149" s="1" t="s">
        <v>132</v>
      </c>
      <c r="Y149" s="1" t="s">
        <v>111</v>
      </c>
      <c r="Z149" s="1" t="s">
        <v>1557</v>
      </c>
      <c r="AA149" s="1" t="s">
        <v>2767</v>
      </c>
      <c r="AB149" s="1">
        <v>0</v>
      </c>
      <c r="AD149" s="1" t="s">
        <v>2768</v>
      </c>
      <c r="AE149" s="1" t="s">
        <v>142</v>
      </c>
      <c r="AF149" s="1" t="s">
        <v>105</v>
      </c>
      <c r="AG149" s="1" t="s">
        <v>2769</v>
      </c>
      <c r="AH149" s="1" t="s">
        <v>2770</v>
      </c>
      <c r="AI149" s="1" t="s">
        <v>2771</v>
      </c>
      <c r="AJ149" s="1" t="s">
        <v>109</v>
      </c>
      <c r="AK149" s="1" t="s">
        <v>2772</v>
      </c>
      <c r="AL149" s="1">
        <v>5</v>
      </c>
      <c r="AM149" s="1" t="s">
        <v>148</v>
      </c>
      <c r="AP149" s="1">
        <f>91-8600000892</f>
        <v>-8600000801</v>
      </c>
      <c r="AQ149" s="1" t="s">
        <v>502</v>
      </c>
      <c r="AR149" s="1">
        <v>0</v>
      </c>
      <c r="AS149" s="1">
        <v>0</v>
      </c>
      <c r="AW149" s="1" t="s">
        <v>142</v>
      </c>
      <c r="AX149" s="1" t="s">
        <v>2773</v>
      </c>
      <c r="AY149" s="1" t="s">
        <v>249</v>
      </c>
      <c r="AZ149" s="1">
        <v>4.1100000000000003</v>
      </c>
      <c r="BA149" s="1">
        <v>5.04</v>
      </c>
      <c r="BB149" s="1" t="s">
        <v>151</v>
      </c>
      <c r="BC149" s="1" t="s">
        <v>304</v>
      </c>
      <c r="BD149" s="1" t="s">
        <v>1333</v>
      </c>
      <c r="BE149" s="1" t="s">
        <v>120</v>
      </c>
      <c r="BF149" s="1" t="s">
        <v>120</v>
      </c>
      <c r="BG149" s="1" t="s">
        <v>120</v>
      </c>
      <c r="BH149" s="1" t="s">
        <v>120</v>
      </c>
      <c r="BJ149" s="1" t="s">
        <v>154</v>
      </c>
      <c r="BK149" s="1" t="s">
        <v>120</v>
      </c>
      <c r="BL149" s="1">
        <v>0</v>
      </c>
      <c r="BM149" s="1">
        <v>0</v>
      </c>
      <c r="BN149" s="1" t="s">
        <v>2774</v>
      </c>
      <c r="BO149" s="1">
        <v>1</v>
      </c>
      <c r="BP149" s="1" t="s">
        <v>2775</v>
      </c>
      <c r="BQ149" s="1" t="s">
        <v>112</v>
      </c>
      <c r="BR149" s="1">
        <v>1</v>
      </c>
      <c r="BS149" s="1" t="s">
        <v>596</v>
      </c>
      <c r="BT149" s="1" t="s">
        <v>124</v>
      </c>
      <c r="BU149" s="1" t="s">
        <v>2776</v>
      </c>
      <c r="BV149" s="1" t="s">
        <v>112</v>
      </c>
      <c r="BW149" s="1" t="s">
        <v>2777</v>
      </c>
      <c r="BX149" s="1" t="s">
        <v>2778</v>
      </c>
      <c r="BY149" s="1" t="s">
        <v>120</v>
      </c>
      <c r="BZ149" s="1">
        <v>4</v>
      </c>
      <c r="CA149" s="1">
        <v>4</v>
      </c>
      <c r="CB149" s="4">
        <v>42767.280142592594</v>
      </c>
      <c r="CC149" s="1">
        <v>1</v>
      </c>
      <c r="CD149" s="1">
        <v>1</v>
      </c>
      <c r="CE149" s="1">
        <v>1</v>
      </c>
      <c r="CF149" s="1">
        <v>4</v>
      </c>
      <c r="CG149" s="4">
        <v>43019.739904594906</v>
      </c>
      <c r="CH149" s="1" t="s">
        <v>112</v>
      </c>
      <c r="CI149" s="1" t="s">
        <v>1645</v>
      </c>
      <c r="CJ149" s="1" t="s">
        <v>157</v>
      </c>
    </row>
    <row r="150" spans="1:88" x14ac:dyDescent="0.35">
      <c r="A150" s="1">
        <v>1639</v>
      </c>
      <c r="B150" s="1" t="s">
        <v>2779</v>
      </c>
      <c r="C150" s="1" t="s">
        <v>2780</v>
      </c>
      <c r="D150" s="1" t="s">
        <v>90</v>
      </c>
      <c r="E150" s="1" t="s">
        <v>2781</v>
      </c>
      <c r="F150" s="1" t="s">
        <v>1985</v>
      </c>
      <c r="G150" s="1">
        <v>0</v>
      </c>
      <c r="H150" s="3">
        <v>34658</v>
      </c>
      <c r="I150" s="1">
        <v>1</v>
      </c>
      <c r="J150" s="1" t="s">
        <v>2224</v>
      </c>
      <c r="K150" s="1" t="s">
        <v>2225</v>
      </c>
      <c r="L150" s="2">
        <f>91-7093149542</f>
        <v>-7093149451</v>
      </c>
      <c r="M150" s="1" t="s">
        <v>150</v>
      </c>
      <c r="N150" s="1">
        <v>0</v>
      </c>
      <c r="O150" s="1">
        <v>0</v>
      </c>
      <c r="P150" s="1">
        <v>4</v>
      </c>
      <c r="Q150" s="1">
        <v>19</v>
      </c>
      <c r="R150" s="1" t="s">
        <v>714</v>
      </c>
      <c r="S150" s="1" t="s">
        <v>97</v>
      </c>
      <c r="T150" s="1" t="s">
        <v>137</v>
      </c>
      <c r="U150" s="1" t="s">
        <v>2540</v>
      </c>
      <c r="V150" s="1" t="s">
        <v>2540</v>
      </c>
      <c r="X150" s="1" t="s">
        <v>100</v>
      </c>
      <c r="Y150" s="1" t="s">
        <v>268</v>
      </c>
      <c r="Z150" s="1" t="s">
        <v>515</v>
      </c>
      <c r="AB150" s="1">
        <v>1</v>
      </c>
      <c r="AC150" s="1" t="s">
        <v>2782</v>
      </c>
      <c r="AD150" s="1" t="s">
        <v>2783</v>
      </c>
      <c r="AE150" s="1">
        <f>91-9032648662</f>
        <v>-9032648571</v>
      </c>
      <c r="AF150" s="1" t="s">
        <v>105</v>
      </c>
      <c r="AG150" s="1" t="s">
        <v>2784</v>
      </c>
      <c r="AH150" s="1" t="s">
        <v>2785</v>
      </c>
      <c r="AI150" s="1" t="s">
        <v>2786</v>
      </c>
      <c r="AJ150" s="1" t="s">
        <v>109</v>
      </c>
      <c r="AK150" s="1" t="s">
        <v>2787</v>
      </c>
      <c r="AL150" s="1">
        <v>3</v>
      </c>
      <c r="AM150" s="1" t="s">
        <v>111</v>
      </c>
      <c r="AP150" s="1">
        <f>91-9441054304</f>
        <v>-9441054213</v>
      </c>
      <c r="AR150" s="1">
        <v>1</v>
      </c>
      <c r="AS150" s="1">
        <v>0</v>
      </c>
      <c r="AT150" s="1" t="s">
        <v>2788</v>
      </c>
      <c r="AU150" s="1" t="s">
        <v>2789</v>
      </c>
      <c r="AV150" s="1" t="s">
        <v>2790</v>
      </c>
      <c r="AW150" s="1">
        <f>91-9441054306</f>
        <v>-9441054215</v>
      </c>
      <c r="AX150" s="1" t="s">
        <v>112</v>
      </c>
      <c r="AY150" s="1" t="s">
        <v>112</v>
      </c>
      <c r="AZ150" s="1" t="s">
        <v>112</v>
      </c>
      <c r="BA150" s="1" t="s">
        <v>112</v>
      </c>
      <c r="BB150" s="1" t="s">
        <v>112</v>
      </c>
      <c r="BC150" s="1" t="s">
        <v>112</v>
      </c>
      <c r="BD150" s="1" t="s">
        <v>112</v>
      </c>
      <c r="BE150" s="1" t="s">
        <v>112</v>
      </c>
      <c r="BF150" s="1" t="s">
        <v>112</v>
      </c>
      <c r="BG150" s="1" t="s">
        <v>112</v>
      </c>
      <c r="BH150" s="1" t="s">
        <v>112</v>
      </c>
      <c r="BI150" s="1" t="s">
        <v>112</v>
      </c>
      <c r="BJ150" s="1" t="s">
        <v>112</v>
      </c>
      <c r="BK150" s="1" t="s">
        <v>112</v>
      </c>
      <c r="BL150" s="1" t="s">
        <v>112</v>
      </c>
      <c r="BM150" s="1" t="s">
        <v>112</v>
      </c>
      <c r="BN150" s="1" t="s">
        <v>112</v>
      </c>
      <c r="BO150" s="1" t="s">
        <v>112</v>
      </c>
      <c r="BP150" s="1" t="s">
        <v>112</v>
      </c>
      <c r="BQ150" s="1" t="s">
        <v>112</v>
      </c>
      <c r="BR150" s="1" t="s">
        <v>112</v>
      </c>
      <c r="BS150" s="1" t="s">
        <v>112</v>
      </c>
      <c r="BT150" s="1" t="s">
        <v>112</v>
      </c>
      <c r="BU150" s="1" t="s">
        <v>112</v>
      </c>
      <c r="BV150" s="1" t="s">
        <v>112</v>
      </c>
      <c r="BW150" s="1" t="s">
        <v>112</v>
      </c>
      <c r="BX150" s="1" t="s">
        <v>112</v>
      </c>
      <c r="BY150" s="1" t="s">
        <v>465</v>
      </c>
      <c r="BZ150" s="1">
        <v>0</v>
      </c>
      <c r="CA150" s="1">
        <v>0</v>
      </c>
      <c r="CB150" s="4">
        <v>42768.301089699075</v>
      </c>
      <c r="CC150" s="1">
        <v>1</v>
      </c>
      <c r="CD150" s="1">
        <v>1</v>
      </c>
      <c r="CE150" s="1">
        <v>1</v>
      </c>
      <c r="CF150" s="1">
        <v>4</v>
      </c>
      <c r="CG150" s="4">
        <v>42791.701113043979</v>
      </c>
      <c r="CH150" s="1" t="s">
        <v>112</v>
      </c>
      <c r="CI150" s="1" t="s">
        <v>2791</v>
      </c>
      <c r="CJ150" s="1" t="s">
        <v>112</v>
      </c>
    </row>
    <row r="151" spans="1:88" x14ac:dyDescent="0.35">
      <c r="A151" s="1">
        <v>1640</v>
      </c>
      <c r="B151" s="1" t="s">
        <v>2792</v>
      </c>
      <c r="C151" s="1" t="s">
        <v>2793</v>
      </c>
      <c r="D151" s="1" t="s">
        <v>90</v>
      </c>
      <c r="E151" s="1" t="s">
        <v>2794</v>
      </c>
      <c r="F151" s="1" t="s">
        <v>552</v>
      </c>
      <c r="G151" s="1">
        <v>1</v>
      </c>
      <c r="H151" s="3">
        <v>32763</v>
      </c>
      <c r="I151" s="1">
        <v>1</v>
      </c>
      <c r="J151" s="1" t="s">
        <v>162</v>
      </c>
      <c r="K151" s="1" t="s">
        <v>847</v>
      </c>
      <c r="L151" s="2">
        <f>91-9429808836</f>
        <v>-9429808745</v>
      </c>
      <c r="M151" s="1" t="s">
        <v>150</v>
      </c>
      <c r="N151" s="1">
        <v>0</v>
      </c>
      <c r="O151" s="1">
        <v>0</v>
      </c>
      <c r="P151" s="1">
        <v>5.04</v>
      </c>
      <c r="Q151" s="1">
        <v>11</v>
      </c>
      <c r="R151" s="1" t="s">
        <v>340</v>
      </c>
      <c r="S151" s="1" t="s">
        <v>97</v>
      </c>
      <c r="T151" s="1" t="s">
        <v>137</v>
      </c>
      <c r="U151" s="1" t="s">
        <v>922</v>
      </c>
      <c r="V151" s="1" t="s">
        <v>2795</v>
      </c>
      <c r="X151" s="1" t="s">
        <v>296</v>
      </c>
      <c r="Y151" s="1" t="s">
        <v>111</v>
      </c>
      <c r="Z151" s="1" t="s">
        <v>297</v>
      </c>
      <c r="AA151" s="1" t="s">
        <v>2796</v>
      </c>
      <c r="AB151" s="1">
        <v>0</v>
      </c>
      <c r="AD151" s="1" t="s">
        <v>2797</v>
      </c>
      <c r="AE151" s="1">
        <f>91-9429808836</f>
        <v>-9429808745</v>
      </c>
      <c r="AF151" s="1" t="s">
        <v>143</v>
      </c>
      <c r="AG151" s="1" t="s">
        <v>2798</v>
      </c>
      <c r="AH151" s="1" t="s">
        <v>2799</v>
      </c>
      <c r="AI151" s="1" t="s">
        <v>2800</v>
      </c>
      <c r="AJ151" s="1" t="s">
        <v>109</v>
      </c>
      <c r="AK151" s="1" t="s">
        <v>2801</v>
      </c>
      <c r="AL151" s="1">
        <v>22</v>
      </c>
      <c r="AM151" s="1" t="s">
        <v>132</v>
      </c>
      <c r="AN151" s="1" t="s">
        <v>2439</v>
      </c>
      <c r="AP151" s="1">
        <f>91-9408724845</f>
        <v>-9408724754</v>
      </c>
      <c r="AR151" s="1">
        <v>1</v>
      </c>
      <c r="AS151" s="1">
        <v>1</v>
      </c>
      <c r="AT151" s="1" t="s">
        <v>2802</v>
      </c>
      <c r="AU151" s="1" t="s">
        <v>2803</v>
      </c>
      <c r="AV151" s="1" t="s">
        <v>1119</v>
      </c>
      <c r="AW151" s="1">
        <f>91-9426360203</f>
        <v>-9426360112</v>
      </c>
      <c r="AX151" s="1" t="s">
        <v>664</v>
      </c>
      <c r="AY151" s="1" t="s">
        <v>150</v>
      </c>
      <c r="AZ151" s="1">
        <v>4.09</v>
      </c>
      <c r="BA151" s="1">
        <v>4.09</v>
      </c>
      <c r="BB151" s="1" t="s">
        <v>151</v>
      </c>
      <c r="BC151" s="1" t="s">
        <v>304</v>
      </c>
      <c r="BD151" s="1" t="s">
        <v>1333</v>
      </c>
      <c r="BE151" s="1" t="s">
        <v>2804</v>
      </c>
      <c r="BF151" s="1" t="s">
        <v>120</v>
      </c>
      <c r="BG151" s="1" t="s">
        <v>120</v>
      </c>
      <c r="BH151" s="1" t="s">
        <v>120</v>
      </c>
      <c r="BJ151" s="1" t="s">
        <v>120</v>
      </c>
      <c r="BK151" s="1" t="s">
        <v>120</v>
      </c>
      <c r="BL151" s="1">
        <v>0</v>
      </c>
      <c r="BM151" s="1">
        <v>0</v>
      </c>
      <c r="BN151" s="1" t="s">
        <v>2805</v>
      </c>
      <c r="BO151" s="1">
        <v>1</v>
      </c>
      <c r="BP151" s="1" t="s">
        <v>2806</v>
      </c>
      <c r="BQ151" s="1" t="s">
        <v>112</v>
      </c>
      <c r="BR151" s="1">
        <v>1</v>
      </c>
      <c r="BS151" s="1" t="s">
        <v>123</v>
      </c>
      <c r="BT151" s="1" t="s">
        <v>124</v>
      </c>
      <c r="BU151" s="1" t="s">
        <v>112</v>
      </c>
      <c r="BV151" s="1" t="s">
        <v>112</v>
      </c>
      <c r="BW151" s="1" t="s">
        <v>2807</v>
      </c>
      <c r="BX151" s="1" t="s">
        <v>2808</v>
      </c>
      <c r="BY151" s="1" t="s">
        <v>127</v>
      </c>
      <c r="BZ151" s="1">
        <v>1</v>
      </c>
      <c r="CA151" s="1">
        <v>1</v>
      </c>
      <c r="CB151" s="4">
        <v>42768.362766516206</v>
      </c>
      <c r="CC151" s="1">
        <v>1</v>
      </c>
      <c r="CD151" s="1">
        <v>1</v>
      </c>
      <c r="CE151" s="1">
        <v>1</v>
      </c>
      <c r="CF151" s="1">
        <v>4</v>
      </c>
      <c r="CG151" s="4">
        <v>42857.98294047454</v>
      </c>
      <c r="CH151" s="1" t="s">
        <v>112</v>
      </c>
      <c r="CI151" s="1" t="s">
        <v>531</v>
      </c>
      <c r="CJ151" s="1" t="s">
        <v>157</v>
      </c>
    </row>
    <row r="152" spans="1:88" x14ac:dyDescent="0.35">
      <c r="A152" s="1">
        <v>1641</v>
      </c>
      <c r="B152" s="1" t="s">
        <v>2809</v>
      </c>
      <c r="C152" s="1" t="s">
        <v>2780</v>
      </c>
      <c r="D152" s="1" t="s">
        <v>90</v>
      </c>
      <c r="E152" s="1" t="s">
        <v>2781</v>
      </c>
      <c r="F152" s="1" t="s">
        <v>134</v>
      </c>
      <c r="G152" s="1">
        <v>0</v>
      </c>
      <c r="H152" s="3">
        <v>34658</v>
      </c>
      <c r="I152" s="1">
        <v>1</v>
      </c>
      <c r="J152" s="1" t="s">
        <v>2224</v>
      </c>
      <c r="K152" s="1" t="s">
        <v>2225</v>
      </c>
      <c r="L152" s="2">
        <f>91-7093149542</f>
        <v>-7093149451</v>
      </c>
      <c r="M152" s="1" t="s">
        <v>150</v>
      </c>
      <c r="N152" s="1">
        <v>0</v>
      </c>
      <c r="O152" s="1">
        <v>0</v>
      </c>
      <c r="P152" s="1">
        <v>4</v>
      </c>
      <c r="Q152" s="1">
        <v>19</v>
      </c>
      <c r="R152" s="1" t="s">
        <v>1535</v>
      </c>
      <c r="S152" s="1" t="s">
        <v>97</v>
      </c>
      <c r="T152" s="1" t="s">
        <v>137</v>
      </c>
      <c r="U152" s="1" t="s">
        <v>386</v>
      </c>
      <c r="X152" s="1" t="s">
        <v>100</v>
      </c>
      <c r="Y152" s="1" t="s">
        <v>111</v>
      </c>
      <c r="Z152" s="1" t="s">
        <v>1064</v>
      </c>
      <c r="AB152" s="1">
        <v>1</v>
      </c>
      <c r="AD152" s="1" t="s">
        <v>2810</v>
      </c>
      <c r="AE152" s="1">
        <f>91-9441054304</f>
        <v>-9441054213</v>
      </c>
      <c r="AF152" s="1" t="s">
        <v>105</v>
      </c>
      <c r="AG152" s="1" t="s">
        <v>2784</v>
      </c>
      <c r="AH152" s="1" t="s">
        <v>2785</v>
      </c>
      <c r="AI152" s="1" t="s">
        <v>2811</v>
      </c>
      <c r="AJ152" s="1" t="s">
        <v>478</v>
      </c>
      <c r="AK152" s="1" t="s">
        <v>2812</v>
      </c>
      <c r="AL152" s="1">
        <v>3</v>
      </c>
      <c r="AM152" s="1" t="s">
        <v>129</v>
      </c>
      <c r="AP152" s="1">
        <f>91-9441054304</f>
        <v>-9441054213</v>
      </c>
      <c r="AR152" s="1">
        <v>1</v>
      </c>
      <c r="AS152" s="1">
        <v>0</v>
      </c>
      <c r="AT152" s="1" t="s">
        <v>2813</v>
      </c>
      <c r="AU152" s="1" t="s">
        <v>2814</v>
      </c>
      <c r="AV152" s="1" t="s">
        <v>2790</v>
      </c>
      <c r="AW152" s="1">
        <f>91-9441054306</f>
        <v>-9441054215</v>
      </c>
      <c r="AX152" s="1" t="s">
        <v>742</v>
      </c>
      <c r="AY152" s="1" t="s">
        <v>150</v>
      </c>
      <c r="AZ152" s="1">
        <v>4</v>
      </c>
      <c r="BA152" s="1">
        <v>5.05</v>
      </c>
      <c r="BE152" s="1" t="s">
        <v>120</v>
      </c>
      <c r="BG152" s="1" t="s">
        <v>100</v>
      </c>
      <c r="BH152" s="1" t="s">
        <v>120</v>
      </c>
      <c r="BJ152" s="1" t="s">
        <v>120</v>
      </c>
      <c r="BK152" s="1" t="s">
        <v>105</v>
      </c>
      <c r="BL152" s="1">
        <v>1</v>
      </c>
      <c r="BM152" s="1">
        <v>0</v>
      </c>
      <c r="BN152" s="1" t="s">
        <v>2815</v>
      </c>
      <c r="BO152" s="1">
        <v>1</v>
      </c>
      <c r="BP152" s="1" t="s">
        <v>2649</v>
      </c>
      <c r="BQ152" s="1" t="s">
        <v>112</v>
      </c>
      <c r="BR152" s="1">
        <v>0</v>
      </c>
      <c r="BS152" s="1" t="s">
        <v>129</v>
      </c>
      <c r="BT152" s="1" t="s">
        <v>124</v>
      </c>
      <c r="BU152" s="1" t="s">
        <v>112</v>
      </c>
      <c r="BV152" s="1" t="s">
        <v>112</v>
      </c>
      <c r="BW152" s="1" t="s">
        <v>112</v>
      </c>
      <c r="BX152" s="1" t="s">
        <v>112</v>
      </c>
      <c r="BY152" s="1" t="s">
        <v>465</v>
      </c>
      <c r="BZ152" s="1">
        <v>0</v>
      </c>
      <c r="CA152" s="1">
        <v>0</v>
      </c>
      <c r="CB152" s="4">
        <v>42769.425368483797</v>
      </c>
      <c r="CC152" s="1">
        <v>1</v>
      </c>
      <c r="CD152" s="1">
        <v>1</v>
      </c>
      <c r="CE152" s="1">
        <v>1</v>
      </c>
      <c r="CF152" s="1">
        <v>4</v>
      </c>
      <c r="CG152" s="4">
        <v>42818.346861805556</v>
      </c>
      <c r="CH152" s="1" t="s">
        <v>112</v>
      </c>
      <c r="CI152" s="1" t="s">
        <v>2791</v>
      </c>
      <c r="CJ152" s="1" t="s">
        <v>129</v>
      </c>
    </row>
    <row r="153" spans="1:88" x14ac:dyDescent="0.35">
      <c r="A153" s="1">
        <v>1642</v>
      </c>
      <c r="B153" s="1" t="s">
        <v>2816</v>
      </c>
      <c r="C153" s="1" t="s">
        <v>2817</v>
      </c>
      <c r="D153" s="1" t="s">
        <v>90</v>
      </c>
      <c r="E153" s="1" t="s">
        <v>2818</v>
      </c>
      <c r="F153" s="1" t="s">
        <v>208</v>
      </c>
      <c r="G153" s="1">
        <v>1</v>
      </c>
      <c r="H153" s="3">
        <v>33569</v>
      </c>
      <c r="I153" s="1">
        <v>1</v>
      </c>
      <c r="J153" s="1" t="s">
        <v>315</v>
      </c>
      <c r="K153" s="1" t="s">
        <v>2819</v>
      </c>
      <c r="L153" s="2">
        <f>91-9845430720</f>
        <v>-9845430629</v>
      </c>
      <c r="M153" s="1" t="s">
        <v>150</v>
      </c>
      <c r="N153" s="1">
        <v>0</v>
      </c>
      <c r="O153" s="1">
        <v>0</v>
      </c>
      <c r="P153" s="1">
        <v>5.1100000000000003</v>
      </c>
      <c r="Q153" s="1">
        <v>10</v>
      </c>
      <c r="S153" s="1" t="s">
        <v>97</v>
      </c>
      <c r="T153" s="1" t="s">
        <v>137</v>
      </c>
      <c r="U153" s="1" t="s">
        <v>2540</v>
      </c>
      <c r="V153" s="1" t="s">
        <v>2540</v>
      </c>
      <c r="X153" s="1" t="s">
        <v>100</v>
      </c>
      <c r="Y153" s="1" t="s">
        <v>268</v>
      </c>
      <c r="Z153" s="1" t="s">
        <v>1193</v>
      </c>
      <c r="AA153" s="1" t="s">
        <v>2820</v>
      </c>
      <c r="AB153" s="1">
        <v>0</v>
      </c>
      <c r="AD153" s="1" t="s">
        <v>2821</v>
      </c>
      <c r="AE153" s="1">
        <f>91-9845430720</f>
        <v>-9845430629</v>
      </c>
      <c r="AF153" s="1" t="s">
        <v>2541</v>
      </c>
      <c r="AG153" s="1" t="s">
        <v>2822</v>
      </c>
      <c r="AH153" s="1" t="s">
        <v>2823</v>
      </c>
      <c r="AI153" s="1" t="s">
        <v>2824</v>
      </c>
      <c r="AJ153" s="1" t="s">
        <v>109</v>
      </c>
      <c r="AK153" s="1" t="s">
        <v>2825</v>
      </c>
      <c r="AL153" s="1">
        <v>30</v>
      </c>
      <c r="AM153" s="1" t="s">
        <v>2541</v>
      </c>
      <c r="AP153" s="1">
        <f>91-9972984181</f>
        <v>-9972984090</v>
      </c>
      <c r="AR153" s="1">
        <v>0</v>
      </c>
      <c r="AS153" s="1">
        <v>0</v>
      </c>
      <c r="AW153" s="1" t="s">
        <v>142</v>
      </c>
      <c r="AX153" s="1" t="s">
        <v>329</v>
      </c>
      <c r="AY153" s="1" t="s">
        <v>150</v>
      </c>
      <c r="AZ153" s="1">
        <v>5</v>
      </c>
      <c r="BA153" s="1">
        <v>5.08</v>
      </c>
      <c r="BB153" s="1" t="s">
        <v>151</v>
      </c>
      <c r="BC153" s="1" t="s">
        <v>152</v>
      </c>
      <c r="BD153" s="1" t="s">
        <v>1395</v>
      </c>
      <c r="BE153" s="1" t="s">
        <v>120</v>
      </c>
      <c r="BF153" s="1" t="s">
        <v>120</v>
      </c>
      <c r="BG153" s="1" t="s">
        <v>2541</v>
      </c>
      <c r="BH153" s="1" t="s">
        <v>2541</v>
      </c>
      <c r="BI153" s="1" t="s">
        <v>1193</v>
      </c>
      <c r="BL153" s="1">
        <v>0</v>
      </c>
      <c r="BM153" s="1">
        <v>1</v>
      </c>
      <c r="BN153" s="1" t="s">
        <v>2826</v>
      </c>
      <c r="BO153" s="1">
        <v>0</v>
      </c>
      <c r="BQ153" s="1" t="s">
        <v>180</v>
      </c>
      <c r="BR153" s="1">
        <v>0</v>
      </c>
      <c r="BS153" s="1" t="s">
        <v>787</v>
      </c>
      <c r="BT153" s="1" t="s">
        <v>124</v>
      </c>
      <c r="BV153" s="1" t="s">
        <v>112</v>
      </c>
      <c r="BW153" s="1" t="s">
        <v>2827</v>
      </c>
      <c r="BX153" s="1" t="s">
        <v>2828</v>
      </c>
      <c r="BY153" s="1" t="s">
        <v>120</v>
      </c>
      <c r="BZ153" s="1">
        <v>0</v>
      </c>
      <c r="CA153" s="1">
        <v>0</v>
      </c>
      <c r="CB153" s="4">
        <v>42770.994354479168</v>
      </c>
      <c r="CC153" s="1">
        <v>1</v>
      </c>
      <c r="CD153" s="1">
        <v>1</v>
      </c>
      <c r="CE153" s="1">
        <v>1</v>
      </c>
      <c r="CF153" s="1">
        <v>4</v>
      </c>
      <c r="CG153" s="4">
        <v>42772.235267974538</v>
      </c>
      <c r="CH153" s="1" t="s">
        <v>112</v>
      </c>
      <c r="CI153" s="1" t="s">
        <v>1723</v>
      </c>
      <c r="CJ153" s="1" t="s">
        <v>157</v>
      </c>
    </row>
    <row r="154" spans="1:88" x14ac:dyDescent="0.35">
      <c r="A154" s="1">
        <v>1647</v>
      </c>
      <c r="B154" s="1" t="s">
        <v>2829</v>
      </c>
      <c r="C154" s="1" t="s">
        <v>2830</v>
      </c>
      <c r="D154" s="1" t="s">
        <v>259</v>
      </c>
      <c r="E154" s="1" t="s">
        <v>2831</v>
      </c>
      <c r="F154" s="1" t="s">
        <v>2832</v>
      </c>
      <c r="G154" s="1">
        <v>0</v>
      </c>
      <c r="H154" s="3">
        <v>34301</v>
      </c>
      <c r="I154" s="1">
        <v>1</v>
      </c>
      <c r="J154" s="1" t="s">
        <v>93</v>
      </c>
      <c r="K154" s="1" t="s">
        <v>1130</v>
      </c>
      <c r="L154" s="2">
        <f>91-9823258162</f>
        <v>-9823258071</v>
      </c>
      <c r="M154" s="1" t="s">
        <v>150</v>
      </c>
      <c r="N154" s="1">
        <v>0</v>
      </c>
      <c r="O154" s="1">
        <v>0</v>
      </c>
      <c r="P154" s="1">
        <v>5.05</v>
      </c>
      <c r="Q154" s="1">
        <v>40</v>
      </c>
      <c r="S154" s="1" t="s">
        <v>97</v>
      </c>
      <c r="T154" s="1" t="s">
        <v>137</v>
      </c>
      <c r="U154" s="1" t="s">
        <v>2833</v>
      </c>
      <c r="V154" s="1" t="s">
        <v>2834</v>
      </c>
      <c r="X154" s="1" t="s">
        <v>100</v>
      </c>
      <c r="Y154" s="1" t="s">
        <v>101</v>
      </c>
      <c r="Z154" s="1" t="s">
        <v>1193</v>
      </c>
      <c r="AA154" s="1" t="s">
        <v>2835</v>
      </c>
      <c r="AB154" s="1">
        <v>0</v>
      </c>
      <c r="AE154" s="1">
        <f>91-8149448075</f>
        <v>-8149447984</v>
      </c>
      <c r="AF154" s="1" t="s">
        <v>105</v>
      </c>
      <c r="AG154" s="1" t="s">
        <v>2836</v>
      </c>
      <c r="AH154" s="1" t="s">
        <v>2837</v>
      </c>
      <c r="AI154" s="1" t="s">
        <v>1455</v>
      </c>
      <c r="AJ154" s="1" t="s">
        <v>109</v>
      </c>
      <c r="AK154" s="1" t="s">
        <v>2838</v>
      </c>
      <c r="AL154" s="1">
        <v>25</v>
      </c>
      <c r="AM154" s="1" t="s">
        <v>111</v>
      </c>
      <c r="AP154" s="1">
        <f>91-9823258162</f>
        <v>-9823258071</v>
      </c>
      <c r="AR154" s="1">
        <v>1</v>
      </c>
      <c r="AS154" s="1">
        <v>0</v>
      </c>
      <c r="AT154" s="1" t="s">
        <v>2839</v>
      </c>
      <c r="AU154" s="1" t="s">
        <v>2840</v>
      </c>
      <c r="AV154" s="1" t="s">
        <v>1663</v>
      </c>
      <c r="AW154" s="1">
        <f>91-9477589374</f>
        <v>-9477589283</v>
      </c>
      <c r="AX154" s="1" t="s">
        <v>1120</v>
      </c>
      <c r="AY154" s="1" t="s">
        <v>150</v>
      </c>
      <c r="AZ154" s="1">
        <v>5.05</v>
      </c>
      <c r="BA154" s="1">
        <v>6</v>
      </c>
      <c r="BE154" s="1" t="s">
        <v>281</v>
      </c>
      <c r="BG154" s="1" t="s">
        <v>100</v>
      </c>
      <c r="BH154" s="1" t="s">
        <v>101</v>
      </c>
      <c r="BJ154" s="1" t="s">
        <v>120</v>
      </c>
      <c r="BK154" s="1" t="s">
        <v>120</v>
      </c>
      <c r="BL154" s="1">
        <v>0</v>
      </c>
      <c r="BM154" s="1">
        <v>0</v>
      </c>
      <c r="BN154" s="1" t="s">
        <v>2841</v>
      </c>
      <c r="BO154" s="1">
        <v>1</v>
      </c>
      <c r="BP154" s="1" t="s">
        <v>1130</v>
      </c>
      <c r="BQ154" s="1" t="s">
        <v>112</v>
      </c>
      <c r="BR154" s="1">
        <v>0</v>
      </c>
      <c r="BS154" s="1" t="s">
        <v>334</v>
      </c>
      <c r="BT154" s="1" t="s">
        <v>124</v>
      </c>
      <c r="BU154" s="1" t="s">
        <v>112</v>
      </c>
      <c r="BV154" s="1" t="s">
        <v>112</v>
      </c>
      <c r="BW154" s="1" t="s">
        <v>112</v>
      </c>
      <c r="BX154" s="1" t="s">
        <v>112</v>
      </c>
      <c r="BY154" s="1" t="s">
        <v>465</v>
      </c>
      <c r="BZ154" s="1">
        <v>0</v>
      </c>
      <c r="CA154" s="1">
        <v>0</v>
      </c>
      <c r="CB154" s="4">
        <v>42774.927196793979</v>
      </c>
      <c r="CC154" s="1">
        <v>1</v>
      </c>
      <c r="CD154" s="1">
        <v>1</v>
      </c>
      <c r="CE154" s="1">
        <v>1</v>
      </c>
      <c r="CF154" s="1">
        <v>4</v>
      </c>
      <c r="CG154" s="4">
        <v>43014.305311724536</v>
      </c>
      <c r="CH154" s="1" t="s">
        <v>112</v>
      </c>
      <c r="CI154" s="1" t="s">
        <v>2842</v>
      </c>
      <c r="CJ154" s="1" t="s">
        <v>129</v>
      </c>
    </row>
    <row r="155" spans="1:88" x14ac:dyDescent="0.35">
      <c r="A155" s="1">
        <v>1649</v>
      </c>
      <c r="B155" s="1" t="s">
        <v>2843</v>
      </c>
      <c r="C155" s="1" t="s">
        <v>2844</v>
      </c>
      <c r="D155" s="1" t="s">
        <v>90</v>
      </c>
      <c r="E155" s="1" t="s">
        <v>2845</v>
      </c>
      <c r="F155" s="1" t="s">
        <v>581</v>
      </c>
      <c r="G155" s="1">
        <v>1</v>
      </c>
      <c r="H155" s="3">
        <v>32839</v>
      </c>
      <c r="I155" s="1">
        <v>1</v>
      </c>
      <c r="J155" s="1" t="s">
        <v>162</v>
      </c>
      <c r="K155" s="1" t="s">
        <v>1406</v>
      </c>
      <c r="L155" s="2">
        <f>91-9924168439</f>
        <v>-9924168348</v>
      </c>
      <c r="M155" s="1" t="s">
        <v>150</v>
      </c>
      <c r="N155" s="1">
        <v>0</v>
      </c>
      <c r="O155" s="1">
        <v>0</v>
      </c>
      <c r="P155" s="1">
        <v>5.1100000000000003</v>
      </c>
      <c r="Q155" s="1">
        <v>43</v>
      </c>
      <c r="R155" s="1" t="s">
        <v>188</v>
      </c>
      <c r="S155" s="1" t="s">
        <v>97</v>
      </c>
      <c r="T155" s="1" t="s">
        <v>427</v>
      </c>
      <c r="U155" s="1" t="s">
        <v>2846</v>
      </c>
      <c r="V155" s="1" t="s">
        <v>2847</v>
      </c>
      <c r="W155" s="1" t="s">
        <v>124</v>
      </c>
      <c r="X155" s="1" t="s">
        <v>170</v>
      </c>
      <c r="Y155" s="1" t="s">
        <v>210</v>
      </c>
      <c r="Z155" s="1" t="s">
        <v>450</v>
      </c>
      <c r="AA155" s="1" t="s">
        <v>2848</v>
      </c>
      <c r="AB155" s="1">
        <v>0</v>
      </c>
      <c r="AD155" s="1" t="s">
        <v>2849</v>
      </c>
      <c r="AE155" s="1">
        <f>91-9033255929</f>
        <v>-9033255838</v>
      </c>
      <c r="AF155" s="1" t="s">
        <v>105</v>
      </c>
      <c r="AG155" s="1" t="s">
        <v>2850</v>
      </c>
      <c r="AH155" s="1" t="s">
        <v>2851</v>
      </c>
      <c r="AI155" s="1" t="s">
        <v>2852</v>
      </c>
      <c r="AJ155" s="1" t="s">
        <v>109</v>
      </c>
      <c r="AK155" s="1" t="s">
        <v>2853</v>
      </c>
      <c r="AL155" s="1">
        <v>8</v>
      </c>
      <c r="AM155" s="1" t="s">
        <v>129</v>
      </c>
      <c r="AN155" s="1" t="s">
        <v>124</v>
      </c>
      <c r="AO155" s="1" t="s">
        <v>2854</v>
      </c>
      <c r="AP155" s="1">
        <f>91-9924168439</f>
        <v>-9924168348</v>
      </c>
      <c r="AQ155" s="1" t="s">
        <v>198</v>
      </c>
      <c r="AR155" s="1">
        <v>0</v>
      </c>
      <c r="AS155" s="1">
        <v>0</v>
      </c>
      <c r="AT155" s="1" t="s">
        <v>2855</v>
      </c>
      <c r="AU155" s="1" t="s">
        <v>1406</v>
      </c>
      <c r="AV155" s="1" t="s">
        <v>2856</v>
      </c>
      <c r="AW155" s="1">
        <f>91-9925122633</f>
        <v>-9925122542</v>
      </c>
      <c r="AX155" s="1" t="s">
        <v>118</v>
      </c>
      <c r="AY155" s="1" t="s">
        <v>351</v>
      </c>
      <c r="AZ155" s="1">
        <v>5.01</v>
      </c>
      <c r="BA155" s="1">
        <v>6</v>
      </c>
      <c r="BB155" s="1" t="s">
        <v>151</v>
      </c>
      <c r="BC155" s="1" t="s">
        <v>304</v>
      </c>
      <c r="BD155" s="1" t="s">
        <v>1333</v>
      </c>
      <c r="BE155" s="1" t="s">
        <v>219</v>
      </c>
      <c r="BF155" s="1" t="s">
        <v>120</v>
      </c>
      <c r="BG155" s="1" t="s">
        <v>120</v>
      </c>
      <c r="BH155" s="1" t="s">
        <v>120</v>
      </c>
      <c r="BJ155" s="1" t="s">
        <v>120</v>
      </c>
      <c r="BK155" s="1" t="s">
        <v>120</v>
      </c>
      <c r="BL155" s="1">
        <v>0</v>
      </c>
      <c r="BM155" s="1">
        <v>0</v>
      </c>
      <c r="BN155" s="1" t="s">
        <v>2857</v>
      </c>
      <c r="BO155" s="1">
        <v>1</v>
      </c>
      <c r="BP155" s="1" t="s">
        <v>1630</v>
      </c>
      <c r="BQ155" s="1" t="s">
        <v>112</v>
      </c>
      <c r="BR155" s="1">
        <v>0</v>
      </c>
      <c r="BS155" s="1" t="s">
        <v>787</v>
      </c>
      <c r="BT155" s="1" t="s">
        <v>1123</v>
      </c>
      <c r="BU155" s="1" t="s">
        <v>2858</v>
      </c>
      <c r="BV155" s="1" t="s">
        <v>112</v>
      </c>
      <c r="BW155" s="1" t="s">
        <v>2859</v>
      </c>
      <c r="BX155" s="1" t="s">
        <v>2860</v>
      </c>
      <c r="BY155" s="1" t="s">
        <v>127</v>
      </c>
      <c r="BZ155" s="1">
        <v>1</v>
      </c>
      <c r="CA155" s="1">
        <v>1</v>
      </c>
      <c r="CB155" s="4">
        <v>42777.404243831021</v>
      </c>
      <c r="CC155" s="1">
        <v>1</v>
      </c>
      <c r="CD155" s="1">
        <v>1</v>
      </c>
      <c r="CE155" s="1">
        <v>1</v>
      </c>
      <c r="CF155" s="1">
        <v>1</v>
      </c>
      <c r="CG155" s="4">
        <v>44017.166099456015</v>
      </c>
      <c r="CH155" s="1" t="s">
        <v>112</v>
      </c>
      <c r="CI155" s="1" t="s">
        <v>1630</v>
      </c>
      <c r="CJ155" s="1" t="s">
        <v>157</v>
      </c>
    </row>
    <row r="156" spans="1:88" x14ac:dyDescent="0.35">
      <c r="A156" s="1">
        <v>1650</v>
      </c>
      <c r="B156" s="1" t="s">
        <v>2861</v>
      </c>
      <c r="C156" s="1" t="s">
        <v>2862</v>
      </c>
      <c r="D156" s="1" t="s">
        <v>90</v>
      </c>
      <c r="E156" s="1" t="s">
        <v>2863</v>
      </c>
      <c r="F156" s="1" t="s">
        <v>185</v>
      </c>
      <c r="G156" s="1">
        <v>1</v>
      </c>
      <c r="H156" s="3">
        <v>33375</v>
      </c>
      <c r="I156" s="1">
        <v>1</v>
      </c>
      <c r="J156" s="1" t="s">
        <v>2224</v>
      </c>
      <c r="K156" s="1" t="s">
        <v>2864</v>
      </c>
      <c r="L156" s="2">
        <f>91-9700813982</f>
        <v>-9700813891</v>
      </c>
      <c r="M156" s="1" t="s">
        <v>150</v>
      </c>
      <c r="N156" s="1">
        <v>0</v>
      </c>
      <c r="O156" s="1">
        <v>0</v>
      </c>
      <c r="P156" s="1">
        <v>5.08</v>
      </c>
      <c r="Q156" s="1">
        <v>54</v>
      </c>
      <c r="R156" s="1" t="s">
        <v>1131</v>
      </c>
      <c r="S156" s="1" t="s">
        <v>97</v>
      </c>
      <c r="T156" s="1" t="s">
        <v>234</v>
      </c>
      <c r="U156" s="1" t="s">
        <v>2540</v>
      </c>
      <c r="V156" s="1" t="s">
        <v>2540</v>
      </c>
      <c r="X156" s="1" t="s">
        <v>296</v>
      </c>
      <c r="Y156" s="1" t="s">
        <v>111</v>
      </c>
      <c r="Z156" s="1" t="s">
        <v>450</v>
      </c>
      <c r="AB156" s="1">
        <v>0</v>
      </c>
      <c r="AD156" s="1" t="s">
        <v>2865</v>
      </c>
      <c r="AE156" s="1">
        <f>91-9700813982</f>
        <v>-9700813891</v>
      </c>
      <c r="AF156" s="1" t="s">
        <v>2541</v>
      </c>
      <c r="AG156" s="1" t="s">
        <v>2866</v>
      </c>
      <c r="AH156" s="1" t="s">
        <v>2867</v>
      </c>
      <c r="AI156" s="1" t="s">
        <v>2868</v>
      </c>
      <c r="AJ156" s="1" t="s">
        <v>109</v>
      </c>
      <c r="AK156" s="1" t="s">
        <v>2869</v>
      </c>
      <c r="AL156" s="1">
        <v>40</v>
      </c>
      <c r="AM156" s="1" t="s">
        <v>2541</v>
      </c>
      <c r="AP156" s="1">
        <f>91-9885151277</f>
        <v>-9885151186</v>
      </c>
      <c r="AR156" s="1">
        <v>0</v>
      </c>
      <c r="AS156" s="1">
        <v>0</v>
      </c>
      <c r="AW156" s="1" t="s">
        <v>142</v>
      </c>
      <c r="AX156" s="1" t="s">
        <v>2305</v>
      </c>
      <c r="AY156" s="1" t="s">
        <v>150</v>
      </c>
      <c r="AZ156" s="1">
        <v>5.01</v>
      </c>
      <c r="BA156" s="1">
        <v>5.01</v>
      </c>
      <c r="BB156" s="1" t="s">
        <v>151</v>
      </c>
      <c r="BC156" s="1" t="s">
        <v>152</v>
      </c>
      <c r="BD156" s="1" t="s">
        <v>1395</v>
      </c>
      <c r="BE156" s="1" t="s">
        <v>120</v>
      </c>
      <c r="BF156" s="1" t="s">
        <v>120</v>
      </c>
      <c r="BG156" s="1" t="s">
        <v>2541</v>
      </c>
      <c r="BH156" s="1" t="s">
        <v>2541</v>
      </c>
      <c r="BI156" s="1" t="s">
        <v>132</v>
      </c>
      <c r="BL156" s="1">
        <v>0</v>
      </c>
      <c r="BM156" s="1">
        <v>0</v>
      </c>
      <c r="BN156" s="1" t="s">
        <v>2870</v>
      </c>
      <c r="BO156" s="1">
        <v>1</v>
      </c>
      <c r="BP156" s="1" t="s">
        <v>2871</v>
      </c>
      <c r="BQ156" s="1" t="s">
        <v>180</v>
      </c>
      <c r="BR156" s="1">
        <v>1</v>
      </c>
      <c r="BS156" s="1" t="s">
        <v>252</v>
      </c>
      <c r="BT156" s="1" t="s">
        <v>306</v>
      </c>
      <c r="BV156" s="1" t="s">
        <v>112</v>
      </c>
      <c r="BW156" s="1" t="s">
        <v>2872</v>
      </c>
      <c r="BX156" s="1" t="s">
        <v>2873</v>
      </c>
      <c r="BY156" s="1" t="s">
        <v>120</v>
      </c>
      <c r="BZ156" s="1">
        <v>0</v>
      </c>
      <c r="CA156" s="1">
        <v>0</v>
      </c>
      <c r="CB156" s="4">
        <v>42779.995097916668</v>
      </c>
      <c r="CC156" s="1">
        <v>1</v>
      </c>
      <c r="CD156" s="1">
        <v>1</v>
      </c>
      <c r="CE156" s="1">
        <v>1</v>
      </c>
      <c r="CF156" s="1">
        <v>1</v>
      </c>
      <c r="CG156" s="4">
        <v>43165.285554201386</v>
      </c>
      <c r="CH156" s="1" t="s">
        <v>112</v>
      </c>
      <c r="CI156" s="1" t="s">
        <v>2874</v>
      </c>
      <c r="CJ156" s="1" t="s">
        <v>157</v>
      </c>
    </row>
    <row r="157" spans="1:88" x14ac:dyDescent="0.35">
      <c r="A157" s="1">
        <v>1655</v>
      </c>
      <c r="B157" s="1" t="s">
        <v>2875</v>
      </c>
      <c r="C157" s="1" t="s">
        <v>2876</v>
      </c>
      <c r="D157" s="1" t="s">
        <v>90</v>
      </c>
      <c r="E157" s="1" t="s">
        <v>2877</v>
      </c>
      <c r="F157" s="1" t="s">
        <v>92</v>
      </c>
      <c r="G157" s="1">
        <v>1</v>
      </c>
      <c r="H157" s="3">
        <v>33469</v>
      </c>
      <c r="I157" s="1">
        <v>1</v>
      </c>
      <c r="J157" s="1" t="s">
        <v>93</v>
      </c>
      <c r="K157" s="1" t="s">
        <v>2878</v>
      </c>
      <c r="L157" s="2">
        <f>91-9545692522</f>
        <v>-9545692431</v>
      </c>
      <c r="M157" s="1" t="s">
        <v>150</v>
      </c>
      <c r="N157" s="1">
        <v>0</v>
      </c>
      <c r="O157" s="1">
        <v>0</v>
      </c>
      <c r="P157" s="1">
        <v>5.04</v>
      </c>
      <c r="Q157" s="1">
        <v>12</v>
      </c>
      <c r="R157" s="1" t="s">
        <v>470</v>
      </c>
      <c r="S157" s="1" t="s">
        <v>492</v>
      </c>
      <c r="T157" s="1" t="s">
        <v>98</v>
      </c>
      <c r="U157" s="1" t="s">
        <v>2879</v>
      </c>
      <c r="V157" s="1" t="s">
        <v>2880</v>
      </c>
      <c r="W157" s="1" t="s">
        <v>2881</v>
      </c>
      <c r="X157" s="1" t="s">
        <v>100</v>
      </c>
      <c r="Y157" s="1" t="s">
        <v>111</v>
      </c>
      <c r="Z157" s="1" t="s">
        <v>192</v>
      </c>
      <c r="AA157" s="1" t="s">
        <v>2878</v>
      </c>
      <c r="AB157" s="1">
        <v>0</v>
      </c>
      <c r="AD157" s="1" t="s">
        <v>2882</v>
      </c>
      <c r="AE157" s="1">
        <f>91-8055204841</f>
        <v>-8055204750</v>
      </c>
      <c r="AF157" s="1" t="s">
        <v>105</v>
      </c>
      <c r="AG157" s="1" t="s">
        <v>2883</v>
      </c>
      <c r="AH157" s="1" t="s">
        <v>2884</v>
      </c>
      <c r="AI157" s="1" t="s">
        <v>2885</v>
      </c>
      <c r="AJ157" s="1" t="s">
        <v>109</v>
      </c>
      <c r="AK157" s="1" t="s">
        <v>2886</v>
      </c>
      <c r="AL157" s="1">
        <v>34</v>
      </c>
      <c r="AM157" s="1" t="s">
        <v>111</v>
      </c>
      <c r="AN157" s="1" t="s">
        <v>2887</v>
      </c>
      <c r="AO157" s="1" t="s">
        <v>2888</v>
      </c>
      <c r="AP157" s="1">
        <f>91-8390171110</f>
        <v>-8390171019</v>
      </c>
      <c r="AQ157" s="1" t="s">
        <v>2881</v>
      </c>
      <c r="AR157" s="1">
        <v>1</v>
      </c>
      <c r="AS157" s="1">
        <v>1</v>
      </c>
      <c r="AT157" s="1" t="s">
        <v>2889</v>
      </c>
      <c r="AU157" s="1" t="s">
        <v>2890</v>
      </c>
      <c r="AV157" s="1" t="s">
        <v>2891</v>
      </c>
      <c r="AW157" s="1">
        <f>91-8237201603</f>
        <v>-8237201512</v>
      </c>
      <c r="AX157" s="1" t="s">
        <v>149</v>
      </c>
      <c r="AY157" s="1" t="s">
        <v>150</v>
      </c>
      <c r="AZ157" s="1">
        <v>4.0599999999999996</v>
      </c>
      <c r="BA157" s="1">
        <v>5.03</v>
      </c>
      <c r="BB157" s="1" t="s">
        <v>151</v>
      </c>
      <c r="BC157" s="1" t="s">
        <v>304</v>
      </c>
      <c r="BD157" s="1" t="s">
        <v>1333</v>
      </c>
      <c r="BE157" s="1" t="s">
        <v>120</v>
      </c>
      <c r="BF157" s="1" t="s">
        <v>120</v>
      </c>
      <c r="BG157" s="1" t="s">
        <v>120</v>
      </c>
      <c r="BH157" s="1" t="s">
        <v>120</v>
      </c>
      <c r="BJ157" s="1" t="s">
        <v>120</v>
      </c>
      <c r="BK157" s="1" t="s">
        <v>120</v>
      </c>
      <c r="BL157" s="1">
        <v>0</v>
      </c>
      <c r="BM157" s="1">
        <v>0</v>
      </c>
      <c r="BN157" s="1" t="s">
        <v>2892</v>
      </c>
      <c r="BO157" s="1">
        <v>1</v>
      </c>
      <c r="BP157" s="1" t="s">
        <v>2893</v>
      </c>
      <c r="BQ157" s="1" t="s">
        <v>112</v>
      </c>
      <c r="BR157" s="1">
        <v>0</v>
      </c>
      <c r="BS157" s="1" t="s">
        <v>376</v>
      </c>
      <c r="BT157" s="1" t="s">
        <v>124</v>
      </c>
      <c r="BU157" s="1" t="s">
        <v>112</v>
      </c>
      <c r="BV157" s="1" t="s">
        <v>112</v>
      </c>
      <c r="BW157" s="1" t="s">
        <v>2894</v>
      </c>
      <c r="BX157" s="1" t="s">
        <v>2895</v>
      </c>
      <c r="BY157" s="1" t="s">
        <v>465</v>
      </c>
      <c r="BZ157" s="1">
        <v>1</v>
      </c>
      <c r="CA157" s="1">
        <v>1</v>
      </c>
      <c r="CB157" s="4">
        <v>42786.068783831019</v>
      </c>
      <c r="CC157" s="1">
        <v>1</v>
      </c>
      <c r="CD157" s="1">
        <v>1</v>
      </c>
      <c r="CE157" s="1">
        <v>1</v>
      </c>
      <c r="CF157" s="1">
        <v>4</v>
      </c>
      <c r="CG157" s="4">
        <v>42940.178668749999</v>
      </c>
      <c r="CH157" s="1" t="s">
        <v>112</v>
      </c>
      <c r="CI157" s="1" t="s">
        <v>2896</v>
      </c>
      <c r="CJ157" s="1" t="s">
        <v>157</v>
      </c>
    </row>
    <row r="158" spans="1:88" x14ac:dyDescent="0.35">
      <c r="A158" s="1">
        <v>1657</v>
      </c>
      <c r="B158" s="1" t="s">
        <v>2897</v>
      </c>
      <c r="C158" s="1" t="s">
        <v>2898</v>
      </c>
      <c r="D158" s="1" t="s">
        <v>229</v>
      </c>
      <c r="E158" s="1" t="s">
        <v>1599</v>
      </c>
      <c r="F158" s="1" t="s">
        <v>2366</v>
      </c>
      <c r="G158" s="1">
        <v>1</v>
      </c>
      <c r="H158" s="3">
        <v>33570</v>
      </c>
      <c r="I158" s="1">
        <v>1</v>
      </c>
      <c r="J158" s="1" t="s">
        <v>93</v>
      </c>
      <c r="K158" s="1" t="s">
        <v>94</v>
      </c>
      <c r="L158" s="2">
        <f>91-9920027265</f>
        <v>-9920027174</v>
      </c>
      <c r="M158" s="1" t="s">
        <v>150</v>
      </c>
      <c r="N158" s="1">
        <v>0</v>
      </c>
      <c r="O158" s="1">
        <v>0</v>
      </c>
      <c r="P158" s="1">
        <v>5.09</v>
      </c>
      <c r="Q158" s="1">
        <v>32</v>
      </c>
      <c r="R158" s="1" t="s">
        <v>1020</v>
      </c>
      <c r="S158" s="1" t="s">
        <v>1914</v>
      </c>
      <c r="T158" s="1" t="s">
        <v>1915</v>
      </c>
      <c r="U158" s="1" t="s">
        <v>2540</v>
      </c>
      <c r="V158" s="1" t="s">
        <v>2540</v>
      </c>
      <c r="X158" s="1" t="s">
        <v>170</v>
      </c>
      <c r="Y158" s="1" t="s">
        <v>101</v>
      </c>
      <c r="Z158" s="1" t="s">
        <v>1899</v>
      </c>
      <c r="AB158" s="1">
        <v>0</v>
      </c>
      <c r="AD158" s="1" t="s">
        <v>2899</v>
      </c>
      <c r="AE158" s="1">
        <f>91-9920027265</f>
        <v>-9920027174</v>
      </c>
      <c r="AF158" s="1" t="s">
        <v>2541</v>
      </c>
      <c r="AG158" s="1" t="s">
        <v>2900</v>
      </c>
      <c r="AH158" s="1" t="s">
        <v>107</v>
      </c>
      <c r="AI158" s="1" t="s">
        <v>2901</v>
      </c>
      <c r="AJ158" s="1" t="s">
        <v>109</v>
      </c>
      <c r="AK158" s="1" t="s">
        <v>2902</v>
      </c>
      <c r="AL158" s="1">
        <v>5</v>
      </c>
      <c r="AM158" s="1" t="s">
        <v>2541</v>
      </c>
      <c r="AP158" s="1">
        <f>91-9920027235</f>
        <v>-9920027144</v>
      </c>
      <c r="AR158" s="1">
        <v>0</v>
      </c>
      <c r="AS158" s="1">
        <v>0</v>
      </c>
      <c r="AW158" s="1" t="s">
        <v>142</v>
      </c>
      <c r="AX158" s="1" t="s">
        <v>642</v>
      </c>
      <c r="AY158" s="1" t="s">
        <v>150</v>
      </c>
      <c r="AZ158" s="1">
        <v>5.04</v>
      </c>
      <c r="BA158" s="1">
        <v>6</v>
      </c>
      <c r="BB158" s="1" t="s">
        <v>151</v>
      </c>
      <c r="BC158" s="1" t="s">
        <v>152</v>
      </c>
      <c r="BD158" s="1" t="s">
        <v>1395</v>
      </c>
      <c r="BE158" s="1" t="s">
        <v>1419</v>
      </c>
      <c r="BF158" s="1" t="s">
        <v>120</v>
      </c>
      <c r="BG158" s="1" t="s">
        <v>2541</v>
      </c>
      <c r="BH158" s="1" t="s">
        <v>2541</v>
      </c>
      <c r="BI158" s="1" t="s">
        <v>1899</v>
      </c>
      <c r="BL158" s="1">
        <v>0</v>
      </c>
      <c r="BM158" s="1">
        <v>0</v>
      </c>
      <c r="BN158" s="1" t="s">
        <v>2903</v>
      </c>
      <c r="BO158" s="1" t="s">
        <v>112</v>
      </c>
      <c r="BP158" s="1" t="s">
        <v>112</v>
      </c>
      <c r="BQ158" s="1" t="s">
        <v>112</v>
      </c>
      <c r="BR158" s="1" t="s">
        <v>112</v>
      </c>
      <c r="BS158" s="1" t="s">
        <v>112</v>
      </c>
      <c r="BT158" s="1" t="s">
        <v>112</v>
      </c>
      <c r="BU158" s="1" t="s">
        <v>112</v>
      </c>
      <c r="BV158" s="1" t="s">
        <v>112</v>
      </c>
      <c r="BW158" s="1" t="s">
        <v>2904</v>
      </c>
      <c r="BX158" s="1" t="s">
        <v>2905</v>
      </c>
      <c r="BY158" s="1" t="s">
        <v>120</v>
      </c>
      <c r="BZ158" s="1">
        <v>0</v>
      </c>
      <c r="CA158" s="1">
        <v>0</v>
      </c>
      <c r="CB158" s="4">
        <v>42787.410233877315</v>
      </c>
      <c r="CC158" s="1">
        <v>1</v>
      </c>
      <c r="CD158" s="1">
        <v>1</v>
      </c>
      <c r="CE158" s="1">
        <v>1</v>
      </c>
      <c r="CF158" s="1">
        <v>1</v>
      </c>
      <c r="CG158" s="4">
        <v>43105.33708892361</v>
      </c>
      <c r="CH158" s="1" t="s">
        <v>112</v>
      </c>
      <c r="CI158" s="1" t="s">
        <v>1509</v>
      </c>
      <c r="CJ158" s="1" t="s">
        <v>157</v>
      </c>
    </row>
    <row r="159" spans="1:88" x14ac:dyDescent="0.35">
      <c r="A159" s="1">
        <v>1660</v>
      </c>
      <c r="B159" s="1" t="s">
        <v>2906</v>
      </c>
      <c r="C159" s="1" t="s">
        <v>2907</v>
      </c>
      <c r="D159" s="1" t="s">
        <v>312</v>
      </c>
      <c r="E159" s="1" t="s">
        <v>91</v>
      </c>
      <c r="F159" s="1" t="s">
        <v>134</v>
      </c>
      <c r="G159" s="1">
        <v>1</v>
      </c>
      <c r="H159" s="3">
        <v>32190</v>
      </c>
      <c r="I159" s="1">
        <v>1</v>
      </c>
      <c r="J159" s="1" t="s">
        <v>93</v>
      </c>
      <c r="K159" s="1" t="s">
        <v>94</v>
      </c>
      <c r="L159" s="2">
        <f>91-9323595962</f>
        <v>-9323595871</v>
      </c>
      <c r="M159" s="1" t="s">
        <v>150</v>
      </c>
      <c r="N159" s="1">
        <v>0</v>
      </c>
      <c r="O159" s="1">
        <v>0</v>
      </c>
      <c r="P159" s="1">
        <v>5.0599999999999996</v>
      </c>
      <c r="Q159" s="1">
        <v>32</v>
      </c>
      <c r="R159" s="1" t="s">
        <v>1020</v>
      </c>
      <c r="S159" s="1" t="s">
        <v>136</v>
      </c>
      <c r="T159" s="1" t="s">
        <v>234</v>
      </c>
      <c r="U159" s="1" t="s">
        <v>2540</v>
      </c>
      <c r="V159" s="1" t="s">
        <v>2540</v>
      </c>
      <c r="X159" s="1" t="s">
        <v>100</v>
      </c>
      <c r="Y159" s="1" t="s">
        <v>111</v>
      </c>
      <c r="Z159" s="1" t="s">
        <v>192</v>
      </c>
      <c r="AB159" s="1">
        <v>0</v>
      </c>
      <c r="AD159" s="1" t="s">
        <v>2908</v>
      </c>
      <c r="AE159" s="1">
        <f>91-9022427728</f>
        <v>-9022427637</v>
      </c>
      <c r="AF159" s="1" t="s">
        <v>2541</v>
      </c>
      <c r="AG159" s="1" t="s">
        <v>2909</v>
      </c>
      <c r="AH159" s="1" t="s">
        <v>2910</v>
      </c>
      <c r="AI159" s="1" t="s">
        <v>2911</v>
      </c>
      <c r="AJ159" s="1" t="s">
        <v>109</v>
      </c>
      <c r="AK159" s="1" t="s">
        <v>2912</v>
      </c>
      <c r="AL159" s="1">
        <v>10</v>
      </c>
      <c r="AM159" s="1" t="s">
        <v>2541</v>
      </c>
      <c r="AP159" s="1">
        <f>91-9022427728</f>
        <v>-9022427637</v>
      </c>
      <c r="AR159" s="1">
        <v>0</v>
      </c>
      <c r="AS159" s="1">
        <v>0</v>
      </c>
      <c r="AW159" s="1" t="s">
        <v>142</v>
      </c>
      <c r="AX159" s="1" t="s">
        <v>350</v>
      </c>
      <c r="AY159" s="1" t="s">
        <v>150</v>
      </c>
      <c r="AZ159" s="1">
        <v>5.0599999999999996</v>
      </c>
      <c r="BA159" s="1">
        <v>5.0599999999999996</v>
      </c>
      <c r="BB159" s="1" t="s">
        <v>151</v>
      </c>
      <c r="BC159" s="1" t="s">
        <v>152</v>
      </c>
      <c r="BD159" s="1" t="s">
        <v>1395</v>
      </c>
      <c r="BE159" s="1" t="s">
        <v>120</v>
      </c>
      <c r="BF159" s="1" t="s">
        <v>120</v>
      </c>
      <c r="BG159" s="1" t="s">
        <v>2541</v>
      </c>
      <c r="BH159" s="1" t="s">
        <v>2541</v>
      </c>
      <c r="BI159" s="1" t="s">
        <v>192</v>
      </c>
      <c r="BL159" s="1">
        <v>0</v>
      </c>
      <c r="BM159" s="1">
        <v>1</v>
      </c>
      <c r="BN159" s="1" t="s">
        <v>2913</v>
      </c>
      <c r="BO159" s="1">
        <v>0</v>
      </c>
      <c r="BQ159" s="1" t="s">
        <v>180</v>
      </c>
      <c r="BR159" s="1">
        <v>0</v>
      </c>
      <c r="BS159" s="1" t="s">
        <v>123</v>
      </c>
      <c r="BT159" s="1" t="s">
        <v>124</v>
      </c>
      <c r="BV159" s="1" t="s">
        <v>112</v>
      </c>
      <c r="BW159" s="1" t="s">
        <v>2914</v>
      </c>
      <c r="BX159" s="1" t="s">
        <v>2915</v>
      </c>
      <c r="BY159" s="1" t="s">
        <v>120</v>
      </c>
      <c r="BZ159" s="1">
        <v>0</v>
      </c>
      <c r="CA159" s="1">
        <v>0</v>
      </c>
      <c r="CB159" s="4">
        <v>42788.415132789349</v>
      </c>
      <c r="CC159" s="1">
        <v>1</v>
      </c>
      <c r="CD159" s="1">
        <v>1</v>
      </c>
      <c r="CE159" s="1">
        <v>1</v>
      </c>
      <c r="CF159" s="1">
        <v>4</v>
      </c>
      <c r="CG159" s="1" t="s">
        <v>112</v>
      </c>
      <c r="CH159" s="1" t="s">
        <v>112</v>
      </c>
      <c r="CI159" s="1" t="s">
        <v>2916</v>
      </c>
      <c r="CJ159" s="1" t="s">
        <v>157</v>
      </c>
    </row>
    <row r="160" spans="1:88" x14ac:dyDescent="0.35">
      <c r="A160" s="1">
        <v>1662</v>
      </c>
      <c r="B160" s="1" t="s">
        <v>2917</v>
      </c>
      <c r="C160" s="1">
        <v>8866338970</v>
      </c>
      <c r="D160" s="1" t="s">
        <v>90</v>
      </c>
      <c r="E160" s="1" t="s">
        <v>1756</v>
      </c>
      <c r="F160" s="1" t="s">
        <v>1926</v>
      </c>
      <c r="G160" s="1">
        <v>1</v>
      </c>
      <c r="H160" s="3">
        <v>33789</v>
      </c>
      <c r="I160" s="1">
        <v>1</v>
      </c>
      <c r="J160" s="1" t="s">
        <v>162</v>
      </c>
      <c r="K160" s="1" t="s">
        <v>959</v>
      </c>
      <c r="L160" s="2">
        <f>91-9879809729</f>
        <v>-9879809638</v>
      </c>
      <c r="M160" s="1" t="s">
        <v>150</v>
      </c>
      <c r="N160" s="1">
        <v>0</v>
      </c>
      <c r="O160" s="1">
        <v>0</v>
      </c>
      <c r="P160" s="1">
        <v>5.0999999999999996</v>
      </c>
      <c r="Q160" s="1">
        <v>38</v>
      </c>
      <c r="R160" s="1" t="s">
        <v>317</v>
      </c>
      <c r="S160" s="1" t="s">
        <v>97</v>
      </c>
      <c r="T160" s="1" t="s">
        <v>137</v>
      </c>
      <c r="U160" s="1" t="s">
        <v>2540</v>
      </c>
      <c r="V160" s="1" t="s">
        <v>2540</v>
      </c>
      <c r="X160" s="1" t="s">
        <v>170</v>
      </c>
      <c r="Y160" s="1" t="s">
        <v>111</v>
      </c>
      <c r="Z160" s="1" t="s">
        <v>192</v>
      </c>
      <c r="AB160" s="1">
        <v>0</v>
      </c>
      <c r="AD160" s="1" t="s">
        <v>1814</v>
      </c>
      <c r="AE160" s="1">
        <f>91-9687908977</f>
        <v>-9687908886</v>
      </c>
      <c r="AF160" s="1" t="s">
        <v>2541</v>
      </c>
      <c r="AG160" s="1" t="s">
        <v>2918</v>
      </c>
      <c r="AH160" s="1" t="s">
        <v>2919</v>
      </c>
      <c r="AI160" s="1" t="s">
        <v>2920</v>
      </c>
      <c r="AJ160" s="1" t="s">
        <v>109</v>
      </c>
      <c r="AK160" s="1" t="s">
        <v>2921</v>
      </c>
      <c r="AL160" s="1">
        <v>5</v>
      </c>
      <c r="AM160" s="1" t="s">
        <v>2541</v>
      </c>
      <c r="AP160" s="1">
        <f>91-9724881739</f>
        <v>-9724881648</v>
      </c>
      <c r="AR160" s="1">
        <v>0</v>
      </c>
      <c r="AS160" s="1">
        <v>0</v>
      </c>
      <c r="AW160" s="1" t="s">
        <v>142</v>
      </c>
      <c r="AX160" s="1" t="s">
        <v>2615</v>
      </c>
      <c r="AY160" s="1" t="s">
        <v>150</v>
      </c>
      <c r="AZ160" s="1">
        <v>5.0999999999999996</v>
      </c>
      <c r="BA160" s="1">
        <v>5.0999999999999996</v>
      </c>
      <c r="BB160" s="1" t="s">
        <v>151</v>
      </c>
      <c r="BC160" s="1" t="s">
        <v>152</v>
      </c>
      <c r="BD160" s="1" t="s">
        <v>1395</v>
      </c>
      <c r="BE160" s="1" t="s">
        <v>120</v>
      </c>
      <c r="BF160" s="1" t="s">
        <v>120</v>
      </c>
      <c r="BG160" s="1" t="s">
        <v>2541</v>
      </c>
      <c r="BH160" s="1" t="s">
        <v>2541</v>
      </c>
      <c r="BI160" s="1" t="s">
        <v>192</v>
      </c>
      <c r="BL160" s="1">
        <v>0</v>
      </c>
      <c r="BM160" s="1">
        <v>0</v>
      </c>
      <c r="BN160" s="1" t="s">
        <v>124</v>
      </c>
      <c r="BO160" s="1">
        <v>0</v>
      </c>
      <c r="BQ160" s="1" t="s">
        <v>180</v>
      </c>
      <c r="BR160" s="1">
        <v>0</v>
      </c>
      <c r="BS160" s="1" t="s">
        <v>223</v>
      </c>
      <c r="BT160" s="1" t="s">
        <v>124</v>
      </c>
      <c r="BV160" s="1" t="s">
        <v>112</v>
      </c>
      <c r="BW160" s="1" t="s">
        <v>2922</v>
      </c>
      <c r="BX160" s="1" t="s">
        <v>2923</v>
      </c>
      <c r="BY160" s="1" t="s">
        <v>120</v>
      </c>
      <c r="BZ160" s="1">
        <v>0</v>
      </c>
      <c r="CA160" s="1">
        <v>0</v>
      </c>
      <c r="CB160" s="4">
        <v>42789.964648263885</v>
      </c>
      <c r="CC160" s="1">
        <v>1</v>
      </c>
      <c r="CD160" s="1">
        <v>1</v>
      </c>
      <c r="CE160" s="1">
        <v>1</v>
      </c>
      <c r="CF160" s="1">
        <v>4</v>
      </c>
      <c r="CG160" s="1" t="s">
        <v>112</v>
      </c>
      <c r="CH160" s="1" t="s">
        <v>112</v>
      </c>
      <c r="CI160" s="1" t="s">
        <v>1144</v>
      </c>
      <c r="CJ160" s="1" t="s">
        <v>157</v>
      </c>
    </row>
    <row r="161" spans="1:88" x14ac:dyDescent="0.35">
      <c r="A161" s="1">
        <v>1663</v>
      </c>
      <c r="B161" s="1" t="s">
        <v>2924</v>
      </c>
      <c r="C161" s="1" t="s">
        <v>2925</v>
      </c>
      <c r="D161" s="1" t="s">
        <v>90</v>
      </c>
      <c r="E161" s="1" t="s">
        <v>2685</v>
      </c>
      <c r="F161" s="1" t="s">
        <v>2926</v>
      </c>
      <c r="G161" s="1">
        <v>0</v>
      </c>
      <c r="H161" s="3">
        <v>33732</v>
      </c>
      <c r="I161" s="1">
        <v>1</v>
      </c>
      <c r="J161" s="1" t="s">
        <v>93</v>
      </c>
      <c r="K161" s="1" t="s">
        <v>1130</v>
      </c>
      <c r="L161" s="2">
        <f>91-9370977497</f>
        <v>-9370977406</v>
      </c>
      <c r="M161" s="1" t="s">
        <v>150</v>
      </c>
      <c r="N161" s="1">
        <v>0</v>
      </c>
      <c r="O161" s="1">
        <v>0</v>
      </c>
      <c r="P161" s="1">
        <v>5.04</v>
      </c>
      <c r="Q161" s="1">
        <v>15</v>
      </c>
      <c r="R161" s="1" t="s">
        <v>2671</v>
      </c>
      <c r="S161" s="1" t="s">
        <v>136</v>
      </c>
      <c r="T161" s="1" t="s">
        <v>341</v>
      </c>
      <c r="U161" s="1" t="s">
        <v>2540</v>
      </c>
      <c r="V161" s="1" t="s">
        <v>2540</v>
      </c>
      <c r="X161" s="1" t="s">
        <v>100</v>
      </c>
      <c r="Y161" s="1" t="s">
        <v>101</v>
      </c>
      <c r="Z161" s="1" t="s">
        <v>102</v>
      </c>
      <c r="AB161" s="1">
        <v>0</v>
      </c>
      <c r="AD161" s="1" t="s">
        <v>2927</v>
      </c>
      <c r="AE161" s="1">
        <f>91-9595277497</f>
        <v>-9595277406</v>
      </c>
      <c r="AF161" s="1" t="s">
        <v>105</v>
      </c>
      <c r="AG161" s="1" t="s">
        <v>2928</v>
      </c>
      <c r="AH161" s="1" t="s">
        <v>2929</v>
      </c>
      <c r="AI161" s="1" t="s">
        <v>2930</v>
      </c>
      <c r="AJ161" s="1" t="s">
        <v>109</v>
      </c>
      <c r="AK161" s="1" t="s">
        <v>2931</v>
      </c>
      <c r="AL161" s="1">
        <v>50</v>
      </c>
      <c r="AM161" s="1" t="s">
        <v>111</v>
      </c>
      <c r="AN161" s="1" t="s">
        <v>2932</v>
      </c>
      <c r="AO161" s="1" t="s">
        <v>2933</v>
      </c>
      <c r="AP161" s="1">
        <f>91-9370977497</f>
        <v>-9370977406</v>
      </c>
      <c r="AR161" s="1">
        <v>1</v>
      </c>
      <c r="AS161" s="1">
        <v>0</v>
      </c>
      <c r="AT161" s="1" t="s">
        <v>2934</v>
      </c>
      <c r="AU161" s="1" t="s">
        <v>2935</v>
      </c>
      <c r="AV161" s="1" t="s">
        <v>2936</v>
      </c>
      <c r="AW161" s="1">
        <f>91-9881060555</f>
        <v>-9881060464</v>
      </c>
      <c r="AX161" s="1" t="s">
        <v>2561</v>
      </c>
      <c r="AY161" s="1" t="s">
        <v>150</v>
      </c>
      <c r="AZ161" s="1">
        <v>5.09</v>
      </c>
      <c r="BA161" s="1">
        <v>5.1100000000000003</v>
      </c>
      <c r="BB161" s="1" t="s">
        <v>151</v>
      </c>
      <c r="BC161" s="1" t="s">
        <v>304</v>
      </c>
      <c r="BD161" s="1" t="s">
        <v>1333</v>
      </c>
      <c r="BE161" s="1" t="s">
        <v>120</v>
      </c>
      <c r="BF161" s="1" t="s">
        <v>120</v>
      </c>
      <c r="BG161" s="1" t="s">
        <v>2937</v>
      </c>
      <c r="BH161" s="1" t="s">
        <v>283</v>
      </c>
      <c r="BJ161" s="1" t="s">
        <v>120</v>
      </c>
      <c r="BK161" s="1" t="s">
        <v>120</v>
      </c>
      <c r="BL161" s="1">
        <v>0</v>
      </c>
      <c r="BM161" s="1">
        <v>1</v>
      </c>
      <c r="BN161" s="1" t="s">
        <v>2938</v>
      </c>
      <c r="BO161" s="1">
        <v>1</v>
      </c>
      <c r="BP161" s="1" t="s">
        <v>1130</v>
      </c>
      <c r="BQ161" s="1" t="s">
        <v>112</v>
      </c>
      <c r="BR161" s="1">
        <v>0</v>
      </c>
      <c r="BS161" s="1" t="s">
        <v>307</v>
      </c>
      <c r="BT161" s="1" t="s">
        <v>124</v>
      </c>
      <c r="BU161" s="1" t="s">
        <v>112</v>
      </c>
      <c r="BV161" s="1" t="s">
        <v>112</v>
      </c>
      <c r="BW161" s="1" t="s">
        <v>2939</v>
      </c>
      <c r="BX161" s="1" t="s">
        <v>2940</v>
      </c>
      <c r="BY161" s="1" t="s">
        <v>127</v>
      </c>
      <c r="BZ161" s="1">
        <v>0</v>
      </c>
      <c r="CA161" s="1">
        <v>0</v>
      </c>
      <c r="CB161" s="4">
        <v>42790.031636030093</v>
      </c>
      <c r="CC161" s="1">
        <v>1</v>
      </c>
      <c r="CD161" s="1">
        <v>1</v>
      </c>
      <c r="CE161" s="1">
        <v>1</v>
      </c>
      <c r="CF161" s="1">
        <v>4</v>
      </c>
      <c r="CG161" s="4">
        <v>42808.299771874998</v>
      </c>
      <c r="CH161" s="1" t="s">
        <v>112</v>
      </c>
      <c r="CI161" s="1" t="s">
        <v>2941</v>
      </c>
      <c r="CJ161" s="1" t="s">
        <v>157</v>
      </c>
    </row>
    <row r="162" spans="1:88" x14ac:dyDescent="0.35">
      <c r="A162" s="1">
        <v>1666</v>
      </c>
      <c r="B162" s="1" t="s">
        <v>2942</v>
      </c>
      <c r="C162" s="1" t="s">
        <v>2943</v>
      </c>
      <c r="D162" s="1" t="s">
        <v>711</v>
      </c>
      <c r="E162" s="1" t="s">
        <v>2944</v>
      </c>
      <c r="F162" s="1" t="s">
        <v>208</v>
      </c>
      <c r="G162" s="1">
        <v>0</v>
      </c>
      <c r="H162" s="3">
        <v>33536</v>
      </c>
      <c r="I162" s="1">
        <v>1</v>
      </c>
      <c r="J162" s="1" t="s">
        <v>162</v>
      </c>
      <c r="K162" s="1" t="s">
        <v>1037</v>
      </c>
      <c r="L162" s="2">
        <f>91-9662493270</f>
        <v>-9662493179</v>
      </c>
      <c r="M162" s="1" t="s">
        <v>150</v>
      </c>
      <c r="N162" s="1">
        <v>0</v>
      </c>
      <c r="O162" s="1">
        <v>0</v>
      </c>
      <c r="P162" s="1">
        <v>5.01</v>
      </c>
      <c r="Q162" s="1">
        <v>10</v>
      </c>
      <c r="S162" s="1" t="s">
        <v>1914</v>
      </c>
      <c r="T162" s="1" t="s">
        <v>1915</v>
      </c>
      <c r="U162" s="1" t="s">
        <v>2540</v>
      </c>
      <c r="V162" s="1" t="s">
        <v>2540</v>
      </c>
      <c r="X162" s="1" t="s">
        <v>170</v>
      </c>
      <c r="Y162" s="1" t="s">
        <v>2945</v>
      </c>
      <c r="Z162" s="1" t="s">
        <v>1917</v>
      </c>
      <c r="AB162" s="1">
        <v>0</v>
      </c>
      <c r="AD162" s="1" t="s">
        <v>2946</v>
      </c>
      <c r="AE162" s="1">
        <f>91-9662493270</f>
        <v>-9662493179</v>
      </c>
      <c r="AF162" s="1" t="s">
        <v>2541</v>
      </c>
      <c r="AG162" s="1" t="s">
        <v>2947</v>
      </c>
      <c r="AH162" s="1" t="s">
        <v>2948</v>
      </c>
      <c r="AI162" s="1" t="s">
        <v>2949</v>
      </c>
      <c r="AJ162" s="1" t="s">
        <v>109</v>
      </c>
      <c r="AK162" s="1" t="s">
        <v>2950</v>
      </c>
      <c r="AL162" s="1">
        <v>30</v>
      </c>
      <c r="AM162" s="1" t="s">
        <v>2541</v>
      </c>
      <c r="AP162" s="1">
        <f>91-9427048105</f>
        <v>-9427048014</v>
      </c>
      <c r="AR162" s="1">
        <v>0</v>
      </c>
      <c r="AS162" s="1">
        <v>0</v>
      </c>
      <c r="AW162" s="1" t="s">
        <v>142</v>
      </c>
      <c r="AX162" s="1" t="s">
        <v>1440</v>
      </c>
      <c r="AY162" s="1" t="s">
        <v>150</v>
      </c>
      <c r="AZ162" s="1">
        <v>5.05</v>
      </c>
      <c r="BA162" s="1">
        <v>6</v>
      </c>
      <c r="BB162" s="1" t="s">
        <v>151</v>
      </c>
      <c r="BC162" s="1" t="s">
        <v>152</v>
      </c>
      <c r="BD162" s="1" t="s">
        <v>1395</v>
      </c>
      <c r="BE162" s="1" t="s">
        <v>2951</v>
      </c>
      <c r="BF162" s="1" t="s">
        <v>120</v>
      </c>
      <c r="BG162" s="1" t="s">
        <v>2541</v>
      </c>
      <c r="BH162" s="1" t="s">
        <v>2541</v>
      </c>
      <c r="BI162" s="1" t="s">
        <v>1917</v>
      </c>
      <c r="BL162" s="1">
        <v>0</v>
      </c>
      <c r="BM162" s="1">
        <v>0</v>
      </c>
      <c r="BN162" s="1" t="s">
        <v>2952</v>
      </c>
      <c r="BO162" s="1">
        <v>0</v>
      </c>
      <c r="BQ162" s="1" t="s">
        <v>180</v>
      </c>
      <c r="BR162" s="1">
        <v>0</v>
      </c>
      <c r="BS162" s="1" t="s">
        <v>596</v>
      </c>
      <c r="BT162" s="1" t="s">
        <v>124</v>
      </c>
      <c r="BV162" s="1" t="s">
        <v>112</v>
      </c>
      <c r="BW162" s="1" t="s">
        <v>2953</v>
      </c>
      <c r="BY162" s="1" t="s">
        <v>120</v>
      </c>
      <c r="BZ162" s="1">
        <v>0</v>
      </c>
      <c r="CA162" s="1">
        <v>0</v>
      </c>
      <c r="CB162" s="4">
        <v>42792.029000428243</v>
      </c>
      <c r="CC162" s="1">
        <v>1</v>
      </c>
      <c r="CD162" s="1">
        <v>1</v>
      </c>
      <c r="CE162" s="1">
        <v>1</v>
      </c>
      <c r="CF162" s="1">
        <v>4</v>
      </c>
      <c r="CG162" s="4">
        <v>42804.334331863429</v>
      </c>
      <c r="CH162" s="1" t="s">
        <v>112</v>
      </c>
      <c r="CI162" s="1" t="s">
        <v>2954</v>
      </c>
      <c r="CJ162" s="1" t="s">
        <v>157</v>
      </c>
    </row>
    <row r="163" spans="1:88" x14ac:dyDescent="0.35">
      <c r="A163" s="1">
        <v>1667</v>
      </c>
      <c r="B163" s="1" t="s">
        <v>2955</v>
      </c>
      <c r="C163" s="1" t="s">
        <v>2956</v>
      </c>
      <c r="D163" s="1" t="s">
        <v>90</v>
      </c>
      <c r="E163" s="1" t="s">
        <v>2957</v>
      </c>
      <c r="F163" s="1" t="s">
        <v>2958</v>
      </c>
      <c r="G163" s="1">
        <v>1</v>
      </c>
      <c r="H163" s="3">
        <v>35103</v>
      </c>
      <c r="I163" s="1">
        <v>1</v>
      </c>
      <c r="J163" s="1" t="s">
        <v>162</v>
      </c>
      <c r="K163" s="1" t="s">
        <v>1037</v>
      </c>
      <c r="L163" s="2">
        <f>91-9727082825</f>
        <v>-9727082734</v>
      </c>
      <c r="M163" s="1" t="s">
        <v>150</v>
      </c>
      <c r="N163" s="1">
        <v>0</v>
      </c>
      <c r="O163" s="1">
        <v>0</v>
      </c>
      <c r="P163" s="1">
        <v>5.03</v>
      </c>
      <c r="Q163" s="1">
        <v>15</v>
      </c>
      <c r="R163" s="1" t="s">
        <v>2671</v>
      </c>
      <c r="S163" s="1" t="s">
        <v>97</v>
      </c>
      <c r="T163" s="1" t="s">
        <v>137</v>
      </c>
      <c r="U163" s="1" t="s">
        <v>2540</v>
      </c>
      <c r="V163" s="1" t="s">
        <v>2540</v>
      </c>
      <c r="X163" s="1" t="s">
        <v>170</v>
      </c>
      <c r="Y163" s="1" t="s">
        <v>210</v>
      </c>
      <c r="Z163" s="1" t="s">
        <v>556</v>
      </c>
      <c r="AB163" s="1">
        <v>0</v>
      </c>
      <c r="AD163" s="1" t="s">
        <v>2959</v>
      </c>
      <c r="AE163" s="1">
        <f>91-9727082825</f>
        <v>-9727082734</v>
      </c>
      <c r="AF163" s="1" t="s">
        <v>2541</v>
      </c>
      <c r="AG163" s="1" t="s">
        <v>2960</v>
      </c>
      <c r="AH163" s="1" t="s">
        <v>2961</v>
      </c>
      <c r="AI163" s="1" t="s">
        <v>2962</v>
      </c>
      <c r="AJ163" s="1" t="s">
        <v>109</v>
      </c>
      <c r="AK163" s="1" t="s">
        <v>2963</v>
      </c>
      <c r="AL163" s="1">
        <v>60</v>
      </c>
      <c r="AM163" s="1" t="s">
        <v>2541</v>
      </c>
      <c r="AP163" s="1">
        <f>91-9925071866</f>
        <v>-9925071775</v>
      </c>
      <c r="AR163" s="1">
        <v>0</v>
      </c>
      <c r="AS163" s="1">
        <v>0</v>
      </c>
      <c r="AW163" s="1" t="s">
        <v>142</v>
      </c>
      <c r="AX163" s="1" t="s">
        <v>1223</v>
      </c>
      <c r="AY163" s="1" t="s">
        <v>150</v>
      </c>
      <c r="AZ163" s="1">
        <v>4.1100000000000003</v>
      </c>
      <c r="BA163" s="1">
        <v>5.05</v>
      </c>
      <c r="BB163" s="1" t="s">
        <v>151</v>
      </c>
      <c r="BC163" s="1" t="s">
        <v>152</v>
      </c>
      <c r="BD163" s="1" t="s">
        <v>1395</v>
      </c>
      <c r="BE163" s="1" t="s">
        <v>120</v>
      </c>
      <c r="BF163" s="1" t="s">
        <v>120</v>
      </c>
      <c r="BG163" s="1" t="s">
        <v>2541</v>
      </c>
      <c r="BH163" s="1" t="s">
        <v>2541</v>
      </c>
      <c r="BI163" s="1" t="s">
        <v>556</v>
      </c>
      <c r="BL163" s="1">
        <v>0</v>
      </c>
      <c r="BM163" s="1">
        <v>0</v>
      </c>
      <c r="BN163" s="1" t="s">
        <v>2964</v>
      </c>
      <c r="BO163" s="1">
        <v>0</v>
      </c>
      <c r="BQ163" s="1" t="s">
        <v>180</v>
      </c>
      <c r="BR163" s="1">
        <v>0</v>
      </c>
      <c r="BS163" s="1" t="s">
        <v>181</v>
      </c>
      <c r="BT163" s="1" t="s">
        <v>120</v>
      </c>
      <c r="BU163" s="1" t="s">
        <v>2965</v>
      </c>
      <c r="BV163" s="1" t="s">
        <v>112</v>
      </c>
      <c r="BW163" s="1" t="s">
        <v>2966</v>
      </c>
      <c r="BX163" s="1" t="s">
        <v>2967</v>
      </c>
      <c r="BY163" s="1" t="s">
        <v>120</v>
      </c>
      <c r="BZ163" s="1">
        <v>0</v>
      </c>
      <c r="CA163" s="1">
        <v>0</v>
      </c>
      <c r="CB163" s="4">
        <v>42793.839067905094</v>
      </c>
      <c r="CC163" s="1">
        <v>1</v>
      </c>
      <c r="CD163" s="1">
        <v>1</v>
      </c>
      <c r="CE163" s="1">
        <v>1</v>
      </c>
      <c r="CF163" s="1">
        <v>4</v>
      </c>
      <c r="CG163" s="1" t="s">
        <v>112</v>
      </c>
      <c r="CH163" s="1" t="s">
        <v>112</v>
      </c>
      <c r="CI163" s="1" t="s">
        <v>1878</v>
      </c>
      <c r="CJ163" s="1" t="s">
        <v>157</v>
      </c>
    </row>
    <row r="164" spans="1:88" x14ac:dyDescent="0.35">
      <c r="A164" s="1">
        <v>1670</v>
      </c>
      <c r="B164" s="1" t="s">
        <v>2968</v>
      </c>
      <c r="C164" s="1" t="s">
        <v>2969</v>
      </c>
      <c r="D164" s="1" t="s">
        <v>229</v>
      </c>
      <c r="E164" s="1" t="s">
        <v>2970</v>
      </c>
      <c r="F164" s="1" t="s">
        <v>2971</v>
      </c>
      <c r="G164" s="1">
        <v>1</v>
      </c>
      <c r="H164" s="3">
        <v>32346</v>
      </c>
      <c r="I164" s="1">
        <v>1</v>
      </c>
      <c r="J164" s="1" t="s">
        <v>315</v>
      </c>
      <c r="K164" s="1" t="s">
        <v>316</v>
      </c>
      <c r="L164" s="2">
        <f>91-9901046477</f>
        <v>-9901046386</v>
      </c>
      <c r="M164" s="1" t="s">
        <v>150</v>
      </c>
      <c r="N164" s="1">
        <v>0</v>
      </c>
      <c r="O164" s="1">
        <v>0</v>
      </c>
      <c r="P164" s="1">
        <v>5.03</v>
      </c>
      <c r="Q164" s="1">
        <v>42</v>
      </c>
      <c r="R164" s="1" t="s">
        <v>2028</v>
      </c>
      <c r="S164" s="1" t="s">
        <v>233</v>
      </c>
      <c r="T164" s="1" t="s">
        <v>471</v>
      </c>
      <c r="U164" s="1" t="s">
        <v>2540</v>
      </c>
      <c r="V164" s="1" t="s">
        <v>2540</v>
      </c>
      <c r="X164" s="1" t="s">
        <v>100</v>
      </c>
      <c r="Y164" s="1" t="s">
        <v>111</v>
      </c>
      <c r="Z164" s="1" t="s">
        <v>192</v>
      </c>
      <c r="AB164" s="1">
        <v>0</v>
      </c>
      <c r="AD164" s="1" t="s">
        <v>2972</v>
      </c>
      <c r="AE164" s="1">
        <f>91-9663992999</f>
        <v>-9663992908</v>
      </c>
      <c r="AF164" s="1" t="s">
        <v>105</v>
      </c>
      <c r="AG164" s="1" t="s">
        <v>2973</v>
      </c>
      <c r="AH164" s="1" t="s">
        <v>2974</v>
      </c>
      <c r="AI164" s="1" t="s">
        <v>2975</v>
      </c>
      <c r="AJ164" s="1" t="s">
        <v>109</v>
      </c>
      <c r="AK164" s="1" t="s">
        <v>2976</v>
      </c>
      <c r="AL164" s="1">
        <v>30</v>
      </c>
      <c r="AM164" s="1" t="s">
        <v>111</v>
      </c>
      <c r="AO164" s="1" t="s">
        <v>2977</v>
      </c>
      <c r="AP164" s="1">
        <f>91-9448542796</f>
        <v>-9448542705</v>
      </c>
      <c r="AR164" s="1">
        <v>0</v>
      </c>
      <c r="AS164" s="1">
        <v>0</v>
      </c>
      <c r="AT164" s="1" t="s">
        <v>2978</v>
      </c>
      <c r="AU164" s="1" t="s">
        <v>2979</v>
      </c>
      <c r="AV164" s="1" t="s">
        <v>2980</v>
      </c>
      <c r="AW164" s="1">
        <f>91-9611611838</f>
        <v>-9611611747</v>
      </c>
      <c r="AX164" s="1" t="s">
        <v>621</v>
      </c>
      <c r="AY164" s="1" t="s">
        <v>150</v>
      </c>
      <c r="AZ164" s="1">
        <v>4.0999999999999996</v>
      </c>
      <c r="BA164" s="1">
        <v>5.05</v>
      </c>
      <c r="BB164" s="1" t="s">
        <v>151</v>
      </c>
      <c r="BC164" s="1" t="s">
        <v>304</v>
      </c>
      <c r="BD164" s="1" t="s">
        <v>1333</v>
      </c>
      <c r="BE164" s="1" t="s">
        <v>120</v>
      </c>
      <c r="BF164" s="1" t="s">
        <v>120</v>
      </c>
      <c r="BG164" s="1" t="s">
        <v>120</v>
      </c>
      <c r="BH164" s="1" t="s">
        <v>120</v>
      </c>
      <c r="BJ164" s="1" t="s">
        <v>154</v>
      </c>
      <c r="BK164" s="1" t="s">
        <v>120</v>
      </c>
      <c r="BL164" s="1">
        <v>0</v>
      </c>
      <c r="BM164" s="1">
        <v>0</v>
      </c>
      <c r="BN164" s="1" t="s">
        <v>2981</v>
      </c>
      <c r="BO164" s="1">
        <v>1</v>
      </c>
      <c r="BP164" s="1" t="s">
        <v>2982</v>
      </c>
      <c r="BQ164" s="1" t="s">
        <v>112</v>
      </c>
      <c r="BR164" s="1">
        <v>1</v>
      </c>
      <c r="BS164" s="1" t="s">
        <v>787</v>
      </c>
      <c r="BT164" s="1" t="s">
        <v>124</v>
      </c>
      <c r="BU164" s="1" t="s">
        <v>112</v>
      </c>
      <c r="BV164" s="1" t="s">
        <v>112</v>
      </c>
      <c r="BW164" s="1" t="s">
        <v>2983</v>
      </c>
      <c r="BX164" s="1" t="s">
        <v>2984</v>
      </c>
      <c r="BY164" s="1" t="s">
        <v>127</v>
      </c>
      <c r="BZ164" s="1">
        <v>2</v>
      </c>
      <c r="CA164" s="1">
        <v>2</v>
      </c>
      <c r="CB164" s="4">
        <v>42795.956590312497</v>
      </c>
      <c r="CC164" s="1">
        <v>1</v>
      </c>
      <c r="CD164" s="1">
        <v>1</v>
      </c>
      <c r="CE164" s="1">
        <v>1</v>
      </c>
      <c r="CF164" s="1">
        <v>4</v>
      </c>
      <c r="CG164" s="4">
        <v>42803.6722252662</v>
      </c>
      <c r="CH164" s="1" t="s">
        <v>112</v>
      </c>
      <c r="CI164" s="1" t="s">
        <v>2985</v>
      </c>
      <c r="CJ164" s="1" t="s">
        <v>157</v>
      </c>
    </row>
    <row r="165" spans="1:88" x14ac:dyDescent="0.35">
      <c r="A165" s="1">
        <v>1675</v>
      </c>
      <c r="B165" s="1" t="s">
        <v>2986</v>
      </c>
      <c r="C165" s="1" t="s">
        <v>2987</v>
      </c>
      <c r="D165" s="1" t="s">
        <v>312</v>
      </c>
      <c r="E165" s="1" t="s">
        <v>2988</v>
      </c>
      <c r="F165" s="1" t="s">
        <v>2989</v>
      </c>
      <c r="G165" s="1">
        <v>1</v>
      </c>
      <c r="H165" s="3">
        <v>34686</v>
      </c>
      <c r="I165" s="1">
        <v>1</v>
      </c>
      <c r="J165" s="1" t="s">
        <v>1553</v>
      </c>
      <c r="K165" s="1" t="s">
        <v>2990</v>
      </c>
      <c r="L165" s="2">
        <f>91-9826119911</f>
        <v>-9826119820</v>
      </c>
      <c r="M165" s="1" t="s">
        <v>150</v>
      </c>
      <c r="N165" s="1">
        <v>0</v>
      </c>
      <c r="O165" s="1">
        <v>0</v>
      </c>
      <c r="P165" s="1">
        <v>5.0999999999999996</v>
      </c>
      <c r="Q165" s="1">
        <v>14</v>
      </c>
      <c r="R165" s="1" t="s">
        <v>164</v>
      </c>
      <c r="S165" s="1" t="s">
        <v>97</v>
      </c>
      <c r="T165" s="1" t="s">
        <v>137</v>
      </c>
      <c r="U165" s="1" t="s">
        <v>2991</v>
      </c>
      <c r="V165" s="1" t="s">
        <v>2992</v>
      </c>
      <c r="X165" s="1" t="s">
        <v>100</v>
      </c>
      <c r="Y165" s="1" t="s">
        <v>101</v>
      </c>
      <c r="Z165" s="1" t="s">
        <v>1193</v>
      </c>
      <c r="AB165" s="1">
        <v>0</v>
      </c>
      <c r="AD165" s="1" t="s">
        <v>2993</v>
      </c>
      <c r="AE165" s="1">
        <f>91-9425559225</f>
        <v>-9425559134</v>
      </c>
      <c r="AF165" s="1" t="s">
        <v>105</v>
      </c>
      <c r="AG165" s="1" t="s">
        <v>2994</v>
      </c>
      <c r="AH165" s="1" t="s">
        <v>2995</v>
      </c>
      <c r="AI165" s="1" t="s">
        <v>1605</v>
      </c>
      <c r="AJ165" s="1" t="s">
        <v>109</v>
      </c>
      <c r="AK165" s="1" t="s">
        <v>2996</v>
      </c>
      <c r="AL165" s="1">
        <v>45</v>
      </c>
      <c r="AM165" s="1" t="s">
        <v>111</v>
      </c>
      <c r="AO165" s="1" t="s">
        <v>2997</v>
      </c>
      <c r="AP165" s="1">
        <f>91-9424127091</f>
        <v>-9424127000</v>
      </c>
      <c r="AR165" s="1">
        <v>1</v>
      </c>
      <c r="AS165" s="1">
        <v>0</v>
      </c>
      <c r="AW165" s="1" t="s">
        <v>142</v>
      </c>
      <c r="AX165" s="1" t="s">
        <v>2998</v>
      </c>
      <c r="AY165" s="1" t="s">
        <v>150</v>
      </c>
      <c r="AZ165" s="1">
        <v>5</v>
      </c>
      <c r="BA165" s="1">
        <v>5.08</v>
      </c>
      <c r="BB165" s="1" t="s">
        <v>151</v>
      </c>
      <c r="BC165" s="1" t="s">
        <v>304</v>
      </c>
      <c r="BD165" s="1" t="s">
        <v>1333</v>
      </c>
      <c r="BE165" s="1" t="s">
        <v>1182</v>
      </c>
      <c r="BF165" s="1" t="s">
        <v>120</v>
      </c>
      <c r="BG165" s="1" t="s">
        <v>120</v>
      </c>
      <c r="BH165" s="1" t="s">
        <v>120</v>
      </c>
      <c r="BI165" s="1" t="s">
        <v>1193</v>
      </c>
      <c r="BJ165" s="1" t="s">
        <v>154</v>
      </c>
      <c r="BK165" s="1" t="s">
        <v>120</v>
      </c>
      <c r="BL165" s="1">
        <v>0</v>
      </c>
      <c r="BM165" s="1">
        <v>1</v>
      </c>
      <c r="BN165" s="1" t="s">
        <v>2999</v>
      </c>
      <c r="BO165" s="1">
        <v>1</v>
      </c>
      <c r="BP165" s="1" t="s">
        <v>2990</v>
      </c>
      <c r="BQ165" s="1" t="s">
        <v>180</v>
      </c>
      <c r="BR165" s="1">
        <v>1</v>
      </c>
      <c r="BS165" s="1" t="s">
        <v>252</v>
      </c>
      <c r="BT165" s="1" t="s">
        <v>124</v>
      </c>
      <c r="BV165" s="1" t="s">
        <v>112</v>
      </c>
      <c r="BW165" s="1" t="s">
        <v>3000</v>
      </c>
      <c r="BX165" s="1" t="s">
        <v>3001</v>
      </c>
      <c r="BY165" s="1" t="s">
        <v>120</v>
      </c>
      <c r="BZ165" s="1">
        <v>1</v>
      </c>
      <c r="CA165" s="1">
        <v>0</v>
      </c>
      <c r="CB165" s="4">
        <v>42803.244010150462</v>
      </c>
      <c r="CC165" s="1">
        <v>1</v>
      </c>
      <c r="CD165" s="1">
        <v>1</v>
      </c>
      <c r="CE165" s="1">
        <v>1</v>
      </c>
      <c r="CF165" s="1">
        <v>1</v>
      </c>
      <c r="CG165" s="4">
        <v>44095.315849999999</v>
      </c>
      <c r="CH165" s="1" t="s">
        <v>112</v>
      </c>
      <c r="CI165" s="1" t="s">
        <v>287</v>
      </c>
      <c r="CJ165" s="1" t="s">
        <v>157</v>
      </c>
    </row>
    <row r="166" spans="1:88" x14ac:dyDescent="0.35">
      <c r="A166" s="1">
        <v>1676</v>
      </c>
      <c r="B166" s="1" t="s">
        <v>3002</v>
      </c>
      <c r="C166" s="1" t="s">
        <v>3003</v>
      </c>
      <c r="D166" s="1" t="s">
        <v>711</v>
      </c>
      <c r="E166" s="1" t="s">
        <v>3004</v>
      </c>
      <c r="F166" s="1" t="s">
        <v>2246</v>
      </c>
      <c r="G166" s="1">
        <v>0</v>
      </c>
      <c r="H166" s="3">
        <v>33452</v>
      </c>
      <c r="I166" s="1">
        <v>1</v>
      </c>
      <c r="J166" s="1" t="s">
        <v>162</v>
      </c>
      <c r="K166" s="1" t="s">
        <v>847</v>
      </c>
      <c r="L166" s="2">
        <f>91-9099334931</f>
        <v>-9099334840</v>
      </c>
      <c r="M166" s="1" t="s">
        <v>150</v>
      </c>
      <c r="N166" s="1">
        <v>0</v>
      </c>
      <c r="O166" s="1">
        <v>0</v>
      </c>
      <c r="P166" s="1">
        <v>5.0199999999999996</v>
      </c>
      <c r="Q166" s="1">
        <v>10</v>
      </c>
      <c r="S166" s="1" t="s">
        <v>293</v>
      </c>
      <c r="T166" s="1" t="s">
        <v>341</v>
      </c>
      <c r="X166" s="1" t="s">
        <v>223</v>
      </c>
      <c r="Y166" s="1" t="s">
        <v>268</v>
      </c>
      <c r="Z166" s="1" t="s">
        <v>515</v>
      </c>
      <c r="AB166" s="1">
        <v>1</v>
      </c>
      <c r="AC166" s="1" t="s">
        <v>3005</v>
      </c>
      <c r="AE166" s="1" t="s">
        <v>142</v>
      </c>
      <c r="AF166" s="1" t="s">
        <v>2541</v>
      </c>
      <c r="AG166" s="1" t="s">
        <v>3006</v>
      </c>
      <c r="AH166" s="1" t="s">
        <v>3007</v>
      </c>
      <c r="AI166" s="1" t="s">
        <v>3008</v>
      </c>
      <c r="AJ166" s="1" t="s">
        <v>109</v>
      </c>
      <c r="AK166" s="1" t="s">
        <v>3009</v>
      </c>
      <c r="AL166" s="1">
        <v>0</v>
      </c>
      <c r="AM166" s="1" t="s">
        <v>2541</v>
      </c>
      <c r="AP166" s="1" t="s">
        <v>142</v>
      </c>
      <c r="AR166" s="1">
        <v>0</v>
      </c>
      <c r="AS166" s="1">
        <v>0</v>
      </c>
      <c r="AW166" s="1" t="s">
        <v>142</v>
      </c>
      <c r="AX166" s="1" t="s">
        <v>1596</v>
      </c>
      <c r="AY166" s="1" t="s">
        <v>150</v>
      </c>
      <c r="AZ166" s="1">
        <v>4</v>
      </c>
      <c r="BA166" s="1">
        <v>7.05</v>
      </c>
      <c r="BB166" s="1" t="s">
        <v>151</v>
      </c>
      <c r="BC166" s="1" t="s">
        <v>152</v>
      </c>
      <c r="BD166" s="1" t="s">
        <v>1395</v>
      </c>
      <c r="BF166" s="1" t="s">
        <v>120</v>
      </c>
      <c r="BG166" s="1" t="s">
        <v>2541</v>
      </c>
      <c r="BH166" s="1" t="s">
        <v>2541</v>
      </c>
      <c r="BI166" s="1" t="s">
        <v>515</v>
      </c>
      <c r="BJ166" s="1" t="s">
        <v>120</v>
      </c>
      <c r="BK166" s="1" t="s">
        <v>120</v>
      </c>
      <c r="BL166" s="1">
        <v>0</v>
      </c>
      <c r="BM166" s="1">
        <v>0</v>
      </c>
      <c r="BO166" s="1">
        <v>0</v>
      </c>
      <c r="BQ166" s="1" t="s">
        <v>180</v>
      </c>
      <c r="BR166" s="1">
        <v>0</v>
      </c>
      <c r="BS166" s="1" t="s">
        <v>223</v>
      </c>
      <c r="BT166" s="1" t="s">
        <v>124</v>
      </c>
      <c r="BV166" s="1" t="s">
        <v>112</v>
      </c>
      <c r="BW166" s="1" t="s">
        <v>3010</v>
      </c>
      <c r="BY166" s="1" t="s">
        <v>120</v>
      </c>
      <c r="BZ166" s="1">
        <v>0</v>
      </c>
      <c r="CA166" s="1">
        <v>0</v>
      </c>
      <c r="CB166" s="4">
        <v>42803.472073263889</v>
      </c>
      <c r="CC166" s="1">
        <v>1</v>
      </c>
      <c r="CD166" s="1">
        <v>1</v>
      </c>
      <c r="CE166" s="1">
        <v>1</v>
      </c>
      <c r="CF166" s="1">
        <v>4</v>
      </c>
      <c r="CG166" s="4">
        <v>42805.257713043982</v>
      </c>
      <c r="CH166" s="1" t="s">
        <v>112</v>
      </c>
      <c r="CJ166" s="1" t="s">
        <v>157</v>
      </c>
    </row>
    <row r="167" spans="1:88" x14ac:dyDescent="0.35">
      <c r="A167" s="1">
        <v>1677</v>
      </c>
      <c r="B167" s="1" t="s">
        <v>3011</v>
      </c>
      <c r="C167" s="1" t="s">
        <v>3012</v>
      </c>
      <c r="D167" s="1" t="s">
        <v>90</v>
      </c>
      <c r="E167" s="1" t="s">
        <v>3013</v>
      </c>
      <c r="F167" s="1" t="s">
        <v>3014</v>
      </c>
      <c r="G167" s="1">
        <v>0</v>
      </c>
      <c r="H167" s="3">
        <v>34501</v>
      </c>
      <c r="I167" s="1">
        <v>1</v>
      </c>
      <c r="J167" s="1" t="s">
        <v>162</v>
      </c>
      <c r="K167" s="1" t="s">
        <v>291</v>
      </c>
      <c r="L167" s="2">
        <f>91-9429832734</f>
        <v>-9429832643</v>
      </c>
      <c r="M167" s="1" t="s">
        <v>112</v>
      </c>
      <c r="N167" s="1" t="s">
        <v>112</v>
      </c>
      <c r="O167" s="1" t="s">
        <v>112</v>
      </c>
      <c r="P167" s="1" t="s">
        <v>112</v>
      </c>
      <c r="Q167" s="1" t="s">
        <v>112</v>
      </c>
      <c r="R167" s="1" t="s">
        <v>112</v>
      </c>
      <c r="S167" s="1" t="s">
        <v>112</v>
      </c>
      <c r="T167" s="1" t="s">
        <v>112</v>
      </c>
      <c r="U167" s="1" t="s">
        <v>112</v>
      </c>
      <c r="V167" s="1" t="s">
        <v>112</v>
      </c>
      <c r="W167" s="1" t="s">
        <v>112</v>
      </c>
      <c r="X167" s="1" t="s">
        <v>112</v>
      </c>
      <c r="Y167" s="1" t="s">
        <v>112</v>
      </c>
      <c r="Z167" s="1" t="s">
        <v>112</v>
      </c>
      <c r="AA167" s="1" t="s">
        <v>112</v>
      </c>
      <c r="AB167" s="1" t="s">
        <v>112</v>
      </c>
      <c r="AC167" s="1" t="s">
        <v>112</v>
      </c>
      <c r="AD167" s="1" t="s">
        <v>112</v>
      </c>
      <c r="AE167" s="1" t="s">
        <v>112</v>
      </c>
      <c r="AF167" s="1" t="s">
        <v>112</v>
      </c>
      <c r="AG167" s="1" t="s">
        <v>112</v>
      </c>
      <c r="AH167" s="1" t="s">
        <v>112</v>
      </c>
      <c r="AI167" s="1" t="s">
        <v>112</v>
      </c>
      <c r="AJ167" s="1" t="s">
        <v>112</v>
      </c>
      <c r="AK167" s="1" t="s">
        <v>112</v>
      </c>
      <c r="AL167" s="1" t="s">
        <v>112</v>
      </c>
      <c r="AM167" s="1" t="s">
        <v>112</v>
      </c>
      <c r="AN167" s="1" t="s">
        <v>112</v>
      </c>
      <c r="AO167" s="1" t="s">
        <v>112</v>
      </c>
      <c r="AP167" s="1" t="s">
        <v>112</v>
      </c>
      <c r="AQ167" s="1" t="s">
        <v>112</v>
      </c>
      <c r="AR167" s="1" t="s">
        <v>112</v>
      </c>
      <c r="AS167" s="1" t="s">
        <v>112</v>
      </c>
      <c r="AT167" s="1" t="s">
        <v>112</v>
      </c>
      <c r="AU167" s="1" t="s">
        <v>112</v>
      </c>
      <c r="AV167" s="1" t="s">
        <v>112</v>
      </c>
      <c r="AW167" s="1" t="s">
        <v>112</v>
      </c>
      <c r="AX167" s="1" t="s">
        <v>112</v>
      </c>
      <c r="AY167" s="1" t="s">
        <v>112</v>
      </c>
      <c r="AZ167" s="1" t="s">
        <v>112</v>
      </c>
      <c r="BA167" s="1" t="s">
        <v>112</v>
      </c>
      <c r="BB167" s="1" t="s">
        <v>112</v>
      </c>
      <c r="BC167" s="1" t="s">
        <v>112</v>
      </c>
      <c r="BD167" s="1" t="s">
        <v>112</v>
      </c>
      <c r="BE167" s="1" t="s">
        <v>112</v>
      </c>
      <c r="BF167" s="1" t="s">
        <v>112</v>
      </c>
      <c r="BG167" s="1" t="s">
        <v>112</v>
      </c>
      <c r="BH167" s="1" t="s">
        <v>112</v>
      </c>
      <c r="BI167" s="1" t="s">
        <v>112</v>
      </c>
      <c r="BJ167" s="1" t="s">
        <v>112</v>
      </c>
      <c r="BK167" s="1" t="s">
        <v>112</v>
      </c>
      <c r="BL167" s="1" t="s">
        <v>112</v>
      </c>
      <c r="BM167" s="1" t="s">
        <v>112</v>
      </c>
      <c r="BN167" s="1" t="s">
        <v>112</v>
      </c>
      <c r="BO167" s="1" t="s">
        <v>112</v>
      </c>
      <c r="BP167" s="1" t="s">
        <v>112</v>
      </c>
      <c r="BQ167" s="1" t="s">
        <v>112</v>
      </c>
      <c r="BR167" s="1" t="s">
        <v>112</v>
      </c>
      <c r="BS167" s="1" t="s">
        <v>112</v>
      </c>
      <c r="BT167" s="1" t="s">
        <v>112</v>
      </c>
      <c r="BU167" s="1" t="s">
        <v>112</v>
      </c>
      <c r="BV167" s="1" t="s">
        <v>112</v>
      </c>
      <c r="BW167" s="1" t="s">
        <v>112</v>
      </c>
      <c r="BX167" s="1" t="s">
        <v>112</v>
      </c>
      <c r="BY167" s="1" t="s">
        <v>112</v>
      </c>
      <c r="BZ167" s="1" t="s">
        <v>112</v>
      </c>
      <c r="CA167" s="1" t="s">
        <v>112</v>
      </c>
      <c r="CB167" s="4">
        <v>42804.23045667824</v>
      </c>
      <c r="CC167" s="1">
        <v>1</v>
      </c>
      <c r="CD167" s="1">
        <v>1</v>
      </c>
      <c r="CE167" s="1">
        <v>1</v>
      </c>
      <c r="CF167" s="1">
        <v>4</v>
      </c>
      <c r="CG167" s="1" t="s">
        <v>112</v>
      </c>
      <c r="CH167" s="1" t="s">
        <v>112</v>
      </c>
      <c r="CI167" s="1" t="s">
        <v>112</v>
      </c>
      <c r="CJ167" s="1" t="s">
        <v>112</v>
      </c>
    </row>
    <row r="168" spans="1:88" x14ac:dyDescent="0.35">
      <c r="A168" s="1">
        <v>1678</v>
      </c>
      <c r="B168" s="1" t="s">
        <v>3015</v>
      </c>
      <c r="C168" s="1" t="s">
        <v>3016</v>
      </c>
      <c r="D168" s="1" t="s">
        <v>90</v>
      </c>
      <c r="E168" s="1" t="s">
        <v>3017</v>
      </c>
      <c r="F168" s="1" t="s">
        <v>3018</v>
      </c>
      <c r="G168" s="1">
        <v>0</v>
      </c>
      <c r="H168" s="3">
        <v>34501</v>
      </c>
      <c r="I168" s="1">
        <v>1</v>
      </c>
      <c r="J168" s="1" t="s">
        <v>162</v>
      </c>
      <c r="K168" s="1" t="s">
        <v>291</v>
      </c>
      <c r="L168" s="2">
        <f>91-9429832734</f>
        <v>-9429832643</v>
      </c>
      <c r="M168" s="1" t="s">
        <v>150</v>
      </c>
      <c r="N168" s="1">
        <v>0</v>
      </c>
      <c r="O168" s="1">
        <v>0</v>
      </c>
      <c r="P168" s="1">
        <v>5.08</v>
      </c>
      <c r="Q168" s="1">
        <v>38</v>
      </c>
      <c r="R168" s="1" t="s">
        <v>317</v>
      </c>
      <c r="S168" s="1" t="s">
        <v>136</v>
      </c>
      <c r="T168" s="1" t="s">
        <v>137</v>
      </c>
      <c r="U168" s="1" t="s">
        <v>3019</v>
      </c>
      <c r="V168" s="1" t="s">
        <v>3020</v>
      </c>
      <c r="X168" s="1" t="s">
        <v>170</v>
      </c>
      <c r="Y168" s="1" t="s">
        <v>210</v>
      </c>
      <c r="Z168" s="1" t="s">
        <v>556</v>
      </c>
      <c r="AA168" s="1" t="s">
        <v>3021</v>
      </c>
      <c r="AB168" s="1">
        <v>0</v>
      </c>
      <c r="AD168" s="1" t="s">
        <v>3022</v>
      </c>
      <c r="AE168" s="1">
        <f>91-9429832734</f>
        <v>-9429832643</v>
      </c>
      <c r="AF168" s="1" t="s">
        <v>105</v>
      </c>
      <c r="AG168" s="1" t="s">
        <v>3023</v>
      </c>
      <c r="AH168" s="1" t="s">
        <v>3024</v>
      </c>
      <c r="AI168" s="1" t="s">
        <v>3025</v>
      </c>
      <c r="AJ168" s="1" t="s">
        <v>109</v>
      </c>
      <c r="AK168" s="1" t="s">
        <v>3026</v>
      </c>
      <c r="AL168" s="1">
        <v>17</v>
      </c>
      <c r="AM168" s="1" t="s">
        <v>111</v>
      </c>
      <c r="AO168" s="1" t="s">
        <v>3027</v>
      </c>
      <c r="AP168" s="1">
        <f>91-9429832734</f>
        <v>-9429832643</v>
      </c>
      <c r="AQ168" s="1" t="s">
        <v>502</v>
      </c>
      <c r="AR168" s="1">
        <v>0</v>
      </c>
      <c r="AS168" s="1">
        <v>0</v>
      </c>
      <c r="AT168" s="1" t="s">
        <v>3028</v>
      </c>
      <c r="AU168" s="1" t="s">
        <v>332</v>
      </c>
      <c r="AV168" s="1" t="s">
        <v>332</v>
      </c>
      <c r="AW168" s="1">
        <f>91-7874608281</f>
        <v>-7874608190</v>
      </c>
      <c r="AX168" s="1" t="s">
        <v>2305</v>
      </c>
      <c r="AY168" s="1" t="s">
        <v>150</v>
      </c>
      <c r="AZ168" s="1">
        <v>5.09</v>
      </c>
      <c r="BA168" s="1">
        <v>6.02</v>
      </c>
      <c r="BB168" s="1" t="s">
        <v>151</v>
      </c>
      <c r="BC168" s="1" t="s">
        <v>304</v>
      </c>
      <c r="BD168" s="1" t="s">
        <v>1333</v>
      </c>
      <c r="BE168" s="1" t="s">
        <v>219</v>
      </c>
      <c r="BF168" s="1" t="s">
        <v>120</v>
      </c>
      <c r="BG168" s="1" t="s">
        <v>2379</v>
      </c>
      <c r="BH168" s="1" t="s">
        <v>724</v>
      </c>
      <c r="BI168" s="1" t="s">
        <v>556</v>
      </c>
      <c r="BJ168" s="1" t="s">
        <v>120</v>
      </c>
      <c r="BK168" s="1" t="s">
        <v>120</v>
      </c>
      <c r="BL168" s="1">
        <v>0</v>
      </c>
      <c r="BM168" s="1">
        <v>0</v>
      </c>
      <c r="BN168" s="1" t="s">
        <v>3029</v>
      </c>
      <c r="BO168" s="1">
        <v>1</v>
      </c>
      <c r="BP168" s="1" t="s">
        <v>3030</v>
      </c>
      <c r="BQ168" s="1" t="s">
        <v>180</v>
      </c>
      <c r="BR168" s="1">
        <v>0</v>
      </c>
      <c r="BS168" s="1" t="s">
        <v>354</v>
      </c>
      <c r="BT168" s="1" t="s">
        <v>124</v>
      </c>
      <c r="BV168" s="1" t="s">
        <v>112</v>
      </c>
      <c r="BW168" s="1" t="s">
        <v>3031</v>
      </c>
      <c r="BX168" s="1" t="s">
        <v>3032</v>
      </c>
      <c r="BY168" s="1" t="s">
        <v>127</v>
      </c>
      <c r="BZ168" s="1">
        <v>2</v>
      </c>
      <c r="CA168" s="1">
        <v>2</v>
      </c>
      <c r="CB168" s="4">
        <v>42804.965184803237</v>
      </c>
      <c r="CC168" s="1">
        <v>1</v>
      </c>
      <c r="CD168" s="1">
        <v>1</v>
      </c>
      <c r="CE168" s="1">
        <v>1</v>
      </c>
      <c r="CF168" s="1">
        <v>1</v>
      </c>
      <c r="CG168" s="4">
        <v>44090.49109181713</v>
      </c>
      <c r="CH168" s="1" t="s">
        <v>112</v>
      </c>
      <c r="CI168" s="1" t="s">
        <v>3033</v>
      </c>
      <c r="CJ168" s="1" t="s">
        <v>157</v>
      </c>
    </row>
    <row r="169" spans="1:88" x14ac:dyDescent="0.35">
      <c r="A169" s="1">
        <v>1679</v>
      </c>
      <c r="B169" s="1" t="s">
        <v>3034</v>
      </c>
      <c r="C169" s="1" t="s">
        <v>3035</v>
      </c>
      <c r="D169" s="1" t="s">
        <v>90</v>
      </c>
      <c r="E169" s="1" t="s">
        <v>3036</v>
      </c>
      <c r="F169" s="1" t="s">
        <v>1926</v>
      </c>
      <c r="G169" s="1">
        <v>1</v>
      </c>
      <c r="H169" s="3">
        <v>33503</v>
      </c>
      <c r="I169" s="1">
        <v>1</v>
      </c>
      <c r="J169" s="1" t="s">
        <v>162</v>
      </c>
      <c r="K169" s="1" t="s">
        <v>291</v>
      </c>
      <c r="L169" s="2">
        <f>91-9374824696</f>
        <v>-9374824605</v>
      </c>
      <c r="M169" s="1" t="s">
        <v>150</v>
      </c>
      <c r="N169" s="1">
        <v>0</v>
      </c>
      <c r="O169" s="1">
        <v>0</v>
      </c>
      <c r="P169" s="1">
        <v>5.05</v>
      </c>
      <c r="Q169" s="1">
        <v>38</v>
      </c>
      <c r="R169" s="1" t="s">
        <v>317</v>
      </c>
      <c r="S169" s="1" t="s">
        <v>136</v>
      </c>
      <c r="T169" s="1" t="s">
        <v>166</v>
      </c>
      <c r="U169" s="1" t="s">
        <v>2540</v>
      </c>
      <c r="V169" s="1" t="s">
        <v>2540</v>
      </c>
      <c r="X169" s="1" t="s">
        <v>170</v>
      </c>
      <c r="Y169" s="1" t="s">
        <v>111</v>
      </c>
      <c r="Z169" s="1" t="s">
        <v>192</v>
      </c>
      <c r="AB169" s="1">
        <v>0</v>
      </c>
      <c r="AD169" s="1" t="s">
        <v>3037</v>
      </c>
      <c r="AE169" s="1">
        <f>91-9601940808</f>
        <v>-9601940717</v>
      </c>
      <c r="AF169" s="1" t="s">
        <v>2541</v>
      </c>
      <c r="AG169" s="1" t="s">
        <v>719</v>
      </c>
      <c r="AH169" s="1" t="s">
        <v>3038</v>
      </c>
      <c r="AI169" s="1" t="s">
        <v>3008</v>
      </c>
      <c r="AJ169" s="1" t="s">
        <v>109</v>
      </c>
      <c r="AK169" s="1" t="s">
        <v>3039</v>
      </c>
      <c r="AL169" s="1">
        <v>3</v>
      </c>
      <c r="AM169" s="1" t="s">
        <v>2541</v>
      </c>
      <c r="AP169" s="1">
        <f>91-9374824696</f>
        <v>-9374824605</v>
      </c>
      <c r="AR169" s="1">
        <v>0</v>
      </c>
      <c r="AS169" s="1">
        <v>0</v>
      </c>
      <c r="AW169" s="1" t="s">
        <v>142</v>
      </c>
      <c r="AX169" s="1" t="s">
        <v>414</v>
      </c>
      <c r="AY169" s="1" t="s">
        <v>150</v>
      </c>
      <c r="AZ169" s="1">
        <v>5</v>
      </c>
      <c r="BA169" s="1">
        <v>5.04</v>
      </c>
      <c r="BB169" s="1" t="s">
        <v>151</v>
      </c>
      <c r="BC169" s="1" t="s">
        <v>152</v>
      </c>
      <c r="BD169" s="1" t="s">
        <v>1395</v>
      </c>
      <c r="BE169" s="1" t="s">
        <v>3040</v>
      </c>
      <c r="BF169" s="1" t="s">
        <v>120</v>
      </c>
      <c r="BG169" s="1" t="s">
        <v>2541</v>
      </c>
      <c r="BH169" s="1" t="s">
        <v>2541</v>
      </c>
      <c r="BI169" s="1" t="s">
        <v>192</v>
      </c>
      <c r="BL169" s="1">
        <v>0</v>
      </c>
      <c r="BM169" s="1">
        <v>0</v>
      </c>
      <c r="BN169" s="1" t="s">
        <v>3041</v>
      </c>
      <c r="BO169" s="1">
        <v>0</v>
      </c>
      <c r="BQ169" s="1" t="s">
        <v>180</v>
      </c>
      <c r="BR169" s="1">
        <v>0</v>
      </c>
      <c r="BS169" s="1" t="s">
        <v>1668</v>
      </c>
      <c r="BT169" s="1" t="s">
        <v>1123</v>
      </c>
      <c r="BV169" s="1" t="s">
        <v>112</v>
      </c>
      <c r="BW169" s="1" t="s">
        <v>3042</v>
      </c>
      <c r="BX169" s="1" t="s">
        <v>3043</v>
      </c>
      <c r="BY169" s="1" t="s">
        <v>120</v>
      </c>
      <c r="BZ169" s="1">
        <v>0</v>
      </c>
      <c r="CA169" s="1">
        <v>0</v>
      </c>
      <c r="CB169" s="4">
        <v>42805.880717974534</v>
      </c>
      <c r="CC169" s="1">
        <v>1</v>
      </c>
      <c r="CD169" s="1">
        <v>1</v>
      </c>
      <c r="CE169" s="1">
        <v>1</v>
      </c>
      <c r="CF169" s="1">
        <v>4</v>
      </c>
      <c r="CG169" s="4">
        <v>43053.490442048613</v>
      </c>
      <c r="CH169" s="1" t="s">
        <v>112</v>
      </c>
      <c r="CI169" s="1" t="s">
        <v>1010</v>
      </c>
      <c r="CJ169" s="1" t="s">
        <v>157</v>
      </c>
    </row>
    <row r="170" spans="1:88" x14ac:dyDescent="0.35">
      <c r="A170" s="1">
        <v>1681</v>
      </c>
      <c r="B170" s="1" t="s">
        <v>3044</v>
      </c>
      <c r="C170" s="1">
        <v>7709125536</v>
      </c>
      <c r="D170" s="1" t="s">
        <v>90</v>
      </c>
      <c r="E170" s="1" t="s">
        <v>3045</v>
      </c>
      <c r="F170" s="1" t="s">
        <v>3046</v>
      </c>
      <c r="G170" s="1">
        <v>0</v>
      </c>
      <c r="H170" s="3">
        <v>33338</v>
      </c>
      <c r="I170" s="1">
        <v>1</v>
      </c>
      <c r="J170" s="1" t="s">
        <v>93</v>
      </c>
      <c r="K170" s="1" t="s">
        <v>1913</v>
      </c>
      <c r="L170" s="2">
        <f>91-9823077280</f>
        <v>-9823077189</v>
      </c>
      <c r="M170" s="1" t="s">
        <v>150</v>
      </c>
      <c r="N170" s="1">
        <v>0</v>
      </c>
      <c r="O170" s="1">
        <v>0</v>
      </c>
      <c r="P170" s="1">
        <v>5.0199999999999996</v>
      </c>
      <c r="Q170" s="1">
        <v>19</v>
      </c>
      <c r="R170" s="1" t="s">
        <v>1535</v>
      </c>
      <c r="S170" s="1" t="s">
        <v>136</v>
      </c>
      <c r="T170" s="1" t="s">
        <v>1915</v>
      </c>
      <c r="U170" s="1" t="s">
        <v>3047</v>
      </c>
      <c r="V170" s="1" t="s">
        <v>3048</v>
      </c>
      <c r="W170" s="1" t="s">
        <v>3049</v>
      </c>
      <c r="X170" s="1" t="s">
        <v>100</v>
      </c>
      <c r="Y170" s="1" t="s">
        <v>101</v>
      </c>
      <c r="Z170" s="1" t="s">
        <v>3050</v>
      </c>
      <c r="AB170" s="1">
        <v>0</v>
      </c>
      <c r="AD170" s="1" t="s">
        <v>3051</v>
      </c>
      <c r="AE170" s="1">
        <f>91-7709125536</f>
        <v>-7709125445</v>
      </c>
      <c r="AF170" s="1" t="s">
        <v>105</v>
      </c>
      <c r="AG170" s="1" t="s">
        <v>3052</v>
      </c>
      <c r="AH170" s="1" t="s">
        <v>3053</v>
      </c>
      <c r="AI170" s="1" t="s">
        <v>3054</v>
      </c>
      <c r="AJ170" s="1" t="s">
        <v>109</v>
      </c>
      <c r="AK170" s="1" t="s">
        <v>3055</v>
      </c>
      <c r="AL170" s="1">
        <v>25</v>
      </c>
      <c r="AM170" s="1" t="s">
        <v>111</v>
      </c>
      <c r="AP170" s="1">
        <f>91-9823077280</f>
        <v>-9823077189</v>
      </c>
      <c r="AR170" s="1">
        <v>1</v>
      </c>
      <c r="AS170" s="1">
        <v>1</v>
      </c>
      <c r="AW170" s="1" t="s">
        <v>142</v>
      </c>
      <c r="AX170" s="1" t="s">
        <v>2561</v>
      </c>
      <c r="AY170" s="1" t="s">
        <v>150</v>
      </c>
      <c r="AZ170" s="1">
        <v>5.05</v>
      </c>
      <c r="BA170" s="1">
        <v>6.01</v>
      </c>
      <c r="BE170" s="1" t="s">
        <v>3040</v>
      </c>
      <c r="BG170" s="1" t="s">
        <v>100</v>
      </c>
      <c r="BH170" s="1" t="s">
        <v>283</v>
      </c>
      <c r="BJ170" s="1" t="s">
        <v>154</v>
      </c>
      <c r="BK170" s="1" t="s">
        <v>120</v>
      </c>
      <c r="BL170" s="1">
        <v>0</v>
      </c>
      <c r="BM170" s="1">
        <v>0</v>
      </c>
      <c r="BN170" s="1" t="s">
        <v>3056</v>
      </c>
      <c r="BO170" s="1">
        <v>1</v>
      </c>
      <c r="BP170" s="1" t="s">
        <v>3057</v>
      </c>
      <c r="BQ170" s="1" t="s">
        <v>112</v>
      </c>
      <c r="BR170" s="1">
        <v>0</v>
      </c>
      <c r="BS170" s="1" t="s">
        <v>129</v>
      </c>
      <c r="BT170" s="1" t="s">
        <v>124</v>
      </c>
      <c r="BU170" s="1" t="s">
        <v>112</v>
      </c>
      <c r="BV170" s="1" t="s">
        <v>112</v>
      </c>
      <c r="BW170" s="1" t="s">
        <v>112</v>
      </c>
      <c r="BX170" s="1" t="s">
        <v>112</v>
      </c>
      <c r="BY170" s="1" t="s">
        <v>120</v>
      </c>
      <c r="BZ170" s="1">
        <v>1</v>
      </c>
      <c r="CA170" s="1">
        <v>1</v>
      </c>
      <c r="CB170" s="4">
        <v>42807.45033954861</v>
      </c>
      <c r="CC170" s="1">
        <v>1</v>
      </c>
      <c r="CD170" s="1">
        <v>1</v>
      </c>
      <c r="CE170" s="1">
        <v>1</v>
      </c>
      <c r="CF170" s="1">
        <v>4</v>
      </c>
      <c r="CG170" s="4">
        <v>42976.33824571759</v>
      </c>
      <c r="CH170" s="1" t="s">
        <v>112</v>
      </c>
      <c r="CI170" s="1" t="s">
        <v>3058</v>
      </c>
      <c r="CJ170" s="1" t="s">
        <v>129</v>
      </c>
    </row>
    <row r="171" spans="1:88" x14ac:dyDescent="0.35">
      <c r="A171" s="1">
        <v>1683</v>
      </c>
      <c r="B171" s="1" t="s">
        <v>3059</v>
      </c>
      <c r="C171" s="1" t="s">
        <v>3060</v>
      </c>
      <c r="D171" s="1" t="s">
        <v>90</v>
      </c>
      <c r="E171" s="1" t="s">
        <v>3061</v>
      </c>
      <c r="F171" s="1" t="s">
        <v>134</v>
      </c>
      <c r="G171" s="1">
        <v>1</v>
      </c>
      <c r="H171" s="3">
        <v>33545</v>
      </c>
      <c r="I171" s="1">
        <v>1</v>
      </c>
      <c r="J171" s="1" t="s">
        <v>162</v>
      </c>
      <c r="K171" s="1" t="s">
        <v>1061</v>
      </c>
      <c r="L171" s="2">
        <f>91-9429759946</f>
        <v>-9429759855</v>
      </c>
      <c r="M171" s="1" t="s">
        <v>150</v>
      </c>
      <c r="N171" s="1">
        <v>0</v>
      </c>
      <c r="O171" s="1">
        <v>0</v>
      </c>
      <c r="P171" s="1">
        <v>5.07</v>
      </c>
      <c r="Q171" s="1">
        <v>32</v>
      </c>
      <c r="R171" s="1" t="s">
        <v>1020</v>
      </c>
      <c r="S171" s="1" t="s">
        <v>97</v>
      </c>
      <c r="T171" s="1" t="s">
        <v>98</v>
      </c>
      <c r="U171" s="1" t="s">
        <v>2540</v>
      </c>
      <c r="V171" s="1" t="s">
        <v>2540</v>
      </c>
      <c r="X171" s="1" t="s">
        <v>170</v>
      </c>
      <c r="Y171" s="1" t="s">
        <v>210</v>
      </c>
      <c r="Z171" s="1" t="s">
        <v>2483</v>
      </c>
      <c r="AB171" s="1">
        <v>0</v>
      </c>
      <c r="AD171" s="1" t="s">
        <v>3062</v>
      </c>
      <c r="AE171" s="1">
        <f>91-9909762904</f>
        <v>-9909762813</v>
      </c>
      <c r="AF171" s="1" t="s">
        <v>2541</v>
      </c>
      <c r="AG171" s="1" t="s">
        <v>3063</v>
      </c>
      <c r="AH171" s="1" t="s">
        <v>3064</v>
      </c>
      <c r="AI171" s="1" t="s">
        <v>3065</v>
      </c>
      <c r="AJ171" s="1" t="s">
        <v>109</v>
      </c>
      <c r="AK171" s="1" t="s">
        <v>3066</v>
      </c>
      <c r="AL171" s="1">
        <v>1</v>
      </c>
      <c r="AM171" s="1" t="s">
        <v>2541</v>
      </c>
      <c r="AP171" s="1">
        <f>91-9428197933</f>
        <v>-9428197842</v>
      </c>
      <c r="AR171" s="1">
        <v>0</v>
      </c>
      <c r="AS171" s="1">
        <v>0</v>
      </c>
      <c r="AW171" s="1" t="s">
        <v>142</v>
      </c>
      <c r="AX171" s="1" t="s">
        <v>742</v>
      </c>
      <c r="AY171" s="1" t="s">
        <v>150</v>
      </c>
      <c r="AZ171" s="1">
        <v>5.01</v>
      </c>
      <c r="BA171" s="1">
        <v>5.05</v>
      </c>
      <c r="BB171" s="1" t="s">
        <v>151</v>
      </c>
      <c r="BC171" s="1" t="s">
        <v>152</v>
      </c>
      <c r="BD171" s="1" t="s">
        <v>1395</v>
      </c>
      <c r="BE171" s="1" t="s">
        <v>1182</v>
      </c>
      <c r="BF171" s="1" t="s">
        <v>120</v>
      </c>
      <c r="BG171" s="1" t="s">
        <v>2541</v>
      </c>
      <c r="BH171" s="1" t="s">
        <v>2541</v>
      </c>
      <c r="BI171" s="1" t="s">
        <v>2483</v>
      </c>
      <c r="BL171" s="1">
        <v>0</v>
      </c>
      <c r="BM171" s="1">
        <v>0</v>
      </c>
      <c r="BN171" s="1" t="s">
        <v>3067</v>
      </c>
      <c r="BO171" s="1">
        <v>0</v>
      </c>
      <c r="BQ171" s="1" t="s">
        <v>180</v>
      </c>
      <c r="BR171" s="1">
        <v>0</v>
      </c>
      <c r="BS171" s="1" t="s">
        <v>252</v>
      </c>
      <c r="BT171" s="1" t="s">
        <v>124</v>
      </c>
      <c r="BV171" s="1" t="s">
        <v>112</v>
      </c>
      <c r="BW171" s="1" t="s">
        <v>3068</v>
      </c>
      <c r="BX171" s="1" t="s">
        <v>3069</v>
      </c>
      <c r="BY171" s="1" t="s">
        <v>120</v>
      </c>
      <c r="BZ171" s="1">
        <v>0</v>
      </c>
      <c r="CA171" s="1">
        <v>0</v>
      </c>
      <c r="CB171" s="4">
        <v>42809.073608368053</v>
      </c>
      <c r="CC171" s="1">
        <v>1</v>
      </c>
      <c r="CD171" s="1">
        <v>1</v>
      </c>
      <c r="CE171" s="1">
        <v>1</v>
      </c>
      <c r="CF171" s="1">
        <v>1</v>
      </c>
      <c r="CG171" s="4">
        <v>43282.690335497682</v>
      </c>
      <c r="CH171" s="1" t="s">
        <v>112</v>
      </c>
      <c r="CI171" s="1" t="s">
        <v>3070</v>
      </c>
      <c r="CJ171" s="1" t="s">
        <v>157</v>
      </c>
    </row>
    <row r="172" spans="1:88" x14ac:dyDescent="0.35">
      <c r="A172" s="1">
        <v>1686</v>
      </c>
      <c r="B172" s="1" t="s">
        <v>3071</v>
      </c>
      <c r="C172" s="1" t="s">
        <v>3072</v>
      </c>
      <c r="D172" s="1" t="s">
        <v>90</v>
      </c>
      <c r="E172" s="1" t="s">
        <v>3073</v>
      </c>
      <c r="F172" s="1" t="s">
        <v>2411</v>
      </c>
      <c r="G172" s="1">
        <v>1</v>
      </c>
      <c r="H172" s="3">
        <v>34286</v>
      </c>
      <c r="I172" s="1">
        <v>1</v>
      </c>
      <c r="J172" s="1" t="s">
        <v>162</v>
      </c>
      <c r="K172" s="1" t="s">
        <v>163</v>
      </c>
      <c r="L172" s="2">
        <f>91-8000008461</f>
        <v>-8000008370</v>
      </c>
      <c r="M172" s="1" t="s">
        <v>150</v>
      </c>
      <c r="N172" s="1">
        <v>0</v>
      </c>
      <c r="O172" s="1">
        <v>0</v>
      </c>
      <c r="P172" s="1">
        <v>5.08</v>
      </c>
      <c r="Q172" s="1">
        <v>19</v>
      </c>
      <c r="R172" s="1" t="s">
        <v>714</v>
      </c>
      <c r="S172" s="1" t="s">
        <v>97</v>
      </c>
      <c r="T172" s="1" t="s">
        <v>427</v>
      </c>
      <c r="V172" s="1" t="s">
        <v>2540</v>
      </c>
      <c r="W172" s="1" t="s">
        <v>3074</v>
      </c>
      <c r="X172" s="1" t="s">
        <v>170</v>
      </c>
      <c r="Y172" s="1" t="s">
        <v>111</v>
      </c>
      <c r="Z172" s="1" t="s">
        <v>192</v>
      </c>
      <c r="AA172" s="1" t="s">
        <v>3075</v>
      </c>
      <c r="AB172" s="1">
        <v>0</v>
      </c>
      <c r="AD172" s="1" t="s">
        <v>3076</v>
      </c>
      <c r="AE172" s="1">
        <f>91-9998844110</f>
        <v>-9998844019</v>
      </c>
      <c r="AF172" s="1" t="s">
        <v>105</v>
      </c>
      <c r="AG172" s="1" t="s">
        <v>3077</v>
      </c>
      <c r="AH172" s="1" t="s">
        <v>3078</v>
      </c>
      <c r="AI172" s="1" t="s">
        <v>3079</v>
      </c>
      <c r="AJ172" s="1" t="s">
        <v>109</v>
      </c>
      <c r="AK172" s="1" t="s">
        <v>3080</v>
      </c>
      <c r="AL172" s="1">
        <v>15</v>
      </c>
      <c r="AM172" s="1" t="s">
        <v>111</v>
      </c>
      <c r="AP172" s="1">
        <f>91-9998844110</f>
        <v>-9998844019</v>
      </c>
      <c r="AR172" s="1">
        <v>1</v>
      </c>
      <c r="AS172" s="1">
        <v>1</v>
      </c>
      <c r="AW172" s="1" t="s">
        <v>142</v>
      </c>
      <c r="AX172" s="1" t="s">
        <v>1053</v>
      </c>
      <c r="AY172" s="1" t="s">
        <v>150</v>
      </c>
      <c r="AZ172" s="1">
        <v>4.07</v>
      </c>
      <c r="BA172" s="1">
        <v>5.09</v>
      </c>
      <c r="BB172" s="1" t="s">
        <v>151</v>
      </c>
      <c r="BC172" s="1" t="s">
        <v>304</v>
      </c>
      <c r="BD172" s="1" t="s">
        <v>1333</v>
      </c>
      <c r="BE172" s="1" t="s">
        <v>120</v>
      </c>
      <c r="BF172" s="1" t="s">
        <v>120</v>
      </c>
      <c r="BG172" s="1" t="s">
        <v>120</v>
      </c>
      <c r="BH172" s="1" t="s">
        <v>120</v>
      </c>
      <c r="BJ172" s="1" t="s">
        <v>120</v>
      </c>
      <c r="BK172" s="1" t="s">
        <v>120</v>
      </c>
      <c r="BL172" s="1">
        <v>0</v>
      </c>
      <c r="BM172" s="1">
        <v>0</v>
      </c>
      <c r="BN172" s="1" t="s">
        <v>3081</v>
      </c>
      <c r="BO172" s="1">
        <v>1</v>
      </c>
      <c r="BP172" s="1" t="s">
        <v>3082</v>
      </c>
      <c r="BQ172" s="1" t="s">
        <v>112</v>
      </c>
      <c r="BR172" s="1">
        <v>0</v>
      </c>
      <c r="BS172" s="1" t="s">
        <v>787</v>
      </c>
      <c r="BT172" s="1" t="s">
        <v>120</v>
      </c>
      <c r="BU172" s="1" t="s">
        <v>112</v>
      </c>
      <c r="BV172" s="1" t="s">
        <v>112</v>
      </c>
      <c r="BW172" s="1" t="s">
        <v>3083</v>
      </c>
      <c r="BX172" s="1" t="s">
        <v>3084</v>
      </c>
      <c r="BY172" s="1" t="s">
        <v>120</v>
      </c>
      <c r="BZ172" s="1">
        <v>1</v>
      </c>
      <c r="CA172" s="1">
        <v>1</v>
      </c>
      <c r="CB172" s="4">
        <v>42810.352094988426</v>
      </c>
      <c r="CC172" s="1">
        <v>1</v>
      </c>
      <c r="CD172" s="1">
        <v>1</v>
      </c>
      <c r="CE172" s="1">
        <v>1</v>
      </c>
      <c r="CF172" s="1">
        <v>4</v>
      </c>
      <c r="CG172" s="4">
        <v>42815.152891469908</v>
      </c>
      <c r="CH172" s="1" t="s">
        <v>112</v>
      </c>
      <c r="CI172" s="1" t="s">
        <v>3085</v>
      </c>
      <c r="CJ172" s="1" t="s">
        <v>157</v>
      </c>
    </row>
    <row r="173" spans="1:88" x14ac:dyDescent="0.35">
      <c r="A173" s="1">
        <v>1690</v>
      </c>
      <c r="B173" s="1" t="s">
        <v>3086</v>
      </c>
      <c r="C173" s="1" t="s">
        <v>3087</v>
      </c>
      <c r="D173" s="1" t="s">
        <v>90</v>
      </c>
      <c r="E173" s="1" t="s">
        <v>580</v>
      </c>
      <c r="F173" s="1" t="s">
        <v>552</v>
      </c>
      <c r="G173" s="1">
        <v>1</v>
      </c>
      <c r="H173" s="3">
        <v>31568</v>
      </c>
      <c r="I173" s="1">
        <v>1</v>
      </c>
      <c r="J173" s="1" t="s">
        <v>162</v>
      </c>
      <c r="K173" s="1" t="s">
        <v>1037</v>
      </c>
      <c r="L173" s="2">
        <f>91-9537641178</f>
        <v>-9537641087</v>
      </c>
      <c r="M173" s="1" t="s">
        <v>150</v>
      </c>
      <c r="N173" s="1">
        <v>0</v>
      </c>
      <c r="O173" s="1">
        <v>0</v>
      </c>
      <c r="P173" s="1">
        <v>5.08</v>
      </c>
      <c r="Q173" s="1">
        <v>11</v>
      </c>
      <c r="R173" s="1" t="s">
        <v>340</v>
      </c>
      <c r="S173" s="1" t="s">
        <v>136</v>
      </c>
      <c r="T173" s="1" t="s">
        <v>129</v>
      </c>
      <c r="U173" s="1" t="s">
        <v>3088</v>
      </c>
      <c r="V173" s="1" t="s">
        <v>3089</v>
      </c>
      <c r="X173" s="1" t="s">
        <v>170</v>
      </c>
      <c r="Y173" s="1" t="s">
        <v>111</v>
      </c>
      <c r="Z173" s="1" t="s">
        <v>2483</v>
      </c>
      <c r="AB173" s="1">
        <v>0</v>
      </c>
      <c r="AD173" s="1" t="s">
        <v>3090</v>
      </c>
      <c r="AE173" s="1">
        <f>91-9422264099</f>
        <v>-9422264008</v>
      </c>
      <c r="AF173" s="1" t="s">
        <v>143</v>
      </c>
      <c r="AG173" s="1" t="s">
        <v>3091</v>
      </c>
      <c r="AH173" s="1" t="s">
        <v>3092</v>
      </c>
      <c r="AI173" s="1" t="s">
        <v>3093</v>
      </c>
      <c r="AJ173" s="1" t="s">
        <v>109</v>
      </c>
      <c r="AK173" s="1" t="s">
        <v>3094</v>
      </c>
      <c r="AL173" s="1">
        <v>60</v>
      </c>
      <c r="AM173" s="1" t="s">
        <v>132</v>
      </c>
      <c r="AN173" s="1" t="s">
        <v>1868</v>
      </c>
      <c r="AP173" s="1">
        <f>91-9429372255</f>
        <v>-9429372164</v>
      </c>
      <c r="AR173" s="1">
        <v>1</v>
      </c>
      <c r="AS173" s="1">
        <v>0</v>
      </c>
      <c r="AW173" s="1" t="s">
        <v>142</v>
      </c>
      <c r="AX173" s="1" t="s">
        <v>3095</v>
      </c>
      <c r="AY173" s="1" t="s">
        <v>150</v>
      </c>
      <c r="AZ173" s="1">
        <v>5</v>
      </c>
      <c r="BA173" s="1">
        <v>5.07</v>
      </c>
      <c r="BB173" s="1" t="s">
        <v>151</v>
      </c>
      <c r="BC173" s="1" t="s">
        <v>304</v>
      </c>
      <c r="BD173" s="1" t="s">
        <v>1333</v>
      </c>
      <c r="BE173" s="1" t="s">
        <v>120</v>
      </c>
      <c r="BF173" s="1" t="s">
        <v>120</v>
      </c>
      <c r="BG173" s="1" t="s">
        <v>120</v>
      </c>
      <c r="BH173" s="1" t="s">
        <v>120</v>
      </c>
      <c r="BJ173" s="1" t="s">
        <v>120</v>
      </c>
      <c r="BK173" s="1" t="s">
        <v>120</v>
      </c>
      <c r="BL173" s="1">
        <v>0</v>
      </c>
      <c r="BM173" s="1">
        <v>0</v>
      </c>
      <c r="BN173" s="1" t="s">
        <v>3096</v>
      </c>
      <c r="BO173" s="1">
        <v>0</v>
      </c>
      <c r="BQ173" s="1" t="s">
        <v>180</v>
      </c>
      <c r="BR173" s="1">
        <v>0</v>
      </c>
      <c r="BS173" s="1" t="s">
        <v>596</v>
      </c>
      <c r="BT173" s="1" t="s">
        <v>124</v>
      </c>
      <c r="BV173" s="1" t="s">
        <v>112</v>
      </c>
      <c r="BW173" s="1" t="s">
        <v>3097</v>
      </c>
      <c r="BX173" s="1" t="s">
        <v>3098</v>
      </c>
      <c r="BY173" s="1" t="s">
        <v>120</v>
      </c>
      <c r="BZ173" s="1">
        <v>2</v>
      </c>
      <c r="CA173" s="1">
        <v>2</v>
      </c>
      <c r="CB173" s="4">
        <v>42811.830149571761</v>
      </c>
      <c r="CC173" s="1">
        <v>1</v>
      </c>
      <c r="CD173" s="1">
        <v>1</v>
      </c>
      <c r="CE173" s="1">
        <v>1</v>
      </c>
      <c r="CF173" s="1">
        <v>4</v>
      </c>
      <c r="CG173" s="4">
        <v>42946.145826770837</v>
      </c>
      <c r="CH173" s="1" t="s">
        <v>112</v>
      </c>
      <c r="CI173" s="1" t="s">
        <v>3099</v>
      </c>
      <c r="CJ173" s="1" t="s">
        <v>157</v>
      </c>
    </row>
    <row r="174" spans="1:88" x14ac:dyDescent="0.35">
      <c r="A174" s="1">
        <v>1692</v>
      </c>
      <c r="B174" s="1" t="s">
        <v>3100</v>
      </c>
      <c r="C174" s="1" t="s">
        <v>3101</v>
      </c>
      <c r="D174" s="1" t="s">
        <v>90</v>
      </c>
      <c r="E174" s="1" t="s">
        <v>3102</v>
      </c>
      <c r="F174" s="1" t="s">
        <v>1382</v>
      </c>
      <c r="G174" s="1">
        <v>1</v>
      </c>
      <c r="H174" s="3">
        <v>27463</v>
      </c>
      <c r="I174" s="1">
        <v>1</v>
      </c>
      <c r="J174" s="1" t="s">
        <v>315</v>
      </c>
      <c r="K174" s="1" t="s">
        <v>1995</v>
      </c>
      <c r="L174" s="2">
        <f>91-9740194024</f>
        <v>-9740193933</v>
      </c>
      <c r="M174" s="1" t="s">
        <v>95</v>
      </c>
      <c r="N174" s="1">
        <v>1</v>
      </c>
      <c r="O174" s="1">
        <v>1</v>
      </c>
      <c r="P174" s="1">
        <v>5.08</v>
      </c>
      <c r="Q174" s="1">
        <v>45</v>
      </c>
      <c r="R174" s="1" t="s">
        <v>1383</v>
      </c>
      <c r="S174" s="1" t="s">
        <v>97</v>
      </c>
      <c r="T174" s="1" t="s">
        <v>137</v>
      </c>
      <c r="U174" s="1" t="s">
        <v>2540</v>
      </c>
      <c r="V174" s="1" t="s">
        <v>2540</v>
      </c>
      <c r="X174" s="1" t="s">
        <v>100</v>
      </c>
      <c r="Y174" s="1" t="s">
        <v>111</v>
      </c>
      <c r="Z174" s="1" t="s">
        <v>266</v>
      </c>
      <c r="AB174" s="1">
        <v>0</v>
      </c>
      <c r="AD174" s="1" t="s">
        <v>3103</v>
      </c>
      <c r="AE174" s="1" t="s">
        <v>142</v>
      </c>
      <c r="AF174" s="1" t="s">
        <v>112</v>
      </c>
      <c r="AG174" s="1" t="s">
        <v>112</v>
      </c>
      <c r="AH174" s="1" t="s">
        <v>112</v>
      </c>
      <c r="AI174" s="1" t="s">
        <v>112</v>
      </c>
      <c r="AJ174" s="1" t="s">
        <v>112</v>
      </c>
      <c r="AK174" s="1" t="s">
        <v>112</v>
      </c>
      <c r="AL174" s="1" t="s">
        <v>112</v>
      </c>
      <c r="AM174" s="1" t="s">
        <v>112</v>
      </c>
      <c r="AN174" s="1" t="s">
        <v>112</v>
      </c>
      <c r="AO174" s="1" t="s">
        <v>112</v>
      </c>
      <c r="AP174" s="1" t="s">
        <v>112</v>
      </c>
      <c r="AQ174" s="1" t="s">
        <v>112</v>
      </c>
      <c r="AR174" s="1" t="s">
        <v>112</v>
      </c>
      <c r="AS174" s="1" t="s">
        <v>112</v>
      </c>
      <c r="AT174" s="1" t="s">
        <v>112</v>
      </c>
      <c r="AU174" s="1" t="s">
        <v>112</v>
      </c>
      <c r="AV174" s="1" t="s">
        <v>112</v>
      </c>
      <c r="AW174" s="1" t="s">
        <v>112</v>
      </c>
      <c r="AX174" s="1" t="s">
        <v>112</v>
      </c>
      <c r="AY174" s="1" t="s">
        <v>112</v>
      </c>
      <c r="AZ174" s="1" t="s">
        <v>112</v>
      </c>
      <c r="BA174" s="1" t="s">
        <v>112</v>
      </c>
      <c r="BB174" s="1" t="s">
        <v>112</v>
      </c>
      <c r="BC174" s="1" t="s">
        <v>112</v>
      </c>
      <c r="BD174" s="1" t="s">
        <v>112</v>
      </c>
      <c r="BE174" s="1" t="s">
        <v>112</v>
      </c>
      <c r="BF174" s="1" t="s">
        <v>112</v>
      </c>
      <c r="BG174" s="1" t="s">
        <v>112</v>
      </c>
      <c r="BH174" s="1" t="s">
        <v>112</v>
      </c>
      <c r="BI174" s="1" t="s">
        <v>112</v>
      </c>
      <c r="BJ174" s="1" t="s">
        <v>112</v>
      </c>
      <c r="BK174" s="1" t="s">
        <v>112</v>
      </c>
      <c r="BL174" s="1" t="s">
        <v>112</v>
      </c>
      <c r="BM174" s="1" t="s">
        <v>112</v>
      </c>
      <c r="BN174" s="1" t="s">
        <v>112</v>
      </c>
      <c r="BO174" s="1">
        <v>1</v>
      </c>
      <c r="BP174" s="1" t="s">
        <v>3104</v>
      </c>
      <c r="BQ174" s="1" t="s">
        <v>112</v>
      </c>
      <c r="BR174" s="1">
        <v>0</v>
      </c>
      <c r="BS174" s="1" t="s">
        <v>129</v>
      </c>
      <c r="BT174" s="1" t="s">
        <v>124</v>
      </c>
      <c r="BU174" s="1" t="s">
        <v>112</v>
      </c>
      <c r="BV174" s="1" t="s">
        <v>112</v>
      </c>
      <c r="BW174" s="1" t="s">
        <v>3105</v>
      </c>
      <c r="BX174" s="1" t="s">
        <v>112</v>
      </c>
      <c r="BY174" s="1" t="s">
        <v>112</v>
      </c>
      <c r="BZ174" s="1" t="s">
        <v>112</v>
      </c>
      <c r="CA174" s="1" t="s">
        <v>112</v>
      </c>
      <c r="CB174" s="4">
        <v>42812.243329942132</v>
      </c>
      <c r="CC174" s="1">
        <v>1</v>
      </c>
      <c r="CD174" s="1">
        <v>1</v>
      </c>
      <c r="CE174" s="1">
        <v>1</v>
      </c>
      <c r="CF174" s="1">
        <v>4</v>
      </c>
      <c r="CG174" s="4">
        <v>42819.222073067132</v>
      </c>
      <c r="CH174" s="1" t="s">
        <v>112</v>
      </c>
      <c r="CI174" s="1" t="s">
        <v>112</v>
      </c>
      <c r="CJ174" s="1" t="s">
        <v>112</v>
      </c>
    </row>
    <row r="175" spans="1:88" x14ac:dyDescent="0.35">
      <c r="A175" s="1">
        <v>1694</v>
      </c>
      <c r="B175" s="1" t="s">
        <v>3106</v>
      </c>
      <c r="C175" s="1" t="s">
        <v>3107</v>
      </c>
      <c r="D175" s="1" t="s">
        <v>90</v>
      </c>
      <c r="E175" s="1" t="s">
        <v>3108</v>
      </c>
      <c r="F175" s="1" t="s">
        <v>1153</v>
      </c>
      <c r="G175" s="1">
        <v>1</v>
      </c>
      <c r="H175" s="3">
        <v>31262</v>
      </c>
      <c r="I175" s="1">
        <v>1</v>
      </c>
      <c r="J175" s="1" t="s">
        <v>162</v>
      </c>
      <c r="K175" s="1" t="s">
        <v>232</v>
      </c>
      <c r="L175" s="2">
        <f>91-9824800219</f>
        <v>-9824800128</v>
      </c>
      <c r="M175" s="1" t="s">
        <v>95</v>
      </c>
      <c r="N175" s="1">
        <v>0</v>
      </c>
      <c r="O175" s="1">
        <v>0</v>
      </c>
      <c r="P175" s="1">
        <v>6.02</v>
      </c>
      <c r="Q175" s="1">
        <v>38</v>
      </c>
      <c r="R175" s="1" t="s">
        <v>317</v>
      </c>
      <c r="S175" s="1" t="s">
        <v>97</v>
      </c>
      <c r="T175" s="1" t="s">
        <v>137</v>
      </c>
      <c r="U175" s="1" t="s">
        <v>2540</v>
      </c>
      <c r="V175" s="1" t="s">
        <v>2540</v>
      </c>
      <c r="X175" s="1" t="s">
        <v>296</v>
      </c>
      <c r="Y175" s="1" t="s">
        <v>210</v>
      </c>
      <c r="Z175" s="1" t="s">
        <v>3109</v>
      </c>
      <c r="AB175" s="1">
        <v>0</v>
      </c>
      <c r="AD175" s="1" t="s">
        <v>3110</v>
      </c>
      <c r="AE175" s="1">
        <f>91-9979910172</f>
        <v>-9979910081</v>
      </c>
      <c r="AF175" s="1" t="s">
        <v>129</v>
      </c>
      <c r="AG175" s="1" t="s">
        <v>3111</v>
      </c>
      <c r="AH175" s="1" t="s">
        <v>3112</v>
      </c>
      <c r="AI175" s="1" t="s">
        <v>3113</v>
      </c>
      <c r="AJ175" s="1" t="s">
        <v>109</v>
      </c>
      <c r="AK175" s="1" t="s">
        <v>3114</v>
      </c>
      <c r="AL175" s="1">
        <v>15</v>
      </c>
      <c r="AM175" s="1" t="s">
        <v>129</v>
      </c>
      <c r="AP175" s="1">
        <f>91-9979910172</f>
        <v>-9979910081</v>
      </c>
      <c r="AR175" s="1">
        <v>0</v>
      </c>
      <c r="AS175" s="1">
        <v>0</v>
      </c>
      <c r="AW175" s="1" t="s">
        <v>142</v>
      </c>
      <c r="AX175" s="1" t="s">
        <v>3115</v>
      </c>
      <c r="AY175" s="1" t="s">
        <v>351</v>
      </c>
      <c r="AZ175" s="1">
        <v>5.05</v>
      </c>
      <c r="BA175" s="1">
        <v>6.08</v>
      </c>
      <c r="BB175" s="1" t="s">
        <v>151</v>
      </c>
      <c r="BC175" s="1" t="s">
        <v>152</v>
      </c>
      <c r="BD175" s="1" t="s">
        <v>1395</v>
      </c>
      <c r="BE175" s="1" t="s">
        <v>120</v>
      </c>
      <c r="BF175" s="1" t="s">
        <v>120</v>
      </c>
      <c r="BG175" s="1" t="s">
        <v>2541</v>
      </c>
      <c r="BH175" s="1" t="s">
        <v>2541</v>
      </c>
      <c r="BI175" s="1" t="s">
        <v>3109</v>
      </c>
      <c r="BL175" s="1">
        <v>0</v>
      </c>
      <c r="BM175" s="1">
        <v>0</v>
      </c>
      <c r="BN175" s="1" t="s">
        <v>3116</v>
      </c>
      <c r="BO175" s="1">
        <v>0</v>
      </c>
      <c r="BQ175" s="1" t="s">
        <v>180</v>
      </c>
      <c r="BR175" s="1">
        <v>0</v>
      </c>
      <c r="BS175" s="1" t="s">
        <v>1668</v>
      </c>
      <c r="BT175" s="1" t="s">
        <v>124</v>
      </c>
      <c r="BV175" s="1" t="s">
        <v>112</v>
      </c>
      <c r="BW175" s="1" t="s">
        <v>3117</v>
      </c>
      <c r="BX175" s="1" t="s">
        <v>3118</v>
      </c>
      <c r="BY175" s="1" t="s">
        <v>120</v>
      </c>
      <c r="BZ175" s="1">
        <v>0</v>
      </c>
      <c r="CA175" s="1">
        <v>0</v>
      </c>
      <c r="CB175" s="4">
        <v>42813.257494131947</v>
      </c>
      <c r="CC175" s="1">
        <v>1</v>
      </c>
      <c r="CD175" s="1">
        <v>1</v>
      </c>
      <c r="CE175" s="1">
        <v>1</v>
      </c>
      <c r="CF175" s="1">
        <v>4</v>
      </c>
      <c r="CG175" s="4">
        <v>42826.194056712964</v>
      </c>
      <c r="CH175" s="1" t="s">
        <v>112</v>
      </c>
      <c r="CI175" s="1" t="s">
        <v>3119</v>
      </c>
      <c r="CJ175" s="1" t="s">
        <v>157</v>
      </c>
    </row>
    <row r="176" spans="1:88" x14ac:dyDescent="0.35">
      <c r="A176" s="1">
        <v>1695</v>
      </c>
      <c r="B176" s="1" t="s">
        <v>3120</v>
      </c>
      <c r="C176" s="1" t="s">
        <v>3121</v>
      </c>
      <c r="D176" s="1" t="s">
        <v>312</v>
      </c>
      <c r="E176" s="1" t="s">
        <v>3122</v>
      </c>
      <c r="F176" s="1" t="s">
        <v>185</v>
      </c>
      <c r="G176" s="1">
        <v>1</v>
      </c>
      <c r="H176" s="3">
        <v>33936</v>
      </c>
      <c r="I176" s="1">
        <v>1</v>
      </c>
      <c r="J176" s="1" t="s">
        <v>162</v>
      </c>
      <c r="K176" s="1" t="s">
        <v>921</v>
      </c>
      <c r="L176" s="2">
        <f>91-9427961579</f>
        <v>-9427961488</v>
      </c>
      <c r="M176" s="1" t="s">
        <v>150</v>
      </c>
      <c r="N176" s="1">
        <v>0</v>
      </c>
      <c r="O176" s="1">
        <v>0</v>
      </c>
      <c r="P176" s="1">
        <v>5.08</v>
      </c>
      <c r="Q176" s="1">
        <v>49</v>
      </c>
      <c r="R176" s="1" t="s">
        <v>135</v>
      </c>
      <c r="S176" s="1" t="s">
        <v>97</v>
      </c>
      <c r="T176" s="1" t="s">
        <v>137</v>
      </c>
      <c r="U176" s="1" t="s">
        <v>2540</v>
      </c>
      <c r="V176" s="1" t="s">
        <v>2540</v>
      </c>
      <c r="X176" s="1" t="s">
        <v>296</v>
      </c>
      <c r="Y176" s="1" t="s">
        <v>111</v>
      </c>
      <c r="Z176" s="1" t="s">
        <v>192</v>
      </c>
      <c r="AB176" s="1">
        <v>0</v>
      </c>
      <c r="AD176" s="1" t="s">
        <v>3123</v>
      </c>
      <c r="AE176" s="1">
        <f>91-9067847761</f>
        <v>-9067847670</v>
      </c>
      <c r="AF176" s="1" t="s">
        <v>2541</v>
      </c>
      <c r="AG176" s="1" t="s">
        <v>3124</v>
      </c>
      <c r="AH176" s="1" t="s">
        <v>1068</v>
      </c>
      <c r="AI176" s="1" t="s">
        <v>3125</v>
      </c>
      <c r="AJ176" s="1" t="s">
        <v>109</v>
      </c>
      <c r="AK176" s="1" t="s">
        <v>3126</v>
      </c>
      <c r="AL176" s="1">
        <v>3</v>
      </c>
      <c r="AM176" s="1" t="s">
        <v>2541</v>
      </c>
      <c r="AP176" s="1">
        <f>91-9427961579</f>
        <v>-9427961488</v>
      </c>
      <c r="AR176" s="1">
        <v>0</v>
      </c>
      <c r="AS176" s="1">
        <v>0</v>
      </c>
      <c r="AW176" s="1" t="s">
        <v>142</v>
      </c>
      <c r="AX176" s="1" t="s">
        <v>414</v>
      </c>
      <c r="AY176" s="1" t="s">
        <v>150</v>
      </c>
      <c r="AZ176" s="1">
        <v>5</v>
      </c>
      <c r="BA176" s="1">
        <v>5.05</v>
      </c>
      <c r="BB176" s="1" t="s">
        <v>151</v>
      </c>
      <c r="BC176" s="1" t="s">
        <v>152</v>
      </c>
      <c r="BD176" s="1" t="s">
        <v>1395</v>
      </c>
      <c r="BE176" s="1" t="s">
        <v>3127</v>
      </c>
      <c r="BF176" s="1" t="s">
        <v>120</v>
      </c>
      <c r="BG176" s="1" t="s">
        <v>2541</v>
      </c>
      <c r="BH176" s="1" t="s">
        <v>2541</v>
      </c>
      <c r="BI176" s="1" t="s">
        <v>192</v>
      </c>
      <c r="BL176" s="1">
        <v>0</v>
      </c>
      <c r="BM176" s="1">
        <v>0</v>
      </c>
      <c r="BN176" s="1" t="s">
        <v>3128</v>
      </c>
      <c r="BO176" s="1">
        <v>0</v>
      </c>
      <c r="BQ176" s="1" t="s">
        <v>180</v>
      </c>
      <c r="BR176" s="1">
        <v>0</v>
      </c>
      <c r="BS176" s="1" t="s">
        <v>1208</v>
      </c>
      <c r="BT176" s="1" t="s">
        <v>120</v>
      </c>
      <c r="BV176" s="1" t="s">
        <v>112</v>
      </c>
      <c r="BY176" s="1" t="s">
        <v>120</v>
      </c>
      <c r="BZ176" s="1">
        <v>0</v>
      </c>
      <c r="CA176" s="1">
        <v>0</v>
      </c>
      <c r="CB176" s="4">
        <v>42813.378355474539</v>
      </c>
      <c r="CC176" s="1">
        <v>1</v>
      </c>
      <c r="CD176" s="1">
        <v>1</v>
      </c>
      <c r="CE176" s="1">
        <v>0</v>
      </c>
      <c r="CF176" s="1">
        <v>0</v>
      </c>
      <c r="CG176" s="1" t="s">
        <v>112</v>
      </c>
      <c r="CH176" s="1" t="s">
        <v>112</v>
      </c>
      <c r="CI176" s="1" t="s">
        <v>3129</v>
      </c>
      <c r="CJ176" s="1" t="s">
        <v>157</v>
      </c>
    </row>
    <row r="177" spans="1:88" x14ac:dyDescent="0.35">
      <c r="A177" s="1">
        <v>1697</v>
      </c>
      <c r="B177" s="1" t="s">
        <v>3130</v>
      </c>
      <c r="C177" s="1">
        <v>90288858</v>
      </c>
      <c r="D177" s="1" t="s">
        <v>90</v>
      </c>
      <c r="E177" s="1" t="s">
        <v>3131</v>
      </c>
      <c r="F177" s="1" t="s">
        <v>2411</v>
      </c>
      <c r="G177" s="1">
        <v>1</v>
      </c>
      <c r="H177" s="3">
        <v>33075</v>
      </c>
      <c r="I177" s="1">
        <v>1</v>
      </c>
      <c r="J177" s="1" t="s">
        <v>93</v>
      </c>
      <c r="K177" s="1" t="s">
        <v>1913</v>
      </c>
      <c r="L177" s="2">
        <f>91-9923868183</f>
        <v>-9923868092</v>
      </c>
      <c r="M177" s="1" t="s">
        <v>150</v>
      </c>
      <c r="N177" s="1">
        <v>0</v>
      </c>
      <c r="O177" s="1">
        <v>0</v>
      </c>
      <c r="P177" s="1">
        <v>5.04</v>
      </c>
      <c r="Q177" s="1">
        <v>19</v>
      </c>
      <c r="R177" s="1" t="s">
        <v>714</v>
      </c>
      <c r="S177" s="1" t="s">
        <v>293</v>
      </c>
      <c r="T177" s="1" t="s">
        <v>137</v>
      </c>
      <c r="U177" s="1" t="s">
        <v>2540</v>
      </c>
      <c r="V177" s="1" t="s">
        <v>2540</v>
      </c>
      <c r="X177" s="1" t="s">
        <v>296</v>
      </c>
      <c r="Y177" s="1" t="s">
        <v>111</v>
      </c>
      <c r="Z177" s="1" t="s">
        <v>192</v>
      </c>
      <c r="AB177" s="1">
        <v>0</v>
      </c>
      <c r="AD177" s="1" t="s">
        <v>3132</v>
      </c>
      <c r="AE177" s="1">
        <f>91-9923868183</f>
        <v>-9923868092</v>
      </c>
      <c r="AF177" s="1" t="s">
        <v>2541</v>
      </c>
      <c r="AG177" s="1" t="s">
        <v>3133</v>
      </c>
      <c r="AH177" s="1" t="s">
        <v>3134</v>
      </c>
      <c r="AI177" s="1" t="s">
        <v>3135</v>
      </c>
      <c r="AJ177" s="1" t="s">
        <v>478</v>
      </c>
      <c r="AK177" s="1" t="s">
        <v>3136</v>
      </c>
      <c r="AL177" s="1">
        <v>18</v>
      </c>
      <c r="AM177" s="1" t="s">
        <v>2541</v>
      </c>
      <c r="AP177" s="1">
        <f>91-9423540284</f>
        <v>-9423540193</v>
      </c>
      <c r="AR177" s="1">
        <v>0</v>
      </c>
      <c r="AS177" s="1">
        <v>0</v>
      </c>
      <c r="AW177" s="1" t="s">
        <v>142</v>
      </c>
      <c r="AX177" s="1" t="s">
        <v>1975</v>
      </c>
      <c r="AY177" s="1" t="s">
        <v>150</v>
      </c>
      <c r="AZ177" s="1">
        <v>5.01</v>
      </c>
      <c r="BA177" s="1">
        <v>5.01</v>
      </c>
      <c r="BB177" s="1" t="s">
        <v>151</v>
      </c>
      <c r="BC177" s="1" t="s">
        <v>152</v>
      </c>
      <c r="BD177" s="1" t="s">
        <v>1395</v>
      </c>
      <c r="BE177" s="1" t="s">
        <v>293</v>
      </c>
      <c r="BF177" s="1" t="s">
        <v>120</v>
      </c>
      <c r="BG177" s="1" t="s">
        <v>2541</v>
      </c>
      <c r="BH177" s="1" t="s">
        <v>2541</v>
      </c>
      <c r="BI177" s="1" t="s">
        <v>192</v>
      </c>
      <c r="BL177" s="1">
        <v>0</v>
      </c>
      <c r="BM177" s="1">
        <v>1</v>
      </c>
      <c r="BN177" s="1" t="s">
        <v>3137</v>
      </c>
      <c r="BO177" s="1">
        <v>0</v>
      </c>
      <c r="BQ177" s="1" t="s">
        <v>180</v>
      </c>
      <c r="BR177" s="1">
        <v>0</v>
      </c>
      <c r="BS177" s="1" t="s">
        <v>181</v>
      </c>
      <c r="BT177" s="1" t="s">
        <v>124</v>
      </c>
      <c r="BV177" s="1" t="s">
        <v>112</v>
      </c>
      <c r="BW177" s="1" t="s">
        <v>3138</v>
      </c>
      <c r="BX177" s="1" t="s">
        <v>3139</v>
      </c>
      <c r="BY177" s="1" t="s">
        <v>120</v>
      </c>
      <c r="BZ177" s="1">
        <v>0</v>
      </c>
      <c r="CA177" s="1">
        <v>0</v>
      </c>
      <c r="CB177" s="4">
        <v>42813.988276655095</v>
      </c>
      <c r="CC177" s="1">
        <v>1</v>
      </c>
      <c r="CD177" s="1">
        <v>1</v>
      </c>
      <c r="CE177" s="1">
        <v>1</v>
      </c>
      <c r="CF177" s="1">
        <v>4</v>
      </c>
      <c r="CG177" s="4">
        <v>42823.328417476849</v>
      </c>
      <c r="CH177" s="1" t="s">
        <v>112</v>
      </c>
      <c r="CI177" s="1" t="s">
        <v>3140</v>
      </c>
      <c r="CJ177" s="1" t="s">
        <v>157</v>
      </c>
    </row>
    <row r="178" spans="1:88" x14ac:dyDescent="0.35">
      <c r="A178" s="1">
        <v>1699</v>
      </c>
      <c r="B178" s="1" t="s">
        <v>3141</v>
      </c>
      <c r="C178" s="1" t="s">
        <v>3142</v>
      </c>
      <c r="D178" s="1" t="s">
        <v>90</v>
      </c>
      <c r="E178" s="1" t="s">
        <v>3143</v>
      </c>
      <c r="F178" s="1" t="s">
        <v>603</v>
      </c>
      <c r="G178" s="1">
        <v>1</v>
      </c>
      <c r="H178" s="3">
        <v>32860</v>
      </c>
      <c r="I178" s="1">
        <v>1</v>
      </c>
      <c r="J178" s="1" t="s">
        <v>162</v>
      </c>
      <c r="K178" s="1" t="s">
        <v>163</v>
      </c>
      <c r="L178" s="2">
        <f>91-9574755747</f>
        <v>-9574755656</v>
      </c>
      <c r="M178" s="1" t="s">
        <v>150</v>
      </c>
      <c r="N178" s="1">
        <v>0</v>
      </c>
      <c r="O178" s="1">
        <v>0</v>
      </c>
      <c r="P178" s="1">
        <v>5.07</v>
      </c>
      <c r="Q178" s="1">
        <v>38</v>
      </c>
      <c r="R178" s="1" t="s">
        <v>317</v>
      </c>
      <c r="S178" s="1" t="s">
        <v>136</v>
      </c>
      <c r="T178" s="1" t="s">
        <v>234</v>
      </c>
      <c r="U178" s="1" t="s">
        <v>2540</v>
      </c>
      <c r="V178" s="1" t="s">
        <v>2540</v>
      </c>
      <c r="X178" s="1" t="s">
        <v>170</v>
      </c>
      <c r="Y178" s="1" t="s">
        <v>111</v>
      </c>
      <c r="Z178" s="1" t="s">
        <v>192</v>
      </c>
      <c r="AA178" s="1" t="s">
        <v>3144</v>
      </c>
      <c r="AB178" s="1">
        <v>0</v>
      </c>
      <c r="AD178" s="1" t="s">
        <v>3145</v>
      </c>
      <c r="AE178" s="1">
        <f>91-9428832066</f>
        <v>-9428831975</v>
      </c>
      <c r="AF178" s="1" t="s">
        <v>143</v>
      </c>
      <c r="AG178" s="1" t="s">
        <v>3146</v>
      </c>
      <c r="AH178" s="1" t="s">
        <v>3147</v>
      </c>
      <c r="AI178" s="1" t="s">
        <v>3148</v>
      </c>
      <c r="AJ178" s="1" t="s">
        <v>109</v>
      </c>
      <c r="AK178" s="1" t="s">
        <v>3149</v>
      </c>
      <c r="AL178" s="1">
        <v>50</v>
      </c>
      <c r="AM178" s="1" t="s">
        <v>111</v>
      </c>
      <c r="AO178" s="1" t="s">
        <v>3149</v>
      </c>
      <c r="AP178" s="1">
        <f>91-9427884039</f>
        <v>-9427883948</v>
      </c>
      <c r="AR178" s="1">
        <v>0</v>
      </c>
      <c r="AS178" s="1">
        <v>0</v>
      </c>
      <c r="AW178" s="1" t="s">
        <v>142</v>
      </c>
      <c r="AX178" s="1" t="s">
        <v>1544</v>
      </c>
      <c r="AY178" s="1" t="s">
        <v>150</v>
      </c>
      <c r="AZ178" s="1">
        <v>5</v>
      </c>
      <c r="BA178" s="1">
        <v>5.08</v>
      </c>
      <c r="BB178" s="1" t="s">
        <v>151</v>
      </c>
      <c r="BC178" s="1" t="s">
        <v>152</v>
      </c>
      <c r="BD178" s="1" t="s">
        <v>1395</v>
      </c>
      <c r="BE178" s="1" t="s">
        <v>870</v>
      </c>
      <c r="BF178" s="1" t="s">
        <v>120</v>
      </c>
      <c r="BG178" s="1" t="s">
        <v>2541</v>
      </c>
      <c r="BH178" s="1" t="s">
        <v>2541</v>
      </c>
      <c r="BI178" s="1" t="s">
        <v>132</v>
      </c>
      <c r="BL178" s="1">
        <v>0</v>
      </c>
      <c r="BM178" s="1">
        <v>0</v>
      </c>
      <c r="BN178" s="1" t="s">
        <v>3150</v>
      </c>
      <c r="BO178" s="1">
        <v>1</v>
      </c>
      <c r="BP178" s="1" t="s">
        <v>3151</v>
      </c>
      <c r="BQ178" s="1" t="s">
        <v>112</v>
      </c>
      <c r="BR178" s="1">
        <v>0</v>
      </c>
      <c r="BS178" s="1" t="s">
        <v>354</v>
      </c>
      <c r="BT178" s="1" t="s">
        <v>306</v>
      </c>
      <c r="BU178" s="1" t="s">
        <v>112</v>
      </c>
      <c r="BV178" s="1" t="s">
        <v>112</v>
      </c>
      <c r="BW178" s="1" t="s">
        <v>3152</v>
      </c>
      <c r="BX178" s="1" t="s">
        <v>3153</v>
      </c>
      <c r="BY178" s="1" t="s">
        <v>120</v>
      </c>
      <c r="BZ178" s="1">
        <v>0</v>
      </c>
      <c r="CA178" s="1">
        <v>0</v>
      </c>
      <c r="CB178" s="4">
        <v>42817.961065393516</v>
      </c>
      <c r="CC178" s="1">
        <v>1</v>
      </c>
      <c r="CD178" s="1">
        <v>1</v>
      </c>
      <c r="CE178" s="1">
        <v>1</v>
      </c>
      <c r="CF178" s="1">
        <v>4</v>
      </c>
      <c r="CG178" s="4">
        <v>42819.281314733795</v>
      </c>
      <c r="CH178" s="1" t="s">
        <v>112</v>
      </c>
      <c r="CI178" s="1" t="s">
        <v>2582</v>
      </c>
      <c r="CJ178" s="1" t="s">
        <v>157</v>
      </c>
    </row>
    <row r="179" spans="1:88" x14ac:dyDescent="0.35">
      <c r="A179" s="1">
        <v>1702</v>
      </c>
      <c r="B179" s="1" t="s">
        <v>3154</v>
      </c>
      <c r="C179" s="1" t="s">
        <v>3155</v>
      </c>
      <c r="D179" s="1" t="s">
        <v>90</v>
      </c>
      <c r="E179" s="1" t="s">
        <v>3156</v>
      </c>
      <c r="F179" s="1" t="s">
        <v>134</v>
      </c>
      <c r="G179" s="1">
        <v>1</v>
      </c>
      <c r="H179" s="3">
        <v>33870</v>
      </c>
      <c r="I179" s="1">
        <v>1</v>
      </c>
      <c r="J179" s="1" t="s">
        <v>1553</v>
      </c>
      <c r="K179" s="1" t="s">
        <v>2990</v>
      </c>
      <c r="L179" s="2">
        <f>91-9424129407</f>
        <v>-9424129316</v>
      </c>
      <c r="M179" s="1" t="s">
        <v>150</v>
      </c>
      <c r="N179" s="1">
        <v>0</v>
      </c>
      <c r="O179" s="1">
        <v>0</v>
      </c>
      <c r="P179" s="1">
        <v>5.03</v>
      </c>
      <c r="Q179" s="1">
        <v>43</v>
      </c>
      <c r="R179" s="1" t="s">
        <v>188</v>
      </c>
      <c r="S179" s="1" t="s">
        <v>97</v>
      </c>
      <c r="T179" s="1" t="s">
        <v>427</v>
      </c>
      <c r="U179" s="1" t="s">
        <v>2540</v>
      </c>
      <c r="V179" s="1" t="s">
        <v>2540</v>
      </c>
      <c r="X179" s="1" t="s">
        <v>100</v>
      </c>
      <c r="Y179" s="1" t="s">
        <v>210</v>
      </c>
      <c r="Z179" s="1" t="s">
        <v>676</v>
      </c>
      <c r="AB179" s="1">
        <v>0</v>
      </c>
      <c r="AD179" s="1" t="s">
        <v>3157</v>
      </c>
      <c r="AE179" s="1" t="s">
        <v>142</v>
      </c>
      <c r="AF179" s="1" t="s">
        <v>2541</v>
      </c>
      <c r="AG179" s="1" t="s">
        <v>3158</v>
      </c>
      <c r="AH179" s="1" t="s">
        <v>3159</v>
      </c>
      <c r="AI179" s="1" t="s">
        <v>3160</v>
      </c>
      <c r="AJ179" s="1" t="s">
        <v>109</v>
      </c>
      <c r="AK179" s="1" t="s">
        <v>3161</v>
      </c>
      <c r="AL179" s="1">
        <v>40</v>
      </c>
      <c r="AM179" s="1" t="s">
        <v>2541</v>
      </c>
      <c r="AP179" s="1">
        <f>91-9424111207</f>
        <v>-9424111116</v>
      </c>
      <c r="AR179" s="1">
        <v>0</v>
      </c>
      <c r="AS179" s="1">
        <v>0</v>
      </c>
      <c r="AW179" s="1" t="s">
        <v>142</v>
      </c>
      <c r="AX179" s="1" t="s">
        <v>1095</v>
      </c>
      <c r="AY179" s="1" t="s">
        <v>150</v>
      </c>
      <c r="AZ179" s="1">
        <v>4.08</v>
      </c>
      <c r="BA179" s="1">
        <v>5.0199999999999996</v>
      </c>
      <c r="BB179" s="1" t="s">
        <v>151</v>
      </c>
      <c r="BC179" s="1" t="s">
        <v>152</v>
      </c>
      <c r="BD179" s="1" t="s">
        <v>1395</v>
      </c>
      <c r="BE179" s="1" t="s">
        <v>120</v>
      </c>
      <c r="BF179" s="1" t="s">
        <v>120</v>
      </c>
      <c r="BG179" s="1" t="s">
        <v>2541</v>
      </c>
      <c r="BH179" s="1" t="s">
        <v>2541</v>
      </c>
      <c r="BI179" s="1" t="s">
        <v>676</v>
      </c>
      <c r="BL179" s="1">
        <v>0</v>
      </c>
      <c r="BM179" s="1">
        <v>0</v>
      </c>
      <c r="BN179" s="1" t="s">
        <v>3162</v>
      </c>
      <c r="BO179" s="1">
        <v>0</v>
      </c>
      <c r="BQ179" s="1" t="s">
        <v>180</v>
      </c>
      <c r="BR179" s="1">
        <v>0</v>
      </c>
      <c r="BS179" s="1" t="s">
        <v>307</v>
      </c>
      <c r="BT179" s="1" t="s">
        <v>124</v>
      </c>
      <c r="BV179" s="1" t="s">
        <v>112</v>
      </c>
      <c r="BW179" s="1" t="s">
        <v>3163</v>
      </c>
      <c r="BX179" s="1" t="s">
        <v>3164</v>
      </c>
      <c r="BY179" s="1" t="s">
        <v>120</v>
      </c>
      <c r="BZ179" s="1">
        <v>0</v>
      </c>
      <c r="CA179" s="1">
        <v>0</v>
      </c>
      <c r="CB179" s="4">
        <v>42819.13079505787</v>
      </c>
      <c r="CC179" s="1">
        <v>1</v>
      </c>
      <c r="CD179" s="1">
        <v>1</v>
      </c>
      <c r="CE179" s="1">
        <v>1</v>
      </c>
      <c r="CF179" s="1">
        <v>4</v>
      </c>
      <c r="CG179" s="4">
        <v>42821.127613622688</v>
      </c>
      <c r="CH179" s="1" t="s">
        <v>112</v>
      </c>
      <c r="CI179" s="1" t="s">
        <v>1645</v>
      </c>
      <c r="CJ179" s="1" t="s">
        <v>157</v>
      </c>
    </row>
    <row r="180" spans="1:88" x14ac:dyDescent="0.35">
      <c r="A180" s="1">
        <v>1705</v>
      </c>
      <c r="B180" s="1" t="s">
        <v>3165</v>
      </c>
      <c r="C180" s="1">
        <v>9983790026</v>
      </c>
      <c r="D180" s="1" t="s">
        <v>312</v>
      </c>
      <c r="E180" s="1" t="s">
        <v>3166</v>
      </c>
      <c r="F180" s="1" t="s">
        <v>134</v>
      </c>
      <c r="G180" s="1">
        <v>1</v>
      </c>
      <c r="H180" s="3">
        <v>33527</v>
      </c>
      <c r="I180" s="1">
        <v>1</v>
      </c>
      <c r="J180" s="1" t="s">
        <v>3167</v>
      </c>
      <c r="K180" s="1" t="s">
        <v>3168</v>
      </c>
      <c r="L180" s="2">
        <f>91-9983790026</f>
        <v>-9983789935</v>
      </c>
      <c r="M180" s="1" t="s">
        <v>150</v>
      </c>
      <c r="N180" s="1">
        <v>0</v>
      </c>
      <c r="O180" s="1">
        <v>0</v>
      </c>
      <c r="P180" s="1">
        <v>5.07</v>
      </c>
      <c r="Q180" s="1">
        <v>48</v>
      </c>
      <c r="R180" s="1" t="s">
        <v>385</v>
      </c>
      <c r="S180" s="1" t="s">
        <v>97</v>
      </c>
      <c r="T180" s="1" t="s">
        <v>137</v>
      </c>
      <c r="U180" s="1" t="s">
        <v>386</v>
      </c>
      <c r="V180" s="1" t="s">
        <v>3169</v>
      </c>
      <c r="W180" s="1" t="s">
        <v>124</v>
      </c>
      <c r="X180" s="1" t="s">
        <v>924</v>
      </c>
      <c r="Y180" s="1" t="s">
        <v>111</v>
      </c>
      <c r="Z180" s="1" t="s">
        <v>192</v>
      </c>
      <c r="AA180" s="1" t="s">
        <v>3170</v>
      </c>
      <c r="AB180" s="1">
        <v>0</v>
      </c>
      <c r="AD180" s="1" t="s">
        <v>3171</v>
      </c>
      <c r="AE180" s="1">
        <f>91-9983790026</f>
        <v>-9983789935</v>
      </c>
      <c r="AF180" s="1" t="s">
        <v>105</v>
      </c>
      <c r="AG180" s="1" t="s">
        <v>3172</v>
      </c>
      <c r="AH180" s="1" t="s">
        <v>3173</v>
      </c>
      <c r="AI180" s="1" t="s">
        <v>2079</v>
      </c>
      <c r="AJ180" s="1" t="s">
        <v>109</v>
      </c>
      <c r="AK180" s="1" t="s">
        <v>3174</v>
      </c>
      <c r="AL180" s="1">
        <v>25</v>
      </c>
      <c r="AM180" s="1" t="s">
        <v>111</v>
      </c>
      <c r="AN180" s="1" t="s">
        <v>124</v>
      </c>
      <c r="AO180" s="1" t="s">
        <v>3170</v>
      </c>
      <c r="AP180" s="1">
        <f>91-9983395187</f>
        <v>-9983395096</v>
      </c>
      <c r="AQ180" s="1" t="s">
        <v>124</v>
      </c>
      <c r="AR180" s="1">
        <v>2</v>
      </c>
      <c r="AS180" s="1">
        <v>0</v>
      </c>
      <c r="AT180" s="1" t="s">
        <v>3175</v>
      </c>
      <c r="AU180" s="1" t="s">
        <v>3176</v>
      </c>
      <c r="AV180" s="1" t="s">
        <v>379</v>
      </c>
      <c r="AW180" s="1">
        <f>91-942710050</f>
        <v>-942709959</v>
      </c>
      <c r="AX180" s="1" t="s">
        <v>414</v>
      </c>
      <c r="AY180" s="1" t="s">
        <v>150</v>
      </c>
      <c r="AZ180" s="1">
        <v>5</v>
      </c>
      <c r="BA180" s="1">
        <v>5</v>
      </c>
      <c r="BE180" s="1" t="s">
        <v>120</v>
      </c>
      <c r="BG180" s="1" t="s">
        <v>120</v>
      </c>
      <c r="BH180" s="1" t="s">
        <v>120</v>
      </c>
      <c r="BJ180" s="1" t="s">
        <v>154</v>
      </c>
      <c r="BK180" s="1" t="s">
        <v>120</v>
      </c>
      <c r="BL180" s="1">
        <v>0</v>
      </c>
      <c r="BM180" s="1">
        <v>1</v>
      </c>
      <c r="BN180" s="1" t="s">
        <v>3177</v>
      </c>
      <c r="BO180" s="1">
        <v>1</v>
      </c>
      <c r="BP180" s="1" t="s">
        <v>3168</v>
      </c>
      <c r="BQ180" s="1" t="s">
        <v>112</v>
      </c>
      <c r="BR180" s="1">
        <v>0</v>
      </c>
      <c r="BS180" s="1" t="s">
        <v>123</v>
      </c>
      <c r="BT180" s="1" t="s">
        <v>124</v>
      </c>
      <c r="BU180" s="1" t="s">
        <v>3178</v>
      </c>
      <c r="BV180" s="1" t="s">
        <v>112</v>
      </c>
      <c r="BW180" s="1" t="s">
        <v>3179</v>
      </c>
      <c r="BX180" s="1" t="s">
        <v>3180</v>
      </c>
      <c r="BY180" s="1" t="s">
        <v>127</v>
      </c>
      <c r="BZ180" s="1">
        <v>0</v>
      </c>
      <c r="CA180" s="1">
        <v>0</v>
      </c>
      <c r="CB180" s="4">
        <v>42820.429912071762</v>
      </c>
      <c r="CC180" s="1">
        <v>1</v>
      </c>
      <c r="CD180" s="1">
        <v>1</v>
      </c>
      <c r="CE180" s="1">
        <v>1</v>
      </c>
      <c r="CF180" s="1">
        <v>4</v>
      </c>
      <c r="CG180" s="4">
        <v>42820.743204282408</v>
      </c>
      <c r="CH180" s="1" t="s">
        <v>112</v>
      </c>
      <c r="CI180" s="1" t="s">
        <v>708</v>
      </c>
      <c r="CJ180" s="1" t="s">
        <v>129</v>
      </c>
    </row>
    <row r="181" spans="1:88" x14ac:dyDescent="0.35">
      <c r="A181" s="1">
        <v>1708</v>
      </c>
      <c r="B181" s="1" t="s">
        <v>3181</v>
      </c>
      <c r="C181" s="1" t="s">
        <v>3182</v>
      </c>
      <c r="D181" s="1" t="s">
        <v>90</v>
      </c>
      <c r="E181" s="1" t="s">
        <v>1405</v>
      </c>
      <c r="F181" s="1" t="s">
        <v>1382</v>
      </c>
      <c r="G181" s="1">
        <v>1</v>
      </c>
      <c r="H181" s="3">
        <v>34382</v>
      </c>
      <c r="I181" s="1">
        <v>1</v>
      </c>
      <c r="J181" s="1" t="s">
        <v>93</v>
      </c>
      <c r="K181" s="1" t="s">
        <v>94</v>
      </c>
      <c r="L181" s="2">
        <f>91-9967441194</f>
        <v>-9967441103</v>
      </c>
      <c r="M181" s="1" t="s">
        <v>150</v>
      </c>
      <c r="N181" s="1">
        <v>0</v>
      </c>
      <c r="O181" s="1">
        <v>0</v>
      </c>
      <c r="P181" s="1">
        <v>5.1100000000000003</v>
      </c>
      <c r="Q181" s="1">
        <v>45</v>
      </c>
      <c r="R181" s="1" t="s">
        <v>1383</v>
      </c>
      <c r="S181" s="1" t="s">
        <v>97</v>
      </c>
      <c r="T181" s="1" t="s">
        <v>137</v>
      </c>
      <c r="U181" s="1" t="s">
        <v>2540</v>
      </c>
      <c r="V181" s="1" t="s">
        <v>2540</v>
      </c>
      <c r="X181" s="1" t="s">
        <v>170</v>
      </c>
      <c r="Y181" s="1" t="s">
        <v>111</v>
      </c>
      <c r="Z181" s="1" t="s">
        <v>192</v>
      </c>
      <c r="AB181" s="1">
        <v>0</v>
      </c>
      <c r="AD181" s="1" t="s">
        <v>3183</v>
      </c>
      <c r="AE181" s="1">
        <f>91-9920026890</f>
        <v>-9920026799</v>
      </c>
      <c r="AF181" s="1" t="s">
        <v>2541</v>
      </c>
      <c r="AG181" s="1" t="s">
        <v>3184</v>
      </c>
      <c r="AH181" s="1" t="s">
        <v>3185</v>
      </c>
      <c r="AI181" s="1" t="s">
        <v>3186</v>
      </c>
      <c r="AJ181" s="1" t="s">
        <v>109</v>
      </c>
      <c r="AK181" s="1" t="s">
        <v>3187</v>
      </c>
      <c r="AL181" s="1">
        <v>15</v>
      </c>
      <c r="AM181" s="1" t="s">
        <v>2541</v>
      </c>
      <c r="AP181" s="1">
        <f>91-9322861291</f>
        <v>-9322861200</v>
      </c>
      <c r="AR181" s="1">
        <v>0</v>
      </c>
      <c r="AS181" s="1">
        <v>0</v>
      </c>
      <c r="AW181" s="1" t="s">
        <v>142</v>
      </c>
      <c r="AX181" s="1" t="s">
        <v>569</v>
      </c>
      <c r="AY181" s="1" t="s">
        <v>150</v>
      </c>
      <c r="AZ181" s="1">
        <v>5</v>
      </c>
      <c r="BA181" s="1">
        <v>5.1100000000000003</v>
      </c>
      <c r="BB181" s="1" t="s">
        <v>151</v>
      </c>
      <c r="BC181" s="1" t="s">
        <v>152</v>
      </c>
      <c r="BD181" s="1" t="s">
        <v>1395</v>
      </c>
      <c r="BE181" s="1" t="s">
        <v>1182</v>
      </c>
      <c r="BF181" s="1" t="s">
        <v>120</v>
      </c>
      <c r="BG181" s="1" t="s">
        <v>2541</v>
      </c>
      <c r="BH181" s="1" t="s">
        <v>2541</v>
      </c>
      <c r="BI181" s="1" t="s">
        <v>192</v>
      </c>
      <c r="BL181" s="1">
        <v>0</v>
      </c>
      <c r="BM181" s="1">
        <v>0</v>
      </c>
      <c r="BN181" s="1" t="s">
        <v>3188</v>
      </c>
      <c r="BO181" s="1">
        <v>0</v>
      </c>
      <c r="BQ181" s="1" t="s">
        <v>180</v>
      </c>
      <c r="BR181" s="1">
        <v>0</v>
      </c>
      <c r="BS181" s="1" t="s">
        <v>596</v>
      </c>
      <c r="BT181" s="1" t="s">
        <v>120</v>
      </c>
      <c r="BV181" s="1" t="s">
        <v>112</v>
      </c>
      <c r="BX181" s="1" t="s">
        <v>3189</v>
      </c>
      <c r="BY181" s="1" t="s">
        <v>120</v>
      </c>
      <c r="BZ181" s="1">
        <v>0</v>
      </c>
      <c r="CA181" s="1">
        <v>0</v>
      </c>
      <c r="CB181" s="4">
        <v>42825.496453159722</v>
      </c>
      <c r="CC181" s="1">
        <v>1</v>
      </c>
      <c r="CD181" s="1">
        <v>1</v>
      </c>
      <c r="CE181" s="1">
        <v>1</v>
      </c>
      <c r="CF181" s="1">
        <v>4</v>
      </c>
      <c r="CG181" s="4">
        <v>42835.533869791667</v>
      </c>
      <c r="CH181" s="1" t="s">
        <v>112</v>
      </c>
      <c r="CI181" s="1" t="s">
        <v>3190</v>
      </c>
      <c r="CJ181" s="1" t="s">
        <v>157</v>
      </c>
    </row>
    <row r="182" spans="1:88" x14ac:dyDescent="0.35">
      <c r="A182" s="1">
        <v>1709</v>
      </c>
      <c r="B182" s="1" t="s">
        <v>3191</v>
      </c>
      <c r="C182" s="1" t="s">
        <v>3192</v>
      </c>
      <c r="D182" s="1" t="s">
        <v>90</v>
      </c>
      <c r="E182" s="1" t="s">
        <v>2446</v>
      </c>
      <c r="F182" s="1" t="s">
        <v>489</v>
      </c>
      <c r="G182" s="1">
        <v>1</v>
      </c>
      <c r="H182" s="3">
        <v>33123</v>
      </c>
      <c r="I182" s="1">
        <v>1</v>
      </c>
      <c r="J182" s="1" t="s">
        <v>162</v>
      </c>
      <c r="K182" s="1" t="s">
        <v>291</v>
      </c>
      <c r="L182" s="2">
        <f>91-8530002323</f>
        <v>-8530002232</v>
      </c>
      <c r="M182" s="1" t="s">
        <v>150</v>
      </c>
      <c r="N182" s="1">
        <v>0</v>
      </c>
      <c r="O182" s="1">
        <v>0</v>
      </c>
      <c r="P182" s="1">
        <v>5.08</v>
      </c>
      <c r="Q182" s="1">
        <v>14</v>
      </c>
      <c r="R182" s="1" t="s">
        <v>164</v>
      </c>
      <c r="S182" s="1" t="s">
        <v>97</v>
      </c>
      <c r="T182" s="1" t="s">
        <v>427</v>
      </c>
      <c r="U182" s="1" t="s">
        <v>3193</v>
      </c>
      <c r="V182" s="1" t="s">
        <v>2540</v>
      </c>
      <c r="X182" s="1" t="s">
        <v>170</v>
      </c>
      <c r="Y182" s="1" t="s">
        <v>210</v>
      </c>
      <c r="Z182" s="1" t="s">
        <v>1557</v>
      </c>
      <c r="AA182" s="1" t="s">
        <v>3194</v>
      </c>
      <c r="AB182" s="1">
        <v>0</v>
      </c>
      <c r="AD182" s="1" t="s">
        <v>3195</v>
      </c>
      <c r="AE182" s="1">
        <f>91-9824253240</f>
        <v>-9824253149</v>
      </c>
      <c r="AF182" s="1" t="s">
        <v>105</v>
      </c>
      <c r="AG182" s="1" t="s">
        <v>3196</v>
      </c>
      <c r="AH182" s="1" t="s">
        <v>3197</v>
      </c>
      <c r="AI182" s="1" t="s">
        <v>3198</v>
      </c>
      <c r="AJ182" s="1" t="s">
        <v>109</v>
      </c>
      <c r="AK182" s="1" t="s">
        <v>3199</v>
      </c>
      <c r="AL182" s="1">
        <v>60</v>
      </c>
      <c r="AM182" s="1" t="s">
        <v>111</v>
      </c>
      <c r="AO182" s="1" t="s">
        <v>3200</v>
      </c>
      <c r="AP182" s="1">
        <f>91-9824253240</f>
        <v>-9824253149</v>
      </c>
      <c r="AR182" s="1">
        <v>1</v>
      </c>
      <c r="AS182" s="1">
        <v>1</v>
      </c>
      <c r="AW182" s="1" t="s">
        <v>142</v>
      </c>
      <c r="AX182" s="1" t="s">
        <v>664</v>
      </c>
      <c r="AY182" s="1" t="s">
        <v>150</v>
      </c>
      <c r="AZ182" s="1">
        <v>5.0199999999999996</v>
      </c>
      <c r="BA182" s="1">
        <v>5.08</v>
      </c>
      <c r="BB182" s="1" t="s">
        <v>151</v>
      </c>
      <c r="BC182" s="1" t="s">
        <v>304</v>
      </c>
      <c r="BD182" s="1" t="s">
        <v>1333</v>
      </c>
      <c r="BE182" s="1" t="s">
        <v>2209</v>
      </c>
      <c r="BF182" s="1" t="s">
        <v>120</v>
      </c>
      <c r="BG182" s="1" t="s">
        <v>120</v>
      </c>
      <c r="BH182" s="1" t="s">
        <v>120</v>
      </c>
      <c r="BJ182" s="1" t="s">
        <v>120</v>
      </c>
      <c r="BK182" s="1" t="s">
        <v>120</v>
      </c>
      <c r="BL182" s="1">
        <v>0</v>
      </c>
      <c r="BM182" s="1">
        <v>0</v>
      </c>
      <c r="BN182" s="1" t="s">
        <v>3195</v>
      </c>
      <c r="BO182" s="1">
        <v>1</v>
      </c>
      <c r="BQ182" s="1" t="s">
        <v>112</v>
      </c>
      <c r="BR182" s="1">
        <v>0</v>
      </c>
      <c r="BS182" s="1" t="s">
        <v>129</v>
      </c>
      <c r="BT182" s="1" t="s">
        <v>124</v>
      </c>
      <c r="BU182" s="1" t="s">
        <v>112</v>
      </c>
      <c r="BV182" s="1" t="s">
        <v>112</v>
      </c>
      <c r="BW182" s="1" t="s">
        <v>3201</v>
      </c>
      <c r="BX182" s="1" t="s">
        <v>3202</v>
      </c>
      <c r="BY182" s="1" t="s">
        <v>465</v>
      </c>
      <c r="BZ182" s="1">
        <v>1</v>
      </c>
      <c r="CA182" s="1">
        <v>1</v>
      </c>
      <c r="CB182" s="4">
        <v>42826.502757210648</v>
      </c>
      <c r="CC182" s="1">
        <v>1</v>
      </c>
      <c r="CD182" s="1">
        <v>1</v>
      </c>
      <c r="CE182" s="1">
        <v>1</v>
      </c>
      <c r="CF182" s="1">
        <v>1</v>
      </c>
      <c r="CG182" s="4">
        <v>43533.677424803238</v>
      </c>
      <c r="CH182" s="1" t="s">
        <v>112</v>
      </c>
      <c r="CI182" s="1" t="s">
        <v>3203</v>
      </c>
      <c r="CJ182" s="1" t="s">
        <v>157</v>
      </c>
    </row>
    <row r="183" spans="1:88" x14ac:dyDescent="0.35">
      <c r="A183" s="1">
        <v>1710</v>
      </c>
      <c r="B183" s="1" t="s">
        <v>3204</v>
      </c>
      <c r="C183" s="1" t="s">
        <v>3205</v>
      </c>
      <c r="D183" s="1" t="s">
        <v>90</v>
      </c>
      <c r="E183" s="1" t="s">
        <v>2509</v>
      </c>
      <c r="F183" s="1" t="s">
        <v>3206</v>
      </c>
      <c r="G183" s="1">
        <v>1</v>
      </c>
      <c r="H183" s="3">
        <v>34443</v>
      </c>
      <c r="I183" s="1">
        <v>1</v>
      </c>
      <c r="J183" s="1" t="s">
        <v>162</v>
      </c>
      <c r="K183" s="1" t="s">
        <v>1406</v>
      </c>
      <c r="L183" s="2">
        <f>91-9727566941</f>
        <v>-9727566850</v>
      </c>
      <c r="M183" s="1" t="s">
        <v>150</v>
      </c>
      <c r="N183" s="1">
        <v>0</v>
      </c>
      <c r="O183" s="1">
        <v>0</v>
      </c>
      <c r="P183" s="1">
        <v>5.08</v>
      </c>
      <c r="Q183" s="1">
        <v>16</v>
      </c>
      <c r="R183" s="1" t="s">
        <v>535</v>
      </c>
      <c r="S183" s="1" t="s">
        <v>136</v>
      </c>
      <c r="T183" s="1" t="s">
        <v>166</v>
      </c>
      <c r="U183" s="1" t="s">
        <v>3207</v>
      </c>
      <c r="V183" s="1" t="s">
        <v>3208</v>
      </c>
      <c r="X183" s="1" t="s">
        <v>170</v>
      </c>
      <c r="Y183" s="1" t="s">
        <v>101</v>
      </c>
      <c r="Z183" s="1" t="s">
        <v>171</v>
      </c>
      <c r="AB183" s="1">
        <v>0</v>
      </c>
      <c r="AD183" s="1" t="s">
        <v>3209</v>
      </c>
      <c r="AE183" s="1">
        <f>91-9879949212</f>
        <v>-9879949121</v>
      </c>
      <c r="AF183" s="1" t="s">
        <v>2541</v>
      </c>
      <c r="AG183" s="1" t="s">
        <v>3210</v>
      </c>
      <c r="AH183" s="1" t="s">
        <v>3211</v>
      </c>
      <c r="AI183" s="1" t="s">
        <v>3212</v>
      </c>
      <c r="AJ183" s="1" t="s">
        <v>109</v>
      </c>
      <c r="AK183" s="1" t="s">
        <v>3213</v>
      </c>
      <c r="AL183" s="1">
        <v>30</v>
      </c>
      <c r="AM183" s="1" t="s">
        <v>2541</v>
      </c>
      <c r="AP183" s="1">
        <f>91-9879949212</f>
        <v>-9879949121</v>
      </c>
      <c r="AR183" s="1">
        <v>0</v>
      </c>
      <c r="AS183" s="1">
        <v>0</v>
      </c>
      <c r="AW183" s="1" t="s">
        <v>142</v>
      </c>
      <c r="AX183" s="1" t="s">
        <v>1095</v>
      </c>
      <c r="AY183" s="1" t="s">
        <v>150</v>
      </c>
      <c r="AZ183" s="1">
        <v>4.08</v>
      </c>
      <c r="BA183" s="1">
        <v>5.08</v>
      </c>
      <c r="BB183" s="1" t="s">
        <v>151</v>
      </c>
      <c r="BC183" s="1" t="s">
        <v>152</v>
      </c>
      <c r="BD183" s="1" t="s">
        <v>1395</v>
      </c>
      <c r="BE183" s="1" t="s">
        <v>120</v>
      </c>
      <c r="BF183" s="1" t="s">
        <v>120</v>
      </c>
      <c r="BG183" s="1" t="s">
        <v>2541</v>
      </c>
      <c r="BH183" s="1" t="s">
        <v>2541</v>
      </c>
      <c r="BI183" s="1" t="s">
        <v>171</v>
      </c>
      <c r="BL183" s="1">
        <v>0</v>
      </c>
      <c r="BM183" s="1">
        <v>0</v>
      </c>
      <c r="BN183" s="1" t="s">
        <v>3214</v>
      </c>
      <c r="BO183" s="1">
        <v>1</v>
      </c>
      <c r="BP183" s="1" t="s">
        <v>3215</v>
      </c>
      <c r="BQ183" s="1" t="s">
        <v>112</v>
      </c>
      <c r="BR183" s="1">
        <v>1</v>
      </c>
      <c r="BS183" s="1" t="s">
        <v>307</v>
      </c>
      <c r="BT183" s="1" t="s">
        <v>124</v>
      </c>
      <c r="BU183" s="1" t="s">
        <v>3216</v>
      </c>
      <c r="BV183" s="1" t="s">
        <v>112</v>
      </c>
      <c r="BW183" s="1" t="s">
        <v>3217</v>
      </c>
      <c r="BX183" s="1" t="s">
        <v>3218</v>
      </c>
      <c r="BY183" s="1" t="s">
        <v>120</v>
      </c>
      <c r="BZ183" s="1">
        <v>0</v>
      </c>
      <c r="CA183" s="1">
        <v>0</v>
      </c>
      <c r="CB183" s="4">
        <v>42828.372458530095</v>
      </c>
      <c r="CC183" s="1">
        <v>1</v>
      </c>
      <c r="CD183" s="1">
        <v>1</v>
      </c>
      <c r="CE183" s="1">
        <v>1</v>
      </c>
      <c r="CF183" s="1">
        <v>1</v>
      </c>
      <c r="CG183" s="4">
        <v>43932.246261423614</v>
      </c>
      <c r="CH183" s="1" t="s">
        <v>112</v>
      </c>
      <c r="CI183" s="1" t="s">
        <v>3219</v>
      </c>
      <c r="CJ183" s="1" t="s">
        <v>157</v>
      </c>
    </row>
    <row r="184" spans="1:88" x14ac:dyDescent="0.35">
      <c r="A184" s="1">
        <v>1711</v>
      </c>
      <c r="B184" s="1" t="s">
        <v>3220</v>
      </c>
      <c r="C184" s="1" t="s">
        <v>3221</v>
      </c>
      <c r="D184" s="1" t="s">
        <v>90</v>
      </c>
      <c r="E184" s="1" t="s">
        <v>3222</v>
      </c>
      <c r="F184" s="1" t="s">
        <v>3223</v>
      </c>
      <c r="G184" s="1">
        <v>0</v>
      </c>
      <c r="H184" s="3">
        <v>34041</v>
      </c>
      <c r="I184" s="1">
        <v>38</v>
      </c>
      <c r="J184" s="1" t="s">
        <v>3224</v>
      </c>
      <c r="K184" s="1" t="s">
        <v>3225</v>
      </c>
      <c r="L184" s="2">
        <f>1-437-991-9063</f>
        <v>-10490</v>
      </c>
      <c r="M184" s="1" t="s">
        <v>112</v>
      </c>
      <c r="N184" s="1" t="s">
        <v>112</v>
      </c>
      <c r="O184" s="1" t="s">
        <v>112</v>
      </c>
      <c r="P184" s="1" t="s">
        <v>112</v>
      </c>
      <c r="Q184" s="1" t="s">
        <v>112</v>
      </c>
      <c r="R184" s="1" t="s">
        <v>112</v>
      </c>
      <c r="S184" s="1" t="s">
        <v>112</v>
      </c>
      <c r="T184" s="1" t="s">
        <v>112</v>
      </c>
      <c r="U184" s="1" t="s">
        <v>112</v>
      </c>
      <c r="V184" s="1" t="s">
        <v>112</v>
      </c>
      <c r="W184" s="1" t="s">
        <v>112</v>
      </c>
      <c r="X184" s="1" t="s">
        <v>112</v>
      </c>
      <c r="Y184" s="1" t="s">
        <v>112</v>
      </c>
      <c r="Z184" s="1" t="s">
        <v>112</v>
      </c>
      <c r="AA184" s="1" t="s">
        <v>112</v>
      </c>
      <c r="AB184" s="1" t="s">
        <v>112</v>
      </c>
      <c r="AC184" s="1" t="s">
        <v>112</v>
      </c>
      <c r="AD184" s="1" t="s">
        <v>112</v>
      </c>
      <c r="AE184" s="1" t="s">
        <v>112</v>
      </c>
      <c r="AF184" s="1" t="s">
        <v>112</v>
      </c>
      <c r="AG184" s="1" t="s">
        <v>112</v>
      </c>
      <c r="AH184" s="1" t="s">
        <v>112</v>
      </c>
      <c r="AI184" s="1" t="s">
        <v>112</v>
      </c>
      <c r="AJ184" s="1" t="s">
        <v>112</v>
      </c>
      <c r="AK184" s="1" t="s">
        <v>112</v>
      </c>
      <c r="AL184" s="1" t="s">
        <v>112</v>
      </c>
      <c r="AM184" s="1" t="s">
        <v>112</v>
      </c>
      <c r="AN184" s="1" t="s">
        <v>112</v>
      </c>
      <c r="AO184" s="1" t="s">
        <v>112</v>
      </c>
      <c r="AP184" s="1" t="s">
        <v>112</v>
      </c>
      <c r="AQ184" s="1" t="s">
        <v>112</v>
      </c>
      <c r="AR184" s="1" t="s">
        <v>112</v>
      </c>
      <c r="AS184" s="1" t="s">
        <v>112</v>
      </c>
      <c r="AT184" s="1" t="s">
        <v>112</v>
      </c>
      <c r="AU184" s="1" t="s">
        <v>112</v>
      </c>
      <c r="AV184" s="1" t="s">
        <v>112</v>
      </c>
      <c r="AW184" s="1" t="s">
        <v>112</v>
      </c>
      <c r="AX184" s="1" t="s">
        <v>112</v>
      </c>
      <c r="AY184" s="1" t="s">
        <v>112</v>
      </c>
      <c r="AZ184" s="1" t="s">
        <v>112</v>
      </c>
      <c r="BA184" s="1" t="s">
        <v>112</v>
      </c>
      <c r="BB184" s="1" t="s">
        <v>112</v>
      </c>
      <c r="BC184" s="1" t="s">
        <v>112</v>
      </c>
      <c r="BD184" s="1" t="s">
        <v>112</v>
      </c>
      <c r="BE184" s="1" t="s">
        <v>112</v>
      </c>
      <c r="BF184" s="1" t="s">
        <v>112</v>
      </c>
      <c r="BG184" s="1" t="s">
        <v>112</v>
      </c>
      <c r="BH184" s="1" t="s">
        <v>112</v>
      </c>
      <c r="BI184" s="1" t="s">
        <v>112</v>
      </c>
      <c r="BJ184" s="1" t="s">
        <v>112</v>
      </c>
      <c r="BK184" s="1" t="s">
        <v>112</v>
      </c>
      <c r="BL184" s="1" t="s">
        <v>112</v>
      </c>
      <c r="BM184" s="1" t="s">
        <v>112</v>
      </c>
      <c r="BN184" s="1" t="s">
        <v>112</v>
      </c>
      <c r="BO184" s="1" t="s">
        <v>112</v>
      </c>
      <c r="BP184" s="1" t="s">
        <v>112</v>
      </c>
      <c r="BQ184" s="1" t="s">
        <v>112</v>
      </c>
      <c r="BR184" s="1" t="s">
        <v>112</v>
      </c>
      <c r="BS184" s="1" t="s">
        <v>112</v>
      </c>
      <c r="BT184" s="1" t="s">
        <v>112</v>
      </c>
      <c r="BU184" s="1" t="s">
        <v>112</v>
      </c>
      <c r="BV184" s="1" t="s">
        <v>112</v>
      </c>
      <c r="BW184" s="1" t="s">
        <v>112</v>
      </c>
      <c r="BX184" s="1" t="s">
        <v>112</v>
      </c>
      <c r="BY184" s="1" t="s">
        <v>112</v>
      </c>
      <c r="BZ184" s="1" t="s">
        <v>112</v>
      </c>
      <c r="CA184" s="1" t="s">
        <v>112</v>
      </c>
      <c r="CB184" s="4">
        <v>42828.8612278125</v>
      </c>
      <c r="CC184" s="1">
        <v>1</v>
      </c>
      <c r="CD184" s="1">
        <v>1</v>
      </c>
      <c r="CE184" s="1">
        <v>1</v>
      </c>
      <c r="CF184" s="1">
        <v>4</v>
      </c>
      <c r="CG184" s="1" t="s">
        <v>112</v>
      </c>
      <c r="CH184" s="1" t="s">
        <v>112</v>
      </c>
      <c r="CI184" s="1" t="s">
        <v>112</v>
      </c>
      <c r="CJ184" s="1" t="s">
        <v>112</v>
      </c>
    </row>
    <row r="185" spans="1:88" x14ac:dyDescent="0.35">
      <c r="A185" s="1">
        <v>1714</v>
      </c>
      <c r="B185" s="1" t="s">
        <v>3226</v>
      </c>
      <c r="C185" s="1" t="s">
        <v>3227</v>
      </c>
      <c r="D185" s="1" t="s">
        <v>259</v>
      </c>
      <c r="E185" s="1" t="s">
        <v>3228</v>
      </c>
      <c r="F185" s="1" t="s">
        <v>1994</v>
      </c>
      <c r="G185" s="1">
        <v>0</v>
      </c>
      <c r="H185" s="3">
        <v>32286</v>
      </c>
      <c r="I185" s="1">
        <v>1</v>
      </c>
      <c r="J185" s="1" t="s">
        <v>3229</v>
      </c>
      <c r="K185" s="1" t="s">
        <v>3230</v>
      </c>
      <c r="L185" s="2">
        <f>91-9431214677</f>
        <v>-9431214586</v>
      </c>
      <c r="M185" s="1" t="s">
        <v>150</v>
      </c>
      <c r="N185" s="1">
        <v>0</v>
      </c>
      <c r="O185" s="1">
        <v>0</v>
      </c>
      <c r="P185" s="1">
        <v>5.05</v>
      </c>
      <c r="Q185" s="1">
        <v>50</v>
      </c>
      <c r="S185" s="1" t="s">
        <v>97</v>
      </c>
      <c r="T185" s="1" t="s">
        <v>1173</v>
      </c>
      <c r="U185" s="1" t="s">
        <v>2540</v>
      </c>
      <c r="V185" s="1" t="s">
        <v>2540</v>
      </c>
      <c r="X185" s="1" t="s">
        <v>100</v>
      </c>
      <c r="Y185" s="1" t="s">
        <v>210</v>
      </c>
      <c r="Z185" s="1" t="s">
        <v>3231</v>
      </c>
      <c r="AB185" s="1">
        <v>0</v>
      </c>
      <c r="AD185" s="1" t="s">
        <v>3232</v>
      </c>
      <c r="AE185" s="1">
        <f>91-9431214677</f>
        <v>-9431214586</v>
      </c>
      <c r="AF185" s="1" t="s">
        <v>2541</v>
      </c>
      <c r="AG185" s="1" t="s">
        <v>3233</v>
      </c>
      <c r="AH185" s="1" t="s">
        <v>3234</v>
      </c>
      <c r="AI185" s="1" t="s">
        <v>3235</v>
      </c>
      <c r="AJ185" s="1" t="s">
        <v>109</v>
      </c>
      <c r="AK185" s="1" t="s">
        <v>3236</v>
      </c>
      <c r="AL185" s="1">
        <v>50</v>
      </c>
      <c r="AM185" s="1" t="s">
        <v>2541</v>
      </c>
      <c r="AP185" s="1">
        <f>91-9431214677</f>
        <v>-9431214586</v>
      </c>
      <c r="AR185" s="1">
        <v>0</v>
      </c>
      <c r="AS185" s="1">
        <v>0</v>
      </c>
      <c r="AW185" s="1" t="s">
        <v>142</v>
      </c>
      <c r="AX185" s="1" t="s">
        <v>1181</v>
      </c>
      <c r="AY185" s="1" t="s">
        <v>150</v>
      </c>
      <c r="AZ185" s="1">
        <v>5.08</v>
      </c>
      <c r="BA185" s="1">
        <v>6</v>
      </c>
      <c r="BB185" s="1" t="s">
        <v>151</v>
      </c>
      <c r="BC185" s="1" t="s">
        <v>152</v>
      </c>
      <c r="BD185" s="1" t="s">
        <v>1395</v>
      </c>
      <c r="BE185" s="1" t="s">
        <v>136</v>
      </c>
      <c r="BF185" s="1" t="s">
        <v>120</v>
      </c>
      <c r="BG185" s="1" t="s">
        <v>2541</v>
      </c>
      <c r="BH185" s="1" t="s">
        <v>2541</v>
      </c>
      <c r="BI185" s="1" t="s">
        <v>3231</v>
      </c>
      <c r="BL185" s="1">
        <v>0</v>
      </c>
      <c r="BM185" s="1">
        <v>1</v>
      </c>
      <c r="BN185" s="1" t="s">
        <v>3237</v>
      </c>
      <c r="BO185" s="1" t="s">
        <v>112</v>
      </c>
      <c r="BP185" s="1" t="s">
        <v>112</v>
      </c>
      <c r="BQ185" s="1" t="s">
        <v>112</v>
      </c>
      <c r="BR185" s="1" t="s">
        <v>112</v>
      </c>
      <c r="BS185" s="1" t="s">
        <v>112</v>
      </c>
      <c r="BT185" s="1" t="s">
        <v>112</v>
      </c>
      <c r="BU185" s="1" t="s">
        <v>112</v>
      </c>
      <c r="BV185" s="1" t="s">
        <v>112</v>
      </c>
      <c r="BW185" s="1" t="s">
        <v>112</v>
      </c>
      <c r="BX185" s="1" t="s">
        <v>112</v>
      </c>
      <c r="BY185" s="1" t="s">
        <v>120</v>
      </c>
      <c r="BZ185" s="1">
        <v>0</v>
      </c>
      <c r="CA185" s="1">
        <v>0</v>
      </c>
      <c r="CB185" s="4">
        <v>42833.130307210646</v>
      </c>
      <c r="CC185" s="1">
        <v>1</v>
      </c>
      <c r="CD185" s="1">
        <v>1</v>
      </c>
      <c r="CE185" s="1">
        <v>1</v>
      </c>
      <c r="CF185" s="1">
        <v>4</v>
      </c>
      <c r="CG185" s="1" t="s">
        <v>112</v>
      </c>
      <c r="CH185" s="1" t="s">
        <v>112</v>
      </c>
      <c r="CI185" s="1" t="s">
        <v>3238</v>
      </c>
      <c r="CJ185" s="1" t="s">
        <v>157</v>
      </c>
    </row>
    <row r="186" spans="1:88" x14ac:dyDescent="0.35">
      <c r="A186" s="1">
        <v>1715</v>
      </c>
      <c r="B186" s="1" t="s">
        <v>3239</v>
      </c>
      <c r="C186" s="1" t="s">
        <v>3240</v>
      </c>
      <c r="D186" s="1" t="s">
        <v>229</v>
      </c>
      <c r="E186" s="1" t="s">
        <v>3241</v>
      </c>
      <c r="F186" s="1" t="s">
        <v>185</v>
      </c>
      <c r="G186" s="1">
        <v>1</v>
      </c>
      <c r="H186" s="3">
        <v>31734</v>
      </c>
      <c r="I186" s="1">
        <v>1</v>
      </c>
      <c r="J186" s="1" t="s">
        <v>3242</v>
      </c>
      <c r="K186" s="1" t="s">
        <v>3243</v>
      </c>
      <c r="L186" s="2">
        <f>91-9830016847</f>
        <v>-9830016756</v>
      </c>
      <c r="M186" s="1" t="s">
        <v>150</v>
      </c>
      <c r="N186" s="1">
        <v>0</v>
      </c>
      <c r="O186" s="1">
        <v>0</v>
      </c>
      <c r="P186" s="1">
        <v>5.0999999999999996</v>
      </c>
      <c r="Q186" s="1">
        <v>10</v>
      </c>
      <c r="S186" s="1" t="s">
        <v>97</v>
      </c>
      <c r="T186" s="1" t="s">
        <v>137</v>
      </c>
      <c r="U186" s="1" t="s">
        <v>2540</v>
      </c>
      <c r="V186" s="1" t="s">
        <v>2540</v>
      </c>
      <c r="X186" s="1" t="s">
        <v>100</v>
      </c>
      <c r="Y186" s="1" t="s">
        <v>111</v>
      </c>
      <c r="Z186" s="1" t="s">
        <v>192</v>
      </c>
      <c r="AA186" s="1" t="s">
        <v>3244</v>
      </c>
      <c r="AB186" s="1">
        <v>0</v>
      </c>
      <c r="AD186" s="1" t="s">
        <v>3245</v>
      </c>
      <c r="AE186" s="1">
        <f>91-7044682646</f>
        <v>-7044682555</v>
      </c>
      <c r="AF186" s="1" t="s">
        <v>129</v>
      </c>
      <c r="AG186" s="1" t="s">
        <v>3246</v>
      </c>
      <c r="AH186" s="1" t="s">
        <v>3247</v>
      </c>
      <c r="AI186" s="1" t="s">
        <v>3248</v>
      </c>
      <c r="AJ186" s="1" t="s">
        <v>109</v>
      </c>
      <c r="AK186" s="1" t="s">
        <v>3249</v>
      </c>
      <c r="AL186" s="1">
        <v>29</v>
      </c>
      <c r="AM186" s="1" t="s">
        <v>129</v>
      </c>
      <c r="AP186" s="1">
        <f>91-9830016847</f>
        <v>-9830016756</v>
      </c>
      <c r="AR186" s="1">
        <v>2</v>
      </c>
      <c r="AS186" s="1">
        <v>1</v>
      </c>
      <c r="AW186" s="1" t="s">
        <v>142</v>
      </c>
      <c r="AX186" s="1" t="s">
        <v>3095</v>
      </c>
      <c r="AY186" s="1" t="s">
        <v>150</v>
      </c>
      <c r="AZ186" s="1">
        <v>5.05</v>
      </c>
      <c r="BA186" s="1">
        <v>5.0999999999999996</v>
      </c>
      <c r="BB186" s="1" t="s">
        <v>151</v>
      </c>
      <c r="BC186" s="1" t="s">
        <v>304</v>
      </c>
      <c r="BD186" s="1" t="s">
        <v>1333</v>
      </c>
      <c r="BE186" s="1" t="s">
        <v>120</v>
      </c>
      <c r="BF186" s="1" t="s">
        <v>120</v>
      </c>
      <c r="BG186" s="1" t="s">
        <v>120</v>
      </c>
      <c r="BH186" s="1" t="s">
        <v>120</v>
      </c>
      <c r="BJ186" s="1" t="s">
        <v>120</v>
      </c>
      <c r="BK186" s="1" t="s">
        <v>120</v>
      </c>
      <c r="BL186" s="1">
        <v>0</v>
      </c>
      <c r="BM186" s="1">
        <v>0</v>
      </c>
      <c r="BN186" s="1" t="s">
        <v>3250</v>
      </c>
      <c r="BO186" s="1">
        <v>1</v>
      </c>
      <c r="BP186" s="1" t="s">
        <v>3251</v>
      </c>
      <c r="BQ186" s="1" t="s">
        <v>112</v>
      </c>
      <c r="BR186" s="1">
        <v>0</v>
      </c>
      <c r="BS186" s="1" t="s">
        <v>129</v>
      </c>
      <c r="BT186" s="1" t="s">
        <v>124</v>
      </c>
      <c r="BU186" s="1" t="s">
        <v>112</v>
      </c>
      <c r="BV186" s="1" t="s">
        <v>112</v>
      </c>
      <c r="BW186" s="1" t="s">
        <v>3252</v>
      </c>
      <c r="BX186" s="1" t="s">
        <v>3253</v>
      </c>
      <c r="BY186" s="1" t="s">
        <v>120</v>
      </c>
      <c r="BZ186" s="1">
        <v>0</v>
      </c>
      <c r="CA186" s="1">
        <v>0</v>
      </c>
      <c r="CB186" s="4">
        <v>42835.919839201386</v>
      </c>
      <c r="CC186" s="1">
        <v>1</v>
      </c>
      <c r="CD186" s="1">
        <v>1</v>
      </c>
      <c r="CE186" s="1">
        <v>1</v>
      </c>
      <c r="CF186" s="1">
        <v>1</v>
      </c>
      <c r="CG186" s="4">
        <v>43984.654664270834</v>
      </c>
      <c r="CH186" s="1" t="s">
        <v>112</v>
      </c>
      <c r="CI186" s="1" t="s">
        <v>332</v>
      </c>
      <c r="CJ186" s="1" t="s">
        <v>157</v>
      </c>
    </row>
    <row r="187" spans="1:88" x14ac:dyDescent="0.35">
      <c r="A187" s="1">
        <v>1717</v>
      </c>
      <c r="B187" s="1" t="s">
        <v>3254</v>
      </c>
      <c r="C187" s="1" t="s">
        <v>3255</v>
      </c>
      <c r="D187" s="1" t="s">
        <v>229</v>
      </c>
      <c r="E187" s="1" t="s">
        <v>3256</v>
      </c>
      <c r="F187" s="1" t="s">
        <v>134</v>
      </c>
      <c r="G187" s="1">
        <v>1</v>
      </c>
      <c r="H187" s="3">
        <v>31719</v>
      </c>
      <c r="I187" s="1">
        <v>1</v>
      </c>
      <c r="J187" s="1" t="s">
        <v>3257</v>
      </c>
      <c r="K187" s="1" t="s">
        <v>3057</v>
      </c>
      <c r="L187" s="2">
        <f>91-9860636555</f>
        <v>-9860636464</v>
      </c>
      <c r="M187" s="1" t="s">
        <v>150</v>
      </c>
      <c r="N187" s="1">
        <v>0</v>
      </c>
      <c r="O187" s="1">
        <v>0</v>
      </c>
      <c r="P187" s="1">
        <v>5.0599999999999996</v>
      </c>
      <c r="Q187" s="1">
        <v>10</v>
      </c>
      <c r="S187" s="1" t="s">
        <v>293</v>
      </c>
      <c r="T187" s="1" t="s">
        <v>129</v>
      </c>
      <c r="U187" s="1" t="s">
        <v>2540</v>
      </c>
      <c r="V187" s="1" t="s">
        <v>2540</v>
      </c>
      <c r="X187" s="1" t="s">
        <v>170</v>
      </c>
      <c r="Y187" s="1" t="s">
        <v>111</v>
      </c>
      <c r="Z187" s="1" t="s">
        <v>192</v>
      </c>
      <c r="AB187" s="1">
        <v>0</v>
      </c>
      <c r="AD187" s="1" t="s">
        <v>3258</v>
      </c>
      <c r="AE187" s="1">
        <f>91-9763668834</f>
        <v>-9763668743</v>
      </c>
      <c r="AF187" s="1" t="s">
        <v>105</v>
      </c>
      <c r="AG187" s="1" t="s">
        <v>3259</v>
      </c>
      <c r="AH187" s="1" t="s">
        <v>3260</v>
      </c>
      <c r="AI187" s="1" t="s">
        <v>3261</v>
      </c>
      <c r="AJ187" s="1" t="s">
        <v>109</v>
      </c>
      <c r="AK187" s="1" t="s">
        <v>3262</v>
      </c>
      <c r="AL187" s="1">
        <v>30</v>
      </c>
      <c r="AM187" s="1" t="s">
        <v>111</v>
      </c>
      <c r="AP187" s="1">
        <f>91-9860086374</f>
        <v>-9860086283</v>
      </c>
      <c r="AR187" s="1">
        <v>0</v>
      </c>
      <c r="AS187" s="1">
        <v>0</v>
      </c>
      <c r="AW187" s="1" t="s">
        <v>142</v>
      </c>
      <c r="AX187" s="1" t="s">
        <v>526</v>
      </c>
      <c r="AY187" s="1" t="s">
        <v>150</v>
      </c>
      <c r="AZ187" s="1">
        <v>4.1100000000000003</v>
      </c>
      <c r="BA187" s="1">
        <v>5.05</v>
      </c>
      <c r="BB187" s="1" t="s">
        <v>151</v>
      </c>
      <c r="BC187" s="1" t="s">
        <v>304</v>
      </c>
      <c r="BD187" s="1" t="s">
        <v>1333</v>
      </c>
      <c r="BE187" s="1" t="s">
        <v>120</v>
      </c>
      <c r="BF187" s="1" t="s">
        <v>120</v>
      </c>
      <c r="BG187" s="1" t="s">
        <v>120</v>
      </c>
      <c r="BH187" s="1" t="s">
        <v>120</v>
      </c>
      <c r="BJ187" s="1" t="s">
        <v>154</v>
      </c>
      <c r="BK187" s="1" t="s">
        <v>120</v>
      </c>
      <c r="BL187" s="1">
        <v>0</v>
      </c>
      <c r="BM187" s="1">
        <v>0</v>
      </c>
      <c r="BN187" s="1" t="s">
        <v>3263</v>
      </c>
      <c r="BO187" s="1">
        <v>1</v>
      </c>
      <c r="BP187" s="1" t="s">
        <v>3057</v>
      </c>
      <c r="BQ187" s="1" t="s">
        <v>180</v>
      </c>
      <c r="BR187" s="1">
        <v>1</v>
      </c>
      <c r="BS187" s="1" t="s">
        <v>787</v>
      </c>
      <c r="BT187" s="1" t="s">
        <v>124</v>
      </c>
      <c r="BV187" s="1" t="s">
        <v>112</v>
      </c>
      <c r="BW187" s="1" t="s">
        <v>3264</v>
      </c>
      <c r="BX187" s="1" t="s">
        <v>3265</v>
      </c>
      <c r="BY187" s="1" t="s">
        <v>120</v>
      </c>
      <c r="BZ187" s="1">
        <v>2</v>
      </c>
      <c r="CA187" s="1">
        <v>1</v>
      </c>
      <c r="CB187" s="4">
        <v>42837.182017094907</v>
      </c>
      <c r="CC187" s="1">
        <v>1</v>
      </c>
      <c r="CD187" s="1">
        <v>1</v>
      </c>
      <c r="CE187" s="1">
        <v>1</v>
      </c>
      <c r="CF187" s="1">
        <v>4</v>
      </c>
      <c r="CG187" s="4">
        <v>42870.242028125002</v>
      </c>
      <c r="CH187" s="1" t="s">
        <v>112</v>
      </c>
      <c r="CI187" s="1" t="s">
        <v>3266</v>
      </c>
      <c r="CJ187" s="1" t="s">
        <v>157</v>
      </c>
    </row>
    <row r="188" spans="1:88" x14ac:dyDescent="0.35">
      <c r="A188" s="1">
        <v>1719</v>
      </c>
      <c r="B188" s="1" t="s">
        <v>3267</v>
      </c>
      <c r="D188" s="1" t="s">
        <v>90</v>
      </c>
      <c r="E188" s="1" t="s">
        <v>3268</v>
      </c>
      <c r="F188" s="1" t="s">
        <v>1926</v>
      </c>
      <c r="G188" s="1">
        <v>1</v>
      </c>
      <c r="H188" s="3">
        <v>32303</v>
      </c>
      <c r="I188" s="1">
        <v>1</v>
      </c>
      <c r="J188" s="1" t="s">
        <v>93</v>
      </c>
      <c r="K188" s="1" t="s">
        <v>1045</v>
      </c>
      <c r="L188" s="2">
        <f>91-9850212676</f>
        <v>-9850212585</v>
      </c>
      <c r="M188" s="1" t="s">
        <v>150</v>
      </c>
      <c r="N188" s="1">
        <v>0</v>
      </c>
      <c r="O188" s="1">
        <v>0</v>
      </c>
      <c r="P188" s="1">
        <v>5.0599999999999996</v>
      </c>
      <c r="Q188" s="1">
        <v>38</v>
      </c>
      <c r="R188" s="1" t="s">
        <v>317</v>
      </c>
      <c r="S188" s="1" t="s">
        <v>293</v>
      </c>
      <c r="T188" s="1" t="s">
        <v>137</v>
      </c>
      <c r="U188" s="1" t="s">
        <v>2540</v>
      </c>
      <c r="V188" s="1" t="s">
        <v>2540</v>
      </c>
      <c r="X188" s="1" t="s">
        <v>3269</v>
      </c>
      <c r="Y188" s="1" t="s">
        <v>111</v>
      </c>
      <c r="Z188" s="1" t="s">
        <v>797</v>
      </c>
      <c r="AB188" s="1">
        <v>0</v>
      </c>
      <c r="AD188" s="1" t="s">
        <v>3270</v>
      </c>
      <c r="AE188" s="1">
        <f>91-8149709002</f>
        <v>-8149708911</v>
      </c>
      <c r="AF188" s="1" t="s">
        <v>2541</v>
      </c>
      <c r="AG188" s="1" t="s">
        <v>1865</v>
      </c>
      <c r="AH188" s="1" t="s">
        <v>3271</v>
      </c>
      <c r="AI188" s="1" t="s">
        <v>3272</v>
      </c>
      <c r="AJ188" s="1" t="s">
        <v>109</v>
      </c>
      <c r="AK188" s="1" t="s">
        <v>3273</v>
      </c>
      <c r="AL188" s="1">
        <v>23</v>
      </c>
      <c r="AM188" s="1" t="s">
        <v>2541</v>
      </c>
      <c r="AP188" s="1">
        <f>91-9890903831</f>
        <v>-9890903740</v>
      </c>
      <c r="AR188" s="1">
        <v>0</v>
      </c>
      <c r="AS188" s="1">
        <v>0</v>
      </c>
      <c r="AW188" s="1" t="s">
        <v>142</v>
      </c>
      <c r="AX188" s="1" t="s">
        <v>199</v>
      </c>
      <c r="AY188" s="1" t="s">
        <v>150</v>
      </c>
      <c r="AZ188" s="1">
        <v>5.05</v>
      </c>
      <c r="BA188" s="1">
        <v>5.05</v>
      </c>
      <c r="BB188" s="1" t="s">
        <v>151</v>
      </c>
      <c r="BC188" s="1" t="s">
        <v>152</v>
      </c>
      <c r="BD188" s="1" t="s">
        <v>1395</v>
      </c>
      <c r="BE188" s="1" t="s">
        <v>120</v>
      </c>
      <c r="BF188" s="1" t="s">
        <v>120</v>
      </c>
      <c r="BG188" s="1" t="s">
        <v>2541</v>
      </c>
      <c r="BH188" s="1" t="s">
        <v>2541</v>
      </c>
      <c r="BI188" s="1" t="s">
        <v>797</v>
      </c>
      <c r="BL188" s="1">
        <v>0</v>
      </c>
      <c r="BM188" s="1">
        <v>0</v>
      </c>
      <c r="BN188" s="1" t="s">
        <v>124</v>
      </c>
      <c r="BO188" s="1">
        <v>0</v>
      </c>
      <c r="BQ188" s="1" t="s">
        <v>180</v>
      </c>
      <c r="BR188" s="1">
        <v>0</v>
      </c>
      <c r="BS188" s="1" t="s">
        <v>399</v>
      </c>
      <c r="BT188" s="1" t="s">
        <v>124</v>
      </c>
      <c r="BU188" s="1" t="s">
        <v>3274</v>
      </c>
      <c r="BV188" s="1" t="s">
        <v>112</v>
      </c>
      <c r="BW188" s="1" t="s">
        <v>3275</v>
      </c>
      <c r="BY188" s="1" t="s">
        <v>120</v>
      </c>
      <c r="BZ188" s="1">
        <v>0</v>
      </c>
      <c r="CA188" s="1">
        <v>0</v>
      </c>
      <c r="CB188" s="4">
        <v>42840.173367824071</v>
      </c>
      <c r="CC188" s="1">
        <v>1</v>
      </c>
      <c r="CD188" s="1">
        <v>1</v>
      </c>
      <c r="CE188" s="1">
        <v>1</v>
      </c>
      <c r="CF188" s="1">
        <v>3</v>
      </c>
      <c r="CG188" s="1" t="s">
        <v>112</v>
      </c>
      <c r="CH188" s="1" t="s">
        <v>112</v>
      </c>
      <c r="CI188" s="1" t="s">
        <v>3276</v>
      </c>
      <c r="CJ188" s="1" t="s">
        <v>157</v>
      </c>
    </row>
    <row r="189" spans="1:88" x14ac:dyDescent="0.35">
      <c r="A189" s="1">
        <v>1721</v>
      </c>
      <c r="B189" s="1" t="s">
        <v>3277</v>
      </c>
      <c r="C189" s="1" t="s">
        <v>3278</v>
      </c>
      <c r="D189" s="1" t="s">
        <v>312</v>
      </c>
      <c r="E189" s="1" t="s">
        <v>3279</v>
      </c>
      <c r="F189" s="1" t="s">
        <v>3280</v>
      </c>
      <c r="G189" s="1">
        <v>1</v>
      </c>
      <c r="H189" s="3">
        <v>34171</v>
      </c>
      <c r="I189" s="1">
        <v>1</v>
      </c>
      <c r="J189" s="1" t="s">
        <v>93</v>
      </c>
      <c r="K189" s="1" t="s">
        <v>262</v>
      </c>
      <c r="L189" s="2">
        <f>91-7709994407</f>
        <v>-7709994316</v>
      </c>
      <c r="M189" s="1" t="s">
        <v>150</v>
      </c>
      <c r="N189" s="1">
        <v>0</v>
      </c>
      <c r="O189" s="1">
        <v>0</v>
      </c>
      <c r="P189" s="1">
        <v>5.0599999999999996</v>
      </c>
      <c r="Q189" s="1">
        <v>54</v>
      </c>
      <c r="R189" s="1" t="s">
        <v>1131</v>
      </c>
      <c r="S189" s="1" t="s">
        <v>97</v>
      </c>
      <c r="T189" s="1" t="s">
        <v>1132</v>
      </c>
      <c r="U189" s="1" t="s">
        <v>2540</v>
      </c>
      <c r="X189" s="1" t="s">
        <v>100</v>
      </c>
      <c r="Y189" s="1" t="s">
        <v>101</v>
      </c>
      <c r="Z189" s="1" t="s">
        <v>3281</v>
      </c>
      <c r="AB189" s="1">
        <v>0</v>
      </c>
      <c r="AD189" s="1" t="s">
        <v>3282</v>
      </c>
      <c r="AE189" s="1">
        <f>91-7709994407</f>
        <v>-7709994316</v>
      </c>
      <c r="AF189" s="1" t="s">
        <v>105</v>
      </c>
      <c r="AG189" s="1" t="s">
        <v>3283</v>
      </c>
      <c r="AH189" s="1" t="s">
        <v>3284</v>
      </c>
      <c r="AI189" s="1" t="s">
        <v>3285</v>
      </c>
      <c r="AJ189" s="1" t="s">
        <v>109</v>
      </c>
      <c r="AK189" s="1" t="s">
        <v>3286</v>
      </c>
      <c r="AL189" s="1">
        <v>35</v>
      </c>
      <c r="AM189" s="1" t="s">
        <v>111</v>
      </c>
      <c r="AP189" s="1">
        <f>91-7709994407</f>
        <v>-7709994316</v>
      </c>
      <c r="AR189" s="1">
        <v>2</v>
      </c>
      <c r="AS189" s="1">
        <v>0</v>
      </c>
      <c r="AW189" s="1" t="s">
        <v>142</v>
      </c>
      <c r="AX189" s="1" t="s">
        <v>3287</v>
      </c>
      <c r="AY189" s="1" t="s">
        <v>150</v>
      </c>
      <c r="AZ189" s="1">
        <v>5.05</v>
      </c>
      <c r="BA189" s="1">
        <v>5.05</v>
      </c>
      <c r="BB189" s="1" t="s">
        <v>151</v>
      </c>
      <c r="BC189" s="1" t="s">
        <v>304</v>
      </c>
      <c r="BD189" s="1" t="s">
        <v>1333</v>
      </c>
      <c r="BE189" s="1" t="s">
        <v>3288</v>
      </c>
      <c r="BF189" s="1" t="s">
        <v>120</v>
      </c>
      <c r="BG189" s="1" t="s">
        <v>100</v>
      </c>
      <c r="BH189" s="1" t="s">
        <v>101</v>
      </c>
      <c r="BJ189" s="1" t="s">
        <v>120</v>
      </c>
      <c r="BK189" s="1" t="s">
        <v>120</v>
      </c>
      <c r="BL189" s="1">
        <v>0</v>
      </c>
      <c r="BM189" s="1">
        <v>1</v>
      </c>
      <c r="BN189" s="1" t="s">
        <v>3289</v>
      </c>
      <c r="BO189" s="1">
        <v>1</v>
      </c>
      <c r="BP189" s="1" t="s">
        <v>3290</v>
      </c>
      <c r="BQ189" s="1" t="s">
        <v>180</v>
      </c>
      <c r="BR189" s="1">
        <v>0</v>
      </c>
      <c r="BS189" s="1" t="s">
        <v>307</v>
      </c>
      <c r="BT189" s="1" t="s">
        <v>124</v>
      </c>
      <c r="BU189" s="1" t="s">
        <v>3291</v>
      </c>
      <c r="BV189" s="1" t="s">
        <v>112</v>
      </c>
      <c r="BW189" s="1" t="s">
        <v>3292</v>
      </c>
      <c r="BX189" s="1" t="s">
        <v>3293</v>
      </c>
      <c r="BY189" s="1" t="s">
        <v>465</v>
      </c>
      <c r="BZ189" s="1">
        <v>1</v>
      </c>
      <c r="CA189" s="1">
        <v>0</v>
      </c>
      <c r="CB189" s="4">
        <v>42841.207005902776</v>
      </c>
      <c r="CC189" s="1">
        <v>1</v>
      </c>
      <c r="CD189" s="1">
        <v>1</v>
      </c>
      <c r="CE189" s="1">
        <v>1</v>
      </c>
      <c r="CF189" s="1">
        <v>4</v>
      </c>
      <c r="CG189" s="4">
        <v>43056.440981631946</v>
      </c>
      <c r="CH189" s="1" t="s">
        <v>112</v>
      </c>
      <c r="CI189" s="1" t="s">
        <v>3294</v>
      </c>
      <c r="CJ189" s="1" t="s">
        <v>157</v>
      </c>
    </row>
    <row r="190" spans="1:88" x14ac:dyDescent="0.35">
      <c r="A190" s="1">
        <v>1722</v>
      </c>
      <c r="B190" s="1" t="s">
        <v>3295</v>
      </c>
      <c r="C190" s="1" t="s">
        <v>3296</v>
      </c>
      <c r="D190" s="1" t="s">
        <v>90</v>
      </c>
      <c r="E190" s="1" t="s">
        <v>1756</v>
      </c>
      <c r="F190" s="1" t="s">
        <v>3297</v>
      </c>
      <c r="G190" s="1">
        <v>1</v>
      </c>
      <c r="H190" s="3">
        <v>30840</v>
      </c>
      <c r="I190" s="1">
        <v>1</v>
      </c>
      <c r="J190" s="1" t="s">
        <v>93</v>
      </c>
      <c r="K190" s="1" t="s">
        <v>1045</v>
      </c>
      <c r="L190" s="2">
        <f>91-9890685728</f>
        <v>-9890685637</v>
      </c>
      <c r="M190" s="1" t="s">
        <v>95</v>
      </c>
      <c r="N190" s="1">
        <v>0</v>
      </c>
      <c r="O190" s="1">
        <v>0</v>
      </c>
      <c r="P190" s="1">
        <v>5.1100000000000003</v>
      </c>
      <c r="Q190" s="1">
        <v>16</v>
      </c>
      <c r="R190" s="1" t="s">
        <v>535</v>
      </c>
      <c r="S190" s="1" t="s">
        <v>97</v>
      </c>
      <c r="T190" s="1" t="s">
        <v>166</v>
      </c>
      <c r="U190" s="1" t="s">
        <v>2540</v>
      </c>
      <c r="V190" s="1" t="s">
        <v>3298</v>
      </c>
      <c r="W190" s="1" t="s">
        <v>1253</v>
      </c>
      <c r="X190" s="1" t="s">
        <v>100</v>
      </c>
      <c r="Y190" s="1" t="s">
        <v>111</v>
      </c>
      <c r="Z190" s="1" t="s">
        <v>192</v>
      </c>
      <c r="AA190" s="1" t="s">
        <v>3299</v>
      </c>
      <c r="AB190" s="1">
        <v>0</v>
      </c>
      <c r="AD190" s="1" t="s">
        <v>3300</v>
      </c>
      <c r="AE190" s="1">
        <f>91-9890685728</f>
        <v>-9890685637</v>
      </c>
      <c r="AF190" s="1" t="s">
        <v>143</v>
      </c>
      <c r="AG190" s="1" t="s">
        <v>3301</v>
      </c>
      <c r="AH190" s="1" t="s">
        <v>2851</v>
      </c>
      <c r="AI190" s="1" t="s">
        <v>3302</v>
      </c>
      <c r="AJ190" s="1" t="s">
        <v>109</v>
      </c>
      <c r="AK190" s="1" t="s">
        <v>3303</v>
      </c>
      <c r="AL190" s="1">
        <v>45</v>
      </c>
      <c r="AM190" s="1" t="s">
        <v>111</v>
      </c>
      <c r="AN190" s="1" t="s">
        <v>111</v>
      </c>
      <c r="AO190" s="1" t="s">
        <v>3304</v>
      </c>
      <c r="AP190" s="1">
        <f>91-9822098342</f>
        <v>-9822098251</v>
      </c>
      <c r="AQ190" s="1" t="s">
        <v>502</v>
      </c>
      <c r="AR190" s="1">
        <v>1</v>
      </c>
      <c r="AS190" s="1">
        <v>1</v>
      </c>
      <c r="AT190" s="1" t="s">
        <v>3305</v>
      </c>
      <c r="AU190" s="1" t="s">
        <v>3306</v>
      </c>
      <c r="AV190" s="1" t="s">
        <v>2737</v>
      </c>
      <c r="AW190" s="1">
        <f>91-9850242501</f>
        <v>-9850242410</v>
      </c>
      <c r="AX190" s="1" t="s">
        <v>1145</v>
      </c>
      <c r="AY190" s="1" t="s">
        <v>351</v>
      </c>
      <c r="AZ190" s="1">
        <v>5.03</v>
      </c>
      <c r="BA190" s="1">
        <v>5.0999999999999996</v>
      </c>
      <c r="BE190" s="1" t="s">
        <v>870</v>
      </c>
      <c r="BG190" s="1" t="s">
        <v>120</v>
      </c>
      <c r="BH190" s="1" t="s">
        <v>120</v>
      </c>
      <c r="BJ190" s="1" t="s">
        <v>154</v>
      </c>
      <c r="BK190" s="1" t="s">
        <v>120</v>
      </c>
      <c r="BL190" s="1">
        <v>0</v>
      </c>
      <c r="BM190" s="1">
        <v>0</v>
      </c>
      <c r="BN190" s="1" t="s">
        <v>3307</v>
      </c>
      <c r="BO190" s="1">
        <v>1</v>
      </c>
      <c r="BP190" s="1" t="s">
        <v>1045</v>
      </c>
      <c r="BQ190" s="1" t="s">
        <v>112</v>
      </c>
      <c r="BR190" s="1">
        <v>0</v>
      </c>
      <c r="BS190" s="1" t="s">
        <v>354</v>
      </c>
      <c r="BT190" s="1" t="s">
        <v>124</v>
      </c>
      <c r="BU190" s="1" t="s">
        <v>3308</v>
      </c>
      <c r="BV190" s="1" t="s">
        <v>112</v>
      </c>
      <c r="BW190" s="1" t="s">
        <v>3309</v>
      </c>
      <c r="BX190" s="1" t="s">
        <v>3310</v>
      </c>
      <c r="BY190" s="1" t="s">
        <v>127</v>
      </c>
      <c r="BZ190" s="1">
        <v>1</v>
      </c>
      <c r="CA190" s="1">
        <v>1</v>
      </c>
      <c r="CB190" s="4">
        <v>42841.939917557873</v>
      </c>
      <c r="CC190" s="1">
        <v>1</v>
      </c>
      <c r="CD190" s="1">
        <v>1</v>
      </c>
      <c r="CE190" s="1">
        <v>1</v>
      </c>
      <c r="CF190" s="1">
        <v>1</v>
      </c>
      <c r="CG190" s="4">
        <v>43607.426484374999</v>
      </c>
      <c r="CH190" s="1" t="s">
        <v>112</v>
      </c>
      <c r="CI190" s="1" t="s">
        <v>287</v>
      </c>
      <c r="CJ190" s="1" t="s">
        <v>129</v>
      </c>
    </row>
    <row r="191" spans="1:88" x14ac:dyDescent="0.35">
      <c r="A191" s="1">
        <v>1723</v>
      </c>
      <c r="B191" s="1" t="s">
        <v>3311</v>
      </c>
      <c r="C191" s="1" t="s">
        <v>3312</v>
      </c>
      <c r="D191" s="1" t="s">
        <v>90</v>
      </c>
      <c r="E191" s="1" t="s">
        <v>2198</v>
      </c>
      <c r="F191" s="1" t="s">
        <v>134</v>
      </c>
      <c r="G191" s="1">
        <v>1</v>
      </c>
      <c r="H191" s="3">
        <v>32896</v>
      </c>
      <c r="I191" s="1">
        <v>1</v>
      </c>
      <c r="J191" s="1" t="s">
        <v>2500</v>
      </c>
      <c r="K191" s="1" t="s">
        <v>3313</v>
      </c>
      <c r="L191" s="2">
        <f>91-9426040060</f>
        <v>-9426039969</v>
      </c>
      <c r="M191" s="1" t="s">
        <v>150</v>
      </c>
      <c r="N191" s="1">
        <v>0</v>
      </c>
      <c r="O191" s="1">
        <v>0</v>
      </c>
      <c r="P191" s="1">
        <v>5.0599999999999996</v>
      </c>
      <c r="Q191" s="1">
        <v>5</v>
      </c>
      <c r="R191" s="1" t="s">
        <v>263</v>
      </c>
      <c r="S191" s="1" t="s">
        <v>136</v>
      </c>
      <c r="T191" s="1" t="s">
        <v>427</v>
      </c>
      <c r="U191" s="1" t="s">
        <v>2540</v>
      </c>
      <c r="V191" s="1" t="s">
        <v>2540</v>
      </c>
      <c r="X191" s="1" t="s">
        <v>100</v>
      </c>
      <c r="Y191" s="1" t="s">
        <v>111</v>
      </c>
      <c r="Z191" s="1" t="s">
        <v>3314</v>
      </c>
      <c r="AB191" s="1">
        <v>0</v>
      </c>
      <c r="AD191" s="1" t="s">
        <v>3315</v>
      </c>
      <c r="AE191" s="1">
        <f>91-9426040060</f>
        <v>-9426039969</v>
      </c>
      <c r="AF191" s="1" t="s">
        <v>129</v>
      </c>
      <c r="AG191" s="1" t="s">
        <v>3316</v>
      </c>
      <c r="AH191" s="1" t="s">
        <v>3317</v>
      </c>
      <c r="AI191" s="1" t="s">
        <v>3318</v>
      </c>
      <c r="AJ191" s="1" t="s">
        <v>109</v>
      </c>
      <c r="AK191" s="1" t="s">
        <v>3319</v>
      </c>
      <c r="AL191" s="1">
        <v>23</v>
      </c>
      <c r="AM191" s="1" t="s">
        <v>111</v>
      </c>
      <c r="AO191" s="1" t="s">
        <v>3320</v>
      </c>
      <c r="AP191" s="1">
        <f>91-9426040060</f>
        <v>-9426039969</v>
      </c>
      <c r="AR191" s="1">
        <v>1</v>
      </c>
      <c r="AS191" s="1">
        <v>1</v>
      </c>
      <c r="AW191" s="1" t="s">
        <v>142</v>
      </c>
      <c r="AX191" s="1" t="s">
        <v>1300</v>
      </c>
      <c r="AY191" s="1" t="s">
        <v>150</v>
      </c>
      <c r="AZ191" s="1">
        <v>5</v>
      </c>
      <c r="BA191" s="1">
        <v>5.0599999999999996</v>
      </c>
      <c r="BB191" s="1" t="s">
        <v>151</v>
      </c>
      <c r="BC191" s="1" t="s">
        <v>304</v>
      </c>
      <c r="BD191" s="1" t="s">
        <v>1333</v>
      </c>
      <c r="BE191" s="1" t="s">
        <v>870</v>
      </c>
      <c r="BF191" s="1" t="s">
        <v>120</v>
      </c>
      <c r="BG191" s="1" t="s">
        <v>1665</v>
      </c>
      <c r="BH191" s="1" t="s">
        <v>120</v>
      </c>
      <c r="BJ191" s="1" t="s">
        <v>120</v>
      </c>
      <c r="BK191" s="1" t="s">
        <v>120</v>
      </c>
      <c r="BL191" s="1">
        <v>0</v>
      </c>
      <c r="BM191" s="1">
        <v>0</v>
      </c>
      <c r="BN191" s="1" t="s">
        <v>3321</v>
      </c>
      <c r="BO191" s="1">
        <v>1</v>
      </c>
      <c r="BP191" s="1" t="s">
        <v>3313</v>
      </c>
      <c r="BQ191" s="1" t="s">
        <v>112</v>
      </c>
      <c r="BR191" s="1">
        <v>1</v>
      </c>
      <c r="BS191" s="1" t="s">
        <v>376</v>
      </c>
      <c r="BT191" s="1" t="s">
        <v>124</v>
      </c>
      <c r="BU191" s="1" t="s">
        <v>112</v>
      </c>
      <c r="BV191" s="1" t="s">
        <v>112</v>
      </c>
      <c r="BW191" s="1" t="s">
        <v>3322</v>
      </c>
      <c r="BX191" s="1" t="s">
        <v>3323</v>
      </c>
      <c r="BY191" s="1" t="s">
        <v>127</v>
      </c>
      <c r="BZ191" s="1">
        <v>0</v>
      </c>
      <c r="CA191" s="1">
        <v>0</v>
      </c>
      <c r="CB191" s="4">
        <v>42842.151139004629</v>
      </c>
      <c r="CC191" s="1">
        <v>1</v>
      </c>
      <c r="CD191" s="1">
        <v>1</v>
      </c>
      <c r="CE191" s="1">
        <v>1</v>
      </c>
      <c r="CF191" s="1">
        <v>4</v>
      </c>
      <c r="CG191" s="4">
        <v>42858.357932175924</v>
      </c>
      <c r="CH191" s="1" t="s">
        <v>112</v>
      </c>
      <c r="CI191" s="1" t="s">
        <v>3324</v>
      </c>
      <c r="CJ191" s="1" t="s">
        <v>157</v>
      </c>
    </row>
    <row r="192" spans="1:88" x14ac:dyDescent="0.35">
      <c r="A192" s="1">
        <v>1724</v>
      </c>
      <c r="B192" s="1" t="s">
        <v>3325</v>
      </c>
      <c r="C192" s="1" t="s">
        <v>3326</v>
      </c>
      <c r="D192" s="1" t="s">
        <v>90</v>
      </c>
      <c r="E192" s="1" t="s">
        <v>3327</v>
      </c>
      <c r="F192" s="1" t="s">
        <v>2704</v>
      </c>
      <c r="G192" s="1">
        <v>1</v>
      </c>
      <c r="H192" s="3">
        <v>33795</v>
      </c>
      <c r="I192" s="1">
        <v>1</v>
      </c>
      <c r="J192" s="1" t="s">
        <v>93</v>
      </c>
      <c r="K192" s="1" t="s">
        <v>490</v>
      </c>
      <c r="L192" s="2">
        <f>91-8149593793</f>
        <v>-8149593702</v>
      </c>
      <c r="M192" s="1" t="s">
        <v>150</v>
      </c>
      <c r="N192" s="1">
        <v>0</v>
      </c>
      <c r="O192" s="1">
        <v>0</v>
      </c>
      <c r="P192" s="1">
        <v>5.09</v>
      </c>
      <c r="Q192" s="1">
        <v>11</v>
      </c>
      <c r="R192" s="1" t="s">
        <v>340</v>
      </c>
      <c r="S192" s="1" t="s">
        <v>97</v>
      </c>
      <c r="T192" s="1" t="s">
        <v>137</v>
      </c>
      <c r="U192" s="1" t="s">
        <v>2540</v>
      </c>
      <c r="V192" s="1" t="s">
        <v>2540</v>
      </c>
      <c r="X192" s="1" t="s">
        <v>100</v>
      </c>
      <c r="Y192" s="1" t="s">
        <v>111</v>
      </c>
      <c r="Z192" s="1" t="s">
        <v>297</v>
      </c>
      <c r="AB192" s="1">
        <v>0</v>
      </c>
      <c r="AD192" s="1" t="s">
        <v>3328</v>
      </c>
      <c r="AE192" s="1" t="s">
        <v>142</v>
      </c>
      <c r="AF192" s="1" t="s">
        <v>2541</v>
      </c>
      <c r="AG192" s="1" t="s">
        <v>3329</v>
      </c>
      <c r="AH192" s="1" t="s">
        <v>3330</v>
      </c>
      <c r="AI192" s="1" t="s">
        <v>3331</v>
      </c>
      <c r="AJ192" s="1" t="s">
        <v>109</v>
      </c>
      <c r="AK192" s="1" t="s">
        <v>3332</v>
      </c>
      <c r="AL192" s="1">
        <v>6</v>
      </c>
      <c r="AM192" s="1" t="s">
        <v>2541</v>
      </c>
      <c r="AP192" s="1">
        <f>91-9028815070</f>
        <v>-9028814979</v>
      </c>
      <c r="AR192" s="1">
        <v>0</v>
      </c>
      <c r="AS192" s="1">
        <v>0</v>
      </c>
      <c r="AW192" s="1" t="s">
        <v>142</v>
      </c>
      <c r="AX192" s="1" t="s">
        <v>1095</v>
      </c>
      <c r="AY192" s="1" t="s">
        <v>150</v>
      </c>
      <c r="AZ192" s="1">
        <v>5</v>
      </c>
      <c r="BA192" s="1">
        <v>5.07</v>
      </c>
      <c r="BB192" s="1" t="s">
        <v>151</v>
      </c>
      <c r="BC192" s="1" t="s">
        <v>152</v>
      </c>
      <c r="BD192" s="1" t="s">
        <v>1395</v>
      </c>
      <c r="BE192" s="1" t="s">
        <v>120</v>
      </c>
      <c r="BF192" s="1" t="s">
        <v>120</v>
      </c>
      <c r="BG192" s="1" t="s">
        <v>2541</v>
      </c>
      <c r="BH192" s="1" t="s">
        <v>2541</v>
      </c>
      <c r="BI192" s="1" t="s">
        <v>297</v>
      </c>
      <c r="BL192" s="1">
        <v>0</v>
      </c>
      <c r="BM192" s="1">
        <v>0</v>
      </c>
      <c r="BN192" s="1" t="s">
        <v>3333</v>
      </c>
      <c r="BO192" s="1">
        <v>1</v>
      </c>
      <c r="BP192" s="1" t="s">
        <v>3334</v>
      </c>
      <c r="BQ192" s="1" t="s">
        <v>180</v>
      </c>
      <c r="BR192" s="1">
        <v>0</v>
      </c>
      <c r="BS192" s="1" t="s">
        <v>376</v>
      </c>
      <c r="BT192" s="1" t="s">
        <v>124</v>
      </c>
      <c r="BV192" s="1" t="s">
        <v>112</v>
      </c>
      <c r="BX192" s="1" t="s">
        <v>3335</v>
      </c>
      <c r="BY192" s="1" t="s">
        <v>120</v>
      </c>
      <c r="BZ192" s="1">
        <v>0</v>
      </c>
      <c r="CA192" s="1">
        <v>0</v>
      </c>
      <c r="CB192" s="4">
        <v>42842.931441817127</v>
      </c>
      <c r="CC192" s="1">
        <v>1</v>
      </c>
      <c r="CD192" s="1">
        <v>1</v>
      </c>
      <c r="CE192" s="1">
        <v>1</v>
      </c>
      <c r="CF192" s="1">
        <v>1</v>
      </c>
      <c r="CG192" s="4">
        <v>43590.744989664352</v>
      </c>
      <c r="CH192" s="1" t="s">
        <v>112</v>
      </c>
      <c r="CI192" s="1" t="s">
        <v>2791</v>
      </c>
      <c r="CJ192" s="1" t="s">
        <v>157</v>
      </c>
    </row>
    <row r="193" spans="1:88" x14ac:dyDescent="0.35">
      <c r="A193" s="1">
        <v>1727</v>
      </c>
      <c r="B193" s="1" t="s">
        <v>3336</v>
      </c>
      <c r="C193" s="1" t="s">
        <v>3337</v>
      </c>
      <c r="D193" s="1" t="s">
        <v>711</v>
      </c>
      <c r="E193" s="1" t="s">
        <v>3338</v>
      </c>
      <c r="F193" s="1" t="s">
        <v>134</v>
      </c>
      <c r="G193" s="1">
        <v>0</v>
      </c>
      <c r="H193" s="3">
        <v>33187</v>
      </c>
      <c r="I193" s="1">
        <v>1</v>
      </c>
      <c r="J193" s="1" t="s">
        <v>186</v>
      </c>
      <c r="K193" s="1" t="s">
        <v>933</v>
      </c>
      <c r="L193" s="2">
        <f>91-9425388600</f>
        <v>-9425388509</v>
      </c>
      <c r="M193" s="1" t="s">
        <v>150</v>
      </c>
      <c r="N193" s="1">
        <v>0</v>
      </c>
      <c r="O193" s="1">
        <v>0</v>
      </c>
      <c r="P193" s="1">
        <v>5.05</v>
      </c>
      <c r="Q193" s="1">
        <v>10</v>
      </c>
      <c r="S193" s="1" t="s">
        <v>97</v>
      </c>
      <c r="T193" s="1" t="s">
        <v>427</v>
      </c>
      <c r="U193" s="1" t="s">
        <v>2540</v>
      </c>
      <c r="V193" s="1" t="s">
        <v>2540</v>
      </c>
      <c r="X193" s="1" t="s">
        <v>100</v>
      </c>
      <c r="Y193" s="1" t="s">
        <v>210</v>
      </c>
      <c r="Z193" s="1" t="s">
        <v>1408</v>
      </c>
      <c r="AB193" s="1">
        <v>0</v>
      </c>
      <c r="AD193" s="1" t="s">
        <v>3339</v>
      </c>
      <c r="AE193" s="1">
        <f>91-9425864073</f>
        <v>-9425863982</v>
      </c>
      <c r="AF193" s="1" t="s">
        <v>2541</v>
      </c>
      <c r="AG193" s="1" t="s">
        <v>3340</v>
      </c>
      <c r="AH193" s="1" t="s">
        <v>3341</v>
      </c>
      <c r="AI193" s="1" t="s">
        <v>3342</v>
      </c>
      <c r="AJ193" s="1" t="s">
        <v>109</v>
      </c>
      <c r="AK193" s="1" t="s">
        <v>3343</v>
      </c>
      <c r="AL193" s="1">
        <v>30</v>
      </c>
      <c r="AM193" s="1" t="s">
        <v>2541</v>
      </c>
      <c r="AP193" s="1">
        <f>91-9425388600</f>
        <v>-9425388509</v>
      </c>
      <c r="AR193" s="1">
        <v>0</v>
      </c>
      <c r="AS193" s="1">
        <v>0</v>
      </c>
      <c r="AW193" s="1" t="s">
        <v>142</v>
      </c>
      <c r="AX193" s="1" t="s">
        <v>2561</v>
      </c>
      <c r="AY193" s="1" t="s">
        <v>150</v>
      </c>
      <c r="AZ193" s="1">
        <v>5.05</v>
      </c>
      <c r="BA193" s="1">
        <v>6</v>
      </c>
      <c r="BB193" s="1" t="s">
        <v>151</v>
      </c>
      <c r="BC193" s="1" t="s">
        <v>152</v>
      </c>
      <c r="BD193" s="1" t="s">
        <v>1395</v>
      </c>
      <c r="BE193" s="1" t="s">
        <v>97</v>
      </c>
      <c r="BF193" s="1" t="s">
        <v>120</v>
      </c>
      <c r="BG193" s="1" t="s">
        <v>2541</v>
      </c>
      <c r="BH193" s="1" t="s">
        <v>2541</v>
      </c>
      <c r="BI193" s="1" t="s">
        <v>1408</v>
      </c>
      <c r="BL193" s="1">
        <v>0</v>
      </c>
      <c r="BM193" s="1">
        <v>1</v>
      </c>
      <c r="BN193" s="1" t="s">
        <v>3344</v>
      </c>
      <c r="BO193" s="1">
        <v>0</v>
      </c>
      <c r="BQ193" s="1" t="s">
        <v>180</v>
      </c>
      <c r="BR193" s="1">
        <v>0</v>
      </c>
      <c r="BS193" s="1" t="s">
        <v>307</v>
      </c>
      <c r="BT193" s="1" t="s">
        <v>306</v>
      </c>
      <c r="BV193" s="1" t="s">
        <v>112</v>
      </c>
      <c r="BW193" s="1" t="s">
        <v>3345</v>
      </c>
      <c r="BX193" s="1" t="s">
        <v>3346</v>
      </c>
      <c r="BY193" s="1" t="s">
        <v>120</v>
      </c>
      <c r="BZ193" s="1">
        <v>0</v>
      </c>
      <c r="CA193" s="1">
        <v>0</v>
      </c>
      <c r="CB193" s="4">
        <v>42847.299928587963</v>
      </c>
      <c r="CC193" s="1">
        <v>1</v>
      </c>
      <c r="CD193" s="1">
        <v>1</v>
      </c>
      <c r="CE193" s="1">
        <v>1</v>
      </c>
      <c r="CF193" s="1">
        <v>1</v>
      </c>
      <c r="CG193" s="4">
        <v>44004.330486493054</v>
      </c>
      <c r="CH193" s="1" t="s">
        <v>112</v>
      </c>
      <c r="CI193" s="1" t="s">
        <v>3347</v>
      </c>
      <c r="CJ193" s="1" t="s">
        <v>157</v>
      </c>
    </row>
    <row r="194" spans="1:88" x14ac:dyDescent="0.35">
      <c r="A194" s="1">
        <v>1731</v>
      </c>
      <c r="B194" s="1" t="s">
        <v>3348</v>
      </c>
      <c r="C194" s="1" t="s">
        <v>3349</v>
      </c>
      <c r="D194" s="1" t="s">
        <v>90</v>
      </c>
      <c r="E194" s="1" t="s">
        <v>3350</v>
      </c>
      <c r="F194" s="1" t="s">
        <v>1713</v>
      </c>
      <c r="G194" s="1">
        <v>0</v>
      </c>
      <c r="H194" s="3">
        <v>35193</v>
      </c>
      <c r="I194" s="1">
        <v>1</v>
      </c>
      <c r="J194" s="1" t="s">
        <v>162</v>
      </c>
      <c r="K194" s="1" t="s">
        <v>163</v>
      </c>
      <c r="L194" s="2" t="s">
        <v>142</v>
      </c>
      <c r="M194" s="1" t="s">
        <v>150</v>
      </c>
      <c r="N194" s="1">
        <v>0</v>
      </c>
      <c r="O194" s="1">
        <v>0</v>
      </c>
      <c r="P194" s="1">
        <v>5.0199999999999996</v>
      </c>
      <c r="Q194" s="1">
        <v>14</v>
      </c>
      <c r="R194" s="1" t="s">
        <v>164</v>
      </c>
      <c r="S194" s="1" t="s">
        <v>136</v>
      </c>
      <c r="T194" s="1" t="s">
        <v>137</v>
      </c>
      <c r="X194" s="1" t="s">
        <v>100</v>
      </c>
      <c r="Y194" s="1" t="s">
        <v>101</v>
      </c>
      <c r="Z194" s="1" t="s">
        <v>634</v>
      </c>
      <c r="AB194" s="1">
        <v>0</v>
      </c>
      <c r="AD194" s="1" t="s">
        <v>3351</v>
      </c>
      <c r="AE194" s="1">
        <f>91-9825355961</f>
        <v>-9825355870</v>
      </c>
      <c r="AF194" s="1" t="s">
        <v>2541</v>
      </c>
      <c r="AG194" s="1" t="s">
        <v>3352</v>
      </c>
      <c r="AH194" s="1" t="s">
        <v>3353</v>
      </c>
      <c r="AI194" s="1" t="s">
        <v>3354</v>
      </c>
      <c r="AJ194" s="1" t="s">
        <v>109</v>
      </c>
      <c r="AK194" s="1" t="s">
        <v>3355</v>
      </c>
      <c r="AL194" s="1">
        <v>0</v>
      </c>
      <c r="AM194" s="1" t="s">
        <v>2541</v>
      </c>
      <c r="AP194" s="1">
        <f>91-9825355961</f>
        <v>-9825355870</v>
      </c>
      <c r="AR194" s="1">
        <v>0</v>
      </c>
      <c r="AS194" s="1">
        <v>0</v>
      </c>
      <c r="AW194" s="1" t="s">
        <v>142</v>
      </c>
      <c r="AX194" s="1" t="s">
        <v>3356</v>
      </c>
      <c r="AY194" s="1" t="s">
        <v>150</v>
      </c>
      <c r="AZ194" s="1">
        <v>5.05</v>
      </c>
      <c r="BA194" s="1">
        <v>5.09</v>
      </c>
      <c r="BB194" s="1" t="s">
        <v>151</v>
      </c>
      <c r="BC194" s="1" t="s">
        <v>152</v>
      </c>
      <c r="BD194" s="1" t="s">
        <v>1395</v>
      </c>
      <c r="BF194" s="1" t="s">
        <v>120</v>
      </c>
      <c r="BG194" s="1" t="s">
        <v>2541</v>
      </c>
      <c r="BH194" s="1" t="s">
        <v>2541</v>
      </c>
      <c r="BI194" s="1" t="s">
        <v>634</v>
      </c>
      <c r="BJ194" s="1" t="s">
        <v>120</v>
      </c>
      <c r="BK194" s="1" t="s">
        <v>120</v>
      </c>
      <c r="BL194" s="1">
        <v>0</v>
      </c>
      <c r="BM194" s="1">
        <v>0</v>
      </c>
      <c r="BO194" s="1">
        <v>0</v>
      </c>
      <c r="BQ194" s="1" t="s">
        <v>180</v>
      </c>
      <c r="BR194" s="1">
        <v>0</v>
      </c>
      <c r="BS194" s="1" t="s">
        <v>123</v>
      </c>
      <c r="BT194" s="1" t="s">
        <v>120</v>
      </c>
      <c r="BV194" s="1" t="s">
        <v>112</v>
      </c>
      <c r="BY194" s="1" t="s">
        <v>120</v>
      </c>
      <c r="BZ194" s="1">
        <v>0</v>
      </c>
      <c r="CA194" s="1">
        <v>0</v>
      </c>
      <c r="CB194" s="4">
        <v>42851.342304247686</v>
      </c>
      <c r="CC194" s="1">
        <v>1</v>
      </c>
      <c r="CD194" s="1">
        <v>1</v>
      </c>
      <c r="CE194" s="1">
        <v>1</v>
      </c>
      <c r="CF194" s="1">
        <v>4</v>
      </c>
      <c r="CG194" s="4">
        <v>43046.646680405094</v>
      </c>
      <c r="CH194" s="1" t="s">
        <v>112</v>
      </c>
      <c r="CI194" s="1" t="s">
        <v>3357</v>
      </c>
      <c r="CJ194" s="1" t="s">
        <v>157</v>
      </c>
    </row>
    <row r="195" spans="1:88" x14ac:dyDescent="0.35">
      <c r="A195" s="1">
        <v>1732</v>
      </c>
      <c r="B195" s="1" t="s">
        <v>3358</v>
      </c>
      <c r="C195" s="1" t="s">
        <v>3359</v>
      </c>
      <c r="D195" s="1" t="s">
        <v>90</v>
      </c>
      <c r="E195" s="1" t="s">
        <v>2505</v>
      </c>
      <c r="F195" s="1" t="s">
        <v>185</v>
      </c>
      <c r="G195" s="1">
        <v>1</v>
      </c>
      <c r="H195" s="3">
        <v>33343</v>
      </c>
      <c r="I195" s="1">
        <v>1</v>
      </c>
      <c r="J195" s="1" t="s">
        <v>162</v>
      </c>
      <c r="K195" s="1" t="s">
        <v>291</v>
      </c>
      <c r="L195" s="2">
        <f>91-9725255457</f>
        <v>-9725255366</v>
      </c>
      <c r="M195" s="1" t="s">
        <v>150</v>
      </c>
      <c r="N195" s="1">
        <v>0</v>
      </c>
      <c r="O195" s="1">
        <v>0</v>
      </c>
      <c r="P195" s="1">
        <v>5.07</v>
      </c>
      <c r="Q195" s="1">
        <v>29</v>
      </c>
      <c r="R195" s="1" t="s">
        <v>2607</v>
      </c>
      <c r="S195" s="1" t="s">
        <v>97</v>
      </c>
      <c r="T195" s="1" t="s">
        <v>137</v>
      </c>
      <c r="U195" s="1" t="s">
        <v>2540</v>
      </c>
      <c r="V195" s="1" t="s">
        <v>2540</v>
      </c>
      <c r="X195" s="1" t="s">
        <v>100</v>
      </c>
      <c r="Y195" s="1" t="s">
        <v>111</v>
      </c>
      <c r="Z195" s="1" t="s">
        <v>192</v>
      </c>
      <c r="AB195" s="1">
        <v>0</v>
      </c>
      <c r="AD195" s="1" t="s">
        <v>3360</v>
      </c>
      <c r="AE195" s="1" t="s">
        <v>142</v>
      </c>
      <c r="AF195" s="1" t="s">
        <v>129</v>
      </c>
      <c r="AG195" s="1" t="s">
        <v>3361</v>
      </c>
      <c r="AH195" s="1" t="s">
        <v>1280</v>
      </c>
      <c r="AI195" s="1" t="s">
        <v>3362</v>
      </c>
      <c r="AJ195" s="1" t="s">
        <v>109</v>
      </c>
      <c r="AK195" s="1" t="s">
        <v>3363</v>
      </c>
      <c r="AL195" s="1">
        <v>60</v>
      </c>
      <c r="AM195" s="1" t="s">
        <v>129</v>
      </c>
      <c r="AP195" s="1">
        <f>91-9898041989</f>
        <v>-9898041898</v>
      </c>
      <c r="AR195" s="1">
        <v>0</v>
      </c>
      <c r="AS195" s="1">
        <v>0</v>
      </c>
      <c r="AW195" s="1" t="s">
        <v>142</v>
      </c>
      <c r="AX195" s="1" t="s">
        <v>504</v>
      </c>
      <c r="AY195" s="1" t="s">
        <v>150</v>
      </c>
      <c r="AZ195" s="1">
        <v>5</v>
      </c>
      <c r="BA195" s="1">
        <v>5.03</v>
      </c>
      <c r="BB195" s="1" t="s">
        <v>151</v>
      </c>
      <c r="BC195" s="1" t="s">
        <v>152</v>
      </c>
      <c r="BD195" s="1" t="s">
        <v>1395</v>
      </c>
      <c r="BE195" s="1" t="s">
        <v>97</v>
      </c>
      <c r="BF195" s="1" t="s">
        <v>120</v>
      </c>
      <c r="BG195" s="1" t="s">
        <v>2541</v>
      </c>
      <c r="BH195" s="1" t="s">
        <v>2541</v>
      </c>
      <c r="BI195" s="1" t="s">
        <v>192</v>
      </c>
      <c r="BL195" s="1">
        <v>0</v>
      </c>
      <c r="BM195" s="1">
        <v>1</v>
      </c>
      <c r="BN195" s="1" t="s">
        <v>3364</v>
      </c>
      <c r="BO195" s="1">
        <v>0</v>
      </c>
      <c r="BQ195" s="1" t="s">
        <v>180</v>
      </c>
      <c r="BR195" s="1">
        <v>0</v>
      </c>
      <c r="BS195" s="1" t="s">
        <v>596</v>
      </c>
      <c r="BT195" s="1" t="s">
        <v>124</v>
      </c>
      <c r="BV195" s="1" t="s">
        <v>112</v>
      </c>
      <c r="BW195" s="1" t="s">
        <v>3365</v>
      </c>
      <c r="BX195" s="1" t="s">
        <v>3366</v>
      </c>
      <c r="BY195" s="1" t="s">
        <v>120</v>
      </c>
      <c r="BZ195" s="1">
        <v>0</v>
      </c>
      <c r="CA195" s="1">
        <v>0</v>
      </c>
      <c r="CB195" s="4">
        <v>42854.378136886575</v>
      </c>
      <c r="CC195" s="1">
        <v>1</v>
      </c>
      <c r="CD195" s="1">
        <v>1</v>
      </c>
      <c r="CE195" s="1">
        <v>1</v>
      </c>
      <c r="CF195" s="1">
        <v>4</v>
      </c>
      <c r="CG195" s="4">
        <v>42863.736900115742</v>
      </c>
      <c r="CH195" s="1" t="s">
        <v>112</v>
      </c>
      <c r="CI195" s="1" t="s">
        <v>156</v>
      </c>
      <c r="CJ195" s="1" t="s">
        <v>157</v>
      </c>
    </row>
    <row r="196" spans="1:88" x14ac:dyDescent="0.35">
      <c r="A196" s="1">
        <v>1734</v>
      </c>
      <c r="B196" s="1" t="s">
        <v>3367</v>
      </c>
      <c r="C196" s="1" t="s">
        <v>3368</v>
      </c>
      <c r="D196" s="1" t="s">
        <v>90</v>
      </c>
      <c r="E196" s="1" t="s">
        <v>3369</v>
      </c>
      <c r="F196" s="1" t="s">
        <v>996</v>
      </c>
      <c r="G196" s="1">
        <v>1</v>
      </c>
      <c r="H196" s="3">
        <v>32614</v>
      </c>
      <c r="I196" s="1">
        <v>1</v>
      </c>
      <c r="J196" s="1" t="s">
        <v>162</v>
      </c>
      <c r="K196" s="1" t="s">
        <v>2285</v>
      </c>
      <c r="L196" s="2">
        <f>91-9624284727</f>
        <v>-9624284636</v>
      </c>
      <c r="M196" s="1" t="s">
        <v>150</v>
      </c>
      <c r="N196" s="1">
        <v>0</v>
      </c>
      <c r="O196" s="1">
        <v>0</v>
      </c>
      <c r="P196" s="1">
        <v>6</v>
      </c>
      <c r="Q196" s="1">
        <v>5</v>
      </c>
      <c r="R196" s="1" t="s">
        <v>263</v>
      </c>
      <c r="S196" s="1" t="s">
        <v>1914</v>
      </c>
      <c r="T196" s="1" t="s">
        <v>1915</v>
      </c>
      <c r="U196" s="1" t="s">
        <v>2540</v>
      </c>
      <c r="V196" s="1" t="s">
        <v>3370</v>
      </c>
      <c r="X196" s="1" t="s">
        <v>170</v>
      </c>
      <c r="Y196" s="1" t="s">
        <v>101</v>
      </c>
      <c r="Z196" s="1" t="s">
        <v>1917</v>
      </c>
      <c r="AA196" s="1" t="s">
        <v>3371</v>
      </c>
      <c r="AB196" s="1">
        <v>0</v>
      </c>
      <c r="AD196" s="1" t="s">
        <v>3372</v>
      </c>
      <c r="AE196" s="1">
        <f>91-9408240323</f>
        <v>-9408240232</v>
      </c>
      <c r="AF196" s="1" t="s">
        <v>2541</v>
      </c>
      <c r="AG196" s="1" t="s">
        <v>3373</v>
      </c>
      <c r="AH196" s="1" t="s">
        <v>3374</v>
      </c>
      <c r="AI196" s="1" t="s">
        <v>3375</v>
      </c>
      <c r="AJ196" s="1" t="s">
        <v>109</v>
      </c>
      <c r="AK196" s="1" t="s">
        <v>3376</v>
      </c>
      <c r="AL196" s="1">
        <v>15</v>
      </c>
      <c r="AM196" s="1" t="s">
        <v>2541</v>
      </c>
      <c r="AP196" s="1">
        <f>91-9406067379</f>
        <v>-9406067288</v>
      </c>
      <c r="AR196" s="1">
        <v>0</v>
      </c>
      <c r="AS196" s="1">
        <v>0</v>
      </c>
      <c r="AW196" s="1" t="s">
        <v>142</v>
      </c>
      <c r="AX196" s="1" t="s">
        <v>592</v>
      </c>
      <c r="AY196" s="1" t="s">
        <v>150</v>
      </c>
      <c r="AZ196" s="1">
        <v>4.1100000000000003</v>
      </c>
      <c r="BA196" s="1">
        <v>6</v>
      </c>
      <c r="BB196" s="1" t="s">
        <v>151</v>
      </c>
      <c r="BC196" s="1" t="s">
        <v>304</v>
      </c>
      <c r="BD196" s="1" t="s">
        <v>1333</v>
      </c>
      <c r="BE196" s="1" t="s">
        <v>120</v>
      </c>
      <c r="BF196" s="1" t="s">
        <v>120</v>
      </c>
      <c r="BG196" s="1" t="s">
        <v>120</v>
      </c>
      <c r="BH196" s="1" t="s">
        <v>120</v>
      </c>
      <c r="BJ196" s="1" t="s">
        <v>120</v>
      </c>
      <c r="BK196" s="1" t="s">
        <v>120</v>
      </c>
      <c r="BL196" s="1">
        <v>0</v>
      </c>
      <c r="BM196" s="1">
        <v>0</v>
      </c>
      <c r="BN196" s="1" t="s">
        <v>3377</v>
      </c>
      <c r="BO196" s="1" t="s">
        <v>112</v>
      </c>
      <c r="BP196" s="1" t="s">
        <v>112</v>
      </c>
      <c r="BQ196" s="1" t="s">
        <v>112</v>
      </c>
      <c r="BR196" s="1" t="s">
        <v>112</v>
      </c>
      <c r="BS196" s="1" t="s">
        <v>112</v>
      </c>
      <c r="BT196" s="1" t="s">
        <v>112</v>
      </c>
      <c r="BU196" s="1" t="s">
        <v>112</v>
      </c>
      <c r="BV196" s="1" t="s">
        <v>112</v>
      </c>
      <c r="BW196" s="1" t="s">
        <v>3378</v>
      </c>
      <c r="BX196" s="1" t="s">
        <v>3379</v>
      </c>
      <c r="BY196" s="1" t="s">
        <v>120</v>
      </c>
      <c r="BZ196" s="1">
        <v>0</v>
      </c>
      <c r="CA196" s="1">
        <v>0</v>
      </c>
      <c r="CB196" s="4">
        <v>42857.206655358794</v>
      </c>
      <c r="CC196" s="1">
        <v>1</v>
      </c>
      <c r="CD196" s="1">
        <v>1</v>
      </c>
      <c r="CE196" s="1">
        <v>1</v>
      </c>
      <c r="CF196" s="1">
        <v>4</v>
      </c>
      <c r="CG196" s="4">
        <v>42923.515526967596</v>
      </c>
      <c r="CH196" s="1" t="s">
        <v>112</v>
      </c>
      <c r="CI196" s="1" t="s">
        <v>1663</v>
      </c>
      <c r="CJ196" s="1" t="s">
        <v>157</v>
      </c>
    </row>
    <row r="197" spans="1:88" x14ac:dyDescent="0.35">
      <c r="A197" s="1">
        <v>1735</v>
      </c>
      <c r="B197" s="1" t="s">
        <v>3380</v>
      </c>
      <c r="C197" s="1">
        <v>9725548935</v>
      </c>
      <c r="D197" s="1" t="s">
        <v>132</v>
      </c>
      <c r="E197" s="1" t="s">
        <v>3381</v>
      </c>
      <c r="F197" s="1" t="s">
        <v>2003</v>
      </c>
      <c r="G197" s="1">
        <v>0</v>
      </c>
      <c r="H197" s="3">
        <v>35284</v>
      </c>
      <c r="I197" s="1">
        <v>1</v>
      </c>
      <c r="J197" s="1" t="s">
        <v>162</v>
      </c>
      <c r="K197" s="1" t="s">
        <v>1061</v>
      </c>
      <c r="L197" s="2">
        <f>91-9898187298</f>
        <v>-9898187207</v>
      </c>
      <c r="M197" s="1" t="s">
        <v>150</v>
      </c>
      <c r="N197" s="1">
        <v>0</v>
      </c>
      <c r="O197" s="1">
        <v>0</v>
      </c>
      <c r="P197" s="1">
        <v>5.01</v>
      </c>
      <c r="Q197" s="1">
        <v>33</v>
      </c>
      <c r="R197" s="1" t="s">
        <v>1714</v>
      </c>
      <c r="S197" s="1" t="s">
        <v>97</v>
      </c>
      <c r="T197" s="1" t="s">
        <v>98</v>
      </c>
      <c r="X197" s="1" t="s">
        <v>296</v>
      </c>
      <c r="Y197" s="1" t="s">
        <v>268</v>
      </c>
      <c r="AB197" s="1">
        <v>0</v>
      </c>
      <c r="AE197" s="1" t="s">
        <v>142</v>
      </c>
      <c r="AF197" s="1" t="s">
        <v>2541</v>
      </c>
      <c r="AJ197" s="1" t="s">
        <v>109</v>
      </c>
      <c r="AL197" s="1">
        <v>0</v>
      </c>
      <c r="AM197" s="1" t="s">
        <v>2541</v>
      </c>
      <c r="AP197" s="1" t="s">
        <v>142</v>
      </c>
      <c r="AR197" s="1">
        <v>0</v>
      </c>
      <c r="AS197" s="1">
        <v>0</v>
      </c>
      <c r="AW197" s="1" t="s">
        <v>142</v>
      </c>
      <c r="AX197" s="1" t="s">
        <v>112</v>
      </c>
      <c r="AY197" s="1" t="s">
        <v>112</v>
      </c>
      <c r="AZ197" s="1" t="s">
        <v>112</v>
      </c>
      <c r="BA197" s="1" t="s">
        <v>112</v>
      </c>
      <c r="BB197" s="1" t="s">
        <v>112</v>
      </c>
      <c r="BC197" s="1" t="s">
        <v>112</v>
      </c>
      <c r="BD197" s="1" t="s">
        <v>112</v>
      </c>
      <c r="BE197" s="1" t="s">
        <v>112</v>
      </c>
      <c r="BF197" s="1" t="s">
        <v>112</v>
      </c>
      <c r="BG197" s="1" t="s">
        <v>112</v>
      </c>
      <c r="BH197" s="1" t="s">
        <v>112</v>
      </c>
      <c r="BI197" s="1" t="s">
        <v>112</v>
      </c>
      <c r="BJ197" s="1" t="s">
        <v>112</v>
      </c>
      <c r="BK197" s="1" t="s">
        <v>112</v>
      </c>
      <c r="BL197" s="1" t="s">
        <v>112</v>
      </c>
      <c r="BM197" s="1" t="s">
        <v>112</v>
      </c>
      <c r="BN197" s="1" t="s">
        <v>112</v>
      </c>
      <c r="BO197" s="1" t="s">
        <v>112</v>
      </c>
      <c r="BP197" s="1" t="s">
        <v>112</v>
      </c>
      <c r="BQ197" s="1" t="s">
        <v>112</v>
      </c>
      <c r="BR197" s="1" t="s">
        <v>112</v>
      </c>
      <c r="BS197" s="1" t="s">
        <v>112</v>
      </c>
      <c r="BT197" s="1" t="s">
        <v>112</v>
      </c>
      <c r="BU197" s="1" t="s">
        <v>112</v>
      </c>
      <c r="BV197" s="1" t="s">
        <v>112</v>
      </c>
      <c r="BW197" s="1" t="s">
        <v>112</v>
      </c>
      <c r="BX197" s="1" t="s">
        <v>112</v>
      </c>
      <c r="BY197" s="1" t="s">
        <v>120</v>
      </c>
      <c r="BZ197" s="1">
        <v>0</v>
      </c>
      <c r="CA197" s="1">
        <v>0</v>
      </c>
      <c r="CB197" s="4">
        <v>42858.159990312502</v>
      </c>
      <c r="CC197" s="1">
        <v>1</v>
      </c>
      <c r="CD197" s="1">
        <v>1</v>
      </c>
      <c r="CE197" s="1">
        <v>1</v>
      </c>
      <c r="CF197" s="1">
        <v>4</v>
      </c>
      <c r="CG197" s="1" t="s">
        <v>112</v>
      </c>
      <c r="CH197" s="1" t="s">
        <v>112</v>
      </c>
      <c r="CI197" s="1" t="s">
        <v>3382</v>
      </c>
      <c r="CJ197" s="1" t="s">
        <v>112</v>
      </c>
    </row>
    <row r="198" spans="1:88" x14ac:dyDescent="0.35">
      <c r="A198" s="1">
        <v>1738</v>
      </c>
      <c r="B198" s="1" t="s">
        <v>3383</v>
      </c>
      <c r="C198" s="1" t="s">
        <v>3384</v>
      </c>
      <c r="D198" s="1" t="s">
        <v>711</v>
      </c>
      <c r="E198" s="1" t="s">
        <v>3385</v>
      </c>
      <c r="F198" s="1" t="s">
        <v>1231</v>
      </c>
      <c r="G198" s="1">
        <v>1</v>
      </c>
      <c r="H198" s="3">
        <v>35341</v>
      </c>
      <c r="I198" s="1">
        <v>1</v>
      </c>
      <c r="J198" s="1" t="s">
        <v>93</v>
      </c>
      <c r="K198" s="1" t="s">
        <v>3386</v>
      </c>
      <c r="L198" s="2">
        <f>91-9096251187</f>
        <v>-9096251096</v>
      </c>
      <c r="M198" s="1" t="s">
        <v>150</v>
      </c>
      <c r="N198" s="1">
        <v>0</v>
      </c>
      <c r="O198" s="1">
        <v>0</v>
      </c>
      <c r="P198" s="1">
        <v>5.0999999999999996</v>
      </c>
      <c r="Q198" s="1">
        <v>16</v>
      </c>
      <c r="R198" s="1" t="s">
        <v>535</v>
      </c>
      <c r="S198" s="1" t="s">
        <v>97</v>
      </c>
      <c r="T198" s="1" t="s">
        <v>137</v>
      </c>
      <c r="U198" s="1" t="s">
        <v>2540</v>
      </c>
      <c r="V198" s="1" t="s">
        <v>2540</v>
      </c>
      <c r="X198" s="1" t="s">
        <v>100</v>
      </c>
      <c r="Y198" s="1" t="s">
        <v>111</v>
      </c>
      <c r="Z198" s="1" t="s">
        <v>192</v>
      </c>
      <c r="AB198" s="1">
        <v>0</v>
      </c>
      <c r="AD198" s="1" t="s">
        <v>3387</v>
      </c>
      <c r="AE198" s="1">
        <f>91-9096251187</f>
        <v>-9096251096</v>
      </c>
      <c r="AF198" s="1" t="s">
        <v>105</v>
      </c>
      <c r="AG198" s="1" t="s">
        <v>3388</v>
      </c>
      <c r="AH198" s="1" t="s">
        <v>3389</v>
      </c>
      <c r="AI198" s="1" t="s">
        <v>371</v>
      </c>
      <c r="AJ198" s="1" t="s">
        <v>109</v>
      </c>
      <c r="AK198" s="1" t="s">
        <v>3390</v>
      </c>
      <c r="AL198" s="1">
        <v>50</v>
      </c>
      <c r="AM198" s="1" t="s">
        <v>129</v>
      </c>
      <c r="AN198" s="1" t="s">
        <v>111</v>
      </c>
      <c r="AO198" s="1" t="s">
        <v>3391</v>
      </c>
      <c r="AP198" s="1">
        <f>91-9422169464</f>
        <v>-9422169373</v>
      </c>
      <c r="AQ198" s="1" t="s">
        <v>502</v>
      </c>
      <c r="AR198" s="1">
        <v>1</v>
      </c>
      <c r="AS198" s="1">
        <v>0</v>
      </c>
      <c r="AW198" s="1" t="s">
        <v>142</v>
      </c>
      <c r="AX198" s="1" t="s">
        <v>543</v>
      </c>
      <c r="AY198" s="1" t="s">
        <v>150</v>
      </c>
      <c r="AZ198" s="1">
        <v>5.0599999999999996</v>
      </c>
      <c r="BA198" s="1">
        <v>5.0599999999999996</v>
      </c>
      <c r="BB198" s="1" t="s">
        <v>151</v>
      </c>
      <c r="BC198" s="1" t="s">
        <v>304</v>
      </c>
      <c r="BD198" s="1" t="s">
        <v>1333</v>
      </c>
      <c r="BE198" s="1" t="s">
        <v>97</v>
      </c>
      <c r="BF198" s="1" t="s">
        <v>120</v>
      </c>
      <c r="BG198" s="1" t="s">
        <v>100</v>
      </c>
      <c r="BH198" s="1" t="s">
        <v>120</v>
      </c>
      <c r="BJ198" s="1" t="s">
        <v>154</v>
      </c>
      <c r="BK198" s="1" t="s">
        <v>120</v>
      </c>
      <c r="BL198" s="1">
        <v>0</v>
      </c>
      <c r="BM198" s="1">
        <v>1</v>
      </c>
      <c r="BN198" s="1" t="s">
        <v>3392</v>
      </c>
      <c r="BO198" s="1">
        <v>1</v>
      </c>
      <c r="BP198" s="1" t="s">
        <v>1786</v>
      </c>
      <c r="BQ198" s="1" t="s">
        <v>112</v>
      </c>
      <c r="BR198" s="1">
        <v>1</v>
      </c>
      <c r="BS198" s="1" t="s">
        <v>252</v>
      </c>
      <c r="BT198" s="1" t="s">
        <v>124</v>
      </c>
      <c r="BU198" s="1" t="s">
        <v>3393</v>
      </c>
      <c r="BV198" s="1" t="s">
        <v>112</v>
      </c>
      <c r="BW198" s="1" t="s">
        <v>3394</v>
      </c>
      <c r="BX198" s="1" t="s">
        <v>3395</v>
      </c>
      <c r="BY198" s="1" t="s">
        <v>120</v>
      </c>
      <c r="BZ198" s="1">
        <v>1</v>
      </c>
      <c r="CA198" s="1">
        <v>0</v>
      </c>
      <c r="CB198" s="4">
        <v>42862.093011724537</v>
      </c>
      <c r="CC198" s="1">
        <v>1</v>
      </c>
      <c r="CD198" s="1">
        <v>1</v>
      </c>
      <c r="CE198" s="1">
        <v>1</v>
      </c>
      <c r="CF198" s="1">
        <v>4</v>
      </c>
      <c r="CG198" s="4">
        <v>42862.685376157409</v>
      </c>
      <c r="CH198" s="1" t="s">
        <v>112</v>
      </c>
      <c r="CI198" s="1" t="s">
        <v>1270</v>
      </c>
      <c r="CJ198" s="1" t="s">
        <v>157</v>
      </c>
    </row>
    <row r="199" spans="1:88" x14ac:dyDescent="0.35">
      <c r="A199" s="1">
        <v>1739</v>
      </c>
      <c r="B199" s="1" t="s">
        <v>3396</v>
      </c>
      <c r="C199" s="1">
        <v>23031984</v>
      </c>
      <c r="D199" s="1" t="s">
        <v>90</v>
      </c>
      <c r="E199" s="1" t="s">
        <v>3397</v>
      </c>
      <c r="F199" s="1" t="s">
        <v>185</v>
      </c>
      <c r="G199" s="1">
        <v>1</v>
      </c>
      <c r="H199" s="3">
        <v>30764</v>
      </c>
      <c r="I199" s="1">
        <v>1</v>
      </c>
      <c r="J199" s="1" t="s">
        <v>162</v>
      </c>
      <c r="K199" s="1" t="s">
        <v>959</v>
      </c>
      <c r="L199" s="2">
        <f>91-7069329190</f>
        <v>-7069329099</v>
      </c>
      <c r="M199" s="1" t="s">
        <v>95</v>
      </c>
      <c r="N199" s="1">
        <v>0</v>
      </c>
      <c r="O199" s="1">
        <v>0</v>
      </c>
      <c r="P199" s="1">
        <v>5.07</v>
      </c>
      <c r="Q199" s="1">
        <v>46</v>
      </c>
      <c r="R199" s="1" t="s">
        <v>292</v>
      </c>
      <c r="S199" s="1" t="s">
        <v>97</v>
      </c>
      <c r="T199" s="1" t="s">
        <v>341</v>
      </c>
      <c r="U199" s="1" t="s">
        <v>2540</v>
      </c>
      <c r="V199" s="1" t="s">
        <v>2540</v>
      </c>
      <c r="X199" s="1" t="s">
        <v>170</v>
      </c>
      <c r="Y199" s="1" t="s">
        <v>111</v>
      </c>
      <c r="Z199" s="1" t="s">
        <v>733</v>
      </c>
      <c r="AB199" s="1">
        <v>0</v>
      </c>
      <c r="AD199" s="1" t="s">
        <v>3398</v>
      </c>
      <c r="AE199" s="1">
        <f>91-9429187073</f>
        <v>-9429186982</v>
      </c>
      <c r="AF199" s="1" t="s">
        <v>2541</v>
      </c>
      <c r="AG199" s="1" t="s">
        <v>3399</v>
      </c>
      <c r="AH199" s="1" t="s">
        <v>3400</v>
      </c>
      <c r="AI199" s="1" t="s">
        <v>3401</v>
      </c>
      <c r="AJ199" s="1" t="s">
        <v>109</v>
      </c>
      <c r="AK199" s="1" t="s">
        <v>3402</v>
      </c>
      <c r="AL199" s="1">
        <v>6</v>
      </c>
      <c r="AM199" s="1" t="s">
        <v>2541</v>
      </c>
      <c r="AP199" s="1">
        <f>91-9724175160</f>
        <v>-9724175069</v>
      </c>
      <c r="AR199" s="1">
        <v>0</v>
      </c>
      <c r="AS199" s="1">
        <v>0</v>
      </c>
      <c r="AW199" s="1" t="s">
        <v>142</v>
      </c>
      <c r="AX199" s="1" t="s">
        <v>2452</v>
      </c>
      <c r="AY199" s="1" t="s">
        <v>249</v>
      </c>
      <c r="AZ199" s="1">
        <v>5</v>
      </c>
      <c r="BA199" s="1">
        <v>5.05</v>
      </c>
      <c r="BB199" s="1" t="s">
        <v>151</v>
      </c>
      <c r="BC199" s="1" t="s">
        <v>152</v>
      </c>
      <c r="BD199" s="1" t="s">
        <v>1395</v>
      </c>
      <c r="BE199" s="1" t="s">
        <v>120</v>
      </c>
      <c r="BF199" s="1" t="s">
        <v>120</v>
      </c>
      <c r="BG199" s="1" t="s">
        <v>2541</v>
      </c>
      <c r="BH199" s="1" t="s">
        <v>2541</v>
      </c>
      <c r="BI199" s="1" t="s">
        <v>733</v>
      </c>
      <c r="BL199" s="1">
        <v>0</v>
      </c>
      <c r="BM199" s="1">
        <v>1</v>
      </c>
      <c r="BN199" s="1" t="s">
        <v>3403</v>
      </c>
      <c r="BO199" s="1">
        <v>0</v>
      </c>
      <c r="BQ199" s="1" t="s">
        <v>180</v>
      </c>
      <c r="BR199" s="1">
        <v>0</v>
      </c>
      <c r="BS199" s="1" t="s">
        <v>376</v>
      </c>
      <c r="BT199" s="1" t="s">
        <v>124</v>
      </c>
      <c r="BU199" s="1" t="s">
        <v>3404</v>
      </c>
      <c r="BV199" s="1" t="s">
        <v>112</v>
      </c>
      <c r="BW199" s="1" t="s">
        <v>3405</v>
      </c>
      <c r="BX199" s="1" t="s">
        <v>3406</v>
      </c>
      <c r="BY199" s="1" t="s">
        <v>120</v>
      </c>
      <c r="BZ199" s="1">
        <v>0</v>
      </c>
      <c r="CA199" s="1">
        <v>0</v>
      </c>
      <c r="CB199" s="4">
        <v>42863.074784490738</v>
      </c>
      <c r="CC199" s="1">
        <v>1</v>
      </c>
      <c r="CD199" s="1">
        <v>1</v>
      </c>
      <c r="CE199" s="1">
        <v>1</v>
      </c>
      <c r="CF199" s="1">
        <v>4</v>
      </c>
      <c r="CG199" s="4">
        <v>42863.563565937497</v>
      </c>
      <c r="CH199" s="1" t="s">
        <v>112</v>
      </c>
      <c r="CI199" s="1" t="s">
        <v>2283</v>
      </c>
      <c r="CJ199" s="1" t="s">
        <v>157</v>
      </c>
    </row>
    <row r="200" spans="1:88" x14ac:dyDescent="0.35">
      <c r="A200" s="1">
        <v>1741</v>
      </c>
      <c r="B200" s="1" t="s">
        <v>3407</v>
      </c>
      <c r="C200" s="1" t="s">
        <v>3408</v>
      </c>
      <c r="D200" s="1" t="s">
        <v>90</v>
      </c>
      <c r="E200" s="1" t="s">
        <v>3409</v>
      </c>
      <c r="F200" s="1" t="s">
        <v>3410</v>
      </c>
      <c r="G200" s="1">
        <v>1</v>
      </c>
      <c r="H200" s="3">
        <v>34426</v>
      </c>
      <c r="I200" s="1">
        <v>1</v>
      </c>
      <c r="J200" s="1" t="s">
        <v>93</v>
      </c>
      <c r="K200" s="1" t="s">
        <v>262</v>
      </c>
      <c r="L200" s="2">
        <f>91-9730691686</f>
        <v>-9730691595</v>
      </c>
      <c r="M200" s="1" t="s">
        <v>150</v>
      </c>
      <c r="N200" s="1">
        <v>0</v>
      </c>
      <c r="O200" s="1">
        <v>0</v>
      </c>
      <c r="P200" s="1">
        <v>5.09</v>
      </c>
      <c r="Q200" s="1">
        <v>27</v>
      </c>
      <c r="R200" s="1" t="s">
        <v>653</v>
      </c>
      <c r="S200" s="1" t="s">
        <v>293</v>
      </c>
      <c r="T200" s="1" t="s">
        <v>137</v>
      </c>
      <c r="U200" s="1" t="s">
        <v>2540</v>
      </c>
      <c r="V200" s="1" t="s">
        <v>2540</v>
      </c>
      <c r="X200" s="1" t="s">
        <v>924</v>
      </c>
      <c r="Y200" s="1" t="s">
        <v>111</v>
      </c>
      <c r="Z200" s="1" t="s">
        <v>192</v>
      </c>
      <c r="AA200" s="1" t="s">
        <v>3411</v>
      </c>
      <c r="AB200" s="1">
        <v>0</v>
      </c>
      <c r="AD200" s="1" t="s">
        <v>3412</v>
      </c>
      <c r="AE200" s="1">
        <f>91-9423261758</f>
        <v>-9423261667</v>
      </c>
      <c r="AF200" s="1" t="s">
        <v>129</v>
      </c>
      <c r="AG200" s="1" t="s">
        <v>3413</v>
      </c>
      <c r="AH200" s="1" t="s">
        <v>3414</v>
      </c>
      <c r="AI200" s="1" t="s">
        <v>3415</v>
      </c>
      <c r="AJ200" s="1" t="s">
        <v>109</v>
      </c>
      <c r="AK200" s="1" t="s">
        <v>3416</v>
      </c>
      <c r="AL200" s="1">
        <v>40</v>
      </c>
      <c r="AM200" s="1" t="s">
        <v>111</v>
      </c>
      <c r="AO200" s="1" t="s">
        <v>3417</v>
      </c>
      <c r="AP200" s="1">
        <f>91-9423261758</f>
        <v>-9423261667</v>
      </c>
      <c r="AQ200" s="1" t="s">
        <v>1370</v>
      </c>
      <c r="AR200" s="1">
        <v>1</v>
      </c>
      <c r="AS200" s="1">
        <v>1</v>
      </c>
      <c r="AW200" s="1" t="s">
        <v>142</v>
      </c>
      <c r="AX200" s="1" t="s">
        <v>3418</v>
      </c>
      <c r="AY200" s="1" t="s">
        <v>150</v>
      </c>
      <c r="AZ200" s="1">
        <v>5.01</v>
      </c>
      <c r="BA200" s="1">
        <v>5.0599999999999996</v>
      </c>
      <c r="BB200" s="1" t="s">
        <v>151</v>
      </c>
      <c r="BC200" s="1" t="s">
        <v>304</v>
      </c>
      <c r="BD200" s="1" t="s">
        <v>1333</v>
      </c>
      <c r="BE200" s="1" t="s">
        <v>120</v>
      </c>
      <c r="BF200" s="1" t="s">
        <v>120</v>
      </c>
      <c r="BG200" s="1" t="s">
        <v>3419</v>
      </c>
      <c r="BH200" s="1" t="s">
        <v>120</v>
      </c>
      <c r="BJ200" s="1" t="s">
        <v>120</v>
      </c>
      <c r="BK200" s="1" t="s">
        <v>120</v>
      </c>
      <c r="BL200" s="1">
        <v>0</v>
      </c>
      <c r="BM200" s="1">
        <v>0</v>
      </c>
      <c r="BN200" s="1" t="s">
        <v>3420</v>
      </c>
      <c r="BO200" s="1">
        <v>1</v>
      </c>
      <c r="BP200" s="1" t="s">
        <v>3421</v>
      </c>
      <c r="BQ200" s="1" t="s">
        <v>180</v>
      </c>
      <c r="BR200" s="1">
        <v>0</v>
      </c>
      <c r="BS200" s="1" t="s">
        <v>1208</v>
      </c>
      <c r="BT200" s="1" t="s">
        <v>124</v>
      </c>
      <c r="BV200" s="1" t="s">
        <v>112</v>
      </c>
      <c r="BW200" s="1" t="s">
        <v>3422</v>
      </c>
      <c r="BX200" s="1" t="s">
        <v>3423</v>
      </c>
      <c r="BY200" s="1" t="s">
        <v>120</v>
      </c>
      <c r="BZ200" s="1">
        <v>1</v>
      </c>
      <c r="CA200" s="1">
        <v>1</v>
      </c>
      <c r="CB200" s="4">
        <v>42868.09771519676</v>
      </c>
      <c r="CC200" s="1">
        <v>1</v>
      </c>
      <c r="CD200" s="1">
        <v>1</v>
      </c>
      <c r="CE200" s="1">
        <v>1</v>
      </c>
      <c r="CF200" s="1">
        <v>1</v>
      </c>
      <c r="CG200" s="4">
        <v>43486.033235069444</v>
      </c>
      <c r="CH200" s="1" t="s">
        <v>112</v>
      </c>
      <c r="CI200" s="1" t="s">
        <v>3424</v>
      </c>
      <c r="CJ200" s="1" t="s">
        <v>157</v>
      </c>
    </row>
    <row r="201" spans="1:88" x14ac:dyDescent="0.35">
      <c r="A201" s="1">
        <v>1749</v>
      </c>
      <c r="B201" s="1" t="s">
        <v>3425</v>
      </c>
      <c r="C201" s="1" t="s">
        <v>3426</v>
      </c>
      <c r="D201" s="1" t="s">
        <v>312</v>
      </c>
      <c r="E201" s="1" t="s">
        <v>3427</v>
      </c>
      <c r="F201" s="1" t="s">
        <v>3428</v>
      </c>
      <c r="G201" s="1">
        <v>1</v>
      </c>
      <c r="H201" s="3">
        <v>33261</v>
      </c>
      <c r="I201" s="1">
        <v>1</v>
      </c>
      <c r="J201" s="1" t="s">
        <v>93</v>
      </c>
      <c r="K201" s="1" t="s">
        <v>94</v>
      </c>
      <c r="L201" s="2">
        <f>91-9820820202</f>
        <v>-9820820111</v>
      </c>
      <c r="M201" s="1" t="s">
        <v>150</v>
      </c>
      <c r="N201" s="1">
        <v>0</v>
      </c>
      <c r="O201" s="1">
        <v>0</v>
      </c>
      <c r="P201" s="1">
        <v>5.05</v>
      </c>
      <c r="Q201" s="1">
        <v>27</v>
      </c>
      <c r="R201" s="1" t="s">
        <v>653</v>
      </c>
      <c r="S201" s="1" t="s">
        <v>1914</v>
      </c>
      <c r="T201" s="1" t="s">
        <v>1915</v>
      </c>
      <c r="U201" s="1" t="s">
        <v>1916</v>
      </c>
      <c r="V201" s="1" t="s">
        <v>3429</v>
      </c>
      <c r="X201" s="1" t="s">
        <v>100</v>
      </c>
      <c r="Y201" s="1" t="s">
        <v>210</v>
      </c>
      <c r="Z201" s="1" t="s">
        <v>1917</v>
      </c>
      <c r="AA201" s="1" t="s">
        <v>3430</v>
      </c>
      <c r="AB201" s="1">
        <v>0</v>
      </c>
      <c r="AD201" s="1" t="s">
        <v>3431</v>
      </c>
      <c r="AE201" s="1">
        <f>91-9420572603</f>
        <v>-9420572512</v>
      </c>
      <c r="AF201" s="1" t="s">
        <v>105</v>
      </c>
      <c r="AG201" s="1" t="s">
        <v>3432</v>
      </c>
      <c r="AH201" s="1" t="s">
        <v>3433</v>
      </c>
      <c r="AI201" s="1" t="s">
        <v>3434</v>
      </c>
      <c r="AJ201" s="1" t="s">
        <v>109</v>
      </c>
      <c r="AK201" s="1" t="s">
        <v>3435</v>
      </c>
      <c r="AL201" s="1">
        <v>22</v>
      </c>
      <c r="AM201" s="1" t="s">
        <v>148</v>
      </c>
      <c r="AN201" s="1" t="s">
        <v>3436</v>
      </c>
      <c r="AP201" s="1">
        <f>91-9820820202</f>
        <v>-9820820111</v>
      </c>
      <c r="AR201" s="1">
        <v>1</v>
      </c>
      <c r="AS201" s="1">
        <v>0</v>
      </c>
      <c r="AT201" s="1" t="s">
        <v>3437</v>
      </c>
      <c r="AU201" s="1" t="s">
        <v>3438</v>
      </c>
      <c r="AV201" s="1" t="s">
        <v>3438</v>
      </c>
      <c r="AW201" s="1">
        <f>91-9979294250</f>
        <v>-9979294159</v>
      </c>
      <c r="AX201" s="1" t="s">
        <v>504</v>
      </c>
      <c r="AY201" s="1" t="s">
        <v>150</v>
      </c>
      <c r="AZ201" s="1">
        <v>5</v>
      </c>
      <c r="BA201" s="1">
        <v>5.05</v>
      </c>
      <c r="BB201" s="1" t="s">
        <v>151</v>
      </c>
      <c r="BC201" s="1" t="s">
        <v>304</v>
      </c>
      <c r="BD201" s="1" t="s">
        <v>1333</v>
      </c>
      <c r="BE201" s="1" t="s">
        <v>281</v>
      </c>
      <c r="BF201" s="1" t="s">
        <v>120</v>
      </c>
      <c r="BG201" s="1" t="s">
        <v>120</v>
      </c>
      <c r="BH201" s="1" t="s">
        <v>101</v>
      </c>
      <c r="BJ201" s="1" t="s">
        <v>120</v>
      </c>
      <c r="BK201" s="1" t="s">
        <v>120</v>
      </c>
      <c r="BL201" s="1">
        <v>0</v>
      </c>
      <c r="BM201" s="1">
        <v>0</v>
      </c>
      <c r="BN201" s="1" t="s">
        <v>3439</v>
      </c>
      <c r="BO201" s="1">
        <v>1</v>
      </c>
      <c r="BP201" s="1" t="s">
        <v>3440</v>
      </c>
      <c r="BQ201" s="1" t="s">
        <v>112</v>
      </c>
      <c r="BR201" s="1">
        <v>1</v>
      </c>
      <c r="BS201" s="1" t="s">
        <v>596</v>
      </c>
      <c r="BT201" s="1" t="s">
        <v>124</v>
      </c>
      <c r="BU201" s="1" t="s">
        <v>112</v>
      </c>
      <c r="BV201" s="1" t="s">
        <v>112</v>
      </c>
      <c r="BW201" s="1" t="s">
        <v>3441</v>
      </c>
      <c r="BX201" s="1" t="s">
        <v>112</v>
      </c>
      <c r="BY201" s="1" t="s">
        <v>465</v>
      </c>
      <c r="BZ201" s="1">
        <v>0</v>
      </c>
      <c r="CA201" s="1">
        <v>0</v>
      </c>
      <c r="CB201" s="4">
        <v>42871.156833333334</v>
      </c>
      <c r="CC201" s="1">
        <v>1</v>
      </c>
      <c r="CD201" s="1">
        <v>1</v>
      </c>
      <c r="CE201" s="1">
        <v>1</v>
      </c>
      <c r="CF201" s="1">
        <v>1</v>
      </c>
      <c r="CG201" s="4">
        <v>43944.272608414351</v>
      </c>
      <c r="CH201" s="1" t="s">
        <v>112</v>
      </c>
      <c r="CI201" s="1" t="s">
        <v>280</v>
      </c>
      <c r="CJ201" s="1" t="s">
        <v>157</v>
      </c>
    </row>
    <row r="202" spans="1:88" x14ac:dyDescent="0.35">
      <c r="A202" s="1">
        <v>1750</v>
      </c>
      <c r="B202" s="1" t="s">
        <v>3442</v>
      </c>
      <c r="C202" s="1" t="s">
        <v>3443</v>
      </c>
      <c r="D202" s="1" t="s">
        <v>90</v>
      </c>
      <c r="E202" s="1" t="s">
        <v>1428</v>
      </c>
      <c r="F202" s="1" t="s">
        <v>3444</v>
      </c>
      <c r="G202" s="1">
        <v>1</v>
      </c>
      <c r="H202" s="3">
        <v>31931</v>
      </c>
      <c r="I202" s="1">
        <v>1</v>
      </c>
      <c r="J202" s="1" t="s">
        <v>93</v>
      </c>
      <c r="K202" s="1" t="s">
        <v>1130</v>
      </c>
      <c r="L202" s="2">
        <f>91-9422123930</f>
        <v>-9422123839</v>
      </c>
      <c r="M202" s="1" t="s">
        <v>150</v>
      </c>
      <c r="N202" s="1">
        <v>0</v>
      </c>
      <c r="O202" s="1">
        <v>0</v>
      </c>
      <c r="P202" s="1">
        <v>5.07</v>
      </c>
      <c r="Q202" s="1">
        <v>48</v>
      </c>
      <c r="R202" s="1" t="s">
        <v>385</v>
      </c>
      <c r="S202" s="1" t="s">
        <v>492</v>
      </c>
      <c r="T202" s="1" t="s">
        <v>137</v>
      </c>
      <c r="U202" s="1" t="s">
        <v>2540</v>
      </c>
      <c r="V202" s="1" t="s">
        <v>2540</v>
      </c>
      <c r="X202" s="1" t="s">
        <v>924</v>
      </c>
      <c r="Y202" s="1" t="s">
        <v>111</v>
      </c>
      <c r="Z202" s="1" t="s">
        <v>192</v>
      </c>
      <c r="AB202" s="1">
        <v>0</v>
      </c>
      <c r="AD202" s="1" t="s">
        <v>3445</v>
      </c>
      <c r="AE202" s="1">
        <f>91-7122765478</f>
        <v>-7122765387</v>
      </c>
      <c r="AF202" s="1" t="s">
        <v>2541</v>
      </c>
      <c r="AG202" s="1" t="s">
        <v>3446</v>
      </c>
      <c r="AH202" s="1" t="s">
        <v>3447</v>
      </c>
      <c r="AI202" s="1" t="s">
        <v>3448</v>
      </c>
      <c r="AJ202" s="1" t="s">
        <v>109</v>
      </c>
      <c r="AK202" s="1" t="s">
        <v>3449</v>
      </c>
      <c r="AL202" s="1">
        <v>25</v>
      </c>
      <c r="AM202" s="1" t="s">
        <v>2541</v>
      </c>
      <c r="AP202" s="1">
        <f>91-8669087268</f>
        <v>-8669087177</v>
      </c>
      <c r="AR202" s="1">
        <v>0</v>
      </c>
      <c r="AS202" s="1">
        <v>0</v>
      </c>
      <c r="AW202" s="1" t="s">
        <v>142</v>
      </c>
      <c r="AX202" s="1" t="s">
        <v>763</v>
      </c>
      <c r="AY202" s="1" t="s">
        <v>150</v>
      </c>
      <c r="AZ202" s="1">
        <v>4.0999999999999996</v>
      </c>
      <c r="BA202" s="1">
        <v>5.0599999999999996</v>
      </c>
      <c r="BB202" s="1" t="s">
        <v>151</v>
      </c>
      <c r="BC202" s="1" t="s">
        <v>152</v>
      </c>
      <c r="BD202" s="1" t="s">
        <v>1395</v>
      </c>
      <c r="BE202" s="1" t="s">
        <v>120</v>
      </c>
      <c r="BF202" s="1" t="s">
        <v>120</v>
      </c>
      <c r="BG202" s="1" t="s">
        <v>2541</v>
      </c>
      <c r="BH202" s="1" t="s">
        <v>2541</v>
      </c>
      <c r="BI202" s="1" t="s">
        <v>192</v>
      </c>
      <c r="BL202" s="1">
        <v>0</v>
      </c>
      <c r="BM202" s="1">
        <v>0</v>
      </c>
      <c r="BN202" s="1" t="s">
        <v>3450</v>
      </c>
      <c r="BO202" s="1">
        <v>0</v>
      </c>
      <c r="BQ202" s="1" t="s">
        <v>180</v>
      </c>
      <c r="BR202" s="1">
        <v>0</v>
      </c>
      <c r="BS202" s="1" t="s">
        <v>354</v>
      </c>
      <c r="BT202" s="1" t="s">
        <v>306</v>
      </c>
      <c r="BV202" s="1" t="s">
        <v>112</v>
      </c>
      <c r="BW202" s="1" t="s">
        <v>3451</v>
      </c>
      <c r="BX202" s="1" t="s">
        <v>3452</v>
      </c>
      <c r="BY202" s="1" t="s">
        <v>120</v>
      </c>
      <c r="BZ202" s="1">
        <v>0</v>
      </c>
      <c r="CA202" s="1">
        <v>0</v>
      </c>
      <c r="CB202" s="4">
        <v>42871.204731597223</v>
      </c>
      <c r="CC202" s="1">
        <v>1</v>
      </c>
      <c r="CD202" s="1">
        <v>1</v>
      </c>
      <c r="CE202" s="1">
        <v>1</v>
      </c>
      <c r="CF202" s="1">
        <v>1</v>
      </c>
      <c r="CG202" s="4">
        <v>43859.656316782406</v>
      </c>
      <c r="CH202" s="1" t="s">
        <v>112</v>
      </c>
      <c r="CI202" s="1" t="s">
        <v>829</v>
      </c>
      <c r="CJ202" s="1" t="s">
        <v>157</v>
      </c>
    </row>
    <row r="203" spans="1:88" x14ac:dyDescent="0.35">
      <c r="A203" s="1">
        <v>1751</v>
      </c>
      <c r="B203" s="1" t="s">
        <v>3453</v>
      </c>
      <c r="C203" s="1" t="s">
        <v>3454</v>
      </c>
      <c r="D203" s="1" t="s">
        <v>132</v>
      </c>
      <c r="E203" s="1" t="s">
        <v>2509</v>
      </c>
      <c r="F203" s="1" t="s">
        <v>134</v>
      </c>
      <c r="G203" s="1">
        <v>1</v>
      </c>
      <c r="H203" s="3">
        <v>33951</v>
      </c>
      <c r="I203" s="1">
        <v>16</v>
      </c>
      <c r="J203" s="1" t="s">
        <v>3455</v>
      </c>
      <c r="K203" s="1" t="s">
        <v>3456</v>
      </c>
      <c r="L203" s="2">
        <f>61-475234803</f>
        <v>-475234742</v>
      </c>
      <c r="M203" s="1" t="s">
        <v>150</v>
      </c>
      <c r="N203" s="1">
        <v>0</v>
      </c>
      <c r="O203" s="1">
        <v>0</v>
      </c>
      <c r="P203" s="1">
        <v>5.0599999999999996</v>
      </c>
      <c r="Q203" s="1">
        <v>1</v>
      </c>
      <c r="R203" s="1" t="s">
        <v>3457</v>
      </c>
      <c r="S203" s="1" t="s">
        <v>97</v>
      </c>
      <c r="T203" s="1" t="s">
        <v>3458</v>
      </c>
      <c r="U203" s="1" t="s">
        <v>2540</v>
      </c>
      <c r="V203" s="1" t="s">
        <v>2540</v>
      </c>
      <c r="X203" s="1" t="s">
        <v>170</v>
      </c>
      <c r="Y203" s="1" t="s">
        <v>210</v>
      </c>
      <c r="Z203" s="1" t="s">
        <v>1193</v>
      </c>
      <c r="AB203" s="1">
        <v>0</v>
      </c>
      <c r="AD203" s="1" t="s">
        <v>3459</v>
      </c>
      <c r="AE203" s="1" t="s">
        <v>142</v>
      </c>
      <c r="AF203" s="1" t="s">
        <v>2541</v>
      </c>
      <c r="AG203" s="1" t="s">
        <v>3460</v>
      </c>
      <c r="AH203" s="1" t="s">
        <v>3461</v>
      </c>
      <c r="AI203" s="1" t="s">
        <v>3462</v>
      </c>
      <c r="AJ203" s="1" t="s">
        <v>1238</v>
      </c>
      <c r="AK203" s="1" t="s">
        <v>3459</v>
      </c>
      <c r="AL203" s="1">
        <v>3</v>
      </c>
      <c r="AM203" s="1" t="s">
        <v>2541</v>
      </c>
      <c r="AP203" s="1">
        <f>91-0</f>
        <v>91</v>
      </c>
      <c r="AR203" s="1">
        <v>0</v>
      </c>
      <c r="AS203" s="1">
        <v>0</v>
      </c>
      <c r="AW203" s="1" t="s">
        <v>142</v>
      </c>
      <c r="AX203" s="1" t="s">
        <v>763</v>
      </c>
      <c r="AY203" s="1" t="s">
        <v>593</v>
      </c>
      <c r="AZ203" s="1">
        <v>5</v>
      </c>
      <c r="BA203" s="1">
        <v>6</v>
      </c>
      <c r="BB203" s="1" t="s">
        <v>151</v>
      </c>
      <c r="BC203" s="1" t="s">
        <v>152</v>
      </c>
      <c r="BD203" s="1" t="s">
        <v>1395</v>
      </c>
      <c r="BE203" s="1" t="s">
        <v>120</v>
      </c>
      <c r="BF203" s="1" t="s">
        <v>120</v>
      </c>
      <c r="BG203" s="1" t="s">
        <v>2541</v>
      </c>
      <c r="BH203" s="1" t="s">
        <v>2541</v>
      </c>
      <c r="BI203" s="1" t="s">
        <v>1193</v>
      </c>
      <c r="BL203" s="1">
        <v>0</v>
      </c>
      <c r="BM203" s="1">
        <v>0</v>
      </c>
      <c r="BN203" s="1" t="s">
        <v>3459</v>
      </c>
      <c r="BO203" s="1">
        <v>0</v>
      </c>
      <c r="BQ203" s="1" t="s">
        <v>180</v>
      </c>
      <c r="BR203" s="1">
        <v>0</v>
      </c>
      <c r="BS203" s="1" t="s">
        <v>307</v>
      </c>
      <c r="BT203" s="1" t="s">
        <v>120</v>
      </c>
      <c r="BV203" s="1" t="s">
        <v>112</v>
      </c>
      <c r="BW203" s="1" t="s">
        <v>3463</v>
      </c>
      <c r="BX203" s="1" t="s">
        <v>3464</v>
      </c>
      <c r="BY203" s="1" t="s">
        <v>120</v>
      </c>
      <c r="BZ203" s="1">
        <v>0</v>
      </c>
      <c r="CA203" s="1">
        <v>0</v>
      </c>
      <c r="CB203" s="4">
        <v>42872.178064849541</v>
      </c>
      <c r="CC203" s="1">
        <v>1</v>
      </c>
      <c r="CD203" s="1">
        <v>1</v>
      </c>
      <c r="CE203" s="1">
        <v>1</v>
      </c>
      <c r="CF203" s="1">
        <v>4</v>
      </c>
      <c r="CG203" s="4">
        <v>43011.489424965279</v>
      </c>
      <c r="CH203" s="1" t="s">
        <v>112</v>
      </c>
      <c r="CI203" s="1" t="s">
        <v>1646</v>
      </c>
      <c r="CJ203" s="1" t="s">
        <v>157</v>
      </c>
    </row>
    <row r="204" spans="1:88" x14ac:dyDescent="0.35">
      <c r="A204" s="1">
        <v>1756</v>
      </c>
      <c r="B204" s="1" t="s">
        <v>3465</v>
      </c>
      <c r="C204" s="1">
        <v>4050104725</v>
      </c>
      <c r="D204" s="1" t="s">
        <v>90</v>
      </c>
      <c r="E204" s="1" t="s">
        <v>3466</v>
      </c>
      <c r="F204" s="1" t="s">
        <v>3467</v>
      </c>
      <c r="G204" s="1">
        <v>1</v>
      </c>
      <c r="H204" s="3">
        <v>32234</v>
      </c>
      <c r="I204" s="1">
        <v>1</v>
      </c>
      <c r="J204" s="1" t="s">
        <v>93</v>
      </c>
      <c r="K204" s="1" t="s">
        <v>490</v>
      </c>
      <c r="L204" s="2">
        <f>91-9028766200</f>
        <v>-9028766109</v>
      </c>
      <c r="M204" s="1" t="s">
        <v>150</v>
      </c>
      <c r="N204" s="1">
        <v>0</v>
      </c>
      <c r="O204" s="1">
        <v>0</v>
      </c>
      <c r="P204" s="1">
        <v>5.03</v>
      </c>
      <c r="Q204" s="1">
        <v>9</v>
      </c>
      <c r="R204" s="1" t="s">
        <v>3468</v>
      </c>
      <c r="S204" s="1" t="s">
        <v>165</v>
      </c>
      <c r="T204" s="1" t="s">
        <v>427</v>
      </c>
      <c r="U204" s="1" t="s">
        <v>2540</v>
      </c>
      <c r="V204" s="1" t="s">
        <v>2540</v>
      </c>
      <c r="X204" s="1" t="s">
        <v>100</v>
      </c>
      <c r="Y204" s="1" t="s">
        <v>111</v>
      </c>
      <c r="Z204" s="1" t="s">
        <v>1387</v>
      </c>
      <c r="AB204" s="1">
        <v>0</v>
      </c>
      <c r="AD204" s="1" t="s">
        <v>3469</v>
      </c>
      <c r="AE204" s="1">
        <f>91-9822891015</f>
        <v>-9822890924</v>
      </c>
      <c r="AF204" s="1" t="s">
        <v>143</v>
      </c>
      <c r="AG204" s="1" t="s">
        <v>719</v>
      </c>
      <c r="AH204" s="1" t="s">
        <v>3374</v>
      </c>
      <c r="AI204" s="1" t="s">
        <v>3470</v>
      </c>
      <c r="AJ204" s="1" t="s">
        <v>109</v>
      </c>
      <c r="AK204" s="1" t="s">
        <v>3471</v>
      </c>
      <c r="AL204" s="1">
        <v>9</v>
      </c>
      <c r="AM204" s="1" t="s">
        <v>111</v>
      </c>
      <c r="AN204" s="1" t="s">
        <v>124</v>
      </c>
      <c r="AP204" s="1">
        <f>91-9822891015</f>
        <v>-9822890924</v>
      </c>
      <c r="AQ204" s="1" t="s">
        <v>124</v>
      </c>
      <c r="AR204" s="1">
        <v>2</v>
      </c>
      <c r="AS204" s="1">
        <v>0</v>
      </c>
      <c r="AW204" s="1" t="s">
        <v>142</v>
      </c>
      <c r="AX204" s="1" t="s">
        <v>1544</v>
      </c>
      <c r="AY204" s="1" t="s">
        <v>150</v>
      </c>
      <c r="AZ204" s="1">
        <v>5.03</v>
      </c>
      <c r="BA204" s="1">
        <v>5.03</v>
      </c>
      <c r="BB204" s="1" t="s">
        <v>151</v>
      </c>
      <c r="BC204" s="1" t="s">
        <v>304</v>
      </c>
      <c r="BD204" s="1" t="s">
        <v>1333</v>
      </c>
      <c r="BE204" s="1" t="s">
        <v>492</v>
      </c>
      <c r="BF204" s="1" t="s">
        <v>120</v>
      </c>
      <c r="BG204" s="1" t="s">
        <v>3472</v>
      </c>
      <c r="BH204" s="1" t="s">
        <v>120</v>
      </c>
      <c r="BJ204" s="1" t="s">
        <v>120</v>
      </c>
      <c r="BK204" s="1" t="s">
        <v>120</v>
      </c>
      <c r="BL204" s="1">
        <v>0</v>
      </c>
      <c r="BM204" s="1">
        <v>1</v>
      </c>
      <c r="BN204" s="1" t="s">
        <v>3473</v>
      </c>
      <c r="BO204" s="1">
        <v>1</v>
      </c>
      <c r="BP204" s="1" t="s">
        <v>1074</v>
      </c>
      <c r="BQ204" s="1" t="s">
        <v>112</v>
      </c>
      <c r="BR204" s="1">
        <v>1</v>
      </c>
      <c r="BS204" s="1" t="s">
        <v>354</v>
      </c>
      <c r="BT204" s="1" t="s">
        <v>124</v>
      </c>
      <c r="BU204" s="1" t="s">
        <v>3474</v>
      </c>
      <c r="BV204" s="1" t="s">
        <v>112</v>
      </c>
      <c r="BW204" s="1" t="s">
        <v>3475</v>
      </c>
      <c r="BX204" s="1" t="s">
        <v>3476</v>
      </c>
      <c r="BY204" s="1" t="s">
        <v>127</v>
      </c>
      <c r="BZ204" s="1">
        <v>0</v>
      </c>
      <c r="CA204" s="1">
        <v>0</v>
      </c>
      <c r="CB204" s="4">
        <v>42874.41223927083</v>
      </c>
      <c r="CC204" s="1">
        <v>1</v>
      </c>
      <c r="CD204" s="1">
        <v>1</v>
      </c>
      <c r="CE204" s="1">
        <v>1</v>
      </c>
      <c r="CF204" s="1">
        <v>4</v>
      </c>
      <c r="CG204" s="4">
        <v>42876.314288923611</v>
      </c>
      <c r="CH204" s="1" t="s">
        <v>112</v>
      </c>
      <c r="CI204" s="1" t="s">
        <v>3477</v>
      </c>
      <c r="CJ204" s="1" t="s">
        <v>157</v>
      </c>
    </row>
    <row r="205" spans="1:88" x14ac:dyDescent="0.35">
      <c r="A205" s="1">
        <v>1761</v>
      </c>
      <c r="B205" s="1" t="s">
        <v>3478</v>
      </c>
      <c r="C205" s="1" t="s">
        <v>3479</v>
      </c>
      <c r="D205" s="1" t="s">
        <v>90</v>
      </c>
      <c r="E205" s="1" t="s">
        <v>3480</v>
      </c>
      <c r="F205" s="1" t="s">
        <v>1473</v>
      </c>
      <c r="G205" s="1">
        <v>1</v>
      </c>
      <c r="H205" s="3">
        <v>33551</v>
      </c>
      <c r="I205" s="1">
        <v>1</v>
      </c>
      <c r="J205" s="1" t="s">
        <v>93</v>
      </c>
      <c r="K205" s="1" t="s">
        <v>1913</v>
      </c>
      <c r="L205" s="2">
        <f>91-9158691136</f>
        <v>-9158691045</v>
      </c>
      <c r="M205" s="1" t="s">
        <v>95</v>
      </c>
      <c r="N205" s="1">
        <v>0</v>
      </c>
      <c r="O205" s="1">
        <v>0</v>
      </c>
      <c r="P205" s="1">
        <v>5.0199999999999996</v>
      </c>
      <c r="Q205" s="1">
        <v>54</v>
      </c>
      <c r="R205" s="1" t="s">
        <v>1131</v>
      </c>
      <c r="S205" s="1" t="s">
        <v>136</v>
      </c>
      <c r="T205" s="1" t="s">
        <v>137</v>
      </c>
      <c r="U205" s="1" t="s">
        <v>2540</v>
      </c>
      <c r="V205" s="1" t="s">
        <v>2540</v>
      </c>
      <c r="X205" s="1" t="s">
        <v>100</v>
      </c>
      <c r="Y205" s="1" t="s">
        <v>111</v>
      </c>
      <c r="Z205" s="1" t="s">
        <v>192</v>
      </c>
      <c r="AB205" s="1">
        <v>0</v>
      </c>
      <c r="AD205" s="1" t="s">
        <v>3481</v>
      </c>
      <c r="AE205" s="1">
        <f>91-9158691136</f>
        <v>-9158691045</v>
      </c>
      <c r="AF205" s="1" t="s">
        <v>2541</v>
      </c>
      <c r="AG205" s="1" t="s">
        <v>3482</v>
      </c>
      <c r="AH205" s="1" t="s">
        <v>3483</v>
      </c>
      <c r="AI205" s="1" t="s">
        <v>3484</v>
      </c>
      <c r="AJ205" s="1" t="s">
        <v>109</v>
      </c>
      <c r="AK205" s="1" t="s">
        <v>3485</v>
      </c>
      <c r="AL205" s="1">
        <v>15</v>
      </c>
      <c r="AM205" s="1" t="s">
        <v>2541</v>
      </c>
      <c r="AP205" s="1">
        <f>91-9403803337</f>
        <v>-9403803246</v>
      </c>
      <c r="AR205" s="1">
        <v>0</v>
      </c>
      <c r="AS205" s="1">
        <v>0</v>
      </c>
      <c r="AW205" s="1" t="s">
        <v>142</v>
      </c>
      <c r="AX205" s="1" t="s">
        <v>1873</v>
      </c>
      <c r="AY205" s="1" t="s">
        <v>1332</v>
      </c>
      <c r="AZ205" s="1">
        <v>5.01</v>
      </c>
      <c r="BA205" s="1">
        <v>5.01</v>
      </c>
      <c r="BB205" s="1" t="s">
        <v>151</v>
      </c>
      <c r="BC205" s="1" t="s">
        <v>152</v>
      </c>
      <c r="BD205" s="1" t="s">
        <v>1395</v>
      </c>
      <c r="BE205" s="1" t="s">
        <v>120</v>
      </c>
      <c r="BF205" s="1" t="s">
        <v>120</v>
      </c>
      <c r="BG205" s="1" t="s">
        <v>2541</v>
      </c>
      <c r="BH205" s="1" t="s">
        <v>2541</v>
      </c>
      <c r="BI205" s="1" t="s">
        <v>192</v>
      </c>
      <c r="BL205" s="1">
        <v>0</v>
      </c>
      <c r="BM205" s="1">
        <v>1</v>
      </c>
      <c r="BN205" s="1" t="s">
        <v>3486</v>
      </c>
      <c r="BO205" s="1">
        <v>1</v>
      </c>
      <c r="BP205" s="1" t="s">
        <v>3487</v>
      </c>
      <c r="BQ205" s="1" t="s">
        <v>180</v>
      </c>
      <c r="BR205" s="1">
        <v>0</v>
      </c>
      <c r="BS205" s="1" t="s">
        <v>376</v>
      </c>
      <c r="BT205" s="1" t="s">
        <v>124</v>
      </c>
      <c r="BV205" s="1" t="s">
        <v>112</v>
      </c>
      <c r="BW205" s="1" t="s">
        <v>3488</v>
      </c>
      <c r="BX205" s="1" t="s">
        <v>3489</v>
      </c>
      <c r="BY205" s="1" t="s">
        <v>120</v>
      </c>
      <c r="BZ205" s="1">
        <v>0</v>
      </c>
      <c r="CA205" s="1">
        <v>0</v>
      </c>
      <c r="CB205" s="4">
        <v>42878.502090312497</v>
      </c>
      <c r="CC205" s="1">
        <v>1</v>
      </c>
      <c r="CD205" s="1">
        <v>1</v>
      </c>
      <c r="CE205" s="1">
        <v>1</v>
      </c>
      <c r="CF205" s="1">
        <v>1</v>
      </c>
      <c r="CG205" s="4">
        <v>43913.515858877312</v>
      </c>
      <c r="CH205" s="1" t="s">
        <v>112</v>
      </c>
      <c r="CI205" s="1" t="s">
        <v>1645</v>
      </c>
      <c r="CJ205" s="1" t="s">
        <v>157</v>
      </c>
    </row>
    <row r="206" spans="1:88" x14ac:dyDescent="0.35">
      <c r="A206" s="1">
        <v>1763</v>
      </c>
      <c r="B206" s="1" t="s">
        <v>3490</v>
      </c>
      <c r="C206" s="1" t="s">
        <v>3491</v>
      </c>
      <c r="D206" s="1" t="s">
        <v>90</v>
      </c>
      <c r="E206" s="1" t="s">
        <v>1652</v>
      </c>
      <c r="F206" s="1" t="s">
        <v>134</v>
      </c>
      <c r="G206" s="1">
        <v>1</v>
      </c>
      <c r="H206" s="3">
        <v>33639</v>
      </c>
      <c r="I206" s="1">
        <v>1</v>
      </c>
      <c r="J206" s="1" t="s">
        <v>162</v>
      </c>
      <c r="K206" s="1" t="s">
        <v>163</v>
      </c>
      <c r="L206" s="2">
        <f>91-9574761007</f>
        <v>-9574760916</v>
      </c>
      <c r="M206" s="1" t="s">
        <v>150</v>
      </c>
      <c r="N206" s="1">
        <v>0</v>
      </c>
      <c r="O206" s="1">
        <v>0</v>
      </c>
      <c r="P206" s="1">
        <v>5.09</v>
      </c>
      <c r="Q206" s="1">
        <v>5</v>
      </c>
      <c r="R206" s="1" t="s">
        <v>263</v>
      </c>
      <c r="S206" s="1" t="s">
        <v>97</v>
      </c>
      <c r="T206" s="1" t="s">
        <v>427</v>
      </c>
      <c r="U206" s="1" t="s">
        <v>2540</v>
      </c>
      <c r="V206" s="1" t="s">
        <v>2540</v>
      </c>
      <c r="X206" s="1" t="s">
        <v>170</v>
      </c>
      <c r="Y206" s="1" t="s">
        <v>210</v>
      </c>
      <c r="Z206" s="1" t="s">
        <v>858</v>
      </c>
      <c r="AB206" s="1">
        <v>0</v>
      </c>
      <c r="AD206" s="1" t="s">
        <v>3492</v>
      </c>
      <c r="AE206" s="1" t="s">
        <v>142</v>
      </c>
      <c r="AF206" s="1" t="s">
        <v>105</v>
      </c>
      <c r="AG206" s="1" t="s">
        <v>1218</v>
      </c>
      <c r="AH206" s="1" t="s">
        <v>3483</v>
      </c>
      <c r="AI206" s="1" t="s">
        <v>3493</v>
      </c>
      <c r="AJ206" s="1" t="s">
        <v>109</v>
      </c>
      <c r="AK206" s="1" t="s">
        <v>163</v>
      </c>
      <c r="AL206" s="1">
        <v>25</v>
      </c>
      <c r="AM206" s="1" t="s">
        <v>129</v>
      </c>
      <c r="AP206" s="1">
        <f>91-9662212474</f>
        <v>-9662212383</v>
      </c>
      <c r="AR206" s="1">
        <v>0</v>
      </c>
      <c r="AS206" s="1">
        <v>0</v>
      </c>
      <c r="AW206" s="1" t="s">
        <v>142</v>
      </c>
      <c r="AX206" s="1" t="s">
        <v>987</v>
      </c>
      <c r="AY206" s="1" t="s">
        <v>150</v>
      </c>
      <c r="AZ206" s="1">
        <v>4.05</v>
      </c>
      <c r="BA206" s="1">
        <v>5.08</v>
      </c>
      <c r="BB206" s="1" t="s">
        <v>151</v>
      </c>
      <c r="BC206" s="1" t="s">
        <v>304</v>
      </c>
      <c r="BD206" s="1" t="s">
        <v>1333</v>
      </c>
      <c r="BE206" s="1" t="s">
        <v>3494</v>
      </c>
      <c r="BF206" s="1" t="s">
        <v>120</v>
      </c>
      <c r="BG206" s="1" t="s">
        <v>3495</v>
      </c>
      <c r="BH206" s="1" t="s">
        <v>120</v>
      </c>
      <c r="BJ206" s="1" t="s">
        <v>120</v>
      </c>
      <c r="BK206" s="1" t="s">
        <v>120</v>
      </c>
      <c r="BL206" s="1">
        <v>0</v>
      </c>
      <c r="BM206" s="1">
        <v>0</v>
      </c>
      <c r="BN206" s="1" t="s">
        <v>3496</v>
      </c>
      <c r="BO206" s="1">
        <v>1</v>
      </c>
      <c r="BP206" s="1" t="s">
        <v>1935</v>
      </c>
      <c r="BQ206" s="1" t="s">
        <v>112</v>
      </c>
      <c r="BR206" s="1">
        <v>0</v>
      </c>
      <c r="BS206" s="1" t="s">
        <v>1668</v>
      </c>
      <c r="BT206" s="1" t="s">
        <v>124</v>
      </c>
      <c r="BU206" s="1" t="s">
        <v>112</v>
      </c>
      <c r="BV206" s="1" t="s">
        <v>112</v>
      </c>
      <c r="BW206" s="1" t="s">
        <v>3497</v>
      </c>
      <c r="BX206" s="1" t="s">
        <v>3498</v>
      </c>
      <c r="BY206" s="1" t="s">
        <v>120</v>
      </c>
      <c r="BZ206" s="1">
        <v>1</v>
      </c>
      <c r="CA206" s="1">
        <v>0</v>
      </c>
      <c r="CB206" s="4">
        <v>42881.008908993055</v>
      </c>
      <c r="CC206" s="1">
        <v>1</v>
      </c>
      <c r="CD206" s="1">
        <v>1</v>
      </c>
      <c r="CE206" s="1">
        <v>1</v>
      </c>
      <c r="CF206" s="1">
        <v>1</v>
      </c>
      <c r="CG206" s="4">
        <v>43883.637976736114</v>
      </c>
      <c r="CH206" s="1" t="s">
        <v>112</v>
      </c>
      <c r="CI206" s="1" t="s">
        <v>1663</v>
      </c>
      <c r="CJ206" s="1" t="s">
        <v>157</v>
      </c>
    </row>
    <row r="207" spans="1:88" x14ac:dyDescent="0.35">
      <c r="A207" s="1">
        <v>1765</v>
      </c>
      <c r="B207" s="1" t="s">
        <v>3499</v>
      </c>
      <c r="C207" s="1" t="s">
        <v>3500</v>
      </c>
      <c r="D207" s="1" t="s">
        <v>90</v>
      </c>
      <c r="E207" s="1" t="s">
        <v>1044</v>
      </c>
      <c r="F207" s="1" t="s">
        <v>3501</v>
      </c>
      <c r="G207" s="1">
        <v>1</v>
      </c>
      <c r="H207" s="3">
        <v>33741</v>
      </c>
      <c r="I207" s="1">
        <v>1</v>
      </c>
      <c r="J207" s="1" t="s">
        <v>162</v>
      </c>
      <c r="K207" s="1" t="s">
        <v>2166</v>
      </c>
      <c r="L207" s="2">
        <f>91-9427857612</f>
        <v>-9427857521</v>
      </c>
      <c r="M207" s="1" t="s">
        <v>150</v>
      </c>
      <c r="N207" s="1">
        <v>0</v>
      </c>
      <c r="O207" s="1">
        <v>0</v>
      </c>
      <c r="P207" s="1">
        <v>5.03</v>
      </c>
      <c r="Q207" s="1">
        <v>50</v>
      </c>
      <c r="S207" s="1" t="s">
        <v>136</v>
      </c>
      <c r="T207" s="1" t="s">
        <v>137</v>
      </c>
      <c r="U207" s="1" t="s">
        <v>2540</v>
      </c>
      <c r="V207" s="1" t="s">
        <v>2540</v>
      </c>
      <c r="W207" s="1" t="s">
        <v>1361</v>
      </c>
      <c r="X207" s="1" t="s">
        <v>170</v>
      </c>
      <c r="Y207" s="1" t="s">
        <v>210</v>
      </c>
      <c r="Z207" s="1" t="s">
        <v>556</v>
      </c>
      <c r="AB207" s="1">
        <v>0</v>
      </c>
      <c r="AD207" s="1" t="s">
        <v>3502</v>
      </c>
      <c r="AE207" s="1">
        <f>91-2692261178</f>
        <v>-2692261087</v>
      </c>
      <c r="AF207" s="1" t="s">
        <v>143</v>
      </c>
      <c r="AG207" s="1" t="s">
        <v>2170</v>
      </c>
      <c r="AH207" s="1" t="s">
        <v>3503</v>
      </c>
      <c r="AI207" s="1" t="s">
        <v>3504</v>
      </c>
      <c r="AJ207" s="1" t="s">
        <v>109</v>
      </c>
      <c r="AK207" s="1" t="s">
        <v>3505</v>
      </c>
      <c r="AL207" s="1">
        <v>7</v>
      </c>
      <c r="AM207" s="1" t="s">
        <v>111</v>
      </c>
      <c r="AN207" s="1" t="s">
        <v>3506</v>
      </c>
      <c r="AP207" s="1">
        <f>91-9427857612</f>
        <v>-9427857521</v>
      </c>
      <c r="AR207" s="1">
        <v>0</v>
      </c>
      <c r="AS207" s="1">
        <v>0</v>
      </c>
      <c r="AW207" s="1" t="s">
        <v>142</v>
      </c>
      <c r="AX207" s="1" t="s">
        <v>414</v>
      </c>
      <c r="AY207" s="1" t="s">
        <v>150</v>
      </c>
      <c r="AZ207" s="1">
        <v>4.1100000000000003</v>
      </c>
      <c r="BA207" s="1">
        <v>5.0199999999999996</v>
      </c>
      <c r="BB207" s="1" t="s">
        <v>151</v>
      </c>
      <c r="BC207" s="1" t="s">
        <v>304</v>
      </c>
      <c r="BD207" s="1" t="s">
        <v>1333</v>
      </c>
      <c r="BE207" s="1" t="s">
        <v>97</v>
      </c>
      <c r="BF207" s="1" t="s">
        <v>120</v>
      </c>
      <c r="BG207" s="1" t="s">
        <v>120</v>
      </c>
      <c r="BH207" s="1" t="s">
        <v>120</v>
      </c>
      <c r="BI207" s="1" t="s">
        <v>556</v>
      </c>
      <c r="BJ207" s="1" t="s">
        <v>120</v>
      </c>
      <c r="BK207" s="1" t="s">
        <v>120</v>
      </c>
      <c r="BL207" s="1">
        <v>0</v>
      </c>
      <c r="BM207" s="1">
        <v>0</v>
      </c>
      <c r="BN207" s="1" t="s">
        <v>3507</v>
      </c>
      <c r="BO207" s="1">
        <v>0</v>
      </c>
      <c r="BQ207" s="1" t="s">
        <v>180</v>
      </c>
      <c r="BR207" s="1">
        <v>0</v>
      </c>
      <c r="BS207" s="1" t="s">
        <v>376</v>
      </c>
      <c r="BT207" s="1" t="s">
        <v>1123</v>
      </c>
      <c r="BV207" s="1" t="s">
        <v>112</v>
      </c>
      <c r="BW207" s="1" t="s">
        <v>3508</v>
      </c>
      <c r="BX207" s="1" t="s">
        <v>3509</v>
      </c>
      <c r="BY207" s="1" t="s">
        <v>465</v>
      </c>
      <c r="BZ207" s="1">
        <v>2</v>
      </c>
      <c r="CA207" s="1">
        <v>2</v>
      </c>
      <c r="CB207" s="4">
        <v>42883.113432905091</v>
      </c>
      <c r="CC207" s="1">
        <v>1</v>
      </c>
      <c r="CD207" s="1">
        <v>1</v>
      </c>
      <c r="CE207" s="1">
        <v>1</v>
      </c>
      <c r="CF207" s="1">
        <v>1</v>
      </c>
      <c r="CG207" s="4">
        <v>43115.499252465277</v>
      </c>
      <c r="CH207" s="1" t="s">
        <v>112</v>
      </c>
      <c r="CI207" s="1" t="s">
        <v>3510</v>
      </c>
      <c r="CJ207" s="1" t="s">
        <v>157</v>
      </c>
    </row>
    <row r="208" spans="1:88" x14ac:dyDescent="0.35">
      <c r="A208" s="1">
        <v>1767</v>
      </c>
      <c r="B208" s="1" t="s">
        <v>3511</v>
      </c>
      <c r="C208" s="1">
        <v>2759021191</v>
      </c>
      <c r="D208" s="1" t="s">
        <v>90</v>
      </c>
      <c r="E208" s="1" t="s">
        <v>3512</v>
      </c>
      <c r="F208" s="1" t="s">
        <v>1111</v>
      </c>
      <c r="G208" s="1">
        <v>1</v>
      </c>
      <c r="H208" s="3">
        <v>33259</v>
      </c>
      <c r="I208" s="1">
        <v>1</v>
      </c>
      <c r="J208" s="1" t="s">
        <v>162</v>
      </c>
      <c r="K208" s="1" t="s">
        <v>2166</v>
      </c>
      <c r="L208" s="2">
        <f>91-9601668978</f>
        <v>-9601668887</v>
      </c>
      <c r="M208" s="1" t="s">
        <v>150</v>
      </c>
      <c r="N208" s="1">
        <v>0</v>
      </c>
      <c r="O208" s="1">
        <v>0</v>
      </c>
      <c r="P208" s="1">
        <v>5.0999999999999996</v>
      </c>
      <c r="Q208" s="1">
        <v>16</v>
      </c>
      <c r="R208" s="1" t="s">
        <v>535</v>
      </c>
      <c r="S208" s="1" t="s">
        <v>97</v>
      </c>
      <c r="T208" s="1" t="s">
        <v>427</v>
      </c>
      <c r="U208" s="1" t="s">
        <v>3513</v>
      </c>
      <c r="V208" s="1" t="s">
        <v>3514</v>
      </c>
      <c r="X208" s="1" t="s">
        <v>170</v>
      </c>
      <c r="Y208" s="1" t="s">
        <v>111</v>
      </c>
      <c r="Z208" s="1" t="s">
        <v>2167</v>
      </c>
      <c r="AA208" s="1" t="s">
        <v>3515</v>
      </c>
      <c r="AB208" s="1">
        <v>0</v>
      </c>
      <c r="AD208" s="1" t="s">
        <v>3516</v>
      </c>
      <c r="AE208" s="1">
        <f>91-9601668978</f>
        <v>-9601668887</v>
      </c>
      <c r="AF208" s="1" t="s">
        <v>105</v>
      </c>
      <c r="AG208" s="1" t="s">
        <v>1111</v>
      </c>
      <c r="AH208" s="1" t="s">
        <v>3517</v>
      </c>
      <c r="AI208" s="1" t="s">
        <v>3493</v>
      </c>
      <c r="AJ208" s="1" t="s">
        <v>109</v>
      </c>
      <c r="AK208" s="1" t="s">
        <v>3518</v>
      </c>
      <c r="AL208" s="1">
        <v>25</v>
      </c>
      <c r="AM208" s="1" t="s">
        <v>129</v>
      </c>
      <c r="AO208" s="1" t="s">
        <v>3519</v>
      </c>
      <c r="AP208" s="1">
        <f>91-9601669474</f>
        <v>-9601669383</v>
      </c>
      <c r="AR208" s="1">
        <v>1</v>
      </c>
      <c r="AS208" s="1">
        <v>1</v>
      </c>
      <c r="AW208" s="1" t="s">
        <v>142</v>
      </c>
      <c r="AX208" s="1" t="s">
        <v>804</v>
      </c>
      <c r="AY208" s="1" t="s">
        <v>150</v>
      </c>
      <c r="AZ208" s="1">
        <v>4</v>
      </c>
      <c r="BA208" s="1">
        <v>5.0999999999999996</v>
      </c>
      <c r="BB208" s="1" t="s">
        <v>151</v>
      </c>
      <c r="BC208" s="1" t="s">
        <v>304</v>
      </c>
      <c r="BD208" s="1" t="s">
        <v>1333</v>
      </c>
      <c r="BE208" s="1" t="s">
        <v>1510</v>
      </c>
      <c r="BF208" s="1" t="s">
        <v>120</v>
      </c>
      <c r="BG208" s="1" t="s">
        <v>3520</v>
      </c>
      <c r="BH208" s="1" t="s">
        <v>120</v>
      </c>
      <c r="BJ208" s="1" t="s">
        <v>120</v>
      </c>
      <c r="BK208" s="1" t="s">
        <v>120</v>
      </c>
      <c r="BL208" s="1">
        <v>0</v>
      </c>
      <c r="BM208" s="1">
        <v>0</v>
      </c>
      <c r="BN208" s="1" t="s">
        <v>3521</v>
      </c>
      <c r="BO208" s="1">
        <v>1</v>
      </c>
      <c r="BP208" s="1" t="s">
        <v>2086</v>
      </c>
      <c r="BQ208" s="1" t="s">
        <v>180</v>
      </c>
      <c r="BR208" s="1">
        <v>0</v>
      </c>
      <c r="BS208" s="1" t="s">
        <v>399</v>
      </c>
      <c r="BT208" s="1" t="s">
        <v>124</v>
      </c>
      <c r="BV208" s="1" t="s">
        <v>112</v>
      </c>
      <c r="BW208" s="1" t="s">
        <v>3522</v>
      </c>
      <c r="BX208" s="1" t="s">
        <v>3523</v>
      </c>
      <c r="BY208" s="1" t="s">
        <v>127</v>
      </c>
      <c r="BZ208" s="1">
        <v>2</v>
      </c>
      <c r="CA208" s="1">
        <v>2</v>
      </c>
      <c r="CB208" s="4">
        <v>42887.395910069441</v>
      </c>
      <c r="CC208" s="1">
        <v>1</v>
      </c>
      <c r="CD208" s="1">
        <v>1</v>
      </c>
      <c r="CE208" s="1">
        <v>1</v>
      </c>
      <c r="CF208" s="1">
        <v>4</v>
      </c>
      <c r="CG208" s="4">
        <v>42888.720540243055</v>
      </c>
      <c r="CH208" s="1" t="s">
        <v>112</v>
      </c>
      <c r="CI208" s="1" t="s">
        <v>1320</v>
      </c>
      <c r="CJ208" s="1" t="s">
        <v>157</v>
      </c>
    </row>
    <row r="209" spans="1:88" x14ac:dyDescent="0.35">
      <c r="A209" s="1">
        <v>1769</v>
      </c>
      <c r="B209" s="1" t="s">
        <v>3524</v>
      </c>
      <c r="C209" s="1" t="s">
        <v>3525</v>
      </c>
      <c r="D209" s="1" t="s">
        <v>90</v>
      </c>
      <c r="E209" s="1" t="s">
        <v>3526</v>
      </c>
      <c r="F209" s="1" t="s">
        <v>3527</v>
      </c>
      <c r="G209" s="1">
        <v>1</v>
      </c>
      <c r="H209" s="3">
        <v>34716</v>
      </c>
      <c r="I209" s="1">
        <v>1</v>
      </c>
      <c r="J209" s="1" t="s">
        <v>93</v>
      </c>
      <c r="K209" s="1" t="s">
        <v>490</v>
      </c>
      <c r="L209" s="2">
        <f>91-9766669406</f>
        <v>-9766669315</v>
      </c>
      <c r="M209" s="1" t="s">
        <v>150</v>
      </c>
      <c r="N209" s="1">
        <v>0</v>
      </c>
      <c r="O209" s="1">
        <v>0</v>
      </c>
      <c r="P209" s="1">
        <v>5.09</v>
      </c>
      <c r="Q209" s="1">
        <v>46</v>
      </c>
      <c r="R209" s="1" t="s">
        <v>292</v>
      </c>
      <c r="S209" s="1" t="s">
        <v>136</v>
      </c>
      <c r="T209" s="1" t="s">
        <v>234</v>
      </c>
      <c r="U209" s="1" t="s">
        <v>2540</v>
      </c>
      <c r="V209" s="1" t="s">
        <v>2540</v>
      </c>
      <c r="X209" s="1" t="s">
        <v>100</v>
      </c>
      <c r="Y209" s="1" t="s">
        <v>111</v>
      </c>
      <c r="Z209" s="1" t="s">
        <v>192</v>
      </c>
      <c r="AB209" s="1">
        <v>0</v>
      </c>
      <c r="AD209" s="1" t="s">
        <v>3528</v>
      </c>
      <c r="AE209" s="1">
        <f>91-9890609842</f>
        <v>-9890609751</v>
      </c>
      <c r="AF209" s="1" t="s">
        <v>105</v>
      </c>
      <c r="AG209" s="1" t="s">
        <v>3529</v>
      </c>
      <c r="AH209" s="1" t="s">
        <v>3530</v>
      </c>
      <c r="AI209" s="1" t="s">
        <v>3531</v>
      </c>
      <c r="AJ209" s="1" t="s">
        <v>109</v>
      </c>
      <c r="AK209" s="1" t="s">
        <v>3532</v>
      </c>
      <c r="AL209" s="1">
        <v>25</v>
      </c>
      <c r="AM209" s="1" t="s">
        <v>129</v>
      </c>
      <c r="AP209" s="1">
        <f>91-9422461428</f>
        <v>-9422461337</v>
      </c>
      <c r="AR209" s="1">
        <v>1</v>
      </c>
      <c r="AS209" s="1">
        <v>0</v>
      </c>
      <c r="AW209" s="1" t="s">
        <v>142</v>
      </c>
      <c r="AX209" s="1" t="s">
        <v>3533</v>
      </c>
      <c r="AY209" s="1" t="s">
        <v>150</v>
      </c>
      <c r="AZ209" s="1">
        <v>5</v>
      </c>
      <c r="BA209" s="1">
        <v>5.09</v>
      </c>
      <c r="BB209" s="1" t="s">
        <v>151</v>
      </c>
      <c r="BC209" s="1" t="s">
        <v>152</v>
      </c>
      <c r="BD209" s="1" t="s">
        <v>1395</v>
      </c>
      <c r="BE209" s="1" t="s">
        <v>870</v>
      </c>
      <c r="BF209" s="1" t="s">
        <v>120</v>
      </c>
      <c r="BG209" s="1" t="s">
        <v>2541</v>
      </c>
      <c r="BH209" s="1" t="s">
        <v>2541</v>
      </c>
      <c r="BI209" s="1" t="s">
        <v>192</v>
      </c>
      <c r="BL209" s="1">
        <v>0</v>
      </c>
      <c r="BM209" s="1">
        <v>0</v>
      </c>
      <c r="BN209" s="1" t="s">
        <v>3534</v>
      </c>
      <c r="BO209" s="1">
        <v>1</v>
      </c>
      <c r="BP209" s="1" t="s">
        <v>3535</v>
      </c>
      <c r="BQ209" s="1" t="s">
        <v>112</v>
      </c>
      <c r="BR209" s="1">
        <v>1</v>
      </c>
      <c r="BS209" s="1" t="s">
        <v>307</v>
      </c>
      <c r="BT209" s="1" t="s">
        <v>124</v>
      </c>
      <c r="BU209" s="1" t="s">
        <v>112</v>
      </c>
      <c r="BV209" s="1" t="s">
        <v>112</v>
      </c>
      <c r="BW209" s="1" t="s">
        <v>3536</v>
      </c>
      <c r="BX209" s="1" t="s">
        <v>3537</v>
      </c>
      <c r="BY209" s="1" t="s">
        <v>120</v>
      </c>
      <c r="BZ209" s="1">
        <v>0</v>
      </c>
      <c r="CA209" s="1">
        <v>0</v>
      </c>
      <c r="CB209" s="4">
        <v>42892.229261145832</v>
      </c>
      <c r="CC209" s="1">
        <v>1</v>
      </c>
      <c r="CD209" s="1">
        <v>1</v>
      </c>
      <c r="CE209" s="1">
        <v>1</v>
      </c>
      <c r="CF209" s="1">
        <v>4</v>
      </c>
      <c r="CG209" s="4">
        <v>43026.704591435184</v>
      </c>
      <c r="CH209" s="1" t="s">
        <v>112</v>
      </c>
      <c r="CI209" s="1" t="s">
        <v>3538</v>
      </c>
      <c r="CJ209" s="1" t="s">
        <v>157</v>
      </c>
    </row>
    <row r="210" spans="1:88" x14ac:dyDescent="0.35">
      <c r="A210" s="1">
        <v>1771</v>
      </c>
      <c r="B210" s="1" t="s">
        <v>3539</v>
      </c>
      <c r="C210" s="1" t="s">
        <v>3540</v>
      </c>
      <c r="D210" s="1" t="s">
        <v>259</v>
      </c>
      <c r="E210" s="1" t="s">
        <v>3541</v>
      </c>
      <c r="F210" s="1" t="s">
        <v>3542</v>
      </c>
      <c r="G210" s="1">
        <v>0</v>
      </c>
      <c r="H210" s="3">
        <v>34485</v>
      </c>
      <c r="I210" s="1">
        <v>1</v>
      </c>
      <c r="J210" s="1" t="s">
        <v>93</v>
      </c>
      <c r="K210" s="1" t="s">
        <v>1913</v>
      </c>
      <c r="L210" s="2">
        <f>91-9503515333</f>
        <v>-9503515242</v>
      </c>
      <c r="M210" s="1" t="s">
        <v>150</v>
      </c>
      <c r="N210" s="1">
        <v>0</v>
      </c>
      <c r="O210" s="1">
        <v>0</v>
      </c>
      <c r="P210" s="1">
        <v>5.03</v>
      </c>
      <c r="Q210" s="1">
        <v>27</v>
      </c>
      <c r="R210" s="1" t="s">
        <v>653</v>
      </c>
      <c r="S210" s="1" t="s">
        <v>97</v>
      </c>
      <c r="T210" s="1" t="s">
        <v>1173</v>
      </c>
      <c r="U210" s="1" t="s">
        <v>3543</v>
      </c>
      <c r="V210" s="1" t="s">
        <v>3544</v>
      </c>
      <c r="W210" s="1" t="s">
        <v>3545</v>
      </c>
      <c r="X210" s="1" t="s">
        <v>100</v>
      </c>
      <c r="Y210" s="1" t="s">
        <v>111</v>
      </c>
      <c r="Z210" s="1" t="s">
        <v>2609</v>
      </c>
      <c r="AB210" s="1">
        <v>0</v>
      </c>
      <c r="AD210" s="1" t="s">
        <v>3546</v>
      </c>
      <c r="AE210" s="1">
        <f>91-9503515333</f>
        <v>-9503515242</v>
      </c>
      <c r="AF210" s="1" t="s">
        <v>105</v>
      </c>
      <c r="AG210" s="1" t="s">
        <v>3547</v>
      </c>
      <c r="AH210" s="1" t="s">
        <v>3548</v>
      </c>
      <c r="AI210" s="1" t="s">
        <v>3549</v>
      </c>
      <c r="AJ210" s="1" t="s">
        <v>109</v>
      </c>
      <c r="AK210" s="1" t="s">
        <v>3550</v>
      </c>
      <c r="AL210" s="1">
        <v>16</v>
      </c>
      <c r="AM210" s="1" t="s">
        <v>148</v>
      </c>
      <c r="AP210" s="1">
        <f>91-9890186855</f>
        <v>-9890186764</v>
      </c>
      <c r="AQ210" s="1" t="s">
        <v>114</v>
      </c>
      <c r="AR210" s="1">
        <v>0</v>
      </c>
      <c r="AS210" s="1">
        <v>0</v>
      </c>
      <c r="AT210" s="1" t="s">
        <v>3551</v>
      </c>
      <c r="AU210" s="1" t="s">
        <v>3552</v>
      </c>
      <c r="AV210" s="1" t="s">
        <v>3057</v>
      </c>
      <c r="AW210" s="1">
        <f>91-9890186855</f>
        <v>-9890186764</v>
      </c>
      <c r="AX210" s="1" t="s">
        <v>2561</v>
      </c>
      <c r="AY210" s="1" t="s">
        <v>150</v>
      </c>
      <c r="AZ210" s="1">
        <v>5.08</v>
      </c>
      <c r="BA210" s="1">
        <v>6.01</v>
      </c>
      <c r="BB210" s="1" t="s">
        <v>151</v>
      </c>
      <c r="BC210" s="1" t="s">
        <v>304</v>
      </c>
      <c r="BD210" s="1" t="s">
        <v>1333</v>
      </c>
      <c r="BE210" s="1" t="s">
        <v>1953</v>
      </c>
      <c r="BF210" s="1" t="s">
        <v>120</v>
      </c>
      <c r="BG210" s="1" t="s">
        <v>100</v>
      </c>
      <c r="BH210" s="1" t="s">
        <v>283</v>
      </c>
      <c r="BJ210" s="1" t="s">
        <v>154</v>
      </c>
      <c r="BK210" s="1" t="s">
        <v>105</v>
      </c>
      <c r="BL210" s="1">
        <v>0</v>
      </c>
      <c r="BM210" s="1">
        <v>1</v>
      </c>
      <c r="BN210" s="1" t="s">
        <v>3553</v>
      </c>
      <c r="BO210" s="1">
        <v>1</v>
      </c>
      <c r="BP210" s="1" t="s">
        <v>1130</v>
      </c>
      <c r="BQ210" s="1" t="s">
        <v>180</v>
      </c>
      <c r="BR210" s="1">
        <v>0</v>
      </c>
      <c r="BS210" s="1" t="s">
        <v>1668</v>
      </c>
      <c r="BT210" s="1" t="s">
        <v>124</v>
      </c>
      <c r="BV210" s="1" t="s">
        <v>112</v>
      </c>
      <c r="BW210" s="1" t="s">
        <v>3554</v>
      </c>
      <c r="BX210" s="1" t="s">
        <v>3555</v>
      </c>
      <c r="BY210" s="1" t="s">
        <v>465</v>
      </c>
      <c r="BZ210" s="1">
        <v>2</v>
      </c>
      <c r="CA210" s="1">
        <v>2</v>
      </c>
      <c r="CB210" s="4">
        <v>42893.42324556713</v>
      </c>
      <c r="CC210" s="1">
        <v>1</v>
      </c>
      <c r="CD210" s="1">
        <v>1</v>
      </c>
      <c r="CE210" s="1">
        <v>1</v>
      </c>
      <c r="CF210" s="1">
        <v>1</v>
      </c>
      <c r="CG210" s="4">
        <v>43828.46205613426</v>
      </c>
      <c r="CH210" s="1" t="s">
        <v>112</v>
      </c>
      <c r="CI210" s="1" t="s">
        <v>280</v>
      </c>
      <c r="CJ210" s="1" t="s">
        <v>157</v>
      </c>
    </row>
    <row r="211" spans="1:88" x14ac:dyDescent="0.35">
      <c r="A211" s="1">
        <v>1774</v>
      </c>
      <c r="B211" s="1" t="s">
        <v>3556</v>
      </c>
      <c r="C211" s="1" t="s">
        <v>3557</v>
      </c>
      <c r="D211" s="1" t="s">
        <v>90</v>
      </c>
      <c r="E211" s="1" t="s">
        <v>3558</v>
      </c>
      <c r="F211" s="1" t="s">
        <v>208</v>
      </c>
      <c r="G211" s="1">
        <v>1</v>
      </c>
      <c r="H211" s="3">
        <v>33834</v>
      </c>
      <c r="I211" s="1">
        <v>1</v>
      </c>
      <c r="J211" s="1" t="s">
        <v>162</v>
      </c>
      <c r="K211" s="1" t="s">
        <v>1986</v>
      </c>
      <c r="L211" s="2">
        <f>91-9725914617</f>
        <v>-9725914526</v>
      </c>
      <c r="M211" s="1" t="s">
        <v>150</v>
      </c>
      <c r="N211" s="1">
        <v>0</v>
      </c>
      <c r="O211" s="1">
        <v>0</v>
      </c>
      <c r="P211" s="1">
        <v>5.08</v>
      </c>
      <c r="Q211" s="1">
        <v>10</v>
      </c>
      <c r="S211" s="1" t="s">
        <v>97</v>
      </c>
      <c r="T211" s="1" t="s">
        <v>137</v>
      </c>
      <c r="U211" s="1" t="s">
        <v>2540</v>
      </c>
      <c r="V211" s="1" t="s">
        <v>2540</v>
      </c>
      <c r="X211" s="1" t="s">
        <v>170</v>
      </c>
      <c r="Y211" s="1" t="s">
        <v>111</v>
      </c>
      <c r="Z211" s="1" t="s">
        <v>733</v>
      </c>
      <c r="AB211" s="1">
        <v>0</v>
      </c>
      <c r="AD211" s="1" t="s">
        <v>3559</v>
      </c>
      <c r="AE211" s="1" t="s">
        <v>142</v>
      </c>
      <c r="AF211" s="1" t="s">
        <v>129</v>
      </c>
      <c r="AG211" s="1" t="s">
        <v>3560</v>
      </c>
      <c r="AH211" s="1" t="s">
        <v>3561</v>
      </c>
      <c r="AI211" s="1" t="s">
        <v>3562</v>
      </c>
      <c r="AJ211" s="1" t="s">
        <v>109</v>
      </c>
      <c r="AK211" s="1" t="s">
        <v>3563</v>
      </c>
      <c r="AL211" s="1">
        <v>35</v>
      </c>
      <c r="AM211" s="1" t="s">
        <v>129</v>
      </c>
      <c r="AP211" s="1">
        <f>91-972589921825899000</f>
        <v>-9.7258992182589888E+17</v>
      </c>
      <c r="AR211" s="1">
        <v>1</v>
      </c>
      <c r="AS211" s="1">
        <v>1</v>
      </c>
      <c r="AW211" s="1" t="s">
        <v>142</v>
      </c>
      <c r="AX211" s="1" t="s">
        <v>1873</v>
      </c>
      <c r="AY211" s="1" t="s">
        <v>150</v>
      </c>
      <c r="AZ211" s="1">
        <v>5</v>
      </c>
      <c r="BA211" s="1">
        <v>5.0599999999999996</v>
      </c>
      <c r="BB211" s="1" t="s">
        <v>151</v>
      </c>
      <c r="BC211" s="1" t="s">
        <v>304</v>
      </c>
      <c r="BD211" s="1" t="s">
        <v>1333</v>
      </c>
      <c r="BE211" s="1" t="s">
        <v>2732</v>
      </c>
      <c r="BF211" s="1" t="s">
        <v>120</v>
      </c>
      <c r="BG211" s="1" t="s">
        <v>170</v>
      </c>
      <c r="BH211" s="1" t="s">
        <v>120</v>
      </c>
      <c r="BJ211" s="1" t="s">
        <v>154</v>
      </c>
      <c r="BK211" s="1" t="s">
        <v>120</v>
      </c>
      <c r="BL211" s="1">
        <v>0</v>
      </c>
      <c r="BM211" s="1">
        <v>0</v>
      </c>
      <c r="BN211" s="1" t="s">
        <v>3564</v>
      </c>
      <c r="BO211" s="1">
        <v>1</v>
      </c>
      <c r="BP211" s="1" t="s">
        <v>287</v>
      </c>
      <c r="BQ211" s="1" t="s">
        <v>180</v>
      </c>
      <c r="BR211" s="1">
        <v>0</v>
      </c>
      <c r="BS211" s="1" t="s">
        <v>252</v>
      </c>
      <c r="BT211" s="1" t="s">
        <v>124</v>
      </c>
      <c r="BV211" s="1" t="s">
        <v>112</v>
      </c>
      <c r="BW211" s="1" t="s">
        <v>3565</v>
      </c>
      <c r="BX211" s="1" t="s">
        <v>3566</v>
      </c>
      <c r="BY211" s="1" t="s">
        <v>127</v>
      </c>
      <c r="BZ211" s="1">
        <v>1</v>
      </c>
      <c r="CA211" s="1">
        <v>1</v>
      </c>
      <c r="CB211" s="4">
        <v>42898.32936142361</v>
      </c>
      <c r="CC211" s="1">
        <v>1</v>
      </c>
      <c r="CD211" s="1">
        <v>1</v>
      </c>
      <c r="CE211" s="1">
        <v>1</v>
      </c>
      <c r="CF211" s="1">
        <v>4</v>
      </c>
      <c r="CG211" s="4">
        <v>42900.652031331017</v>
      </c>
      <c r="CH211" s="1" t="s">
        <v>112</v>
      </c>
      <c r="CI211" s="1" t="s">
        <v>3567</v>
      </c>
      <c r="CJ211" s="1" t="s">
        <v>157</v>
      </c>
    </row>
    <row r="212" spans="1:88" x14ac:dyDescent="0.35">
      <c r="A212" s="1">
        <v>1775</v>
      </c>
      <c r="B212" s="1" t="s">
        <v>3568</v>
      </c>
      <c r="C212" s="1" t="s">
        <v>3569</v>
      </c>
      <c r="D212" s="1" t="s">
        <v>90</v>
      </c>
      <c r="E212" s="1" t="s">
        <v>3570</v>
      </c>
      <c r="F212" s="1" t="s">
        <v>134</v>
      </c>
      <c r="G212" s="1">
        <v>1</v>
      </c>
      <c r="H212" s="3">
        <v>33070</v>
      </c>
      <c r="I212" s="1">
        <v>1</v>
      </c>
      <c r="J212" s="1" t="s">
        <v>162</v>
      </c>
      <c r="K212" s="1" t="s">
        <v>1037</v>
      </c>
      <c r="L212" s="2">
        <f>91-9429253550</f>
        <v>-9429253459</v>
      </c>
      <c r="M212" s="1" t="s">
        <v>95</v>
      </c>
      <c r="N212" s="1">
        <v>0</v>
      </c>
      <c r="O212" s="1">
        <v>0</v>
      </c>
      <c r="P212" s="1">
        <v>5.08</v>
      </c>
      <c r="Q212" s="1">
        <v>15</v>
      </c>
      <c r="R212" s="1" t="s">
        <v>2671</v>
      </c>
      <c r="S212" s="1" t="s">
        <v>136</v>
      </c>
      <c r="T212" s="1" t="s">
        <v>166</v>
      </c>
      <c r="U212" s="1" t="s">
        <v>430</v>
      </c>
      <c r="V212" s="1" t="s">
        <v>1021</v>
      </c>
      <c r="X212" s="1" t="s">
        <v>170</v>
      </c>
      <c r="Y212" s="1" t="s">
        <v>210</v>
      </c>
      <c r="Z212" s="1" t="s">
        <v>1408</v>
      </c>
      <c r="AA212" s="1" t="s">
        <v>3571</v>
      </c>
      <c r="AB212" s="1">
        <v>0</v>
      </c>
      <c r="AD212" s="1" t="s">
        <v>3572</v>
      </c>
      <c r="AE212" s="1">
        <f>91-9925970234</f>
        <v>-9925970143</v>
      </c>
      <c r="AF212" s="1" t="s">
        <v>105</v>
      </c>
      <c r="AG212" s="1" t="s">
        <v>1137</v>
      </c>
      <c r="AH212" s="1" t="s">
        <v>3573</v>
      </c>
      <c r="AI212" s="1" t="s">
        <v>885</v>
      </c>
      <c r="AJ212" s="1" t="s">
        <v>109</v>
      </c>
      <c r="AK212" s="1" t="s">
        <v>3574</v>
      </c>
      <c r="AL212" s="1">
        <v>15</v>
      </c>
      <c r="AM212" s="1" t="s">
        <v>111</v>
      </c>
      <c r="AP212" s="1">
        <f>91-9925970234</f>
        <v>-9925970143</v>
      </c>
      <c r="AR212" s="1">
        <v>0</v>
      </c>
      <c r="AS212" s="1">
        <v>0</v>
      </c>
      <c r="AT212" s="1" t="s">
        <v>3575</v>
      </c>
      <c r="AU212" s="1" t="s">
        <v>3576</v>
      </c>
      <c r="AV212" s="1" t="s">
        <v>3576</v>
      </c>
      <c r="AW212" s="1">
        <f>91-9427351415</f>
        <v>-9427351324</v>
      </c>
      <c r="AX212" s="1" t="s">
        <v>1300</v>
      </c>
      <c r="AY212" s="1" t="s">
        <v>1332</v>
      </c>
      <c r="AZ212" s="1">
        <v>5.0199999999999996</v>
      </c>
      <c r="BA212" s="1">
        <v>5.05</v>
      </c>
      <c r="BB212" s="1" t="s">
        <v>151</v>
      </c>
      <c r="BC212" s="1" t="s">
        <v>304</v>
      </c>
      <c r="BD212" s="1" t="s">
        <v>1333</v>
      </c>
      <c r="BE212" s="1" t="s">
        <v>3577</v>
      </c>
      <c r="BF212" s="1" t="s">
        <v>120</v>
      </c>
      <c r="BG212" s="1" t="s">
        <v>120</v>
      </c>
      <c r="BH212" s="1" t="s">
        <v>120</v>
      </c>
      <c r="BJ212" s="1" t="s">
        <v>154</v>
      </c>
      <c r="BK212" s="1" t="s">
        <v>120</v>
      </c>
      <c r="BL212" s="1">
        <v>0</v>
      </c>
      <c r="BM212" s="1">
        <v>0</v>
      </c>
      <c r="BN212" s="1" t="s">
        <v>3578</v>
      </c>
      <c r="BO212" s="1">
        <v>1</v>
      </c>
      <c r="BP212" s="1" t="s">
        <v>3579</v>
      </c>
      <c r="BQ212" s="1" t="s">
        <v>180</v>
      </c>
      <c r="BR212" s="1">
        <v>1</v>
      </c>
      <c r="BS212" s="1" t="s">
        <v>596</v>
      </c>
      <c r="BT212" s="1" t="s">
        <v>124</v>
      </c>
      <c r="BV212" s="1" t="s">
        <v>112</v>
      </c>
      <c r="BW212" s="1" t="s">
        <v>3580</v>
      </c>
      <c r="BX212" s="1" t="s">
        <v>3581</v>
      </c>
      <c r="BY212" s="1" t="s">
        <v>465</v>
      </c>
      <c r="BZ212" s="1">
        <v>2</v>
      </c>
      <c r="CA212" s="1">
        <v>2</v>
      </c>
      <c r="CB212" s="4">
        <v>42899.394570868055</v>
      </c>
      <c r="CC212" s="1">
        <v>1</v>
      </c>
      <c r="CD212" s="1">
        <v>1</v>
      </c>
      <c r="CE212" s="1">
        <v>1</v>
      </c>
      <c r="CF212" s="1">
        <v>4</v>
      </c>
      <c r="CG212" s="4">
        <v>42905.129603125002</v>
      </c>
      <c r="CH212" s="1" t="s">
        <v>112</v>
      </c>
      <c r="CI212" s="1" t="s">
        <v>3099</v>
      </c>
      <c r="CJ212" s="1" t="s">
        <v>157</v>
      </c>
    </row>
    <row r="213" spans="1:88" x14ac:dyDescent="0.35">
      <c r="A213" s="1">
        <v>1776</v>
      </c>
      <c r="B213" s="1" t="s">
        <v>3582</v>
      </c>
      <c r="C213" s="1" t="s">
        <v>3583</v>
      </c>
      <c r="D213" s="1" t="s">
        <v>312</v>
      </c>
      <c r="E213" s="1" t="s">
        <v>3584</v>
      </c>
      <c r="F213" s="1" t="s">
        <v>3585</v>
      </c>
      <c r="G213" s="1">
        <v>1</v>
      </c>
      <c r="H213" s="3">
        <v>33424</v>
      </c>
      <c r="I213" s="1">
        <v>1</v>
      </c>
      <c r="J213" s="1" t="s">
        <v>162</v>
      </c>
      <c r="K213" s="1" t="s">
        <v>847</v>
      </c>
      <c r="L213" s="2">
        <f>91-9825225358</f>
        <v>-9825225267</v>
      </c>
      <c r="M213" s="1" t="s">
        <v>150</v>
      </c>
      <c r="N213" s="1">
        <v>0</v>
      </c>
      <c r="O213" s="1">
        <v>0</v>
      </c>
      <c r="P213" s="1">
        <v>6</v>
      </c>
      <c r="Q213" s="1">
        <v>14</v>
      </c>
      <c r="R213" s="1" t="s">
        <v>164</v>
      </c>
      <c r="S213" s="1" t="s">
        <v>136</v>
      </c>
      <c r="T213" s="1" t="s">
        <v>234</v>
      </c>
      <c r="U213" s="1" t="s">
        <v>2540</v>
      </c>
      <c r="V213" s="1" t="s">
        <v>2540</v>
      </c>
      <c r="X213" s="1" t="s">
        <v>100</v>
      </c>
      <c r="Y213" s="1" t="s">
        <v>111</v>
      </c>
      <c r="Z213" s="1" t="s">
        <v>3586</v>
      </c>
      <c r="AB213" s="1">
        <v>0</v>
      </c>
      <c r="AD213" s="1" t="s">
        <v>3587</v>
      </c>
      <c r="AE213" s="1">
        <f>91-9925607730</f>
        <v>-9925607639</v>
      </c>
      <c r="AF213" s="1" t="s">
        <v>129</v>
      </c>
      <c r="AG213" s="1" t="s">
        <v>3588</v>
      </c>
      <c r="AH213" s="1" t="s">
        <v>3589</v>
      </c>
      <c r="AI213" s="1" t="s">
        <v>3590</v>
      </c>
      <c r="AJ213" s="1" t="s">
        <v>478</v>
      </c>
      <c r="AK213" s="1" t="s">
        <v>3591</v>
      </c>
      <c r="AL213" s="1">
        <v>29</v>
      </c>
      <c r="AM213" s="1" t="s">
        <v>129</v>
      </c>
      <c r="AP213" s="1">
        <f>91-9825225358</f>
        <v>-9825225267</v>
      </c>
      <c r="AR213" s="1">
        <v>0</v>
      </c>
      <c r="AS213" s="1">
        <v>0</v>
      </c>
      <c r="AW213" s="1" t="s">
        <v>142</v>
      </c>
      <c r="AX213" s="1" t="s">
        <v>3592</v>
      </c>
      <c r="AY213" s="1" t="s">
        <v>150</v>
      </c>
      <c r="AZ213" s="1">
        <v>5.0599999999999996</v>
      </c>
      <c r="BA213" s="1">
        <v>5.0999999999999996</v>
      </c>
      <c r="BB213" s="1" t="s">
        <v>151</v>
      </c>
      <c r="BC213" s="1" t="s">
        <v>304</v>
      </c>
      <c r="BD213" s="1" t="s">
        <v>1333</v>
      </c>
      <c r="BE213" s="1" t="s">
        <v>870</v>
      </c>
      <c r="BF213" s="1" t="s">
        <v>120</v>
      </c>
      <c r="BG213" s="1" t="s">
        <v>2379</v>
      </c>
      <c r="BH213" s="1" t="s">
        <v>120</v>
      </c>
      <c r="BJ213" s="1" t="s">
        <v>120</v>
      </c>
      <c r="BK213" s="1" t="s">
        <v>120</v>
      </c>
      <c r="BL213" s="1">
        <v>0</v>
      </c>
      <c r="BM213" s="1">
        <v>0</v>
      </c>
      <c r="BN213" s="1" t="s">
        <v>3593</v>
      </c>
      <c r="BO213" s="1">
        <v>0</v>
      </c>
      <c r="BQ213" s="1" t="s">
        <v>180</v>
      </c>
      <c r="BR213" s="1">
        <v>0</v>
      </c>
      <c r="BS213" s="1" t="s">
        <v>129</v>
      </c>
      <c r="BT213" s="1" t="s">
        <v>124</v>
      </c>
      <c r="BV213" s="1" t="s">
        <v>112</v>
      </c>
      <c r="BW213" s="1" t="s">
        <v>3594</v>
      </c>
      <c r="BX213" s="1" t="s">
        <v>3595</v>
      </c>
      <c r="BY213" s="1" t="s">
        <v>120</v>
      </c>
      <c r="BZ213" s="1">
        <v>1</v>
      </c>
      <c r="CA213" s="1">
        <v>0</v>
      </c>
      <c r="CB213" s="4">
        <v>42900.201232789354</v>
      </c>
      <c r="CC213" s="1">
        <v>1</v>
      </c>
      <c r="CD213" s="1">
        <v>1</v>
      </c>
      <c r="CE213" s="1">
        <v>1</v>
      </c>
      <c r="CF213" s="1">
        <v>4</v>
      </c>
      <c r="CG213" s="4">
        <v>42907.252222650466</v>
      </c>
      <c r="CH213" s="1" t="s">
        <v>112</v>
      </c>
      <c r="CI213" s="1" t="s">
        <v>2400</v>
      </c>
      <c r="CJ213" s="1" t="s">
        <v>157</v>
      </c>
    </row>
    <row r="214" spans="1:88" x14ac:dyDescent="0.35">
      <c r="A214" s="1">
        <v>1784</v>
      </c>
      <c r="B214" s="1" t="s">
        <v>3596</v>
      </c>
      <c r="C214" s="1" t="s">
        <v>3597</v>
      </c>
      <c r="D214" s="1" t="s">
        <v>229</v>
      </c>
      <c r="E214" s="1" t="s">
        <v>3598</v>
      </c>
      <c r="F214" s="1" t="s">
        <v>3599</v>
      </c>
      <c r="G214" s="1">
        <v>1</v>
      </c>
      <c r="H214" s="3">
        <v>33205</v>
      </c>
      <c r="I214" s="1">
        <v>1</v>
      </c>
      <c r="J214" s="1" t="s">
        <v>162</v>
      </c>
      <c r="K214" s="1" t="s">
        <v>3600</v>
      </c>
      <c r="L214" s="2">
        <f>91-9429266515</f>
        <v>-9429266424</v>
      </c>
      <c r="M214" s="1" t="s">
        <v>150</v>
      </c>
      <c r="N214" s="1">
        <v>0</v>
      </c>
      <c r="O214" s="1">
        <v>0</v>
      </c>
      <c r="P214" s="1">
        <v>5.05</v>
      </c>
      <c r="Q214" s="1">
        <v>12</v>
      </c>
      <c r="R214" s="1" t="s">
        <v>470</v>
      </c>
      <c r="S214" s="1" t="s">
        <v>233</v>
      </c>
      <c r="T214" s="1" t="s">
        <v>137</v>
      </c>
      <c r="U214" s="1" t="s">
        <v>2540</v>
      </c>
      <c r="V214" s="1" t="s">
        <v>2540</v>
      </c>
      <c r="X214" s="1" t="s">
        <v>296</v>
      </c>
      <c r="Y214" s="1" t="s">
        <v>111</v>
      </c>
      <c r="Z214" s="1" t="s">
        <v>192</v>
      </c>
      <c r="AB214" s="1">
        <v>0</v>
      </c>
      <c r="AD214" s="1" t="s">
        <v>3601</v>
      </c>
      <c r="AE214" s="1">
        <f>91-7777914488</f>
        <v>-7777914397</v>
      </c>
      <c r="AF214" s="1" t="s">
        <v>2541</v>
      </c>
      <c r="AG214" s="1" t="s">
        <v>3602</v>
      </c>
      <c r="AH214" s="1" t="s">
        <v>3603</v>
      </c>
      <c r="AI214" s="1" t="s">
        <v>3604</v>
      </c>
      <c r="AJ214" s="1" t="s">
        <v>109</v>
      </c>
      <c r="AK214" s="1" t="s">
        <v>3605</v>
      </c>
      <c r="AL214" s="1">
        <v>15</v>
      </c>
      <c r="AM214" s="1" t="s">
        <v>2541</v>
      </c>
      <c r="AP214" s="1">
        <f>91-9426451299</f>
        <v>-9426451208</v>
      </c>
      <c r="AR214" s="1">
        <v>0</v>
      </c>
      <c r="AS214" s="1">
        <v>0</v>
      </c>
      <c r="AW214" s="1" t="s">
        <v>142</v>
      </c>
      <c r="AX214" s="1" t="s">
        <v>3606</v>
      </c>
      <c r="AY214" s="1" t="s">
        <v>3607</v>
      </c>
      <c r="AZ214" s="1">
        <v>5.05</v>
      </c>
      <c r="BA214" s="1">
        <v>5.05</v>
      </c>
      <c r="BB214" s="1" t="s">
        <v>151</v>
      </c>
      <c r="BC214" s="1" t="s">
        <v>152</v>
      </c>
      <c r="BD214" s="1" t="s">
        <v>1395</v>
      </c>
      <c r="BE214" s="1" t="s">
        <v>233</v>
      </c>
      <c r="BF214" s="1" t="s">
        <v>120</v>
      </c>
      <c r="BG214" s="1" t="s">
        <v>2541</v>
      </c>
      <c r="BH214" s="1" t="s">
        <v>2541</v>
      </c>
      <c r="BI214" s="1" t="s">
        <v>192</v>
      </c>
      <c r="BL214" s="1">
        <v>0</v>
      </c>
      <c r="BM214" s="1">
        <v>1</v>
      </c>
      <c r="BN214" s="1" t="s">
        <v>3608</v>
      </c>
      <c r="BO214" s="1">
        <v>0</v>
      </c>
      <c r="BQ214" s="1" t="s">
        <v>180</v>
      </c>
      <c r="BR214" s="1">
        <v>0</v>
      </c>
      <c r="BS214" s="1" t="s">
        <v>399</v>
      </c>
      <c r="BT214" s="1" t="s">
        <v>306</v>
      </c>
      <c r="BV214" s="1" t="s">
        <v>112</v>
      </c>
      <c r="BW214" s="1" t="s">
        <v>3609</v>
      </c>
      <c r="BX214" s="1" t="s">
        <v>3610</v>
      </c>
      <c r="BY214" s="1" t="s">
        <v>120</v>
      </c>
      <c r="BZ214" s="1">
        <v>0</v>
      </c>
      <c r="CA214" s="1">
        <v>0</v>
      </c>
      <c r="CB214" s="4">
        <v>42908.057991550922</v>
      </c>
      <c r="CC214" s="1">
        <v>1</v>
      </c>
      <c r="CD214" s="1">
        <v>1</v>
      </c>
      <c r="CE214" s="1">
        <v>1</v>
      </c>
      <c r="CF214" s="1">
        <v>4</v>
      </c>
      <c r="CG214" s="4">
        <v>42908.057991550922</v>
      </c>
      <c r="CH214" s="1" t="s">
        <v>112</v>
      </c>
      <c r="CI214" s="1" t="s">
        <v>1149</v>
      </c>
      <c r="CJ214" s="1" t="s">
        <v>157</v>
      </c>
    </row>
    <row r="215" spans="1:88" x14ac:dyDescent="0.35">
      <c r="A215" s="1">
        <v>1791</v>
      </c>
      <c r="B215" s="1" t="s">
        <v>3611</v>
      </c>
      <c r="C215" s="1" t="s">
        <v>3612</v>
      </c>
      <c r="D215" s="1" t="s">
        <v>90</v>
      </c>
      <c r="E215" s="1" t="s">
        <v>208</v>
      </c>
      <c r="F215" s="1" t="s">
        <v>2198</v>
      </c>
      <c r="G215" s="1">
        <v>1</v>
      </c>
      <c r="H215" s="3">
        <v>34372</v>
      </c>
      <c r="I215" s="1">
        <v>209</v>
      </c>
      <c r="J215" s="1" t="s">
        <v>3613</v>
      </c>
      <c r="K215" s="1" t="s">
        <v>3613</v>
      </c>
      <c r="L215" s="2">
        <f>256-771855420</f>
        <v>-771855164</v>
      </c>
      <c r="M215" s="1" t="s">
        <v>150</v>
      </c>
      <c r="N215" s="1">
        <v>0</v>
      </c>
      <c r="O215" s="1">
        <v>0</v>
      </c>
      <c r="P215" s="1">
        <v>5.0599999999999996</v>
      </c>
      <c r="Q215" s="1">
        <v>10</v>
      </c>
      <c r="S215" s="1" t="s">
        <v>165</v>
      </c>
      <c r="T215" s="1" t="s">
        <v>234</v>
      </c>
      <c r="U215" s="1" t="s">
        <v>2540</v>
      </c>
      <c r="V215" s="1" t="s">
        <v>2540</v>
      </c>
      <c r="X215" s="1" t="s">
        <v>170</v>
      </c>
      <c r="Y215" s="1" t="s">
        <v>111</v>
      </c>
      <c r="Z215" s="1" t="s">
        <v>192</v>
      </c>
      <c r="AB215" s="1">
        <v>0</v>
      </c>
      <c r="AD215" s="1" t="s">
        <v>3614</v>
      </c>
      <c r="AE215" s="1">
        <f>256-776622625</f>
        <v>-776622369</v>
      </c>
      <c r="AF215" s="1" t="s">
        <v>143</v>
      </c>
      <c r="AG215" s="1" t="s">
        <v>2850</v>
      </c>
      <c r="AH215" s="1" t="s">
        <v>3615</v>
      </c>
      <c r="AI215" s="1" t="s">
        <v>3616</v>
      </c>
      <c r="AJ215" s="1" t="s">
        <v>109</v>
      </c>
      <c r="AK215" s="1" t="s">
        <v>3617</v>
      </c>
      <c r="AL215" s="1">
        <v>15</v>
      </c>
      <c r="AM215" s="1" t="s">
        <v>111</v>
      </c>
      <c r="AP215" s="1">
        <f>91-9408193596</f>
        <v>-9408193505</v>
      </c>
      <c r="AR215" s="1">
        <v>0</v>
      </c>
      <c r="AS215" s="1">
        <v>0</v>
      </c>
      <c r="AW215" s="1" t="s">
        <v>142</v>
      </c>
      <c r="AX215" s="1" t="s">
        <v>569</v>
      </c>
      <c r="AY215" s="1" t="s">
        <v>150</v>
      </c>
      <c r="AZ215" s="1">
        <v>5.0199999999999996</v>
      </c>
      <c r="BA215" s="1">
        <v>5.05</v>
      </c>
      <c r="BB215" s="1" t="s">
        <v>151</v>
      </c>
      <c r="BC215" s="1" t="s">
        <v>304</v>
      </c>
      <c r="BD215" s="1" t="s">
        <v>1333</v>
      </c>
      <c r="BE215" s="1" t="s">
        <v>120</v>
      </c>
      <c r="BF215" s="1" t="s">
        <v>120</v>
      </c>
      <c r="BG215" s="1" t="s">
        <v>120</v>
      </c>
      <c r="BH215" s="1" t="s">
        <v>120</v>
      </c>
      <c r="BJ215" s="1" t="s">
        <v>120</v>
      </c>
      <c r="BK215" s="1" t="s">
        <v>120</v>
      </c>
      <c r="BL215" s="1">
        <v>0</v>
      </c>
      <c r="BM215" s="1">
        <v>0</v>
      </c>
      <c r="BN215" s="1" t="s">
        <v>3618</v>
      </c>
      <c r="BO215" s="1">
        <v>1</v>
      </c>
      <c r="BP215" s="1" t="s">
        <v>3619</v>
      </c>
      <c r="BQ215" s="1" t="s">
        <v>112</v>
      </c>
      <c r="BR215" s="1">
        <v>0</v>
      </c>
      <c r="BS215" s="1" t="s">
        <v>1208</v>
      </c>
      <c r="BT215" s="1" t="s">
        <v>124</v>
      </c>
      <c r="BU215" s="1" t="s">
        <v>3620</v>
      </c>
      <c r="BV215" s="1" t="s">
        <v>112</v>
      </c>
      <c r="BW215" s="1" t="s">
        <v>3621</v>
      </c>
      <c r="BX215" s="1" t="s">
        <v>3622</v>
      </c>
      <c r="BY215" s="1" t="s">
        <v>120</v>
      </c>
      <c r="BZ215" s="1">
        <v>0</v>
      </c>
      <c r="CA215" s="1">
        <v>0</v>
      </c>
      <c r="CB215" s="4">
        <v>42917.378530243055</v>
      </c>
      <c r="CC215" s="1">
        <v>1</v>
      </c>
      <c r="CD215" s="1">
        <v>1</v>
      </c>
      <c r="CE215" s="1">
        <v>1</v>
      </c>
      <c r="CF215" s="1">
        <v>4</v>
      </c>
      <c r="CG215" s="4">
        <v>42926.537205474538</v>
      </c>
      <c r="CH215" s="1" t="s">
        <v>112</v>
      </c>
      <c r="CI215" s="1" t="s">
        <v>3623</v>
      </c>
      <c r="CJ215" s="1" t="s">
        <v>157</v>
      </c>
    </row>
    <row r="216" spans="1:88" x14ac:dyDescent="0.35">
      <c r="A216" s="1">
        <v>1794</v>
      </c>
      <c r="B216" s="1" t="s">
        <v>3624</v>
      </c>
      <c r="C216" s="1" t="s">
        <v>3625</v>
      </c>
      <c r="D216" s="1" t="s">
        <v>90</v>
      </c>
      <c r="E216" s="1" t="s">
        <v>3626</v>
      </c>
      <c r="F216" s="1" t="s">
        <v>208</v>
      </c>
      <c r="G216" s="1">
        <v>1</v>
      </c>
      <c r="H216" s="3">
        <v>33920</v>
      </c>
      <c r="I216" s="1">
        <v>1</v>
      </c>
      <c r="J216" s="1" t="s">
        <v>162</v>
      </c>
      <c r="K216" s="1" t="s">
        <v>163</v>
      </c>
      <c r="L216" s="2">
        <f>91-8460638183</f>
        <v>-8460638092</v>
      </c>
      <c r="M216" s="1" t="s">
        <v>150</v>
      </c>
      <c r="N216" s="1">
        <v>0</v>
      </c>
      <c r="O216" s="1">
        <v>0</v>
      </c>
      <c r="P216" s="1">
        <v>5.09</v>
      </c>
      <c r="Q216" s="1">
        <v>10</v>
      </c>
      <c r="S216" s="1" t="s">
        <v>136</v>
      </c>
      <c r="T216" s="1" t="s">
        <v>137</v>
      </c>
      <c r="U216" s="1" t="s">
        <v>554</v>
      </c>
      <c r="X216" s="1" t="s">
        <v>100</v>
      </c>
      <c r="Y216" s="1" t="s">
        <v>210</v>
      </c>
      <c r="Z216" s="1" t="s">
        <v>556</v>
      </c>
      <c r="AB216" s="1">
        <v>0</v>
      </c>
      <c r="AD216" s="1" t="s">
        <v>3627</v>
      </c>
      <c r="AE216" s="1" t="s">
        <v>142</v>
      </c>
      <c r="AF216" s="1" t="s">
        <v>105</v>
      </c>
      <c r="AG216" s="1" t="s">
        <v>3628</v>
      </c>
      <c r="AH216" s="1" t="s">
        <v>3629</v>
      </c>
      <c r="AI216" s="1" t="s">
        <v>3630</v>
      </c>
      <c r="AJ216" s="1" t="s">
        <v>109</v>
      </c>
      <c r="AK216" s="1" t="s">
        <v>3631</v>
      </c>
      <c r="AL216" s="1">
        <v>20</v>
      </c>
      <c r="AM216" s="1" t="s">
        <v>210</v>
      </c>
      <c r="AP216" s="1">
        <f>91-9428420168</f>
        <v>-9428420077</v>
      </c>
      <c r="AQ216" s="1" t="s">
        <v>565</v>
      </c>
      <c r="AR216" s="1">
        <v>0</v>
      </c>
      <c r="AS216" s="1">
        <v>0</v>
      </c>
      <c r="AT216" s="1" t="s">
        <v>3632</v>
      </c>
      <c r="AU216" s="1" t="s">
        <v>3633</v>
      </c>
      <c r="AV216" s="1" t="s">
        <v>3634</v>
      </c>
      <c r="AW216" s="1">
        <f>91-9424890700</f>
        <v>-9424890609</v>
      </c>
      <c r="AX216" s="1" t="s">
        <v>396</v>
      </c>
      <c r="AY216" s="1" t="s">
        <v>150</v>
      </c>
      <c r="AZ216" s="1">
        <v>5</v>
      </c>
      <c r="BA216" s="1">
        <v>5</v>
      </c>
      <c r="BE216" s="1" t="s">
        <v>120</v>
      </c>
      <c r="BG216" s="1" t="s">
        <v>120</v>
      </c>
      <c r="BH216" s="1" t="s">
        <v>120</v>
      </c>
      <c r="BJ216" s="1" t="s">
        <v>120</v>
      </c>
      <c r="BK216" s="1" t="s">
        <v>120</v>
      </c>
      <c r="BL216" s="1">
        <v>0</v>
      </c>
      <c r="BM216" s="1">
        <v>0</v>
      </c>
      <c r="BN216" s="1" t="s">
        <v>3635</v>
      </c>
      <c r="BO216" s="1">
        <v>1</v>
      </c>
      <c r="BP216" s="1" t="s">
        <v>3636</v>
      </c>
      <c r="BQ216" s="1" t="s">
        <v>112</v>
      </c>
      <c r="BR216" s="1">
        <v>1</v>
      </c>
      <c r="BS216" s="1" t="s">
        <v>334</v>
      </c>
      <c r="BT216" s="1" t="s">
        <v>124</v>
      </c>
      <c r="BU216" s="1" t="s">
        <v>112</v>
      </c>
      <c r="BV216" s="1" t="s">
        <v>112</v>
      </c>
      <c r="BW216" s="1" t="s">
        <v>3637</v>
      </c>
      <c r="BX216" s="1" t="s">
        <v>3638</v>
      </c>
      <c r="BY216" s="1" t="s">
        <v>127</v>
      </c>
      <c r="BZ216" s="1">
        <v>1</v>
      </c>
      <c r="CA216" s="1">
        <v>1</v>
      </c>
      <c r="CB216" s="4">
        <v>42920.37836130787</v>
      </c>
      <c r="CC216" s="1">
        <v>1</v>
      </c>
      <c r="CD216" s="1">
        <v>1</v>
      </c>
      <c r="CE216" s="1">
        <v>1</v>
      </c>
      <c r="CF216" s="1">
        <v>1</v>
      </c>
      <c r="CG216" s="4">
        <v>44067.449421030091</v>
      </c>
      <c r="CH216" s="1" t="s">
        <v>112</v>
      </c>
      <c r="CI216" s="1" t="s">
        <v>117</v>
      </c>
      <c r="CJ216" s="1" t="s">
        <v>129</v>
      </c>
    </row>
    <row r="217" spans="1:88" x14ac:dyDescent="0.35">
      <c r="A217" s="1">
        <v>1796</v>
      </c>
      <c r="B217" s="1" t="s">
        <v>3639</v>
      </c>
      <c r="C217" s="1" t="s">
        <v>3640</v>
      </c>
      <c r="D217" s="1" t="s">
        <v>229</v>
      </c>
      <c r="E217" s="1" t="s">
        <v>3641</v>
      </c>
      <c r="F217" s="1" t="s">
        <v>3642</v>
      </c>
      <c r="G217" s="1">
        <v>1</v>
      </c>
      <c r="H217" s="3">
        <v>34802</v>
      </c>
      <c r="I217" s="1">
        <v>1</v>
      </c>
      <c r="J217" s="1" t="s">
        <v>93</v>
      </c>
      <c r="K217" s="1" t="s">
        <v>3643</v>
      </c>
      <c r="L217" s="2">
        <f>91-7276562891</f>
        <v>-7276562800</v>
      </c>
      <c r="M217" s="1" t="s">
        <v>150</v>
      </c>
      <c r="N217" s="1">
        <v>0</v>
      </c>
      <c r="O217" s="1">
        <v>0</v>
      </c>
      <c r="P217" s="1">
        <v>5.08</v>
      </c>
      <c r="Q217" s="1">
        <v>46</v>
      </c>
      <c r="R217" s="1" t="s">
        <v>292</v>
      </c>
      <c r="S217" s="1" t="s">
        <v>492</v>
      </c>
      <c r="T217" s="1" t="s">
        <v>137</v>
      </c>
      <c r="U217" s="1" t="s">
        <v>3644</v>
      </c>
      <c r="V217" s="1" t="s">
        <v>2540</v>
      </c>
      <c r="X217" s="1" t="s">
        <v>132</v>
      </c>
      <c r="Y217" s="1" t="s">
        <v>111</v>
      </c>
      <c r="Z217" s="1" t="s">
        <v>733</v>
      </c>
      <c r="AB217" s="1">
        <v>0</v>
      </c>
      <c r="AD217" s="1" t="s">
        <v>3645</v>
      </c>
      <c r="AE217" s="1">
        <f>91-9422547640</f>
        <v>-9422547549</v>
      </c>
      <c r="AF217" s="1" t="s">
        <v>143</v>
      </c>
      <c r="AG217" s="1" t="s">
        <v>3646</v>
      </c>
      <c r="AH217" s="1" t="s">
        <v>3647</v>
      </c>
      <c r="AI217" s="1" t="s">
        <v>3648</v>
      </c>
      <c r="AJ217" s="1" t="s">
        <v>109</v>
      </c>
      <c r="AK217" s="1" t="s">
        <v>3649</v>
      </c>
      <c r="AL217" s="1">
        <v>35</v>
      </c>
      <c r="AM217" s="1" t="s">
        <v>111</v>
      </c>
      <c r="AO217" s="1" t="s">
        <v>3650</v>
      </c>
      <c r="AP217" s="1">
        <f>91-9422547640</f>
        <v>-9422547549</v>
      </c>
      <c r="AR217" s="1">
        <v>2</v>
      </c>
      <c r="AS217" s="1">
        <v>1</v>
      </c>
      <c r="AT217" s="1" t="s">
        <v>3651</v>
      </c>
      <c r="AU217" s="1" t="s">
        <v>3652</v>
      </c>
      <c r="AV217" s="1" t="s">
        <v>3653</v>
      </c>
      <c r="AW217" s="1">
        <f>91-9427675011</f>
        <v>-9427674920</v>
      </c>
      <c r="AX217" s="1" t="s">
        <v>3654</v>
      </c>
      <c r="AY217" s="1" t="s">
        <v>150</v>
      </c>
      <c r="AZ217" s="1">
        <v>5</v>
      </c>
      <c r="BA217" s="1">
        <v>5.08</v>
      </c>
      <c r="BB217" s="1" t="s">
        <v>151</v>
      </c>
      <c r="BC217" s="1" t="s">
        <v>304</v>
      </c>
      <c r="BD217" s="1" t="s">
        <v>1333</v>
      </c>
      <c r="BE217" s="1" t="s">
        <v>120</v>
      </c>
      <c r="BF217" s="1" t="s">
        <v>120</v>
      </c>
      <c r="BG217" s="1" t="s">
        <v>120</v>
      </c>
      <c r="BH217" s="1" t="s">
        <v>120</v>
      </c>
      <c r="BJ217" s="1" t="s">
        <v>120</v>
      </c>
      <c r="BK217" s="1" t="s">
        <v>120</v>
      </c>
      <c r="BL217" s="1">
        <v>0</v>
      </c>
      <c r="BM217" s="1">
        <v>0</v>
      </c>
      <c r="BN217" s="1" t="s">
        <v>3655</v>
      </c>
      <c r="BO217" s="1">
        <v>1</v>
      </c>
      <c r="BP217" s="1" t="s">
        <v>3643</v>
      </c>
      <c r="BQ217" s="1" t="s">
        <v>112</v>
      </c>
      <c r="BR217" s="1">
        <v>0</v>
      </c>
      <c r="BS217" s="1" t="s">
        <v>129</v>
      </c>
      <c r="BT217" s="1" t="s">
        <v>124</v>
      </c>
      <c r="BU217" s="1" t="s">
        <v>112</v>
      </c>
      <c r="BV217" s="1" t="s">
        <v>112</v>
      </c>
      <c r="BW217" s="1" t="s">
        <v>3656</v>
      </c>
      <c r="BX217" s="1" t="s">
        <v>3657</v>
      </c>
      <c r="BY217" s="1" t="s">
        <v>127</v>
      </c>
      <c r="BZ217" s="1">
        <v>0</v>
      </c>
      <c r="CA217" s="1">
        <v>0</v>
      </c>
      <c r="CB217" s="4">
        <v>42925.117212997684</v>
      </c>
      <c r="CC217" s="1">
        <v>1</v>
      </c>
      <c r="CD217" s="1">
        <v>1</v>
      </c>
      <c r="CE217" s="1">
        <v>1</v>
      </c>
      <c r="CF217" s="1">
        <v>1</v>
      </c>
      <c r="CG217" s="4">
        <v>43283.324215624998</v>
      </c>
      <c r="CH217" s="1" t="s">
        <v>112</v>
      </c>
      <c r="CI217" s="1" t="s">
        <v>128</v>
      </c>
      <c r="CJ217" s="1" t="s">
        <v>157</v>
      </c>
    </row>
    <row r="218" spans="1:88" x14ac:dyDescent="0.35">
      <c r="A218" s="1">
        <v>1798</v>
      </c>
      <c r="B218" s="1" t="s">
        <v>3658</v>
      </c>
      <c r="C218" s="1" t="s">
        <v>3659</v>
      </c>
      <c r="D218" s="1" t="s">
        <v>312</v>
      </c>
      <c r="E218" s="1" t="s">
        <v>3660</v>
      </c>
      <c r="F218" s="1" t="s">
        <v>1926</v>
      </c>
      <c r="G218" s="1">
        <v>1</v>
      </c>
      <c r="H218" s="3">
        <v>33627</v>
      </c>
      <c r="I218" s="1">
        <v>1</v>
      </c>
      <c r="J218" s="1" t="s">
        <v>162</v>
      </c>
      <c r="K218" s="1" t="s">
        <v>1037</v>
      </c>
      <c r="L218" s="2">
        <f>91-9427038938</f>
        <v>-9427038847</v>
      </c>
      <c r="M218" s="1" t="s">
        <v>150</v>
      </c>
      <c r="N218" s="1">
        <v>0</v>
      </c>
      <c r="O218" s="1">
        <v>0</v>
      </c>
      <c r="P218" s="1">
        <v>5.08</v>
      </c>
      <c r="Q218" s="1">
        <v>38</v>
      </c>
      <c r="R218" s="1" t="s">
        <v>317</v>
      </c>
      <c r="S218" s="1" t="s">
        <v>136</v>
      </c>
      <c r="T218" s="1" t="s">
        <v>234</v>
      </c>
      <c r="U218" s="1" t="s">
        <v>2540</v>
      </c>
      <c r="V218" s="1" t="s">
        <v>2540</v>
      </c>
      <c r="X218" s="1" t="s">
        <v>100</v>
      </c>
      <c r="Y218" s="1" t="s">
        <v>268</v>
      </c>
      <c r="Z218" s="1" t="s">
        <v>515</v>
      </c>
      <c r="AB218" s="1">
        <v>0</v>
      </c>
      <c r="AD218" s="1" t="s">
        <v>3661</v>
      </c>
      <c r="AE218" s="1">
        <f>91-9247038938</f>
        <v>-9247038847</v>
      </c>
      <c r="AF218" s="1" t="s">
        <v>2541</v>
      </c>
      <c r="AG218" s="1" t="s">
        <v>3662</v>
      </c>
      <c r="AH218" s="1" t="s">
        <v>3663</v>
      </c>
      <c r="AI218" s="1" t="s">
        <v>3664</v>
      </c>
      <c r="AJ218" s="1" t="s">
        <v>109</v>
      </c>
      <c r="AK218" s="1" t="s">
        <v>3665</v>
      </c>
      <c r="AL218" s="1">
        <v>10</v>
      </c>
      <c r="AM218" s="1" t="s">
        <v>2541</v>
      </c>
      <c r="AP218" s="1">
        <f>91-9427038938</f>
        <v>-9427038847</v>
      </c>
      <c r="AR218" s="1">
        <v>0</v>
      </c>
      <c r="AS218" s="1">
        <v>0</v>
      </c>
      <c r="AW218" s="1" t="s">
        <v>142</v>
      </c>
      <c r="AX218" s="1" t="s">
        <v>414</v>
      </c>
      <c r="AY218" s="1" t="s">
        <v>150</v>
      </c>
      <c r="AZ218" s="1">
        <v>5</v>
      </c>
      <c r="BA218" s="1">
        <v>5.05</v>
      </c>
      <c r="BB218" s="1" t="s">
        <v>151</v>
      </c>
      <c r="BC218" s="1" t="s">
        <v>152</v>
      </c>
      <c r="BD218" s="1" t="s">
        <v>1395</v>
      </c>
      <c r="BE218" s="1" t="s">
        <v>3666</v>
      </c>
      <c r="BF218" s="1" t="s">
        <v>120</v>
      </c>
      <c r="BG218" s="1" t="s">
        <v>2541</v>
      </c>
      <c r="BH218" s="1" t="s">
        <v>2541</v>
      </c>
      <c r="BI218" s="1" t="s">
        <v>515</v>
      </c>
      <c r="BL218" s="1">
        <v>0</v>
      </c>
      <c r="BM218" s="1">
        <v>0</v>
      </c>
      <c r="BN218" s="1" t="s">
        <v>3667</v>
      </c>
      <c r="BO218" s="1" t="s">
        <v>112</v>
      </c>
      <c r="BP218" s="1" t="s">
        <v>112</v>
      </c>
      <c r="BQ218" s="1" t="s">
        <v>112</v>
      </c>
      <c r="BR218" s="1" t="s">
        <v>112</v>
      </c>
      <c r="BS218" s="1" t="s">
        <v>112</v>
      </c>
      <c r="BT218" s="1" t="s">
        <v>112</v>
      </c>
      <c r="BU218" s="1" t="s">
        <v>112</v>
      </c>
      <c r="BV218" s="1" t="s">
        <v>112</v>
      </c>
      <c r="BW218" s="1" t="s">
        <v>3668</v>
      </c>
      <c r="BX218" s="1" t="s">
        <v>3669</v>
      </c>
      <c r="BY218" s="1" t="s">
        <v>120</v>
      </c>
      <c r="BZ218" s="1">
        <v>0</v>
      </c>
      <c r="CA218" s="1">
        <v>0</v>
      </c>
      <c r="CB218" s="4">
        <v>42925.334263657409</v>
      </c>
      <c r="CC218" s="1">
        <v>1</v>
      </c>
      <c r="CD218" s="1">
        <v>1</v>
      </c>
      <c r="CE218" s="1">
        <v>1</v>
      </c>
      <c r="CF218" s="1">
        <v>4</v>
      </c>
      <c r="CG218" s="4">
        <v>42947.617191817131</v>
      </c>
      <c r="CH218" s="1" t="s">
        <v>112</v>
      </c>
      <c r="CI218" s="1" t="s">
        <v>3670</v>
      </c>
      <c r="CJ218" s="1" t="s">
        <v>157</v>
      </c>
    </row>
    <row r="219" spans="1:88" x14ac:dyDescent="0.35">
      <c r="A219" s="1">
        <v>1799</v>
      </c>
      <c r="B219" s="1" t="s">
        <v>3671</v>
      </c>
      <c r="C219" s="1" t="s">
        <v>3672</v>
      </c>
      <c r="D219" s="1" t="s">
        <v>90</v>
      </c>
      <c r="E219" s="1" t="s">
        <v>3673</v>
      </c>
      <c r="F219" s="1" t="s">
        <v>3674</v>
      </c>
      <c r="G219" s="1">
        <v>1</v>
      </c>
      <c r="H219" s="3">
        <v>31679</v>
      </c>
      <c r="I219" s="1">
        <v>1</v>
      </c>
      <c r="J219" s="1" t="s">
        <v>93</v>
      </c>
      <c r="K219" s="1" t="s">
        <v>1130</v>
      </c>
      <c r="L219" s="2">
        <f>91-8446614765</f>
        <v>-8446614674</v>
      </c>
      <c r="M219" s="1" t="s">
        <v>150</v>
      </c>
      <c r="N219" s="1">
        <v>0</v>
      </c>
      <c r="O219" s="1">
        <v>0</v>
      </c>
      <c r="P219" s="1">
        <v>5.08</v>
      </c>
      <c r="Q219" s="1">
        <v>10</v>
      </c>
      <c r="S219" s="1" t="s">
        <v>97</v>
      </c>
      <c r="T219" s="1" t="s">
        <v>137</v>
      </c>
      <c r="U219" s="1" t="s">
        <v>3675</v>
      </c>
      <c r="V219" s="1" t="s">
        <v>3676</v>
      </c>
      <c r="W219" s="1" t="s">
        <v>198</v>
      </c>
      <c r="X219" s="1" t="s">
        <v>100</v>
      </c>
      <c r="Y219" s="1" t="s">
        <v>111</v>
      </c>
      <c r="Z219" s="1" t="s">
        <v>297</v>
      </c>
      <c r="AA219" s="1" t="s">
        <v>3677</v>
      </c>
      <c r="AB219" s="1">
        <v>0</v>
      </c>
      <c r="AD219" s="1" t="s">
        <v>3678</v>
      </c>
      <c r="AE219" s="1">
        <f>91-9326088309</f>
        <v>-9326088218</v>
      </c>
      <c r="AF219" s="1" t="s">
        <v>112</v>
      </c>
      <c r="AG219" s="1" t="s">
        <v>112</v>
      </c>
      <c r="AH219" s="1" t="s">
        <v>112</v>
      </c>
      <c r="AI219" s="1" t="s">
        <v>112</v>
      </c>
      <c r="AJ219" s="1" t="s">
        <v>112</v>
      </c>
      <c r="AK219" s="1" t="s">
        <v>112</v>
      </c>
      <c r="AL219" s="1" t="s">
        <v>112</v>
      </c>
      <c r="AM219" s="1" t="s">
        <v>112</v>
      </c>
      <c r="AN219" s="1" t="s">
        <v>112</v>
      </c>
      <c r="AO219" s="1" t="s">
        <v>112</v>
      </c>
      <c r="AP219" s="1" t="s">
        <v>112</v>
      </c>
      <c r="AQ219" s="1" t="s">
        <v>112</v>
      </c>
      <c r="AR219" s="1" t="s">
        <v>112</v>
      </c>
      <c r="AS219" s="1" t="s">
        <v>112</v>
      </c>
      <c r="AT219" s="1" t="s">
        <v>112</v>
      </c>
      <c r="AU219" s="1" t="s">
        <v>112</v>
      </c>
      <c r="AV219" s="1" t="s">
        <v>112</v>
      </c>
      <c r="AW219" s="1" t="s">
        <v>112</v>
      </c>
      <c r="AX219" s="1" t="s">
        <v>112</v>
      </c>
      <c r="AY219" s="1" t="s">
        <v>112</v>
      </c>
      <c r="AZ219" s="1" t="s">
        <v>112</v>
      </c>
      <c r="BA219" s="1" t="s">
        <v>112</v>
      </c>
      <c r="BB219" s="1" t="s">
        <v>112</v>
      </c>
      <c r="BC219" s="1" t="s">
        <v>112</v>
      </c>
      <c r="BD219" s="1" t="s">
        <v>112</v>
      </c>
      <c r="BE219" s="1" t="s">
        <v>112</v>
      </c>
      <c r="BF219" s="1" t="s">
        <v>112</v>
      </c>
      <c r="BG219" s="1" t="s">
        <v>112</v>
      </c>
      <c r="BH219" s="1" t="s">
        <v>112</v>
      </c>
      <c r="BI219" s="1" t="s">
        <v>112</v>
      </c>
      <c r="BJ219" s="1" t="s">
        <v>112</v>
      </c>
      <c r="BK219" s="1" t="s">
        <v>112</v>
      </c>
      <c r="BL219" s="1" t="s">
        <v>112</v>
      </c>
      <c r="BM219" s="1" t="s">
        <v>112</v>
      </c>
      <c r="BN219" s="1" t="s">
        <v>112</v>
      </c>
      <c r="BO219" s="1">
        <v>1</v>
      </c>
      <c r="BP219" s="1" t="s">
        <v>2068</v>
      </c>
      <c r="BQ219" s="1" t="s">
        <v>112</v>
      </c>
      <c r="BR219" s="1">
        <v>0</v>
      </c>
      <c r="BS219" s="1" t="s">
        <v>334</v>
      </c>
      <c r="BT219" s="1" t="s">
        <v>120</v>
      </c>
      <c r="BU219" s="1" t="s">
        <v>112</v>
      </c>
      <c r="BV219" s="1" t="s">
        <v>112</v>
      </c>
      <c r="BW219" s="1" t="s">
        <v>3679</v>
      </c>
      <c r="BX219" s="1" t="s">
        <v>3680</v>
      </c>
      <c r="BY219" s="1" t="s">
        <v>112</v>
      </c>
      <c r="BZ219" s="1" t="s">
        <v>112</v>
      </c>
      <c r="CA219" s="1" t="s">
        <v>112</v>
      </c>
      <c r="CB219" s="4">
        <v>42926.875439039351</v>
      </c>
      <c r="CC219" s="1">
        <v>1</v>
      </c>
      <c r="CD219" s="1">
        <v>1</v>
      </c>
      <c r="CE219" s="1">
        <v>1</v>
      </c>
      <c r="CF219" s="1">
        <v>1</v>
      </c>
      <c r="CG219" s="4">
        <v>43967.817017557871</v>
      </c>
      <c r="CH219" s="1" t="s">
        <v>112</v>
      </c>
      <c r="CI219" s="1" t="s">
        <v>112</v>
      </c>
      <c r="CJ219" s="1" t="s">
        <v>112</v>
      </c>
    </row>
    <row r="220" spans="1:88" x14ac:dyDescent="0.35">
      <c r="A220" s="1">
        <v>1800</v>
      </c>
      <c r="B220" s="1" t="s">
        <v>3681</v>
      </c>
      <c r="C220" s="1" t="s">
        <v>3682</v>
      </c>
      <c r="D220" s="1" t="s">
        <v>132</v>
      </c>
      <c r="E220" s="1" t="s">
        <v>3683</v>
      </c>
      <c r="F220" s="1" t="s">
        <v>134</v>
      </c>
      <c r="G220" s="1">
        <v>1</v>
      </c>
      <c r="H220" s="3">
        <v>30293</v>
      </c>
      <c r="I220" s="1">
        <v>1</v>
      </c>
      <c r="J220" s="1" t="s">
        <v>93</v>
      </c>
      <c r="K220" s="1" t="s">
        <v>3684</v>
      </c>
      <c r="L220" s="2">
        <f>91-9420123585</f>
        <v>-9420123494</v>
      </c>
      <c r="M220" s="1" t="s">
        <v>95</v>
      </c>
      <c r="N220" s="1">
        <v>0</v>
      </c>
      <c r="O220" s="1">
        <v>0</v>
      </c>
      <c r="P220" s="1">
        <v>5.0599999999999996</v>
      </c>
      <c r="Q220" s="1">
        <v>43</v>
      </c>
      <c r="R220" s="1" t="s">
        <v>188</v>
      </c>
      <c r="S220" s="1" t="s">
        <v>136</v>
      </c>
      <c r="T220" s="1" t="s">
        <v>234</v>
      </c>
      <c r="U220" s="1" t="s">
        <v>2540</v>
      </c>
      <c r="V220" s="1" t="s">
        <v>2540</v>
      </c>
      <c r="X220" s="1" t="s">
        <v>100</v>
      </c>
      <c r="Y220" s="1" t="s">
        <v>210</v>
      </c>
      <c r="Z220" s="1" t="s">
        <v>450</v>
      </c>
      <c r="AA220" s="1" t="s">
        <v>3685</v>
      </c>
      <c r="AB220" s="1">
        <v>0</v>
      </c>
      <c r="AD220" s="1" t="s">
        <v>3686</v>
      </c>
      <c r="AE220" s="1">
        <f>91-9767429579</f>
        <v>-9767429488</v>
      </c>
      <c r="AF220" s="1" t="s">
        <v>129</v>
      </c>
      <c r="AG220" s="1" t="s">
        <v>3687</v>
      </c>
      <c r="AH220" s="1" t="s">
        <v>3688</v>
      </c>
      <c r="AI220" s="1" t="s">
        <v>3689</v>
      </c>
      <c r="AJ220" s="1" t="s">
        <v>109</v>
      </c>
      <c r="AK220" s="1" t="s">
        <v>3690</v>
      </c>
      <c r="AL220" s="1">
        <v>50</v>
      </c>
      <c r="AM220" s="1" t="s">
        <v>111</v>
      </c>
      <c r="AN220" s="1" t="s">
        <v>3691</v>
      </c>
      <c r="AP220" s="1">
        <f>91-8087215206</f>
        <v>-8087215115</v>
      </c>
      <c r="AR220" s="1">
        <v>0</v>
      </c>
      <c r="AS220" s="1">
        <v>0</v>
      </c>
      <c r="AW220" s="1" t="s">
        <v>142</v>
      </c>
      <c r="AX220" s="1" t="s">
        <v>1933</v>
      </c>
      <c r="AY220" s="1" t="s">
        <v>249</v>
      </c>
      <c r="AZ220" s="1">
        <v>4.1100000000000003</v>
      </c>
      <c r="BA220" s="1">
        <v>5.03</v>
      </c>
      <c r="BB220" s="1" t="s">
        <v>151</v>
      </c>
      <c r="BC220" s="1" t="s">
        <v>304</v>
      </c>
      <c r="BD220" s="1" t="s">
        <v>1333</v>
      </c>
      <c r="BE220" s="1" t="s">
        <v>97</v>
      </c>
      <c r="BF220" s="1" t="s">
        <v>120</v>
      </c>
      <c r="BG220" s="1" t="s">
        <v>120</v>
      </c>
      <c r="BH220" s="1" t="s">
        <v>120</v>
      </c>
      <c r="BI220" s="1" t="s">
        <v>450</v>
      </c>
      <c r="BJ220" s="1" t="s">
        <v>120</v>
      </c>
      <c r="BK220" s="1" t="s">
        <v>120</v>
      </c>
      <c r="BL220" s="1">
        <v>0</v>
      </c>
      <c r="BM220" s="1">
        <v>1</v>
      </c>
      <c r="BN220" s="1" t="s">
        <v>3692</v>
      </c>
      <c r="BO220" s="1">
        <v>0</v>
      </c>
      <c r="BQ220" s="1" t="s">
        <v>180</v>
      </c>
      <c r="BR220" s="1">
        <v>0</v>
      </c>
      <c r="BS220" s="1" t="s">
        <v>354</v>
      </c>
      <c r="BT220" s="1" t="s">
        <v>124</v>
      </c>
      <c r="BV220" s="1" t="s">
        <v>112</v>
      </c>
      <c r="BW220" s="1" t="s">
        <v>3693</v>
      </c>
      <c r="BX220" s="1" t="s">
        <v>3694</v>
      </c>
      <c r="BY220" s="1" t="s">
        <v>120</v>
      </c>
      <c r="BZ220" s="1">
        <v>1</v>
      </c>
      <c r="CA220" s="1">
        <v>1</v>
      </c>
      <c r="CB220" s="4">
        <v>42929.436313391205</v>
      </c>
      <c r="CC220" s="1">
        <v>1</v>
      </c>
      <c r="CD220" s="1">
        <v>1</v>
      </c>
      <c r="CE220" s="1">
        <v>1</v>
      </c>
      <c r="CF220" s="1">
        <v>4</v>
      </c>
      <c r="CG220" s="4">
        <v>42989.935385763885</v>
      </c>
      <c r="CH220" s="1" t="s">
        <v>112</v>
      </c>
      <c r="CI220" s="1" t="s">
        <v>1645</v>
      </c>
      <c r="CJ220" s="1" t="s">
        <v>157</v>
      </c>
    </row>
    <row r="221" spans="1:88" x14ac:dyDescent="0.35">
      <c r="A221" s="1">
        <v>1801</v>
      </c>
      <c r="B221" s="1" t="s">
        <v>3695</v>
      </c>
      <c r="C221" s="1" t="s">
        <v>3696</v>
      </c>
      <c r="D221" s="1" t="s">
        <v>90</v>
      </c>
      <c r="E221" s="1" t="s">
        <v>3061</v>
      </c>
      <c r="F221" s="1" t="s">
        <v>208</v>
      </c>
      <c r="G221" s="1">
        <v>1</v>
      </c>
      <c r="H221" s="3">
        <v>34004</v>
      </c>
      <c r="I221" s="1">
        <v>1</v>
      </c>
      <c r="J221" s="1" t="s">
        <v>162</v>
      </c>
      <c r="K221" s="1" t="s">
        <v>2166</v>
      </c>
      <c r="L221" s="2">
        <f>91-9033702404</f>
        <v>-9033702313</v>
      </c>
      <c r="M221" s="1" t="s">
        <v>150</v>
      </c>
      <c r="N221" s="1">
        <v>0</v>
      </c>
      <c r="O221" s="1">
        <v>0</v>
      </c>
      <c r="P221" s="1">
        <v>5.03</v>
      </c>
      <c r="Q221" s="1">
        <v>10</v>
      </c>
      <c r="S221" s="1" t="s">
        <v>97</v>
      </c>
      <c r="T221" s="1" t="s">
        <v>234</v>
      </c>
      <c r="U221" s="1" t="s">
        <v>2540</v>
      </c>
      <c r="V221" s="1" t="s">
        <v>2540</v>
      </c>
      <c r="X221" s="1" t="s">
        <v>170</v>
      </c>
      <c r="Y221" s="1" t="s">
        <v>111</v>
      </c>
      <c r="Z221" s="1" t="s">
        <v>192</v>
      </c>
      <c r="AB221" s="1">
        <v>0</v>
      </c>
      <c r="AD221" s="1" t="s">
        <v>3697</v>
      </c>
      <c r="AE221" s="1" t="s">
        <v>142</v>
      </c>
      <c r="AF221" s="1" t="s">
        <v>2541</v>
      </c>
      <c r="AG221" s="1" t="s">
        <v>3698</v>
      </c>
      <c r="AH221" s="1" t="s">
        <v>370</v>
      </c>
      <c r="AI221" s="1" t="s">
        <v>3699</v>
      </c>
      <c r="AJ221" s="1" t="s">
        <v>109</v>
      </c>
      <c r="AK221" s="1" t="s">
        <v>3700</v>
      </c>
      <c r="AL221" s="1">
        <v>23</v>
      </c>
      <c r="AM221" s="1" t="s">
        <v>2541</v>
      </c>
      <c r="AP221" s="1">
        <f>91-9428434838</f>
        <v>-9428434747</v>
      </c>
      <c r="AR221" s="1">
        <v>0</v>
      </c>
      <c r="AS221" s="1">
        <v>0</v>
      </c>
      <c r="AW221" s="1" t="s">
        <v>142</v>
      </c>
      <c r="AX221" s="1" t="s">
        <v>2615</v>
      </c>
      <c r="AY221" s="1" t="s">
        <v>150</v>
      </c>
      <c r="AZ221" s="1">
        <v>5.03</v>
      </c>
      <c r="BA221" s="1">
        <v>5.03</v>
      </c>
      <c r="BB221" s="1" t="s">
        <v>151</v>
      </c>
      <c r="BC221" s="1" t="s">
        <v>152</v>
      </c>
      <c r="BD221" s="1" t="s">
        <v>1395</v>
      </c>
      <c r="BE221" s="1" t="s">
        <v>120</v>
      </c>
      <c r="BF221" s="1" t="s">
        <v>120</v>
      </c>
      <c r="BG221" s="1" t="s">
        <v>2541</v>
      </c>
      <c r="BH221" s="1" t="s">
        <v>2541</v>
      </c>
      <c r="BI221" s="1" t="s">
        <v>192</v>
      </c>
      <c r="BL221" s="1">
        <v>0</v>
      </c>
      <c r="BM221" s="1">
        <v>0</v>
      </c>
      <c r="BN221" s="1" t="s">
        <v>3701</v>
      </c>
      <c r="BO221" s="1">
        <v>0</v>
      </c>
      <c r="BQ221" s="1" t="s">
        <v>180</v>
      </c>
      <c r="BR221" s="1">
        <v>0</v>
      </c>
      <c r="BS221" s="1" t="s">
        <v>252</v>
      </c>
      <c r="BT221" s="1" t="s">
        <v>124</v>
      </c>
      <c r="BU221" s="1" t="s">
        <v>3702</v>
      </c>
      <c r="BV221" s="1" t="s">
        <v>112</v>
      </c>
      <c r="BW221" s="1" t="s">
        <v>3703</v>
      </c>
      <c r="BX221" s="1" t="s">
        <v>3704</v>
      </c>
      <c r="BY221" s="1" t="s">
        <v>120</v>
      </c>
      <c r="BZ221" s="1">
        <v>0</v>
      </c>
      <c r="CA221" s="1">
        <v>0</v>
      </c>
      <c r="CB221" s="4">
        <v>42931.978504247687</v>
      </c>
      <c r="CC221" s="1">
        <v>1</v>
      </c>
      <c r="CD221" s="1">
        <v>1</v>
      </c>
      <c r="CE221" s="1">
        <v>1</v>
      </c>
      <c r="CF221" s="1">
        <v>4</v>
      </c>
      <c r="CG221" s="4">
        <v>42933.378702314818</v>
      </c>
      <c r="CH221" s="1" t="s">
        <v>112</v>
      </c>
      <c r="CI221" s="1" t="s">
        <v>2283</v>
      </c>
      <c r="CJ221" s="1" t="s">
        <v>157</v>
      </c>
    </row>
    <row r="222" spans="1:88" x14ac:dyDescent="0.35">
      <c r="A222" s="1">
        <v>2803</v>
      </c>
      <c r="B222" s="1" t="s">
        <v>3705</v>
      </c>
      <c r="C222" s="1" t="s">
        <v>3706</v>
      </c>
      <c r="D222" s="1" t="s">
        <v>90</v>
      </c>
      <c r="E222" s="1" t="s">
        <v>3707</v>
      </c>
      <c r="F222" s="1" t="s">
        <v>185</v>
      </c>
      <c r="G222" s="1">
        <v>0</v>
      </c>
      <c r="H222" s="3">
        <v>28915</v>
      </c>
      <c r="I222" s="1">
        <v>1</v>
      </c>
      <c r="J222" s="1" t="s">
        <v>93</v>
      </c>
      <c r="K222" s="1" t="s">
        <v>1045</v>
      </c>
      <c r="L222" s="2">
        <f>91-9561957217</f>
        <v>-9561957126</v>
      </c>
      <c r="M222" s="1" t="s">
        <v>112</v>
      </c>
      <c r="N222" s="1" t="s">
        <v>112</v>
      </c>
      <c r="O222" s="1" t="s">
        <v>112</v>
      </c>
      <c r="P222" s="1" t="s">
        <v>112</v>
      </c>
      <c r="Q222" s="1" t="s">
        <v>112</v>
      </c>
      <c r="R222" s="1" t="s">
        <v>112</v>
      </c>
      <c r="S222" s="1" t="s">
        <v>112</v>
      </c>
      <c r="T222" s="1" t="s">
        <v>112</v>
      </c>
      <c r="U222" s="1" t="s">
        <v>112</v>
      </c>
      <c r="V222" s="1" t="s">
        <v>112</v>
      </c>
      <c r="W222" s="1" t="s">
        <v>112</v>
      </c>
      <c r="X222" s="1" t="s">
        <v>112</v>
      </c>
      <c r="Y222" s="1" t="s">
        <v>112</v>
      </c>
      <c r="Z222" s="1" t="s">
        <v>112</v>
      </c>
      <c r="AA222" s="1" t="s">
        <v>112</v>
      </c>
      <c r="AB222" s="1" t="s">
        <v>112</v>
      </c>
      <c r="AC222" s="1" t="s">
        <v>112</v>
      </c>
      <c r="AD222" s="1" t="s">
        <v>112</v>
      </c>
      <c r="AE222" s="1" t="s">
        <v>112</v>
      </c>
      <c r="AF222" s="1" t="s">
        <v>112</v>
      </c>
      <c r="AG222" s="1" t="s">
        <v>112</v>
      </c>
      <c r="AH222" s="1" t="s">
        <v>112</v>
      </c>
      <c r="AI222" s="1" t="s">
        <v>112</v>
      </c>
      <c r="AJ222" s="1" t="s">
        <v>112</v>
      </c>
      <c r="AK222" s="1" t="s">
        <v>112</v>
      </c>
      <c r="AL222" s="1" t="s">
        <v>112</v>
      </c>
      <c r="AM222" s="1" t="s">
        <v>112</v>
      </c>
      <c r="AN222" s="1" t="s">
        <v>112</v>
      </c>
      <c r="AO222" s="1" t="s">
        <v>112</v>
      </c>
      <c r="AP222" s="1" t="s">
        <v>112</v>
      </c>
      <c r="AQ222" s="1" t="s">
        <v>112</v>
      </c>
      <c r="AR222" s="1" t="s">
        <v>112</v>
      </c>
      <c r="AS222" s="1" t="s">
        <v>112</v>
      </c>
      <c r="AT222" s="1" t="s">
        <v>112</v>
      </c>
      <c r="AU222" s="1" t="s">
        <v>112</v>
      </c>
      <c r="AV222" s="1" t="s">
        <v>112</v>
      </c>
      <c r="AW222" s="1" t="s">
        <v>112</v>
      </c>
      <c r="AX222" s="1" t="s">
        <v>112</v>
      </c>
      <c r="AY222" s="1" t="s">
        <v>112</v>
      </c>
      <c r="AZ222" s="1" t="s">
        <v>112</v>
      </c>
      <c r="BA222" s="1" t="s">
        <v>112</v>
      </c>
      <c r="BB222" s="1" t="s">
        <v>112</v>
      </c>
      <c r="BC222" s="1" t="s">
        <v>112</v>
      </c>
      <c r="BD222" s="1" t="s">
        <v>112</v>
      </c>
      <c r="BE222" s="1" t="s">
        <v>112</v>
      </c>
      <c r="BF222" s="1" t="s">
        <v>112</v>
      </c>
      <c r="BG222" s="1" t="s">
        <v>112</v>
      </c>
      <c r="BH222" s="1" t="s">
        <v>112</v>
      </c>
      <c r="BI222" s="1" t="s">
        <v>112</v>
      </c>
      <c r="BJ222" s="1" t="s">
        <v>112</v>
      </c>
      <c r="BK222" s="1" t="s">
        <v>112</v>
      </c>
      <c r="BL222" s="1" t="s">
        <v>112</v>
      </c>
      <c r="BM222" s="1" t="s">
        <v>112</v>
      </c>
      <c r="BN222" s="1" t="s">
        <v>112</v>
      </c>
      <c r="BO222" s="1">
        <v>1</v>
      </c>
      <c r="BP222" s="1" t="s">
        <v>3708</v>
      </c>
      <c r="BQ222" s="1" t="s">
        <v>112</v>
      </c>
      <c r="BR222" s="1">
        <v>0</v>
      </c>
      <c r="BS222" s="1" t="s">
        <v>399</v>
      </c>
      <c r="BT222" s="1" t="s">
        <v>124</v>
      </c>
      <c r="BU222" s="1" t="s">
        <v>112</v>
      </c>
      <c r="BV222" s="1" t="s">
        <v>112</v>
      </c>
      <c r="BW222" s="1" t="s">
        <v>3709</v>
      </c>
      <c r="BX222" s="1" t="s">
        <v>3710</v>
      </c>
      <c r="BY222" s="1" t="s">
        <v>112</v>
      </c>
      <c r="BZ222" s="1" t="s">
        <v>112</v>
      </c>
      <c r="CA222" s="1" t="s">
        <v>112</v>
      </c>
      <c r="CB222" s="4">
        <v>42934.164419444445</v>
      </c>
      <c r="CC222" s="1">
        <v>1</v>
      </c>
      <c r="CD222" s="1">
        <v>1</v>
      </c>
      <c r="CE222" s="1">
        <v>1</v>
      </c>
      <c r="CF222" s="1">
        <v>1</v>
      </c>
      <c r="CG222" s="4">
        <v>43141.271893750003</v>
      </c>
      <c r="CH222" s="1" t="s">
        <v>112</v>
      </c>
      <c r="CI222" s="1" t="s">
        <v>112</v>
      </c>
      <c r="CJ222" s="1" t="s">
        <v>112</v>
      </c>
    </row>
    <row r="223" spans="1:88" x14ac:dyDescent="0.35">
      <c r="A223" s="1">
        <v>2808</v>
      </c>
      <c r="B223" s="1" t="s">
        <v>3711</v>
      </c>
      <c r="C223" s="1" t="s">
        <v>3712</v>
      </c>
      <c r="D223" s="1" t="s">
        <v>90</v>
      </c>
      <c r="E223" s="1" t="s">
        <v>3713</v>
      </c>
      <c r="F223" s="1" t="s">
        <v>3714</v>
      </c>
      <c r="G223" s="1">
        <v>0</v>
      </c>
      <c r="H223" s="3">
        <v>34036</v>
      </c>
      <c r="I223" s="1">
        <v>1</v>
      </c>
      <c r="J223" s="1" t="s">
        <v>162</v>
      </c>
      <c r="K223" s="1" t="s">
        <v>163</v>
      </c>
      <c r="L223" s="2">
        <f>91-9879615615</f>
        <v>-9879615524</v>
      </c>
      <c r="M223" s="1" t="s">
        <v>150</v>
      </c>
      <c r="N223" s="1">
        <v>0</v>
      </c>
      <c r="O223" s="1">
        <v>0</v>
      </c>
      <c r="P223" s="1">
        <v>5.07</v>
      </c>
      <c r="Q223" s="1">
        <v>46</v>
      </c>
      <c r="R223" s="1" t="s">
        <v>292</v>
      </c>
      <c r="S223" s="1" t="s">
        <v>136</v>
      </c>
      <c r="T223" s="1" t="s">
        <v>1915</v>
      </c>
      <c r="U223" s="1" t="s">
        <v>3715</v>
      </c>
      <c r="V223" s="1" t="s">
        <v>364</v>
      </c>
      <c r="X223" s="1" t="s">
        <v>100</v>
      </c>
      <c r="Y223" s="1" t="s">
        <v>268</v>
      </c>
      <c r="Z223" s="1" t="s">
        <v>3050</v>
      </c>
      <c r="AB223" s="1">
        <v>0</v>
      </c>
      <c r="AD223" s="1" t="s">
        <v>3716</v>
      </c>
      <c r="AE223" s="1">
        <f>91-9979778986</f>
        <v>-9979778895</v>
      </c>
      <c r="AF223" s="1" t="s">
        <v>129</v>
      </c>
      <c r="AG223" s="1" t="s">
        <v>3717</v>
      </c>
      <c r="AH223" s="1" t="s">
        <v>3718</v>
      </c>
      <c r="AI223" s="1" t="s">
        <v>3719</v>
      </c>
      <c r="AJ223" s="1" t="s">
        <v>109</v>
      </c>
      <c r="AK223" s="1" t="s">
        <v>3720</v>
      </c>
      <c r="AL223" s="1">
        <v>27</v>
      </c>
      <c r="AM223" s="1" t="s">
        <v>132</v>
      </c>
      <c r="AP223" s="1">
        <f>91-9879615615</f>
        <v>-9879615524</v>
      </c>
      <c r="AR223" s="1">
        <v>1</v>
      </c>
      <c r="AS223" s="1">
        <v>0</v>
      </c>
      <c r="AW223" s="1" t="s">
        <v>142</v>
      </c>
      <c r="AX223" s="1" t="s">
        <v>1120</v>
      </c>
      <c r="AY223" s="1" t="s">
        <v>150</v>
      </c>
      <c r="AZ223" s="1">
        <v>5.08</v>
      </c>
      <c r="BA223" s="1">
        <v>6.02</v>
      </c>
      <c r="BB223" s="1" t="s">
        <v>151</v>
      </c>
      <c r="BC223" s="1" t="s">
        <v>304</v>
      </c>
      <c r="BD223" s="1" t="s">
        <v>1333</v>
      </c>
      <c r="BE223" s="1" t="s">
        <v>136</v>
      </c>
      <c r="BF223" s="1" t="s">
        <v>120</v>
      </c>
      <c r="BG223" s="1" t="s">
        <v>100</v>
      </c>
      <c r="BH223" s="1" t="s">
        <v>101</v>
      </c>
      <c r="BJ223" s="1" t="s">
        <v>120</v>
      </c>
      <c r="BK223" s="1" t="s">
        <v>120</v>
      </c>
      <c r="BL223" s="1">
        <v>0</v>
      </c>
      <c r="BM223" s="1">
        <v>1</v>
      </c>
      <c r="BN223" s="1" t="s">
        <v>3721</v>
      </c>
      <c r="BO223" s="1">
        <v>0</v>
      </c>
      <c r="BQ223" s="1" t="s">
        <v>180</v>
      </c>
      <c r="BR223" s="1">
        <v>0</v>
      </c>
      <c r="BS223" s="1" t="s">
        <v>354</v>
      </c>
      <c r="BT223" s="1" t="s">
        <v>1123</v>
      </c>
      <c r="BV223" s="1" t="s">
        <v>112</v>
      </c>
      <c r="BW223" s="1" t="s">
        <v>3722</v>
      </c>
      <c r="BX223" s="1" t="s">
        <v>3723</v>
      </c>
      <c r="BY223" s="1" t="s">
        <v>120</v>
      </c>
      <c r="BZ223" s="1">
        <v>0</v>
      </c>
      <c r="CA223" s="1">
        <v>0</v>
      </c>
      <c r="CB223" s="4">
        <v>42939.280719062503</v>
      </c>
      <c r="CC223" s="1">
        <v>1</v>
      </c>
      <c r="CD223" s="1">
        <v>1</v>
      </c>
      <c r="CE223" s="1">
        <v>1</v>
      </c>
      <c r="CF223" s="1">
        <v>4</v>
      </c>
      <c r="CG223" s="4">
        <v>43009.647667592595</v>
      </c>
      <c r="CH223" s="1" t="s">
        <v>112</v>
      </c>
      <c r="CI223" s="1" t="s">
        <v>3724</v>
      </c>
      <c r="CJ223" s="1" t="s">
        <v>157</v>
      </c>
    </row>
    <row r="224" spans="1:88" x14ac:dyDescent="0.35">
      <c r="A224" s="1">
        <v>2810</v>
      </c>
      <c r="B224" s="1" t="s">
        <v>3725</v>
      </c>
      <c r="C224" s="1" t="s">
        <v>3726</v>
      </c>
      <c r="D224" s="1" t="s">
        <v>90</v>
      </c>
      <c r="E224" s="1" t="s">
        <v>1472</v>
      </c>
      <c r="F224" s="1" t="s">
        <v>3727</v>
      </c>
      <c r="G224" s="1">
        <v>1</v>
      </c>
      <c r="H224" s="3">
        <v>31034</v>
      </c>
      <c r="I224" s="1">
        <v>1</v>
      </c>
      <c r="J224" s="1" t="s">
        <v>93</v>
      </c>
      <c r="K224" s="1" t="s">
        <v>94</v>
      </c>
      <c r="L224" s="2">
        <f>91-9819386216</f>
        <v>-9819386125</v>
      </c>
      <c r="M224" s="1" t="s">
        <v>150</v>
      </c>
      <c r="N224" s="1">
        <v>0</v>
      </c>
      <c r="O224" s="1">
        <v>0</v>
      </c>
      <c r="P224" s="1">
        <v>5.05</v>
      </c>
      <c r="Q224" s="1">
        <v>3</v>
      </c>
      <c r="R224" s="1" t="s">
        <v>3728</v>
      </c>
      <c r="S224" s="1" t="s">
        <v>492</v>
      </c>
      <c r="T224" s="1" t="s">
        <v>3729</v>
      </c>
      <c r="U224" s="1" t="s">
        <v>2540</v>
      </c>
      <c r="V224" s="1" t="s">
        <v>2540</v>
      </c>
      <c r="X224" s="1" t="s">
        <v>296</v>
      </c>
      <c r="Y224" s="1" t="s">
        <v>210</v>
      </c>
      <c r="Z224" s="1" t="s">
        <v>1387</v>
      </c>
      <c r="AB224" s="1">
        <v>0</v>
      </c>
      <c r="AD224" s="1" t="s">
        <v>3730</v>
      </c>
      <c r="AE224" s="1" t="s">
        <v>142</v>
      </c>
      <c r="AF224" s="1" t="s">
        <v>2541</v>
      </c>
      <c r="AG224" s="1" t="s">
        <v>2135</v>
      </c>
      <c r="AH224" s="1" t="s">
        <v>3731</v>
      </c>
      <c r="AI224" s="1" t="s">
        <v>3732</v>
      </c>
      <c r="AJ224" s="1" t="s">
        <v>109</v>
      </c>
      <c r="AK224" s="1" t="s">
        <v>3733</v>
      </c>
      <c r="AL224" s="1">
        <v>2</v>
      </c>
      <c r="AM224" s="1" t="s">
        <v>2541</v>
      </c>
      <c r="AP224" s="1">
        <f>91-9727325842</f>
        <v>-9727325751</v>
      </c>
      <c r="AR224" s="1">
        <v>0</v>
      </c>
      <c r="AS224" s="1">
        <v>0</v>
      </c>
      <c r="AW224" s="1" t="s">
        <v>142</v>
      </c>
      <c r="AX224" s="1" t="s">
        <v>2747</v>
      </c>
      <c r="AY224" s="1" t="s">
        <v>3734</v>
      </c>
      <c r="AZ224" s="1">
        <v>4.1100000000000003</v>
      </c>
      <c r="BA224" s="1">
        <v>5.0599999999999996</v>
      </c>
      <c r="BB224" s="1" t="s">
        <v>151</v>
      </c>
      <c r="BC224" s="1" t="s">
        <v>152</v>
      </c>
      <c r="BD224" s="1" t="s">
        <v>1395</v>
      </c>
      <c r="BE224" s="1" t="s">
        <v>120</v>
      </c>
      <c r="BF224" s="1" t="s">
        <v>120</v>
      </c>
      <c r="BG224" s="1" t="s">
        <v>2541</v>
      </c>
      <c r="BH224" s="1" t="s">
        <v>2541</v>
      </c>
      <c r="BI224" s="1" t="s">
        <v>1387</v>
      </c>
      <c r="BL224" s="1">
        <v>0</v>
      </c>
      <c r="BM224" s="1">
        <v>0</v>
      </c>
      <c r="BN224" s="1" t="s">
        <v>3195</v>
      </c>
      <c r="BO224" s="1">
        <v>0</v>
      </c>
      <c r="BQ224" s="1" t="s">
        <v>180</v>
      </c>
      <c r="BR224" s="1">
        <v>0</v>
      </c>
      <c r="BS224" s="1" t="s">
        <v>787</v>
      </c>
      <c r="BT224" s="1" t="s">
        <v>124</v>
      </c>
      <c r="BV224" s="1" t="s">
        <v>112</v>
      </c>
      <c r="BW224" s="1" t="s">
        <v>3735</v>
      </c>
      <c r="BX224" s="1" t="s">
        <v>3736</v>
      </c>
      <c r="BY224" s="1" t="s">
        <v>120</v>
      </c>
      <c r="BZ224" s="1">
        <v>0</v>
      </c>
      <c r="CA224" s="1">
        <v>0</v>
      </c>
      <c r="CB224" s="4">
        <v>42942.138109803243</v>
      </c>
      <c r="CC224" s="1">
        <v>1</v>
      </c>
      <c r="CD224" s="1">
        <v>1</v>
      </c>
      <c r="CE224" s="1">
        <v>1</v>
      </c>
      <c r="CF224" s="1">
        <v>4</v>
      </c>
      <c r="CG224" s="4">
        <v>42942.138109803243</v>
      </c>
      <c r="CH224" s="1" t="s">
        <v>112</v>
      </c>
      <c r="CI224" s="1" t="s">
        <v>3737</v>
      </c>
      <c r="CJ224" s="1" t="s">
        <v>157</v>
      </c>
    </row>
    <row r="225" spans="1:88" x14ac:dyDescent="0.35">
      <c r="A225" s="1">
        <v>2812</v>
      </c>
      <c r="B225" s="1" t="s">
        <v>3738</v>
      </c>
      <c r="C225" s="1" t="s">
        <v>3739</v>
      </c>
      <c r="D225" s="1" t="s">
        <v>90</v>
      </c>
      <c r="E225" s="1" t="s">
        <v>3740</v>
      </c>
      <c r="F225" s="1" t="s">
        <v>134</v>
      </c>
      <c r="G225" s="1">
        <v>1</v>
      </c>
      <c r="H225" s="3">
        <v>32687</v>
      </c>
      <c r="I225" s="1">
        <v>1</v>
      </c>
      <c r="J225" s="1" t="s">
        <v>186</v>
      </c>
      <c r="K225" s="1" t="s">
        <v>3741</v>
      </c>
      <c r="L225" s="2">
        <f>91-9425375157</f>
        <v>-9425375066</v>
      </c>
      <c r="M225" s="1" t="s">
        <v>150</v>
      </c>
      <c r="N225" s="1">
        <v>0</v>
      </c>
      <c r="O225" s="1">
        <v>0</v>
      </c>
      <c r="P225" s="1">
        <v>5.1100000000000003</v>
      </c>
      <c r="Q225" s="1">
        <v>11</v>
      </c>
      <c r="R225" s="1" t="s">
        <v>340</v>
      </c>
      <c r="S225" s="1" t="s">
        <v>97</v>
      </c>
      <c r="T225" s="1" t="s">
        <v>166</v>
      </c>
      <c r="U225" s="1" t="s">
        <v>2540</v>
      </c>
      <c r="V225" s="1" t="s">
        <v>2540</v>
      </c>
      <c r="X225" s="1" t="s">
        <v>100</v>
      </c>
      <c r="Y225" s="1" t="s">
        <v>111</v>
      </c>
      <c r="Z225" s="1" t="s">
        <v>192</v>
      </c>
      <c r="AB225" s="1">
        <v>0</v>
      </c>
      <c r="AD225" s="1" t="s">
        <v>3742</v>
      </c>
      <c r="AE225" s="1" t="s">
        <v>142</v>
      </c>
      <c r="AF225" s="1" t="s">
        <v>2541</v>
      </c>
      <c r="AG225" s="1" t="s">
        <v>3743</v>
      </c>
      <c r="AH225" s="1" t="s">
        <v>3744</v>
      </c>
      <c r="AI225" s="1" t="s">
        <v>3745</v>
      </c>
      <c r="AJ225" s="1" t="s">
        <v>109</v>
      </c>
      <c r="AK225" s="1" t="s">
        <v>3746</v>
      </c>
      <c r="AL225" s="1">
        <v>47</v>
      </c>
      <c r="AM225" s="1" t="s">
        <v>2541</v>
      </c>
      <c r="AP225" s="1">
        <f>91-9425885381</f>
        <v>-9425885290</v>
      </c>
      <c r="AR225" s="1">
        <v>0</v>
      </c>
      <c r="AS225" s="1">
        <v>0</v>
      </c>
      <c r="AW225" s="1" t="s">
        <v>142</v>
      </c>
      <c r="AX225" s="1" t="s">
        <v>664</v>
      </c>
      <c r="AY225" s="1" t="s">
        <v>150</v>
      </c>
      <c r="AZ225" s="1">
        <v>5.0199999999999996</v>
      </c>
      <c r="BA225" s="1">
        <v>5.08</v>
      </c>
      <c r="BB225" s="1" t="s">
        <v>151</v>
      </c>
      <c r="BC225" s="1" t="s">
        <v>152</v>
      </c>
      <c r="BD225" s="1" t="s">
        <v>1395</v>
      </c>
      <c r="BE225" s="1" t="s">
        <v>97</v>
      </c>
      <c r="BF225" s="1" t="s">
        <v>120</v>
      </c>
      <c r="BG225" s="1" t="s">
        <v>2541</v>
      </c>
      <c r="BH225" s="1" t="s">
        <v>2541</v>
      </c>
      <c r="BI225" s="1" t="s">
        <v>192</v>
      </c>
      <c r="BL225" s="1">
        <v>0</v>
      </c>
      <c r="BM225" s="1">
        <v>0</v>
      </c>
      <c r="BN225" s="1" t="s">
        <v>3747</v>
      </c>
      <c r="BO225" s="1">
        <v>0</v>
      </c>
      <c r="BQ225" s="1" t="s">
        <v>180</v>
      </c>
      <c r="BR225" s="1">
        <v>0</v>
      </c>
      <c r="BS225" s="1" t="s">
        <v>223</v>
      </c>
      <c r="BT225" s="1" t="s">
        <v>124</v>
      </c>
      <c r="BV225" s="1" t="s">
        <v>112</v>
      </c>
      <c r="BW225" s="1" t="s">
        <v>3748</v>
      </c>
      <c r="BX225" s="1" t="s">
        <v>3749</v>
      </c>
      <c r="BY225" s="1" t="s">
        <v>120</v>
      </c>
      <c r="BZ225" s="1">
        <v>0</v>
      </c>
      <c r="CA225" s="1">
        <v>0</v>
      </c>
      <c r="CB225" s="4">
        <v>42945.978048842589</v>
      </c>
      <c r="CC225" s="1">
        <v>1</v>
      </c>
      <c r="CD225" s="1">
        <v>1</v>
      </c>
      <c r="CE225" s="1">
        <v>1</v>
      </c>
      <c r="CF225" s="1">
        <v>4</v>
      </c>
      <c r="CG225" s="4">
        <v>42946.345168287036</v>
      </c>
      <c r="CH225" s="1" t="s">
        <v>112</v>
      </c>
      <c r="CI225" s="1" t="s">
        <v>708</v>
      </c>
      <c r="CJ225" s="1" t="s">
        <v>157</v>
      </c>
    </row>
    <row r="226" spans="1:88" x14ac:dyDescent="0.35">
      <c r="A226" s="1">
        <v>2813</v>
      </c>
      <c r="B226" s="1" t="s">
        <v>3750</v>
      </c>
      <c r="C226" s="1">
        <v>8296915132</v>
      </c>
      <c r="D226" s="1" t="s">
        <v>90</v>
      </c>
      <c r="E226" s="1" t="s">
        <v>3751</v>
      </c>
      <c r="F226" s="1" t="s">
        <v>1129</v>
      </c>
      <c r="G226" s="1">
        <v>1</v>
      </c>
      <c r="H226" s="3">
        <v>33181</v>
      </c>
      <c r="I226" s="1">
        <v>1</v>
      </c>
      <c r="J226" s="1" t="s">
        <v>315</v>
      </c>
      <c r="K226" s="1" t="s">
        <v>3752</v>
      </c>
      <c r="L226" s="2">
        <f>91-8123929109</f>
        <v>-8123929018</v>
      </c>
      <c r="M226" s="1" t="s">
        <v>150</v>
      </c>
      <c r="N226" s="1">
        <v>0</v>
      </c>
      <c r="O226" s="1">
        <v>0</v>
      </c>
      <c r="P226" s="1">
        <v>5.0599999999999996</v>
      </c>
      <c r="Q226" s="1">
        <v>54</v>
      </c>
      <c r="R226" s="1" t="s">
        <v>1131</v>
      </c>
      <c r="S226" s="1" t="s">
        <v>97</v>
      </c>
      <c r="T226" s="1" t="s">
        <v>137</v>
      </c>
      <c r="U226" s="1" t="s">
        <v>3753</v>
      </c>
      <c r="V226" s="1" t="s">
        <v>2540</v>
      </c>
      <c r="W226" s="1" t="s">
        <v>3753</v>
      </c>
      <c r="X226" s="1" t="s">
        <v>100</v>
      </c>
      <c r="Y226" s="1" t="s">
        <v>111</v>
      </c>
      <c r="Z226" s="1" t="s">
        <v>3754</v>
      </c>
      <c r="AA226" s="1" t="s">
        <v>3755</v>
      </c>
      <c r="AB226" s="1">
        <v>0</v>
      </c>
      <c r="AD226" s="1" t="s">
        <v>3756</v>
      </c>
      <c r="AE226" s="1">
        <f>91-9448356820</f>
        <v>-9448356729</v>
      </c>
      <c r="AF226" s="1" t="s">
        <v>105</v>
      </c>
      <c r="AG226" s="1" t="s">
        <v>3757</v>
      </c>
      <c r="AH226" s="1" t="s">
        <v>3758</v>
      </c>
      <c r="AI226" s="1" t="s">
        <v>3759</v>
      </c>
      <c r="AJ226" s="1" t="s">
        <v>109</v>
      </c>
      <c r="AK226" s="1" t="s">
        <v>3760</v>
      </c>
      <c r="AL226" s="1">
        <v>24</v>
      </c>
      <c r="AM226" s="1" t="s">
        <v>111</v>
      </c>
      <c r="AN226" s="1" t="s">
        <v>124</v>
      </c>
      <c r="AO226" s="1" t="s">
        <v>3761</v>
      </c>
      <c r="AP226" s="1">
        <f>91-9448356820</f>
        <v>-9448356729</v>
      </c>
      <c r="AQ226" s="1" t="s">
        <v>124</v>
      </c>
      <c r="AR226" s="1">
        <v>2</v>
      </c>
      <c r="AS226" s="1">
        <v>0</v>
      </c>
      <c r="AT226" s="1" t="s">
        <v>3762</v>
      </c>
      <c r="AU226" s="1" t="s">
        <v>3763</v>
      </c>
      <c r="AV226" s="1" t="s">
        <v>316</v>
      </c>
      <c r="AW226" s="1">
        <f>91-9448460760</f>
        <v>-9448460669</v>
      </c>
      <c r="AX226" s="1" t="s">
        <v>1952</v>
      </c>
      <c r="AY226" s="1" t="s">
        <v>150</v>
      </c>
      <c r="AZ226" s="1">
        <v>4.0599999999999996</v>
      </c>
      <c r="BA226" s="1">
        <v>5.0199999999999996</v>
      </c>
      <c r="BE226" s="1" t="s">
        <v>120</v>
      </c>
      <c r="BG226" s="1" t="s">
        <v>120</v>
      </c>
      <c r="BH226" s="1" t="s">
        <v>120</v>
      </c>
      <c r="BJ226" s="1" t="s">
        <v>154</v>
      </c>
      <c r="BK226" s="1" t="s">
        <v>120</v>
      </c>
      <c r="BL226" s="1">
        <v>0</v>
      </c>
      <c r="BM226" s="1">
        <v>0</v>
      </c>
      <c r="BN226" s="1" t="s">
        <v>3764</v>
      </c>
      <c r="BO226" s="1">
        <v>1</v>
      </c>
      <c r="BP226" s="1" t="s">
        <v>1270</v>
      </c>
      <c r="BQ226" s="1" t="s">
        <v>112</v>
      </c>
      <c r="BR226" s="1">
        <v>0</v>
      </c>
      <c r="BS226" s="1" t="s">
        <v>334</v>
      </c>
      <c r="BT226" s="1" t="s">
        <v>1123</v>
      </c>
      <c r="BU226" s="1" t="s">
        <v>3765</v>
      </c>
      <c r="BV226" s="1" t="s">
        <v>112</v>
      </c>
      <c r="BW226" s="1" t="s">
        <v>3766</v>
      </c>
      <c r="BX226" s="1" t="s">
        <v>3767</v>
      </c>
      <c r="BY226" s="1" t="s">
        <v>465</v>
      </c>
      <c r="BZ226" s="1">
        <v>2</v>
      </c>
      <c r="CA226" s="1">
        <v>2</v>
      </c>
      <c r="CB226" s="4">
        <v>42949.140433217595</v>
      </c>
      <c r="CC226" s="1">
        <v>1</v>
      </c>
      <c r="CD226" s="1">
        <v>1</v>
      </c>
      <c r="CE226" s="1">
        <v>1</v>
      </c>
      <c r="CF226" s="1">
        <v>1</v>
      </c>
      <c r="CG226" s="4">
        <v>43897.589628321759</v>
      </c>
      <c r="CH226" s="1" t="s">
        <v>112</v>
      </c>
      <c r="CI226" s="1" t="s">
        <v>1270</v>
      </c>
      <c r="CJ226" s="1" t="s">
        <v>129</v>
      </c>
    </row>
    <row r="227" spans="1:88" x14ac:dyDescent="0.35">
      <c r="A227" s="1">
        <v>2815</v>
      </c>
      <c r="B227" s="1" t="s">
        <v>3768</v>
      </c>
      <c r="C227" s="1" t="s">
        <v>3769</v>
      </c>
      <c r="D227" s="1" t="s">
        <v>90</v>
      </c>
      <c r="E227" s="1" t="s">
        <v>3770</v>
      </c>
      <c r="F227" s="1" t="s">
        <v>552</v>
      </c>
      <c r="G227" s="1">
        <v>1</v>
      </c>
      <c r="H227" s="3">
        <v>32972</v>
      </c>
      <c r="I227" s="1">
        <v>1</v>
      </c>
      <c r="J227" s="1" t="s">
        <v>162</v>
      </c>
      <c r="K227" s="1" t="s">
        <v>1935</v>
      </c>
      <c r="L227" s="2">
        <f>91-9426248987</f>
        <v>-9426248896</v>
      </c>
      <c r="M227" s="1" t="s">
        <v>150</v>
      </c>
      <c r="N227" s="1">
        <v>0</v>
      </c>
      <c r="O227" s="1">
        <v>0</v>
      </c>
      <c r="P227" s="1">
        <v>5.0599999999999996</v>
      </c>
      <c r="Q227" s="1">
        <v>11</v>
      </c>
      <c r="R227" s="1" t="s">
        <v>693</v>
      </c>
      <c r="S227" s="1" t="s">
        <v>97</v>
      </c>
      <c r="T227" s="1" t="s">
        <v>166</v>
      </c>
      <c r="U227" s="1" t="s">
        <v>2651</v>
      </c>
      <c r="V227" s="1" t="s">
        <v>1021</v>
      </c>
      <c r="W227" s="1" t="s">
        <v>3771</v>
      </c>
      <c r="X227" s="1" t="s">
        <v>100</v>
      </c>
      <c r="Y227" s="1" t="s">
        <v>132</v>
      </c>
      <c r="Z227" s="1" t="s">
        <v>1064</v>
      </c>
      <c r="AB227" s="1">
        <v>0</v>
      </c>
      <c r="AD227" s="1" t="s">
        <v>3772</v>
      </c>
      <c r="AE227" s="1">
        <f>91-9265590829</f>
        <v>-9265590738</v>
      </c>
      <c r="AF227" s="1" t="s">
        <v>143</v>
      </c>
      <c r="AG227" s="1" t="s">
        <v>637</v>
      </c>
      <c r="AH227" s="1" t="s">
        <v>884</v>
      </c>
      <c r="AI227" s="1" t="s">
        <v>965</v>
      </c>
      <c r="AJ227" s="1" t="s">
        <v>109</v>
      </c>
      <c r="AK227" s="1" t="s">
        <v>3773</v>
      </c>
      <c r="AL227" s="1">
        <v>27</v>
      </c>
      <c r="AM227" s="1" t="s">
        <v>132</v>
      </c>
      <c r="AN227" s="1" t="s">
        <v>3774</v>
      </c>
      <c r="AO227" s="1" t="s">
        <v>3775</v>
      </c>
      <c r="AP227" s="1">
        <f>91-9974175703</f>
        <v>-9974175612</v>
      </c>
      <c r="AR227" s="1">
        <v>2</v>
      </c>
      <c r="AS227" s="1">
        <v>1</v>
      </c>
      <c r="AW227" s="1" t="s">
        <v>142</v>
      </c>
      <c r="AX227" s="1" t="s">
        <v>1440</v>
      </c>
      <c r="AY227" s="1" t="s">
        <v>150</v>
      </c>
      <c r="AZ227" s="1">
        <v>4</v>
      </c>
      <c r="BA227" s="1">
        <v>5.05</v>
      </c>
      <c r="BB227" s="1" t="s">
        <v>151</v>
      </c>
      <c r="BC227" s="1" t="s">
        <v>304</v>
      </c>
      <c r="BD227" s="1" t="s">
        <v>1333</v>
      </c>
      <c r="BE227" s="1" t="s">
        <v>1833</v>
      </c>
      <c r="BF227" s="1" t="s">
        <v>120</v>
      </c>
      <c r="BG227" s="1" t="s">
        <v>120</v>
      </c>
      <c r="BH227" s="1" t="s">
        <v>120</v>
      </c>
      <c r="BJ227" s="1" t="s">
        <v>120</v>
      </c>
      <c r="BK227" s="1" t="s">
        <v>120</v>
      </c>
      <c r="BL227" s="1">
        <v>0</v>
      </c>
      <c r="BM227" s="1">
        <v>0</v>
      </c>
      <c r="BN227" s="1" t="s">
        <v>3772</v>
      </c>
      <c r="BO227" s="1">
        <v>1</v>
      </c>
      <c r="BP227" s="1" t="s">
        <v>94</v>
      </c>
      <c r="BQ227" s="1" t="s">
        <v>180</v>
      </c>
      <c r="BR227" s="1">
        <v>0</v>
      </c>
      <c r="BS227" s="1" t="s">
        <v>181</v>
      </c>
      <c r="BT227" s="1" t="s">
        <v>120</v>
      </c>
      <c r="BV227" s="1" t="s">
        <v>112</v>
      </c>
      <c r="BW227" s="1" t="s">
        <v>3776</v>
      </c>
      <c r="BX227" s="1" t="s">
        <v>3777</v>
      </c>
      <c r="BY227" s="1" t="s">
        <v>120</v>
      </c>
      <c r="BZ227" s="1">
        <v>1</v>
      </c>
      <c r="CA227" s="1">
        <v>1</v>
      </c>
      <c r="CB227" s="4">
        <v>42950.020925810182</v>
      </c>
      <c r="CC227" s="1">
        <v>1</v>
      </c>
      <c r="CD227" s="1">
        <v>1</v>
      </c>
      <c r="CE227" s="1">
        <v>1</v>
      </c>
      <c r="CF227" s="1">
        <v>1</v>
      </c>
      <c r="CG227" s="4">
        <v>44008.145643865741</v>
      </c>
      <c r="CH227" s="1" t="s">
        <v>112</v>
      </c>
      <c r="CI227" s="1" t="s">
        <v>117</v>
      </c>
      <c r="CJ227" s="1" t="s">
        <v>157</v>
      </c>
    </row>
    <row r="228" spans="1:88" x14ac:dyDescent="0.35">
      <c r="A228" s="1">
        <v>2816</v>
      </c>
      <c r="B228" s="1" t="s">
        <v>3778</v>
      </c>
      <c r="C228" s="1" t="s">
        <v>3779</v>
      </c>
      <c r="D228" s="1" t="s">
        <v>90</v>
      </c>
      <c r="E228" s="1" t="s">
        <v>3780</v>
      </c>
      <c r="F228" s="1" t="s">
        <v>92</v>
      </c>
      <c r="G228" s="1">
        <v>1</v>
      </c>
      <c r="H228" s="3">
        <v>33293</v>
      </c>
      <c r="I228" s="1">
        <v>1</v>
      </c>
      <c r="J228" s="1" t="s">
        <v>162</v>
      </c>
      <c r="K228" s="1" t="s">
        <v>847</v>
      </c>
      <c r="L228" s="2">
        <f>91-9429467060</f>
        <v>-9429466969</v>
      </c>
      <c r="M228" s="1" t="s">
        <v>150</v>
      </c>
      <c r="N228" s="1">
        <v>0</v>
      </c>
      <c r="O228" s="1">
        <v>0</v>
      </c>
      <c r="P228" s="1">
        <v>5.08</v>
      </c>
      <c r="Q228" s="1">
        <v>12</v>
      </c>
      <c r="R228" s="1" t="s">
        <v>470</v>
      </c>
      <c r="S228" s="1" t="s">
        <v>136</v>
      </c>
      <c r="T228" s="1" t="s">
        <v>427</v>
      </c>
      <c r="U228" s="1" t="s">
        <v>2540</v>
      </c>
      <c r="V228" s="1" t="s">
        <v>2540</v>
      </c>
      <c r="X228" s="1" t="s">
        <v>100</v>
      </c>
      <c r="Y228" s="1" t="s">
        <v>101</v>
      </c>
      <c r="Z228" s="1" t="s">
        <v>3781</v>
      </c>
      <c r="AA228" s="1" t="s">
        <v>3782</v>
      </c>
      <c r="AB228" s="1">
        <v>0</v>
      </c>
      <c r="AD228" s="1" t="s">
        <v>3783</v>
      </c>
      <c r="AE228" s="1">
        <f>91-9909884857</f>
        <v>-9909884766</v>
      </c>
      <c r="AF228" s="1" t="s">
        <v>129</v>
      </c>
      <c r="AG228" s="1" t="s">
        <v>3784</v>
      </c>
      <c r="AH228" s="1" t="s">
        <v>3785</v>
      </c>
      <c r="AI228" s="1" t="s">
        <v>1505</v>
      </c>
      <c r="AJ228" s="1" t="s">
        <v>109</v>
      </c>
      <c r="AK228" s="1" t="s">
        <v>3786</v>
      </c>
      <c r="AL228" s="1">
        <v>40</v>
      </c>
      <c r="AM228" s="1" t="s">
        <v>132</v>
      </c>
      <c r="AN228" s="1" t="s">
        <v>437</v>
      </c>
      <c r="AP228" s="1">
        <f>91-9909884857</f>
        <v>-9909884766</v>
      </c>
      <c r="AR228" s="1">
        <v>1</v>
      </c>
      <c r="AS228" s="1">
        <v>1</v>
      </c>
      <c r="AW228" s="1" t="s">
        <v>142</v>
      </c>
      <c r="AX228" s="1" t="s">
        <v>1418</v>
      </c>
      <c r="AY228" s="1" t="s">
        <v>150</v>
      </c>
      <c r="AZ228" s="1">
        <v>5.03</v>
      </c>
      <c r="BA228" s="1">
        <v>5.08</v>
      </c>
      <c r="BB228" s="1" t="s">
        <v>151</v>
      </c>
      <c r="BC228" s="1" t="s">
        <v>304</v>
      </c>
      <c r="BD228" s="1" t="s">
        <v>1333</v>
      </c>
      <c r="BE228" s="1" t="s">
        <v>120</v>
      </c>
      <c r="BF228" s="1" t="s">
        <v>120</v>
      </c>
      <c r="BG228" s="1" t="s">
        <v>120</v>
      </c>
      <c r="BH228" s="1" t="s">
        <v>120</v>
      </c>
      <c r="BJ228" s="1" t="s">
        <v>120</v>
      </c>
      <c r="BK228" s="1" t="s">
        <v>120</v>
      </c>
      <c r="BL228" s="1">
        <v>0</v>
      </c>
      <c r="BM228" s="1">
        <v>0</v>
      </c>
      <c r="BN228" s="1" t="s">
        <v>3787</v>
      </c>
      <c r="BO228" s="1">
        <v>1</v>
      </c>
      <c r="BP228" s="1" t="s">
        <v>3788</v>
      </c>
      <c r="BQ228" s="1" t="s">
        <v>180</v>
      </c>
      <c r="BR228" s="1">
        <v>0</v>
      </c>
      <c r="BS228" s="1" t="s">
        <v>252</v>
      </c>
      <c r="BT228" s="1" t="s">
        <v>124</v>
      </c>
      <c r="BV228" s="1" t="s">
        <v>112</v>
      </c>
      <c r="BW228" s="1" t="s">
        <v>3789</v>
      </c>
      <c r="BX228" s="1" t="s">
        <v>3790</v>
      </c>
      <c r="BY228" s="1" t="s">
        <v>127</v>
      </c>
      <c r="BZ228" s="1">
        <v>2</v>
      </c>
      <c r="CA228" s="1">
        <v>1</v>
      </c>
      <c r="CB228" s="4">
        <v>42950.314724687501</v>
      </c>
      <c r="CC228" s="1">
        <v>1</v>
      </c>
      <c r="CD228" s="1">
        <v>1</v>
      </c>
      <c r="CE228" s="1">
        <v>1</v>
      </c>
      <c r="CF228" s="1">
        <v>4</v>
      </c>
      <c r="CG228" s="4">
        <v>42978.646891400465</v>
      </c>
      <c r="CH228" s="1" t="s">
        <v>112</v>
      </c>
      <c r="CI228" s="1" t="s">
        <v>3788</v>
      </c>
      <c r="CJ228" s="1" t="s">
        <v>157</v>
      </c>
    </row>
    <row r="229" spans="1:88" x14ac:dyDescent="0.35">
      <c r="A229" s="1">
        <v>2818</v>
      </c>
      <c r="B229" s="1" t="s">
        <v>3791</v>
      </c>
      <c r="C229" s="1" t="s">
        <v>3792</v>
      </c>
      <c r="D229" s="1" t="s">
        <v>132</v>
      </c>
      <c r="E229" s="1" t="s">
        <v>3793</v>
      </c>
      <c r="F229" s="1" t="s">
        <v>552</v>
      </c>
      <c r="G229" s="1">
        <v>1</v>
      </c>
      <c r="H229" s="3">
        <v>32895</v>
      </c>
      <c r="I229" s="1">
        <v>1</v>
      </c>
      <c r="J229" s="1" t="s">
        <v>2224</v>
      </c>
      <c r="K229" s="1" t="s">
        <v>2225</v>
      </c>
      <c r="L229" s="2">
        <f>91-9966598107</f>
        <v>-9966598016</v>
      </c>
      <c r="M229" s="1" t="s">
        <v>150</v>
      </c>
      <c r="N229" s="1">
        <v>0</v>
      </c>
      <c r="O229" s="1">
        <v>0</v>
      </c>
      <c r="P229" s="1">
        <v>5.08</v>
      </c>
      <c r="Q229" s="1">
        <v>11</v>
      </c>
      <c r="R229" s="1" t="s">
        <v>340</v>
      </c>
      <c r="S229" s="1" t="s">
        <v>492</v>
      </c>
      <c r="T229" s="1" t="s">
        <v>137</v>
      </c>
      <c r="U229" s="1" t="s">
        <v>2540</v>
      </c>
      <c r="V229" s="1" t="s">
        <v>2540</v>
      </c>
      <c r="X229" s="1" t="s">
        <v>100</v>
      </c>
      <c r="Y229" s="1" t="s">
        <v>111</v>
      </c>
      <c r="Z229" s="1" t="s">
        <v>3794</v>
      </c>
      <c r="AB229" s="1">
        <v>0</v>
      </c>
      <c r="AD229" s="1" t="s">
        <v>3795</v>
      </c>
      <c r="AE229" s="1">
        <f>91-9000584157</f>
        <v>-9000584066</v>
      </c>
      <c r="AF229" s="1" t="s">
        <v>2541</v>
      </c>
      <c r="AG229" s="1" t="s">
        <v>3796</v>
      </c>
      <c r="AH229" s="1" t="s">
        <v>3797</v>
      </c>
      <c r="AI229" s="1" t="s">
        <v>3798</v>
      </c>
      <c r="AJ229" s="1" t="s">
        <v>109</v>
      </c>
      <c r="AK229" s="1" t="s">
        <v>3799</v>
      </c>
      <c r="AL229" s="1">
        <v>6</v>
      </c>
      <c r="AM229" s="1" t="s">
        <v>2541</v>
      </c>
      <c r="AP229" s="1">
        <f>91-9963972315</f>
        <v>-9963972224</v>
      </c>
      <c r="AR229" s="1">
        <v>0</v>
      </c>
      <c r="AS229" s="1">
        <v>0</v>
      </c>
      <c r="AW229" s="1" t="s">
        <v>142</v>
      </c>
      <c r="AX229" s="1" t="s">
        <v>1300</v>
      </c>
      <c r="AY229" s="1" t="s">
        <v>1332</v>
      </c>
      <c r="AZ229" s="1">
        <v>5.05</v>
      </c>
      <c r="BA229" s="1">
        <v>5.0999999999999996</v>
      </c>
      <c r="BB229" s="1" t="s">
        <v>151</v>
      </c>
      <c r="BC229" s="1" t="s">
        <v>152</v>
      </c>
      <c r="BD229" s="1" t="s">
        <v>1395</v>
      </c>
      <c r="BE229" s="1" t="s">
        <v>3800</v>
      </c>
      <c r="BF229" s="1" t="s">
        <v>120</v>
      </c>
      <c r="BG229" s="1" t="s">
        <v>2541</v>
      </c>
      <c r="BH229" s="1" t="s">
        <v>2541</v>
      </c>
      <c r="BI229" s="1" t="s">
        <v>3794</v>
      </c>
      <c r="BL229" s="1">
        <v>0</v>
      </c>
      <c r="BM229" s="1">
        <v>0</v>
      </c>
      <c r="BN229" s="1" t="s">
        <v>3801</v>
      </c>
      <c r="BO229" s="1">
        <v>0</v>
      </c>
      <c r="BQ229" s="1" t="s">
        <v>180</v>
      </c>
      <c r="BR229" s="1">
        <v>0</v>
      </c>
      <c r="BS229" s="1" t="s">
        <v>376</v>
      </c>
      <c r="BT229" s="1" t="s">
        <v>124</v>
      </c>
      <c r="BU229" s="1" t="s">
        <v>3802</v>
      </c>
      <c r="BV229" s="1" t="s">
        <v>112</v>
      </c>
      <c r="BW229" s="1" t="s">
        <v>3803</v>
      </c>
      <c r="BX229" s="1" t="s">
        <v>3804</v>
      </c>
      <c r="BY229" s="1" t="s">
        <v>120</v>
      </c>
      <c r="BZ229" s="1">
        <v>0</v>
      </c>
      <c r="CA229" s="1">
        <v>0</v>
      </c>
      <c r="CB229" s="4">
        <v>42951.21177037037</v>
      </c>
      <c r="CC229" s="1">
        <v>1</v>
      </c>
      <c r="CD229" s="1">
        <v>1</v>
      </c>
      <c r="CE229" s="1">
        <v>1</v>
      </c>
      <c r="CF229" s="1">
        <v>4</v>
      </c>
      <c r="CG229" s="4">
        <v>42951.21177037037</v>
      </c>
      <c r="CH229" s="1" t="s">
        <v>112</v>
      </c>
      <c r="CI229" s="1" t="s">
        <v>3805</v>
      </c>
      <c r="CJ229" s="1" t="s">
        <v>157</v>
      </c>
    </row>
    <row r="230" spans="1:88" x14ac:dyDescent="0.35">
      <c r="A230" s="1">
        <v>2819</v>
      </c>
      <c r="B230" s="1" t="s">
        <v>3806</v>
      </c>
      <c r="C230" s="1" t="s">
        <v>3807</v>
      </c>
      <c r="D230" s="1" t="s">
        <v>90</v>
      </c>
      <c r="E230" s="1" t="s">
        <v>3808</v>
      </c>
      <c r="F230" s="1" t="s">
        <v>2411</v>
      </c>
      <c r="G230" s="1">
        <v>1</v>
      </c>
      <c r="H230" s="3">
        <v>34079</v>
      </c>
      <c r="I230" s="1">
        <v>1</v>
      </c>
      <c r="J230" s="1" t="s">
        <v>93</v>
      </c>
      <c r="K230" s="1" t="s">
        <v>384</v>
      </c>
      <c r="L230" s="2">
        <f>91-9325645841</f>
        <v>-9325645750</v>
      </c>
      <c r="M230" s="1" t="s">
        <v>150</v>
      </c>
      <c r="N230" s="1">
        <v>0</v>
      </c>
      <c r="O230" s="1">
        <v>0</v>
      </c>
      <c r="P230" s="1">
        <v>5.04</v>
      </c>
      <c r="Q230" s="1">
        <v>19</v>
      </c>
      <c r="R230" s="1" t="s">
        <v>714</v>
      </c>
      <c r="S230" s="1" t="s">
        <v>97</v>
      </c>
      <c r="T230" s="1" t="s">
        <v>137</v>
      </c>
      <c r="U230" s="1" t="s">
        <v>3809</v>
      </c>
      <c r="V230" s="1" t="s">
        <v>3810</v>
      </c>
      <c r="X230" s="1" t="s">
        <v>100</v>
      </c>
      <c r="Y230" s="1" t="s">
        <v>111</v>
      </c>
      <c r="Z230" s="1" t="s">
        <v>192</v>
      </c>
      <c r="AA230" s="1" t="s">
        <v>3811</v>
      </c>
      <c r="AB230" s="1">
        <v>0</v>
      </c>
      <c r="AD230" s="1" t="s">
        <v>3812</v>
      </c>
      <c r="AE230" s="1">
        <f>91-8087314533</f>
        <v>-8087314442</v>
      </c>
      <c r="AF230" s="1" t="s">
        <v>105</v>
      </c>
      <c r="AG230" s="1" t="s">
        <v>3813</v>
      </c>
      <c r="AH230" s="1" t="s">
        <v>3814</v>
      </c>
      <c r="AI230" s="1" t="s">
        <v>3815</v>
      </c>
      <c r="AJ230" s="1" t="s">
        <v>109</v>
      </c>
      <c r="AK230" s="1" t="s">
        <v>3816</v>
      </c>
      <c r="AL230" s="1">
        <v>30</v>
      </c>
      <c r="AM230" s="1" t="s">
        <v>111</v>
      </c>
      <c r="AN230" s="1" t="s">
        <v>198</v>
      </c>
      <c r="AO230" s="1" t="s">
        <v>3817</v>
      </c>
      <c r="AP230" s="1">
        <f>91-8087314533</f>
        <v>-8087314442</v>
      </c>
      <c r="AQ230" s="1" t="s">
        <v>124</v>
      </c>
      <c r="AR230" s="1">
        <v>1</v>
      </c>
      <c r="AS230" s="1">
        <v>0</v>
      </c>
      <c r="AW230" s="1" t="s">
        <v>142</v>
      </c>
      <c r="AX230" s="1" t="s">
        <v>2305</v>
      </c>
      <c r="AY230" s="1" t="s">
        <v>150</v>
      </c>
      <c r="AZ230" s="1">
        <v>4.07</v>
      </c>
      <c r="BA230" s="1">
        <v>5.05</v>
      </c>
      <c r="BB230" s="1" t="s">
        <v>151</v>
      </c>
      <c r="BC230" s="1" t="s">
        <v>152</v>
      </c>
      <c r="BD230" s="1" t="s">
        <v>1395</v>
      </c>
      <c r="BE230" s="1" t="s">
        <v>120</v>
      </c>
      <c r="BF230" s="1" t="s">
        <v>120</v>
      </c>
      <c r="BG230" s="1" t="s">
        <v>2541</v>
      </c>
      <c r="BH230" s="1" t="s">
        <v>2541</v>
      </c>
      <c r="BI230" s="1" t="s">
        <v>132</v>
      </c>
      <c r="BL230" s="1">
        <v>0</v>
      </c>
      <c r="BM230" s="1">
        <v>0</v>
      </c>
      <c r="BN230" s="1" t="s">
        <v>3818</v>
      </c>
      <c r="BO230" s="1">
        <v>1</v>
      </c>
      <c r="BP230" s="1" t="s">
        <v>398</v>
      </c>
      <c r="BQ230" s="1" t="s">
        <v>112</v>
      </c>
      <c r="BR230" s="1">
        <v>1</v>
      </c>
      <c r="BS230" s="1" t="s">
        <v>129</v>
      </c>
      <c r="BT230" s="1" t="s">
        <v>120</v>
      </c>
      <c r="BU230" s="1" t="s">
        <v>112</v>
      </c>
      <c r="BV230" s="1" t="s">
        <v>112</v>
      </c>
      <c r="BW230" s="1" t="s">
        <v>3819</v>
      </c>
      <c r="BX230" s="1" t="s">
        <v>112</v>
      </c>
      <c r="BY230" s="1" t="s">
        <v>465</v>
      </c>
      <c r="BZ230" s="1">
        <v>1</v>
      </c>
      <c r="CA230" s="1">
        <v>1</v>
      </c>
      <c r="CB230" s="4">
        <v>42953.217731828707</v>
      </c>
      <c r="CC230" s="1">
        <v>1</v>
      </c>
      <c r="CD230" s="1">
        <v>1</v>
      </c>
      <c r="CE230" s="1">
        <v>1</v>
      </c>
      <c r="CF230" s="1">
        <v>4</v>
      </c>
      <c r="CG230" s="4">
        <v>42985.548230173612</v>
      </c>
      <c r="CH230" s="1" t="s">
        <v>112</v>
      </c>
      <c r="CI230" s="1" t="s">
        <v>2110</v>
      </c>
      <c r="CJ230" s="1" t="s">
        <v>157</v>
      </c>
    </row>
    <row r="231" spans="1:88" x14ac:dyDescent="0.35">
      <c r="A231" s="1">
        <v>2820</v>
      </c>
      <c r="B231" s="1" t="s">
        <v>3820</v>
      </c>
      <c r="C231" s="1" t="s">
        <v>3821</v>
      </c>
      <c r="D231" s="1" t="s">
        <v>90</v>
      </c>
      <c r="E231" s="1" t="s">
        <v>3279</v>
      </c>
      <c r="F231" s="1" t="s">
        <v>581</v>
      </c>
      <c r="G231" s="1">
        <v>1</v>
      </c>
      <c r="H231" s="3">
        <v>34025</v>
      </c>
      <c r="I231" s="1">
        <v>1</v>
      </c>
      <c r="J231" s="1" t="s">
        <v>186</v>
      </c>
      <c r="K231" s="1" t="s">
        <v>187</v>
      </c>
      <c r="L231" s="2">
        <f>91-8827621883</f>
        <v>-8827621792</v>
      </c>
      <c r="M231" s="1" t="s">
        <v>150</v>
      </c>
      <c r="N231" s="1">
        <v>0</v>
      </c>
      <c r="O231" s="1">
        <v>0</v>
      </c>
      <c r="P231" s="1">
        <v>5.0599999999999996</v>
      </c>
      <c r="Q231" s="1">
        <v>43</v>
      </c>
      <c r="R231" s="1" t="s">
        <v>188</v>
      </c>
      <c r="S231" s="1" t="s">
        <v>136</v>
      </c>
      <c r="T231" s="1" t="s">
        <v>471</v>
      </c>
      <c r="U231" s="1" t="s">
        <v>2540</v>
      </c>
      <c r="V231" s="1" t="s">
        <v>2540</v>
      </c>
      <c r="X231" s="1" t="s">
        <v>170</v>
      </c>
      <c r="Y231" s="1" t="s">
        <v>111</v>
      </c>
      <c r="Z231" s="1" t="s">
        <v>774</v>
      </c>
      <c r="AB231" s="1">
        <v>0</v>
      </c>
      <c r="AD231" s="1" t="s">
        <v>3822</v>
      </c>
      <c r="AE231" s="1">
        <f>91-8818883903</f>
        <v>-8818883812</v>
      </c>
      <c r="AF231" s="1" t="s">
        <v>2541</v>
      </c>
      <c r="AG231" s="1" t="s">
        <v>2337</v>
      </c>
      <c r="AH231" s="1" t="s">
        <v>3823</v>
      </c>
      <c r="AI231" s="1" t="s">
        <v>3784</v>
      </c>
      <c r="AJ231" s="1" t="s">
        <v>109</v>
      </c>
      <c r="AK231" s="1" t="s">
        <v>187</v>
      </c>
      <c r="AL231" s="1">
        <v>6</v>
      </c>
      <c r="AM231" s="1" t="s">
        <v>2541</v>
      </c>
      <c r="AP231" s="1">
        <f>91-8818883904</f>
        <v>-8818883813</v>
      </c>
      <c r="AR231" s="1">
        <v>0</v>
      </c>
      <c r="AS231" s="1">
        <v>0</v>
      </c>
      <c r="AW231" s="1" t="s">
        <v>142</v>
      </c>
      <c r="AX231" s="1" t="s">
        <v>1440</v>
      </c>
      <c r="AY231" s="1" t="s">
        <v>150</v>
      </c>
      <c r="AZ231" s="1">
        <v>4.1100000000000003</v>
      </c>
      <c r="BA231" s="1">
        <v>5.1100000000000003</v>
      </c>
      <c r="BB231" s="1" t="s">
        <v>151</v>
      </c>
      <c r="BC231" s="1" t="s">
        <v>152</v>
      </c>
      <c r="BD231" s="1" t="s">
        <v>1395</v>
      </c>
      <c r="BE231" s="1" t="s">
        <v>120</v>
      </c>
      <c r="BF231" s="1" t="s">
        <v>120</v>
      </c>
      <c r="BG231" s="1" t="s">
        <v>2541</v>
      </c>
      <c r="BH231" s="1" t="s">
        <v>2541</v>
      </c>
      <c r="BI231" s="1" t="s">
        <v>774</v>
      </c>
      <c r="BL231" s="1">
        <v>0</v>
      </c>
      <c r="BM231" s="1">
        <v>0</v>
      </c>
      <c r="BN231" s="1" t="s">
        <v>3824</v>
      </c>
      <c r="BO231" s="1">
        <v>0</v>
      </c>
      <c r="BQ231" s="1" t="s">
        <v>180</v>
      </c>
      <c r="BR231" s="1">
        <v>0</v>
      </c>
      <c r="BS231" s="1" t="s">
        <v>399</v>
      </c>
      <c r="BT231" s="1" t="s">
        <v>124</v>
      </c>
      <c r="BV231" s="1" t="s">
        <v>112</v>
      </c>
      <c r="BW231" s="1" t="s">
        <v>3825</v>
      </c>
      <c r="BX231" s="1" t="s">
        <v>3826</v>
      </c>
      <c r="BY231" s="1" t="s">
        <v>120</v>
      </c>
      <c r="BZ231" s="1">
        <v>0</v>
      </c>
      <c r="CA231" s="1">
        <v>0</v>
      </c>
      <c r="CB231" s="4">
        <v>42955.037877696763</v>
      </c>
      <c r="CC231" s="1">
        <v>1</v>
      </c>
      <c r="CD231" s="1">
        <v>1</v>
      </c>
      <c r="CE231" s="1">
        <v>1</v>
      </c>
      <c r="CF231" s="1">
        <v>1</v>
      </c>
      <c r="CG231" s="4">
        <v>43281.750916469908</v>
      </c>
      <c r="CH231" s="1" t="s">
        <v>112</v>
      </c>
      <c r="CI231" s="1" t="s">
        <v>3827</v>
      </c>
      <c r="CJ231" s="1" t="s">
        <v>157</v>
      </c>
    </row>
    <row r="232" spans="1:88" x14ac:dyDescent="0.35">
      <c r="A232" s="1">
        <v>2821</v>
      </c>
      <c r="B232" s="1" t="s">
        <v>3828</v>
      </c>
      <c r="C232" s="1">
        <v>9724204704</v>
      </c>
      <c r="D232" s="1" t="s">
        <v>90</v>
      </c>
      <c r="E232" s="1" t="s">
        <v>3829</v>
      </c>
      <c r="F232" s="1" t="s">
        <v>581</v>
      </c>
      <c r="G232" s="1">
        <v>1</v>
      </c>
      <c r="H232" s="3">
        <v>33209</v>
      </c>
      <c r="I232" s="1">
        <v>1</v>
      </c>
      <c r="J232" s="1" t="s">
        <v>162</v>
      </c>
      <c r="K232" s="1" t="s">
        <v>3830</v>
      </c>
      <c r="L232" s="2">
        <f>91-9426637303</f>
        <v>-9426637212</v>
      </c>
      <c r="M232" s="1" t="s">
        <v>150</v>
      </c>
      <c r="N232" s="1">
        <v>0</v>
      </c>
      <c r="O232" s="1">
        <v>0</v>
      </c>
      <c r="P232" s="1">
        <v>5.05</v>
      </c>
      <c r="Q232" s="1">
        <v>43</v>
      </c>
      <c r="R232" s="1" t="s">
        <v>188</v>
      </c>
      <c r="S232" s="1" t="s">
        <v>293</v>
      </c>
      <c r="T232" s="1" t="s">
        <v>471</v>
      </c>
      <c r="U232" s="1" t="s">
        <v>2540</v>
      </c>
      <c r="V232" s="1" t="s">
        <v>2540</v>
      </c>
      <c r="X232" s="1" t="s">
        <v>296</v>
      </c>
      <c r="Y232" s="1" t="s">
        <v>111</v>
      </c>
      <c r="Z232" s="1" t="s">
        <v>450</v>
      </c>
      <c r="AB232" s="1">
        <v>0</v>
      </c>
      <c r="AD232" s="1" t="s">
        <v>3831</v>
      </c>
      <c r="AE232" s="1">
        <f>91-9724204704</f>
        <v>-9724204613</v>
      </c>
      <c r="AF232" s="1" t="s">
        <v>129</v>
      </c>
      <c r="AG232" s="1" t="s">
        <v>3832</v>
      </c>
      <c r="AH232" s="1" t="s">
        <v>3833</v>
      </c>
      <c r="AI232" s="1" t="s">
        <v>3834</v>
      </c>
      <c r="AJ232" s="1" t="s">
        <v>109</v>
      </c>
      <c r="AK232" s="1" t="s">
        <v>3835</v>
      </c>
      <c r="AL232" s="1">
        <v>5</v>
      </c>
      <c r="AM232" s="1" t="s">
        <v>129</v>
      </c>
      <c r="AP232" s="1">
        <f>91-9426637303</f>
        <v>-9426637212</v>
      </c>
      <c r="AR232" s="1">
        <v>2</v>
      </c>
      <c r="AS232" s="1">
        <v>1</v>
      </c>
      <c r="AW232" s="1" t="s">
        <v>142</v>
      </c>
      <c r="AX232" s="1" t="s">
        <v>149</v>
      </c>
      <c r="AY232" s="1" t="s">
        <v>1332</v>
      </c>
      <c r="AZ232" s="1">
        <v>5.01</v>
      </c>
      <c r="BA232" s="1">
        <v>5.05</v>
      </c>
      <c r="BB232" s="1" t="s">
        <v>151</v>
      </c>
      <c r="BC232" s="1" t="s">
        <v>304</v>
      </c>
      <c r="BD232" s="1" t="s">
        <v>1333</v>
      </c>
      <c r="BE232" s="1" t="s">
        <v>120</v>
      </c>
      <c r="BF232" s="1" t="s">
        <v>120</v>
      </c>
      <c r="BG232" s="1" t="s">
        <v>120</v>
      </c>
      <c r="BH232" s="1" t="s">
        <v>120</v>
      </c>
      <c r="BJ232" s="1" t="s">
        <v>120</v>
      </c>
      <c r="BK232" s="1" t="s">
        <v>120</v>
      </c>
      <c r="BL232" s="1">
        <v>0</v>
      </c>
      <c r="BM232" s="1">
        <v>0</v>
      </c>
      <c r="BN232" s="1" t="s">
        <v>3836</v>
      </c>
      <c r="BO232" s="1">
        <v>0</v>
      </c>
      <c r="BQ232" s="1" t="s">
        <v>112</v>
      </c>
      <c r="BR232" s="1">
        <v>0</v>
      </c>
      <c r="BS232" s="1" t="s">
        <v>129</v>
      </c>
      <c r="BT232" s="1" t="s">
        <v>124</v>
      </c>
      <c r="BU232" s="1" t="s">
        <v>3837</v>
      </c>
      <c r="BV232" s="1" t="s">
        <v>112</v>
      </c>
      <c r="BW232" s="1" t="s">
        <v>3838</v>
      </c>
      <c r="BX232" s="1" t="s">
        <v>3839</v>
      </c>
      <c r="BY232" s="1" t="s">
        <v>127</v>
      </c>
      <c r="BZ232" s="1">
        <v>0</v>
      </c>
      <c r="CA232" s="1">
        <v>0</v>
      </c>
      <c r="CB232" s="4">
        <v>42955.354595486111</v>
      </c>
      <c r="CC232" s="1">
        <v>1</v>
      </c>
      <c r="CD232" s="1">
        <v>1</v>
      </c>
      <c r="CE232" s="1">
        <v>1</v>
      </c>
      <c r="CF232" s="1">
        <v>4</v>
      </c>
      <c r="CG232" s="4">
        <v>43072.691906863423</v>
      </c>
      <c r="CH232" s="1" t="s">
        <v>112</v>
      </c>
      <c r="CI232" s="1" t="s">
        <v>3840</v>
      </c>
      <c r="CJ232" s="1" t="s">
        <v>157</v>
      </c>
    </row>
    <row r="233" spans="1:88" x14ac:dyDescent="0.35">
      <c r="A233" s="1">
        <v>2823</v>
      </c>
      <c r="B233" s="1" t="s">
        <v>3841</v>
      </c>
      <c r="C233" s="1" t="s">
        <v>3842</v>
      </c>
      <c r="D233" s="1" t="s">
        <v>312</v>
      </c>
      <c r="E233" s="1" t="s">
        <v>3843</v>
      </c>
      <c r="F233" s="1" t="s">
        <v>134</v>
      </c>
      <c r="G233" s="1">
        <v>1</v>
      </c>
      <c r="H233" s="3">
        <v>33183</v>
      </c>
      <c r="I233" s="1">
        <v>1</v>
      </c>
      <c r="J233" s="1" t="s">
        <v>2224</v>
      </c>
      <c r="K233" s="1" t="s">
        <v>2225</v>
      </c>
      <c r="L233" s="2">
        <f>91-9849164246</f>
        <v>-9849164155</v>
      </c>
      <c r="M233" s="1" t="s">
        <v>150</v>
      </c>
      <c r="N233" s="1">
        <v>0</v>
      </c>
      <c r="O233" s="1">
        <v>0</v>
      </c>
      <c r="P233" s="1">
        <v>5.09</v>
      </c>
      <c r="Q233" s="1">
        <v>16</v>
      </c>
      <c r="R233" s="1" t="s">
        <v>535</v>
      </c>
      <c r="S233" s="1" t="s">
        <v>136</v>
      </c>
      <c r="T233" s="1" t="s">
        <v>166</v>
      </c>
      <c r="U233" s="1" t="s">
        <v>2540</v>
      </c>
      <c r="V233" s="1" t="s">
        <v>2540</v>
      </c>
      <c r="X233" s="1" t="s">
        <v>100</v>
      </c>
      <c r="Y233" s="1" t="s">
        <v>101</v>
      </c>
      <c r="Z233" s="1" t="s">
        <v>171</v>
      </c>
      <c r="AB233" s="1">
        <v>0</v>
      </c>
      <c r="AD233" s="1" t="s">
        <v>3844</v>
      </c>
      <c r="AE233" s="1">
        <f>91-9908937727</f>
        <v>-9908937636</v>
      </c>
      <c r="AF233" s="1" t="s">
        <v>143</v>
      </c>
      <c r="AG233" s="1" t="s">
        <v>3845</v>
      </c>
      <c r="AH233" s="1" t="s">
        <v>3846</v>
      </c>
      <c r="AI233" s="1" t="s">
        <v>3847</v>
      </c>
      <c r="AJ233" s="1" t="s">
        <v>109</v>
      </c>
      <c r="AK233" s="1" t="s">
        <v>3848</v>
      </c>
      <c r="AL233" s="1">
        <v>50</v>
      </c>
      <c r="AM233" s="1" t="s">
        <v>111</v>
      </c>
      <c r="AN233" s="1" t="s">
        <v>3849</v>
      </c>
      <c r="AO233" s="1" t="s">
        <v>3850</v>
      </c>
      <c r="AP233" s="1">
        <f>91-9849164246</f>
        <v>-9849164155</v>
      </c>
      <c r="AR233" s="1">
        <v>0</v>
      </c>
      <c r="AS233" s="1">
        <v>0</v>
      </c>
      <c r="AT233" s="1" t="s">
        <v>3851</v>
      </c>
      <c r="AU233" s="1" t="s">
        <v>3852</v>
      </c>
      <c r="AV233" s="1" t="s">
        <v>3853</v>
      </c>
      <c r="AW233" s="1">
        <f>91-9422255401</f>
        <v>-9422255310</v>
      </c>
      <c r="AX233" s="1" t="s">
        <v>414</v>
      </c>
      <c r="AY233" s="1" t="s">
        <v>150</v>
      </c>
      <c r="AZ233" s="1">
        <v>5.01</v>
      </c>
      <c r="BA233" s="1">
        <v>5.05</v>
      </c>
      <c r="BE233" s="1" t="s">
        <v>2176</v>
      </c>
      <c r="BG233" s="1" t="s">
        <v>120</v>
      </c>
      <c r="BH233" s="1" t="s">
        <v>3854</v>
      </c>
      <c r="BJ233" s="1" t="s">
        <v>154</v>
      </c>
      <c r="BK233" s="1" t="s">
        <v>120</v>
      </c>
      <c r="BL233" s="1">
        <v>0</v>
      </c>
      <c r="BM233" s="1">
        <v>1</v>
      </c>
      <c r="BN233" s="1" t="s">
        <v>887</v>
      </c>
      <c r="BO233" s="1">
        <v>1</v>
      </c>
      <c r="BP233" s="1" t="s">
        <v>3855</v>
      </c>
      <c r="BQ233" s="1" t="s">
        <v>112</v>
      </c>
      <c r="BR233" s="1">
        <v>1</v>
      </c>
      <c r="BS233" s="1" t="s">
        <v>252</v>
      </c>
      <c r="BT233" s="1" t="s">
        <v>124</v>
      </c>
      <c r="BU233" s="1" t="s">
        <v>112</v>
      </c>
      <c r="BV233" s="1" t="s">
        <v>112</v>
      </c>
      <c r="BW233" s="1" t="s">
        <v>3856</v>
      </c>
      <c r="BX233" s="1" t="s">
        <v>3857</v>
      </c>
      <c r="BY233" s="1" t="s">
        <v>127</v>
      </c>
      <c r="BZ233" s="1">
        <v>2</v>
      </c>
      <c r="CA233" s="1">
        <v>0</v>
      </c>
      <c r="CB233" s="4">
        <v>42961.937919178243</v>
      </c>
      <c r="CC233" s="1">
        <v>1</v>
      </c>
      <c r="CD233" s="1">
        <v>1</v>
      </c>
      <c r="CE233" s="1">
        <v>1</v>
      </c>
      <c r="CF233" s="1">
        <v>4</v>
      </c>
      <c r="CG233" s="4">
        <v>42978.669695138888</v>
      </c>
      <c r="CH233" s="1" t="s">
        <v>112</v>
      </c>
      <c r="CI233" s="1" t="s">
        <v>3858</v>
      </c>
      <c r="CJ233" s="1" t="s">
        <v>129</v>
      </c>
    </row>
    <row r="234" spans="1:88" x14ac:dyDescent="0.35">
      <c r="A234" s="1">
        <v>2825</v>
      </c>
      <c r="B234" s="1" t="s">
        <v>3859</v>
      </c>
      <c r="C234" s="1" t="s">
        <v>3860</v>
      </c>
      <c r="D234" s="1" t="s">
        <v>229</v>
      </c>
      <c r="E234" s="1" t="s">
        <v>3861</v>
      </c>
      <c r="F234" s="1" t="s">
        <v>208</v>
      </c>
      <c r="G234" s="1">
        <v>1</v>
      </c>
      <c r="H234" s="3">
        <v>32490</v>
      </c>
      <c r="I234" s="1">
        <v>1</v>
      </c>
      <c r="J234" s="1" t="s">
        <v>1553</v>
      </c>
      <c r="K234" s="1" t="s">
        <v>1554</v>
      </c>
      <c r="L234" s="2">
        <f>91-8598034600</f>
        <v>-8598034509</v>
      </c>
      <c r="M234" s="1" t="s">
        <v>150</v>
      </c>
      <c r="N234" s="1">
        <v>0</v>
      </c>
      <c r="O234" s="1">
        <v>0</v>
      </c>
      <c r="P234" s="1">
        <v>5.05</v>
      </c>
      <c r="Q234" s="1">
        <v>10</v>
      </c>
      <c r="S234" s="1" t="s">
        <v>97</v>
      </c>
      <c r="T234" s="1" t="s">
        <v>166</v>
      </c>
      <c r="U234" s="1" t="s">
        <v>2540</v>
      </c>
      <c r="V234" s="1" t="s">
        <v>3862</v>
      </c>
      <c r="W234" s="1" t="s">
        <v>2350</v>
      </c>
      <c r="X234" s="1" t="s">
        <v>100</v>
      </c>
      <c r="Y234" s="1" t="s">
        <v>111</v>
      </c>
      <c r="Z234" s="1" t="s">
        <v>192</v>
      </c>
      <c r="AA234" s="1" t="s">
        <v>3863</v>
      </c>
      <c r="AB234" s="1">
        <v>0</v>
      </c>
      <c r="AD234" s="1" t="s">
        <v>3864</v>
      </c>
      <c r="AE234" s="1">
        <f>91-9685123336</f>
        <v>-9685123245</v>
      </c>
      <c r="AF234" s="1" t="s">
        <v>105</v>
      </c>
      <c r="AG234" s="1" t="s">
        <v>3865</v>
      </c>
      <c r="AH234" s="1" t="s">
        <v>3866</v>
      </c>
      <c r="AI234" s="1" t="s">
        <v>3867</v>
      </c>
      <c r="AJ234" s="1" t="s">
        <v>109</v>
      </c>
      <c r="AK234" s="1" t="s">
        <v>3868</v>
      </c>
      <c r="AL234" s="1">
        <v>2</v>
      </c>
      <c r="AM234" s="1" t="s">
        <v>111</v>
      </c>
      <c r="AO234" s="1" t="s">
        <v>3869</v>
      </c>
      <c r="AP234" s="1">
        <f>91-9438541852</f>
        <v>-9438541761</v>
      </c>
      <c r="AR234" s="1">
        <v>0</v>
      </c>
      <c r="AS234" s="1">
        <v>0</v>
      </c>
      <c r="AW234" s="1" t="s">
        <v>142</v>
      </c>
      <c r="AX234" s="1" t="s">
        <v>931</v>
      </c>
      <c r="AY234" s="1" t="s">
        <v>1332</v>
      </c>
      <c r="AZ234" s="1">
        <v>4.04</v>
      </c>
      <c r="BA234" s="1">
        <v>5.0199999999999996</v>
      </c>
      <c r="BB234" s="1" t="s">
        <v>151</v>
      </c>
      <c r="BC234" s="1" t="s">
        <v>304</v>
      </c>
      <c r="BD234" s="1" t="s">
        <v>1333</v>
      </c>
      <c r="BE234" s="1" t="s">
        <v>120</v>
      </c>
      <c r="BF234" s="1" t="s">
        <v>120</v>
      </c>
      <c r="BG234" s="1" t="s">
        <v>120</v>
      </c>
      <c r="BH234" s="1" t="s">
        <v>120</v>
      </c>
      <c r="BI234" s="1" t="s">
        <v>3109</v>
      </c>
      <c r="BJ234" s="1" t="s">
        <v>154</v>
      </c>
      <c r="BK234" s="1" t="s">
        <v>120</v>
      </c>
      <c r="BL234" s="1">
        <v>0</v>
      </c>
      <c r="BM234" s="1">
        <v>0</v>
      </c>
      <c r="BN234" s="1" t="s">
        <v>3870</v>
      </c>
      <c r="BO234" s="1">
        <v>0</v>
      </c>
      <c r="BQ234" s="1" t="s">
        <v>180</v>
      </c>
      <c r="BR234" s="1">
        <v>0</v>
      </c>
      <c r="BS234" s="1" t="s">
        <v>123</v>
      </c>
      <c r="BT234" s="1" t="s">
        <v>124</v>
      </c>
      <c r="BV234" s="1" t="s">
        <v>112</v>
      </c>
      <c r="BW234" s="1" t="s">
        <v>3871</v>
      </c>
      <c r="BX234" s="1" t="s">
        <v>3872</v>
      </c>
      <c r="BY234" s="1" t="s">
        <v>120</v>
      </c>
      <c r="BZ234" s="1">
        <v>2</v>
      </c>
      <c r="CA234" s="1">
        <v>0</v>
      </c>
      <c r="CB234" s="4">
        <v>42962.912900497686</v>
      </c>
      <c r="CC234" s="1">
        <v>1</v>
      </c>
      <c r="CD234" s="1">
        <v>1</v>
      </c>
      <c r="CE234" s="1">
        <v>1</v>
      </c>
      <c r="CF234" s="1">
        <v>1</v>
      </c>
      <c r="CG234" s="4">
        <v>43924.51858452546</v>
      </c>
      <c r="CH234" s="1" t="s">
        <v>112</v>
      </c>
      <c r="CI234" s="1" t="s">
        <v>3873</v>
      </c>
      <c r="CJ234" s="1" t="s">
        <v>157</v>
      </c>
    </row>
    <row r="235" spans="1:88" x14ac:dyDescent="0.35">
      <c r="A235" s="1">
        <v>2826</v>
      </c>
      <c r="B235" s="1" t="s">
        <v>3874</v>
      </c>
      <c r="C235" s="1" t="s">
        <v>3875</v>
      </c>
      <c r="D235" s="1" t="s">
        <v>312</v>
      </c>
      <c r="E235" s="1" t="s">
        <v>3061</v>
      </c>
      <c r="F235" s="1" t="s">
        <v>134</v>
      </c>
      <c r="G235" s="1">
        <v>1</v>
      </c>
      <c r="H235" s="3">
        <v>33867</v>
      </c>
      <c r="I235" s="1">
        <v>1</v>
      </c>
      <c r="J235" s="1" t="s">
        <v>2224</v>
      </c>
      <c r="K235" s="1" t="s">
        <v>2225</v>
      </c>
      <c r="L235" s="2">
        <f>91-9885900086</f>
        <v>-9885899995</v>
      </c>
      <c r="M235" s="1" t="s">
        <v>150</v>
      </c>
      <c r="N235" s="1">
        <v>0</v>
      </c>
      <c r="O235" s="1">
        <v>0</v>
      </c>
      <c r="P235" s="1">
        <v>5.0199999999999996</v>
      </c>
      <c r="Q235" s="1">
        <v>12</v>
      </c>
      <c r="R235" s="1" t="s">
        <v>470</v>
      </c>
      <c r="S235" s="1" t="s">
        <v>136</v>
      </c>
      <c r="T235" s="1" t="s">
        <v>234</v>
      </c>
      <c r="U235" s="1" t="s">
        <v>2540</v>
      </c>
      <c r="V235" s="1" t="s">
        <v>2540</v>
      </c>
      <c r="X235" s="1" t="s">
        <v>100</v>
      </c>
      <c r="Y235" s="1" t="s">
        <v>111</v>
      </c>
      <c r="Z235" s="1" t="s">
        <v>3876</v>
      </c>
      <c r="AB235" s="1">
        <v>0</v>
      </c>
      <c r="AD235" s="1" t="s">
        <v>3877</v>
      </c>
      <c r="AE235" s="1" t="s">
        <v>142</v>
      </c>
      <c r="AF235" s="1" t="s">
        <v>2541</v>
      </c>
      <c r="AG235" s="1" t="s">
        <v>3878</v>
      </c>
      <c r="AH235" s="1" t="s">
        <v>3879</v>
      </c>
      <c r="AI235" s="1" t="s">
        <v>3880</v>
      </c>
      <c r="AJ235" s="1" t="s">
        <v>109</v>
      </c>
      <c r="AK235" s="1" t="s">
        <v>2225</v>
      </c>
      <c r="AL235" s="1">
        <v>10</v>
      </c>
      <c r="AM235" s="1" t="s">
        <v>2541</v>
      </c>
      <c r="AP235" s="1">
        <f>91-9885900086</f>
        <v>-9885899995</v>
      </c>
      <c r="AR235" s="1">
        <v>0</v>
      </c>
      <c r="AS235" s="1">
        <v>0</v>
      </c>
      <c r="AW235" s="1" t="s">
        <v>142</v>
      </c>
      <c r="AX235" s="1" t="s">
        <v>3356</v>
      </c>
      <c r="AY235" s="1" t="s">
        <v>150</v>
      </c>
      <c r="AZ235" s="1">
        <v>5</v>
      </c>
      <c r="BA235" s="1">
        <v>5.0199999999999996</v>
      </c>
      <c r="BB235" s="1" t="s">
        <v>151</v>
      </c>
      <c r="BC235" s="1" t="s">
        <v>152</v>
      </c>
      <c r="BD235" s="1" t="s">
        <v>1395</v>
      </c>
      <c r="BE235" s="1" t="s">
        <v>120</v>
      </c>
      <c r="BF235" s="1" t="s">
        <v>120</v>
      </c>
      <c r="BG235" s="1" t="s">
        <v>2541</v>
      </c>
      <c r="BH235" s="1" t="s">
        <v>2541</v>
      </c>
      <c r="BI235" s="1" t="s">
        <v>3876</v>
      </c>
      <c r="BL235" s="1">
        <v>0</v>
      </c>
      <c r="BM235" s="1">
        <v>0</v>
      </c>
      <c r="BN235" s="1" t="s">
        <v>3881</v>
      </c>
      <c r="BO235" s="1">
        <v>0</v>
      </c>
      <c r="BQ235" s="1" t="s">
        <v>180</v>
      </c>
      <c r="BR235" s="1">
        <v>0</v>
      </c>
      <c r="BS235" s="1" t="s">
        <v>252</v>
      </c>
      <c r="BT235" s="1" t="s">
        <v>1123</v>
      </c>
      <c r="BV235" s="1" t="s">
        <v>112</v>
      </c>
      <c r="BW235" s="1" t="s">
        <v>3882</v>
      </c>
      <c r="BX235" s="1" t="s">
        <v>3883</v>
      </c>
      <c r="BY235" s="1" t="s">
        <v>120</v>
      </c>
      <c r="BZ235" s="1">
        <v>0</v>
      </c>
      <c r="CA235" s="1">
        <v>0</v>
      </c>
      <c r="CB235" s="4">
        <v>42964.416991932871</v>
      </c>
      <c r="CC235" s="1">
        <v>1</v>
      </c>
      <c r="CD235" s="1">
        <v>1</v>
      </c>
      <c r="CE235" s="1">
        <v>1</v>
      </c>
      <c r="CF235" s="1">
        <v>4</v>
      </c>
      <c r="CG235" s="4">
        <v>43045.547891168979</v>
      </c>
      <c r="CH235" s="1" t="s">
        <v>112</v>
      </c>
      <c r="CI235" s="1" t="s">
        <v>599</v>
      </c>
      <c r="CJ235" s="1" t="s">
        <v>157</v>
      </c>
    </row>
    <row r="236" spans="1:88" x14ac:dyDescent="0.35">
      <c r="A236" s="1">
        <v>2827</v>
      </c>
      <c r="B236" s="1" t="s">
        <v>3884</v>
      </c>
      <c r="C236" s="1" t="s">
        <v>3885</v>
      </c>
      <c r="D236" s="1" t="s">
        <v>90</v>
      </c>
      <c r="E236" s="1" t="s">
        <v>3886</v>
      </c>
      <c r="F236" s="1" t="s">
        <v>3887</v>
      </c>
      <c r="G236" s="1">
        <v>1</v>
      </c>
      <c r="H236" s="3">
        <v>33924</v>
      </c>
      <c r="I236" s="1">
        <v>1</v>
      </c>
      <c r="J236" s="1" t="s">
        <v>162</v>
      </c>
      <c r="K236" s="1" t="s">
        <v>163</v>
      </c>
      <c r="L236" s="2">
        <f>91-9033427775</f>
        <v>-9033427684</v>
      </c>
      <c r="M236" s="1" t="s">
        <v>150</v>
      </c>
      <c r="N236" s="1">
        <v>0</v>
      </c>
      <c r="O236" s="1">
        <v>0</v>
      </c>
      <c r="P236" s="1">
        <v>5.08</v>
      </c>
      <c r="Q236" s="1">
        <v>5</v>
      </c>
      <c r="R236" s="1" t="s">
        <v>263</v>
      </c>
      <c r="S236" s="1" t="s">
        <v>97</v>
      </c>
      <c r="T236" s="1" t="s">
        <v>341</v>
      </c>
      <c r="U236" s="1" t="s">
        <v>2540</v>
      </c>
      <c r="V236" s="1" t="s">
        <v>2540</v>
      </c>
      <c r="X236" s="1" t="s">
        <v>100</v>
      </c>
      <c r="Y236" s="1" t="s">
        <v>111</v>
      </c>
      <c r="Z236" s="1" t="s">
        <v>858</v>
      </c>
      <c r="AB236" s="1">
        <v>0</v>
      </c>
      <c r="AD236" s="1" t="s">
        <v>3888</v>
      </c>
      <c r="AE236" s="1">
        <f>91-9429332867</f>
        <v>-9429332776</v>
      </c>
      <c r="AF236" s="1" t="s">
        <v>2541</v>
      </c>
      <c r="AG236" s="1" t="s">
        <v>3889</v>
      </c>
      <c r="AH236" s="1" t="s">
        <v>3890</v>
      </c>
      <c r="AI236" s="1" t="s">
        <v>3891</v>
      </c>
      <c r="AJ236" s="1" t="s">
        <v>1238</v>
      </c>
      <c r="AK236" s="1" t="s">
        <v>3892</v>
      </c>
      <c r="AL236" s="1">
        <v>23</v>
      </c>
      <c r="AM236" s="1" t="s">
        <v>2541</v>
      </c>
      <c r="AP236" s="1">
        <f>91-9426332867</f>
        <v>-9426332776</v>
      </c>
      <c r="AR236" s="1">
        <v>0</v>
      </c>
      <c r="AS236" s="1">
        <v>0</v>
      </c>
      <c r="AW236" s="1" t="s">
        <v>142</v>
      </c>
      <c r="AX236" s="1" t="s">
        <v>3592</v>
      </c>
      <c r="AY236" s="1" t="s">
        <v>150</v>
      </c>
      <c r="AZ236" s="1">
        <v>4.08</v>
      </c>
      <c r="BA236" s="1">
        <v>6</v>
      </c>
      <c r="BB236" s="1" t="s">
        <v>151</v>
      </c>
      <c r="BC236" s="1" t="s">
        <v>152</v>
      </c>
      <c r="BD236" s="1" t="s">
        <v>1395</v>
      </c>
      <c r="BE236" s="1" t="s">
        <v>120</v>
      </c>
      <c r="BF236" s="1" t="s">
        <v>120</v>
      </c>
      <c r="BG236" s="1" t="s">
        <v>2541</v>
      </c>
      <c r="BH236" s="1" t="s">
        <v>2541</v>
      </c>
      <c r="BI236" s="1" t="s">
        <v>858</v>
      </c>
      <c r="BL236" s="1">
        <v>0</v>
      </c>
      <c r="BM236" s="1">
        <v>0</v>
      </c>
      <c r="BN236" s="1" t="s">
        <v>3893</v>
      </c>
      <c r="BO236" s="1">
        <v>0</v>
      </c>
      <c r="BQ236" s="1" t="s">
        <v>180</v>
      </c>
      <c r="BR236" s="1">
        <v>0</v>
      </c>
      <c r="BS236" s="1" t="s">
        <v>307</v>
      </c>
      <c r="BT236" s="1" t="s">
        <v>124</v>
      </c>
      <c r="BV236" s="1" t="s">
        <v>112</v>
      </c>
      <c r="BW236" s="1" t="s">
        <v>3894</v>
      </c>
      <c r="BX236" s="1" t="s">
        <v>3895</v>
      </c>
      <c r="BY236" s="1" t="s">
        <v>120</v>
      </c>
      <c r="BZ236" s="1">
        <v>0</v>
      </c>
      <c r="CA236" s="1">
        <v>0</v>
      </c>
      <c r="CB236" s="4">
        <v>42968.078245520832</v>
      </c>
      <c r="CC236" s="1">
        <v>1</v>
      </c>
      <c r="CD236" s="1">
        <v>1</v>
      </c>
      <c r="CE236" s="1">
        <v>1</v>
      </c>
      <c r="CF236" s="1">
        <v>4</v>
      </c>
      <c r="CG236" s="4">
        <v>42975.228670682867</v>
      </c>
      <c r="CH236" s="1" t="s">
        <v>112</v>
      </c>
      <c r="CI236" s="1" t="s">
        <v>1688</v>
      </c>
      <c r="CJ236" s="1" t="s">
        <v>157</v>
      </c>
    </row>
    <row r="237" spans="1:88" x14ac:dyDescent="0.35">
      <c r="A237" s="1">
        <v>2830</v>
      </c>
      <c r="B237" s="1" t="s">
        <v>3896</v>
      </c>
      <c r="C237" s="1" t="s">
        <v>3897</v>
      </c>
      <c r="D237" s="1" t="s">
        <v>259</v>
      </c>
      <c r="E237" s="1" t="s">
        <v>3898</v>
      </c>
      <c r="F237" s="1" t="s">
        <v>3899</v>
      </c>
      <c r="G237" s="1">
        <v>0</v>
      </c>
      <c r="H237" s="3">
        <v>34331</v>
      </c>
      <c r="I237" s="1">
        <v>1</v>
      </c>
      <c r="J237" s="1" t="s">
        <v>93</v>
      </c>
      <c r="K237" s="1" t="s">
        <v>3900</v>
      </c>
      <c r="L237" s="2">
        <f>91-7875893434</f>
        <v>-7875893343</v>
      </c>
      <c r="M237" s="1" t="s">
        <v>150</v>
      </c>
      <c r="N237" s="1">
        <v>0</v>
      </c>
      <c r="O237" s="1">
        <v>0</v>
      </c>
      <c r="P237" s="1">
        <v>5.05</v>
      </c>
      <c r="Q237" s="1">
        <v>19</v>
      </c>
      <c r="R237" s="1" t="s">
        <v>714</v>
      </c>
      <c r="S237" s="1" t="s">
        <v>1914</v>
      </c>
      <c r="T237" s="1" t="s">
        <v>98</v>
      </c>
      <c r="U237" s="1" t="s">
        <v>3901</v>
      </c>
      <c r="V237" s="1" t="s">
        <v>3902</v>
      </c>
      <c r="W237" s="1" t="s">
        <v>3903</v>
      </c>
      <c r="X237" s="1" t="s">
        <v>100</v>
      </c>
      <c r="Y237" s="1" t="s">
        <v>268</v>
      </c>
      <c r="Z237" s="1" t="s">
        <v>1917</v>
      </c>
      <c r="AA237" s="1" t="s">
        <v>3904</v>
      </c>
      <c r="AB237" s="1">
        <v>0</v>
      </c>
      <c r="AD237" s="1" t="s">
        <v>3905</v>
      </c>
      <c r="AE237" s="1">
        <f>91-9422893434</f>
        <v>-9422893343</v>
      </c>
      <c r="AF237" s="1" t="s">
        <v>129</v>
      </c>
      <c r="AG237" s="1" t="s">
        <v>3906</v>
      </c>
      <c r="AH237" s="1" t="s">
        <v>3907</v>
      </c>
      <c r="AI237" s="1" t="s">
        <v>3908</v>
      </c>
      <c r="AJ237" s="1" t="s">
        <v>109</v>
      </c>
      <c r="AK237" s="1" t="s">
        <v>3909</v>
      </c>
      <c r="AL237" s="1">
        <v>15</v>
      </c>
      <c r="AM237" s="1" t="s">
        <v>111</v>
      </c>
      <c r="AN237" s="1" t="s">
        <v>1564</v>
      </c>
      <c r="AO237" s="1" t="s">
        <v>3910</v>
      </c>
      <c r="AP237" s="1">
        <f>91-7875893434</f>
        <v>-7875893343</v>
      </c>
      <c r="AQ237" s="1" t="s">
        <v>3911</v>
      </c>
      <c r="AR237" s="1">
        <v>1</v>
      </c>
      <c r="AS237" s="1">
        <v>0</v>
      </c>
      <c r="AW237" s="1" t="s">
        <v>142</v>
      </c>
      <c r="AX237" s="1" t="s">
        <v>1120</v>
      </c>
      <c r="AY237" s="1" t="s">
        <v>150</v>
      </c>
      <c r="AZ237" s="1">
        <v>5.05</v>
      </c>
      <c r="BA237" s="1">
        <v>6</v>
      </c>
      <c r="BB237" s="1" t="s">
        <v>151</v>
      </c>
      <c r="BC237" s="1" t="s">
        <v>304</v>
      </c>
      <c r="BD237" s="1" t="s">
        <v>1333</v>
      </c>
      <c r="BE237" s="1" t="s">
        <v>281</v>
      </c>
      <c r="BF237" s="1" t="s">
        <v>120</v>
      </c>
      <c r="BG237" s="1" t="s">
        <v>100</v>
      </c>
      <c r="BH237" s="1" t="s">
        <v>120</v>
      </c>
      <c r="BJ237" s="1" t="s">
        <v>154</v>
      </c>
      <c r="BK237" s="1" t="s">
        <v>120</v>
      </c>
      <c r="BL237" s="1">
        <v>0</v>
      </c>
      <c r="BM237" s="1">
        <v>1</v>
      </c>
      <c r="BN237" s="1" t="s">
        <v>3912</v>
      </c>
      <c r="BO237" s="1">
        <v>1</v>
      </c>
      <c r="BP237" s="1" t="s">
        <v>3904</v>
      </c>
      <c r="BQ237" s="1" t="s">
        <v>112</v>
      </c>
      <c r="BR237" s="1">
        <v>1</v>
      </c>
      <c r="BS237" s="1" t="s">
        <v>252</v>
      </c>
      <c r="BT237" s="1" t="s">
        <v>124</v>
      </c>
      <c r="BU237" s="1" t="s">
        <v>3913</v>
      </c>
      <c r="BV237" s="1" t="s">
        <v>112</v>
      </c>
      <c r="BW237" s="1" t="s">
        <v>3914</v>
      </c>
      <c r="BX237" s="1" t="s">
        <v>3915</v>
      </c>
      <c r="BY237" s="1" t="s">
        <v>120</v>
      </c>
      <c r="BZ237" s="1">
        <v>1</v>
      </c>
      <c r="CA237" s="1">
        <v>1</v>
      </c>
      <c r="CB237" s="4">
        <v>42973.192682442132</v>
      </c>
      <c r="CC237" s="1">
        <v>1</v>
      </c>
      <c r="CD237" s="1">
        <v>1</v>
      </c>
      <c r="CE237" s="1">
        <v>1</v>
      </c>
      <c r="CF237" s="1">
        <v>1</v>
      </c>
      <c r="CG237" s="4">
        <v>43104.682174421294</v>
      </c>
      <c r="CH237" s="1" t="s">
        <v>112</v>
      </c>
      <c r="CI237" s="1" t="s">
        <v>3916</v>
      </c>
      <c r="CJ237" s="1" t="s">
        <v>157</v>
      </c>
    </row>
    <row r="238" spans="1:88" x14ac:dyDescent="0.35">
      <c r="A238" s="1">
        <v>2834</v>
      </c>
      <c r="B238" s="1" t="s">
        <v>3917</v>
      </c>
      <c r="C238" s="1" t="s">
        <v>3918</v>
      </c>
      <c r="D238" s="1" t="s">
        <v>90</v>
      </c>
      <c r="E238" s="1" t="s">
        <v>3919</v>
      </c>
      <c r="F238" s="1" t="s">
        <v>92</v>
      </c>
      <c r="G238" s="1">
        <v>1</v>
      </c>
      <c r="H238" s="3">
        <v>34121</v>
      </c>
      <c r="I238" s="1">
        <v>1</v>
      </c>
      <c r="J238" s="1" t="s">
        <v>162</v>
      </c>
      <c r="K238" s="1" t="s">
        <v>232</v>
      </c>
      <c r="L238" s="2">
        <f>91-9909180101</f>
        <v>-9909180010</v>
      </c>
      <c r="M238" s="1" t="s">
        <v>95</v>
      </c>
      <c r="N238" s="1">
        <v>0</v>
      </c>
      <c r="O238" s="1">
        <v>0</v>
      </c>
      <c r="P238" s="1">
        <v>5.08</v>
      </c>
      <c r="Q238" s="1">
        <v>12</v>
      </c>
      <c r="R238" s="1" t="s">
        <v>470</v>
      </c>
      <c r="S238" s="1" t="s">
        <v>293</v>
      </c>
      <c r="T238" s="1" t="s">
        <v>166</v>
      </c>
      <c r="U238" s="1" t="s">
        <v>3920</v>
      </c>
      <c r="V238" s="1" t="s">
        <v>3921</v>
      </c>
      <c r="W238" s="1" t="s">
        <v>3922</v>
      </c>
      <c r="X238" s="1" t="s">
        <v>170</v>
      </c>
      <c r="Y238" s="1" t="s">
        <v>210</v>
      </c>
      <c r="Z238" s="1" t="s">
        <v>366</v>
      </c>
      <c r="AA238" s="1" t="s">
        <v>3923</v>
      </c>
      <c r="AB238" s="1">
        <v>0</v>
      </c>
      <c r="AD238" s="1" t="s">
        <v>3924</v>
      </c>
      <c r="AE238" s="1" t="s">
        <v>142</v>
      </c>
      <c r="AF238" s="1" t="s">
        <v>105</v>
      </c>
      <c r="AG238" s="1" t="s">
        <v>3925</v>
      </c>
      <c r="AH238" s="1" t="s">
        <v>3926</v>
      </c>
      <c r="AI238" s="1" t="s">
        <v>3927</v>
      </c>
      <c r="AJ238" s="1" t="s">
        <v>109</v>
      </c>
      <c r="AK238" s="1" t="s">
        <v>3928</v>
      </c>
      <c r="AL238" s="1">
        <v>24</v>
      </c>
      <c r="AM238" s="1" t="s">
        <v>111</v>
      </c>
      <c r="AN238" s="1" t="s">
        <v>3929</v>
      </c>
      <c r="AO238" s="1" t="s">
        <v>3930</v>
      </c>
      <c r="AP238" s="1">
        <f>91-9427146404</f>
        <v>-9427146313</v>
      </c>
      <c r="AQ238" s="1" t="s">
        <v>1007</v>
      </c>
      <c r="AR238" s="1">
        <v>0</v>
      </c>
      <c r="AS238" s="1">
        <v>0</v>
      </c>
      <c r="AT238" s="1" t="s">
        <v>3931</v>
      </c>
      <c r="AU238" s="1" t="s">
        <v>3932</v>
      </c>
      <c r="AV238" s="1" t="s">
        <v>708</v>
      </c>
      <c r="AW238" s="1">
        <f>91-9428657422</f>
        <v>-9428657331</v>
      </c>
      <c r="AX238" s="1" t="s">
        <v>3356</v>
      </c>
      <c r="AY238" s="1" t="s">
        <v>3933</v>
      </c>
      <c r="AZ238" s="1">
        <v>5</v>
      </c>
      <c r="BA238" s="1">
        <v>5.08</v>
      </c>
      <c r="BB238" s="1" t="s">
        <v>151</v>
      </c>
      <c r="BC238" s="1" t="s">
        <v>304</v>
      </c>
      <c r="BD238" s="1" t="s">
        <v>1333</v>
      </c>
      <c r="BE238" s="1" t="s">
        <v>1334</v>
      </c>
      <c r="BF238" s="1" t="s">
        <v>120</v>
      </c>
      <c r="BG238" s="1" t="s">
        <v>684</v>
      </c>
      <c r="BH238" s="1" t="s">
        <v>114</v>
      </c>
      <c r="BJ238" s="1" t="s">
        <v>120</v>
      </c>
      <c r="BK238" s="1" t="s">
        <v>120</v>
      </c>
      <c r="BL238" s="1">
        <v>0</v>
      </c>
      <c r="BM238" s="1">
        <v>0</v>
      </c>
      <c r="BN238" s="1" t="s">
        <v>3934</v>
      </c>
      <c r="BO238" s="1">
        <v>1</v>
      </c>
      <c r="BP238" s="1" t="s">
        <v>546</v>
      </c>
      <c r="BQ238" s="1" t="s">
        <v>112</v>
      </c>
      <c r="BR238" s="1">
        <v>1</v>
      </c>
      <c r="BS238" s="1" t="s">
        <v>181</v>
      </c>
      <c r="BT238" s="1" t="s">
        <v>124</v>
      </c>
      <c r="BU238" s="1" t="s">
        <v>112</v>
      </c>
      <c r="BV238" s="1" t="s">
        <v>112</v>
      </c>
      <c r="BW238" s="1" t="s">
        <v>3935</v>
      </c>
      <c r="BX238" s="1" t="s">
        <v>3936</v>
      </c>
      <c r="BY238" s="1" t="s">
        <v>127</v>
      </c>
      <c r="BZ238" s="1">
        <v>1</v>
      </c>
      <c r="CA238" s="1">
        <v>2</v>
      </c>
      <c r="CB238" s="4">
        <v>42986.34619783565</v>
      </c>
      <c r="CC238" s="1">
        <v>1</v>
      </c>
      <c r="CD238" s="1">
        <v>1</v>
      </c>
      <c r="CE238" s="1">
        <v>1</v>
      </c>
      <c r="CF238" s="1">
        <v>1</v>
      </c>
      <c r="CG238" s="4">
        <v>43898.37567465278</v>
      </c>
      <c r="CH238" s="1" t="s">
        <v>112</v>
      </c>
      <c r="CI238" s="1" t="s">
        <v>1645</v>
      </c>
      <c r="CJ238" s="1" t="s">
        <v>157</v>
      </c>
    </row>
    <row r="239" spans="1:88" x14ac:dyDescent="0.35">
      <c r="A239" s="1">
        <v>2835</v>
      </c>
      <c r="B239" s="1" t="s">
        <v>3937</v>
      </c>
      <c r="C239" s="1" t="s">
        <v>3938</v>
      </c>
      <c r="D239" s="1" t="s">
        <v>90</v>
      </c>
      <c r="E239" s="1" t="s">
        <v>3939</v>
      </c>
      <c r="F239" s="1" t="s">
        <v>134</v>
      </c>
      <c r="G239" s="1">
        <v>0</v>
      </c>
      <c r="H239" s="3">
        <v>32327</v>
      </c>
      <c r="I239" s="1">
        <v>1</v>
      </c>
      <c r="J239" s="1" t="s">
        <v>162</v>
      </c>
      <c r="K239" s="1" t="s">
        <v>163</v>
      </c>
      <c r="L239" s="2">
        <f>91-9925249502</f>
        <v>-9925249411</v>
      </c>
      <c r="M239" s="1" t="s">
        <v>95</v>
      </c>
      <c r="N239" s="1">
        <v>0</v>
      </c>
      <c r="O239" s="1">
        <v>0</v>
      </c>
      <c r="P239" s="1">
        <v>5.05</v>
      </c>
      <c r="Q239" s="1">
        <v>3</v>
      </c>
      <c r="R239" s="1" t="s">
        <v>3728</v>
      </c>
      <c r="S239" s="1" t="s">
        <v>1914</v>
      </c>
      <c r="T239" s="1" t="s">
        <v>98</v>
      </c>
      <c r="U239" s="1" t="s">
        <v>2540</v>
      </c>
      <c r="V239" s="1" t="s">
        <v>2540</v>
      </c>
      <c r="X239" s="1" t="s">
        <v>100</v>
      </c>
      <c r="Y239" s="1" t="s">
        <v>114</v>
      </c>
      <c r="Z239" s="1" t="s">
        <v>1064</v>
      </c>
      <c r="AB239" s="1">
        <v>0</v>
      </c>
      <c r="AD239" s="1" t="s">
        <v>3940</v>
      </c>
      <c r="AE239" s="1" t="s">
        <v>142</v>
      </c>
      <c r="AF239" s="1" t="s">
        <v>143</v>
      </c>
      <c r="AG239" s="1" t="s">
        <v>3941</v>
      </c>
      <c r="AH239" s="1" t="s">
        <v>370</v>
      </c>
      <c r="AI239" s="1" t="s">
        <v>3942</v>
      </c>
      <c r="AJ239" s="1" t="s">
        <v>109</v>
      </c>
      <c r="AK239" s="1" t="s">
        <v>3943</v>
      </c>
      <c r="AL239" s="1">
        <v>25</v>
      </c>
      <c r="AM239" s="1" t="s">
        <v>111</v>
      </c>
      <c r="AP239" s="1">
        <f>91-9825931335</f>
        <v>-9825931244</v>
      </c>
      <c r="AR239" s="1">
        <v>1</v>
      </c>
      <c r="AS239" s="1">
        <v>1</v>
      </c>
      <c r="AT239" s="1" t="s">
        <v>3944</v>
      </c>
      <c r="AU239" s="1" t="s">
        <v>1645</v>
      </c>
      <c r="AV239" s="1" t="s">
        <v>1645</v>
      </c>
      <c r="AW239" s="1">
        <f>91-9428083504</f>
        <v>-9428083413</v>
      </c>
      <c r="AX239" s="1" t="s">
        <v>823</v>
      </c>
      <c r="AY239" s="1" t="s">
        <v>351</v>
      </c>
      <c r="AZ239" s="1">
        <v>5.04</v>
      </c>
      <c r="BA239" s="1">
        <v>5.04</v>
      </c>
      <c r="BB239" s="1" t="s">
        <v>151</v>
      </c>
      <c r="BC239" s="1" t="s">
        <v>304</v>
      </c>
      <c r="BD239" s="1" t="s">
        <v>1333</v>
      </c>
      <c r="BE239" s="1" t="s">
        <v>281</v>
      </c>
      <c r="BF239" s="1" t="s">
        <v>120</v>
      </c>
      <c r="BG239" s="1" t="s">
        <v>120</v>
      </c>
      <c r="BH239" s="1" t="s">
        <v>724</v>
      </c>
      <c r="BJ239" s="1" t="s">
        <v>120</v>
      </c>
      <c r="BK239" s="1" t="s">
        <v>120</v>
      </c>
      <c r="BL239" s="1">
        <v>0</v>
      </c>
      <c r="BM239" s="1">
        <v>0</v>
      </c>
      <c r="BN239" s="1" t="s">
        <v>3945</v>
      </c>
      <c r="BO239" s="1">
        <v>1</v>
      </c>
      <c r="BP239" s="1" t="s">
        <v>163</v>
      </c>
      <c r="BQ239" s="1" t="s">
        <v>112</v>
      </c>
      <c r="BR239" s="1">
        <v>1</v>
      </c>
      <c r="BS239" s="1" t="s">
        <v>1668</v>
      </c>
      <c r="BT239" s="1" t="s">
        <v>124</v>
      </c>
      <c r="BU239" s="1" t="s">
        <v>3946</v>
      </c>
      <c r="BV239" s="1" t="s">
        <v>112</v>
      </c>
      <c r="BW239" s="1" t="s">
        <v>3947</v>
      </c>
      <c r="BX239" s="1" t="s">
        <v>3948</v>
      </c>
      <c r="BY239" s="1" t="s">
        <v>465</v>
      </c>
      <c r="BZ239" s="1">
        <v>0</v>
      </c>
      <c r="CA239" s="1">
        <v>0</v>
      </c>
      <c r="CB239" s="4">
        <v>42991.192525775463</v>
      </c>
      <c r="CC239" s="1">
        <v>1</v>
      </c>
      <c r="CD239" s="1">
        <v>1</v>
      </c>
      <c r="CE239" s="1">
        <v>1</v>
      </c>
      <c r="CF239" s="1">
        <v>1</v>
      </c>
      <c r="CG239" s="4">
        <v>43450.685936655093</v>
      </c>
      <c r="CH239" s="1" t="s">
        <v>112</v>
      </c>
      <c r="CI239" s="1" t="s">
        <v>599</v>
      </c>
      <c r="CJ239" s="1" t="s">
        <v>157</v>
      </c>
    </row>
    <row r="240" spans="1:88" x14ac:dyDescent="0.35">
      <c r="A240" s="1">
        <v>2836</v>
      </c>
      <c r="B240" s="1" t="s">
        <v>3949</v>
      </c>
      <c r="C240" s="1" t="s">
        <v>3950</v>
      </c>
      <c r="D240" s="1" t="s">
        <v>90</v>
      </c>
      <c r="E240" s="1" t="s">
        <v>3951</v>
      </c>
      <c r="F240" s="1" t="s">
        <v>208</v>
      </c>
      <c r="G240" s="1">
        <v>1</v>
      </c>
      <c r="H240" s="3">
        <v>31477</v>
      </c>
      <c r="I240" s="1">
        <v>1</v>
      </c>
      <c r="J240" s="1" t="s">
        <v>162</v>
      </c>
      <c r="K240" s="1" t="s">
        <v>163</v>
      </c>
      <c r="L240" s="2">
        <f>91-9409621217</f>
        <v>-9409621126</v>
      </c>
      <c r="M240" s="1" t="s">
        <v>95</v>
      </c>
      <c r="N240" s="1">
        <v>0</v>
      </c>
      <c r="O240" s="1">
        <v>0</v>
      </c>
      <c r="P240" s="1">
        <v>6.02</v>
      </c>
      <c r="Q240" s="1">
        <v>10</v>
      </c>
      <c r="S240" s="1" t="s">
        <v>97</v>
      </c>
      <c r="T240" s="1" t="s">
        <v>166</v>
      </c>
      <c r="U240" s="1" t="s">
        <v>2540</v>
      </c>
      <c r="V240" s="1" t="s">
        <v>2540</v>
      </c>
      <c r="X240" s="1" t="s">
        <v>170</v>
      </c>
      <c r="Y240" s="1" t="s">
        <v>111</v>
      </c>
      <c r="Z240" s="1" t="s">
        <v>192</v>
      </c>
      <c r="AB240" s="1">
        <v>0</v>
      </c>
      <c r="AD240" s="1" t="s">
        <v>3952</v>
      </c>
      <c r="AE240" s="1">
        <f>91-9426015667</f>
        <v>-9426015576</v>
      </c>
      <c r="AF240" s="1" t="s">
        <v>2541</v>
      </c>
      <c r="AG240" s="1" t="s">
        <v>3953</v>
      </c>
      <c r="AH240" s="1" t="s">
        <v>3954</v>
      </c>
      <c r="AI240" s="1" t="s">
        <v>3955</v>
      </c>
      <c r="AJ240" s="1" t="s">
        <v>478</v>
      </c>
      <c r="AK240" s="1" t="s">
        <v>3956</v>
      </c>
      <c r="AL240" s="1">
        <v>27</v>
      </c>
      <c r="AM240" s="1" t="s">
        <v>2541</v>
      </c>
      <c r="AP240" s="1">
        <f>91-9426015667</f>
        <v>-9426015576</v>
      </c>
      <c r="AR240" s="1">
        <v>0</v>
      </c>
      <c r="AS240" s="1">
        <v>0</v>
      </c>
      <c r="AW240" s="1" t="s">
        <v>142</v>
      </c>
      <c r="AX240" s="1" t="s">
        <v>3957</v>
      </c>
      <c r="AY240" s="1" t="s">
        <v>119</v>
      </c>
      <c r="AZ240" s="1">
        <v>5</v>
      </c>
      <c r="BA240" s="1">
        <v>6.02</v>
      </c>
      <c r="BB240" s="1" t="s">
        <v>151</v>
      </c>
      <c r="BC240" s="1" t="s">
        <v>152</v>
      </c>
      <c r="BD240" s="1" t="s">
        <v>1395</v>
      </c>
      <c r="BE240" s="1" t="s">
        <v>120</v>
      </c>
      <c r="BF240" s="1" t="s">
        <v>120</v>
      </c>
      <c r="BG240" s="1" t="s">
        <v>2541</v>
      </c>
      <c r="BH240" s="1" t="s">
        <v>2541</v>
      </c>
      <c r="BI240" s="1" t="s">
        <v>192</v>
      </c>
      <c r="BL240" s="1">
        <v>0</v>
      </c>
      <c r="BM240" s="1">
        <v>0</v>
      </c>
      <c r="BN240" s="1" t="s">
        <v>3958</v>
      </c>
      <c r="BO240" s="1">
        <v>0</v>
      </c>
      <c r="BQ240" s="1" t="s">
        <v>180</v>
      </c>
      <c r="BR240" s="1">
        <v>0</v>
      </c>
      <c r="BS240" s="1" t="s">
        <v>223</v>
      </c>
      <c r="BT240" s="1" t="s">
        <v>120</v>
      </c>
      <c r="BV240" s="1" t="s">
        <v>112</v>
      </c>
      <c r="BW240" s="1" t="s">
        <v>3959</v>
      </c>
      <c r="BX240" s="1" t="s">
        <v>3960</v>
      </c>
      <c r="BY240" s="1" t="s">
        <v>120</v>
      </c>
      <c r="BZ240" s="1">
        <v>0</v>
      </c>
      <c r="CA240" s="1">
        <v>0</v>
      </c>
      <c r="CB240" s="4">
        <v>42993.010313194442</v>
      </c>
      <c r="CC240" s="1">
        <v>1</v>
      </c>
      <c r="CD240" s="1">
        <v>1</v>
      </c>
      <c r="CE240" s="1">
        <v>1</v>
      </c>
      <c r="CF240" s="1">
        <v>4</v>
      </c>
      <c r="CG240" s="4">
        <v>42993.444452743053</v>
      </c>
      <c r="CH240" s="1" t="s">
        <v>112</v>
      </c>
      <c r="CI240" s="1" t="s">
        <v>3961</v>
      </c>
      <c r="CJ240" s="1" t="s">
        <v>157</v>
      </c>
    </row>
    <row r="241" spans="1:88" x14ac:dyDescent="0.35">
      <c r="A241" s="1">
        <v>2837</v>
      </c>
      <c r="B241" s="1" t="s">
        <v>3962</v>
      </c>
      <c r="C241" s="1" t="s">
        <v>3963</v>
      </c>
      <c r="D241" s="1" t="s">
        <v>90</v>
      </c>
      <c r="E241" s="1" t="s">
        <v>3964</v>
      </c>
      <c r="F241" s="1" t="s">
        <v>134</v>
      </c>
      <c r="G241" s="1">
        <v>1</v>
      </c>
      <c r="H241" s="3">
        <v>33886</v>
      </c>
      <c r="I241" s="1">
        <v>1</v>
      </c>
      <c r="J241" s="1" t="s">
        <v>162</v>
      </c>
      <c r="K241" s="1" t="s">
        <v>291</v>
      </c>
      <c r="L241" s="2">
        <f>91-9714644706</f>
        <v>-9714644615</v>
      </c>
      <c r="M241" s="1" t="s">
        <v>150</v>
      </c>
      <c r="N241" s="1">
        <v>0</v>
      </c>
      <c r="O241" s="1">
        <v>0</v>
      </c>
      <c r="P241" s="1">
        <v>5.08</v>
      </c>
      <c r="Q241" s="1">
        <v>9</v>
      </c>
      <c r="R241" s="1" t="s">
        <v>3468</v>
      </c>
      <c r="S241" s="1" t="s">
        <v>97</v>
      </c>
      <c r="T241" s="1" t="s">
        <v>166</v>
      </c>
      <c r="U241" s="1" t="s">
        <v>1253</v>
      </c>
      <c r="V241" s="1" t="s">
        <v>3965</v>
      </c>
      <c r="X241" s="1" t="s">
        <v>296</v>
      </c>
      <c r="Y241" s="1" t="s">
        <v>111</v>
      </c>
      <c r="Z241" s="1" t="s">
        <v>192</v>
      </c>
      <c r="AB241" s="1">
        <v>0</v>
      </c>
      <c r="AD241" s="1" t="s">
        <v>3966</v>
      </c>
      <c r="AE241" s="1">
        <f>91-7228992443</f>
        <v>-7228992352</v>
      </c>
      <c r="AF241" s="1" t="s">
        <v>2541</v>
      </c>
      <c r="AG241" s="1" t="s">
        <v>3967</v>
      </c>
      <c r="AH241" s="1" t="s">
        <v>3968</v>
      </c>
      <c r="AI241" s="1" t="s">
        <v>3969</v>
      </c>
      <c r="AJ241" s="1" t="s">
        <v>478</v>
      </c>
      <c r="AK241" s="1" t="s">
        <v>3970</v>
      </c>
      <c r="AL241" s="1">
        <v>25</v>
      </c>
      <c r="AM241" s="1" t="s">
        <v>2541</v>
      </c>
      <c r="AP241" s="1">
        <f>91-9712802414</f>
        <v>-9712802323</v>
      </c>
      <c r="AR241" s="1">
        <v>0</v>
      </c>
      <c r="AS241" s="1">
        <v>0</v>
      </c>
      <c r="AW241" s="1" t="s">
        <v>142</v>
      </c>
      <c r="AX241" s="1" t="s">
        <v>1095</v>
      </c>
      <c r="AY241" s="1" t="s">
        <v>150</v>
      </c>
      <c r="AZ241" s="1">
        <v>4.08</v>
      </c>
      <c r="BA241" s="1">
        <v>5.08</v>
      </c>
      <c r="BB241" s="1" t="s">
        <v>151</v>
      </c>
      <c r="BC241" s="1" t="s">
        <v>152</v>
      </c>
      <c r="BD241" s="1" t="s">
        <v>1395</v>
      </c>
      <c r="BE241" s="1" t="s">
        <v>120</v>
      </c>
      <c r="BF241" s="1" t="s">
        <v>120</v>
      </c>
      <c r="BG241" s="1" t="s">
        <v>2541</v>
      </c>
      <c r="BH241" s="1" t="s">
        <v>2541</v>
      </c>
      <c r="BI241" s="1" t="s">
        <v>192</v>
      </c>
      <c r="BL241" s="1">
        <v>0</v>
      </c>
      <c r="BM241" s="1">
        <v>0</v>
      </c>
      <c r="BN241" s="1" t="s">
        <v>3971</v>
      </c>
      <c r="BO241" s="1">
        <v>0</v>
      </c>
      <c r="BQ241" s="1" t="s">
        <v>180</v>
      </c>
      <c r="BR241" s="1">
        <v>0</v>
      </c>
      <c r="BS241" s="1" t="s">
        <v>1668</v>
      </c>
      <c r="BT241" s="1" t="s">
        <v>124</v>
      </c>
      <c r="BV241" s="1" t="s">
        <v>112</v>
      </c>
      <c r="BW241" s="1" t="s">
        <v>3972</v>
      </c>
      <c r="BX241" s="1" t="s">
        <v>3973</v>
      </c>
      <c r="BY241" s="1" t="s">
        <v>120</v>
      </c>
      <c r="BZ241" s="1">
        <v>0</v>
      </c>
      <c r="CA241" s="1">
        <v>0</v>
      </c>
      <c r="CB241" s="4">
        <v>42993.119303437503</v>
      </c>
      <c r="CC241" s="1">
        <v>1</v>
      </c>
      <c r="CD241" s="1">
        <v>1</v>
      </c>
      <c r="CE241" s="1">
        <v>1</v>
      </c>
      <c r="CF241" s="1">
        <v>1</v>
      </c>
      <c r="CG241" s="4">
        <v>43180.084088275464</v>
      </c>
      <c r="CH241" s="1" t="s">
        <v>112</v>
      </c>
      <c r="CI241" s="1" t="s">
        <v>3974</v>
      </c>
      <c r="CJ241" s="1" t="s">
        <v>157</v>
      </c>
    </row>
    <row r="242" spans="1:88" x14ac:dyDescent="0.35">
      <c r="A242" s="1">
        <v>2840</v>
      </c>
      <c r="B242" s="1" t="s">
        <v>3975</v>
      </c>
      <c r="C242" s="1" t="s">
        <v>3976</v>
      </c>
      <c r="D242" s="1" t="s">
        <v>90</v>
      </c>
      <c r="E242" s="1" t="s">
        <v>3977</v>
      </c>
      <c r="F242" s="1" t="s">
        <v>3978</v>
      </c>
      <c r="G242" s="1">
        <v>0</v>
      </c>
      <c r="H242" s="3">
        <v>34301</v>
      </c>
      <c r="I242" s="1">
        <v>1</v>
      </c>
      <c r="J242" s="1" t="s">
        <v>93</v>
      </c>
      <c r="K242" s="1" t="s">
        <v>1130</v>
      </c>
      <c r="L242" s="2">
        <f>91-9823258162</f>
        <v>-9823258071</v>
      </c>
      <c r="M242" s="1" t="s">
        <v>150</v>
      </c>
      <c r="N242" s="1">
        <v>0</v>
      </c>
      <c r="O242" s="1">
        <v>0</v>
      </c>
      <c r="P242" s="1">
        <v>5.05</v>
      </c>
      <c r="Q242" s="1">
        <v>40</v>
      </c>
      <c r="S242" s="1" t="s">
        <v>97</v>
      </c>
      <c r="T242" s="1" t="s">
        <v>137</v>
      </c>
      <c r="U242" s="1" t="s">
        <v>1193</v>
      </c>
      <c r="V242" s="1" t="s">
        <v>2834</v>
      </c>
      <c r="W242" s="1" t="s">
        <v>3979</v>
      </c>
      <c r="X242" s="1" t="s">
        <v>100</v>
      </c>
      <c r="Y242" s="1" t="s">
        <v>101</v>
      </c>
      <c r="Z242" s="1" t="s">
        <v>1193</v>
      </c>
      <c r="AA242" s="1" t="s">
        <v>3980</v>
      </c>
      <c r="AB242" s="1">
        <v>0</v>
      </c>
      <c r="AD242" s="1" t="s">
        <v>3981</v>
      </c>
      <c r="AE242" s="1">
        <f>91-9823258162</f>
        <v>-9823258071</v>
      </c>
      <c r="AF242" s="1" t="s">
        <v>129</v>
      </c>
      <c r="AG242" s="1" t="s">
        <v>3982</v>
      </c>
      <c r="AH242" s="1" t="s">
        <v>3983</v>
      </c>
      <c r="AI242" s="1" t="s">
        <v>3984</v>
      </c>
      <c r="AJ242" s="1" t="s">
        <v>109</v>
      </c>
      <c r="AK242" s="1" t="s">
        <v>2838</v>
      </c>
      <c r="AL242" s="1">
        <v>25</v>
      </c>
      <c r="AM242" s="1" t="s">
        <v>129</v>
      </c>
      <c r="AP242" s="1">
        <f>91-9823258162</f>
        <v>-9823258071</v>
      </c>
      <c r="AR242" s="1">
        <v>0</v>
      </c>
      <c r="AS242" s="1">
        <v>0</v>
      </c>
      <c r="AW242" s="1" t="s">
        <v>142</v>
      </c>
      <c r="AX242" s="1" t="s">
        <v>526</v>
      </c>
      <c r="AY242" s="1" t="s">
        <v>150</v>
      </c>
      <c r="AZ242" s="1">
        <v>5.05</v>
      </c>
      <c r="BA242" s="1">
        <v>5.0999999999999996</v>
      </c>
      <c r="BB242" s="1" t="s">
        <v>151</v>
      </c>
      <c r="BC242" s="1" t="s">
        <v>304</v>
      </c>
      <c r="BD242" s="1" t="s">
        <v>1333</v>
      </c>
      <c r="BE242" s="1" t="s">
        <v>219</v>
      </c>
      <c r="BF242" s="1" t="s">
        <v>120</v>
      </c>
      <c r="BG242" s="1" t="s">
        <v>100</v>
      </c>
      <c r="BH242" s="1" t="s">
        <v>101</v>
      </c>
      <c r="BI242" s="1" t="s">
        <v>1193</v>
      </c>
      <c r="BJ242" s="1" t="s">
        <v>154</v>
      </c>
      <c r="BK242" s="1" t="s">
        <v>120</v>
      </c>
      <c r="BL242" s="1">
        <v>0</v>
      </c>
      <c r="BM242" s="1">
        <v>0</v>
      </c>
      <c r="BN242" s="1" t="s">
        <v>3985</v>
      </c>
      <c r="BO242" s="1">
        <v>1</v>
      </c>
      <c r="BP242" s="1" t="s">
        <v>3986</v>
      </c>
      <c r="BQ242" s="1" t="s">
        <v>112</v>
      </c>
      <c r="BR242" s="1">
        <v>0</v>
      </c>
      <c r="BS242" s="1" t="s">
        <v>334</v>
      </c>
      <c r="BT242" s="1" t="s">
        <v>124</v>
      </c>
      <c r="BU242" s="1" t="s">
        <v>112</v>
      </c>
      <c r="BV242" s="1" t="s">
        <v>112</v>
      </c>
      <c r="BW242" s="1" t="s">
        <v>3987</v>
      </c>
      <c r="BX242" s="1" t="s">
        <v>3988</v>
      </c>
      <c r="BY242" s="1" t="s">
        <v>120</v>
      </c>
      <c r="BZ242" s="1">
        <v>0</v>
      </c>
      <c r="CA242" s="1">
        <v>0</v>
      </c>
      <c r="CB242" s="4">
        <v>42998.32598321759</v>
      </c>
      <c r="CC242" s="1">
        <v>1</v>
      </c>
      <c r="CD242" s="1">
        <v>1</v>
      </c>
      <c r="CE242" s="1">
        <v>1</v>
      </c>
      <c r="CF242" s="1">
        <v>1</v>
      </c>
      <c r="CG242" s="4">
        <v>43852.310610532404</v>
      </c>
      <c r="CH242" s="1" t="s">
        <v>112</v>
      </c>
      <c r="CI242" s="1" t="s">
        <v>2842</v>
      </c>
      <c r="CJ242" s="1" t="s">
        <v>157</v>
      </c>
    </row>
    <row r="243" spans="1:88" x14ac:dyDescent="0.35">
      <c r="A243" s="1">
        <v>2844</v>
      </c>
      <c r="B243" s="1" t="s">
        <v>3989</v>
      </c>
      <c r="C243" s="1" t="s">
        <v>3990</v>
      </c>
      <c r="D243" s="1" t="s">
        <v>90</v>
      </c>
      <c r="E243" s="1" t="s">
        <v>3991</v>
      </c>
      <c r="F243" s="1" t="s">
        <v>208</v>
      </c>
      <c r="G243" s="1">
        <v>1</v>
      </c>
      <c r="H243" s="3">
        <v>34347</v>
      </c>
      <c r="I243" s="1">
        <v>1</v>
      </c>
      <c r="J243" s="1" t="s">
        <v>162</v>
      </c>
      <c r="K243" s="1" t="s">
        <v>1037</v>
      </c>
      <c r="L243" s="2">
        <f>91-9978428765</f>
        <v>-9978428674</v>
      </c>
      <c r="M243" s="1" t="s">
        <v>150</v>
      </c>
      <c r="N243" s="1">
        <v>0</v>
      </c>
      <c r="O243" s="1">
        <v>0</v>
      </c>
      <c r="P243" s="1">
        <v>5.03</v>
      </c>
      <c r="Q243" s="1">
        <v>10</v>
      </c>
      <c r="S243" s="1" t="s">
        <v>492</v>
      </c>
      <c r="T243" s="1" t="s">
        <v>137</v>
      </c>
      <c r="U243" s="1" t="s">
        <v>2540</v>
      </c>
      <c r="V243" s="1" t="s">
        <v>3992</v>
      </c>
      <c r="W243" s="1" t="s">
        <v>3993</v>
      </c>
      <c r="X243" s="1" t="s">
        <v>100</v>
      </c>
      <c r="Y243" s="1" t="s">
        <v>268</v>
      </c>
      <c r="Z243" s="1" t="s">
        <v>515</v>
      </c>
      <c r="AB243" s="1">
        <v>0</v>
      </c>
      <c r="AD243" s="1" t="s">
        <v>3994</v>
      </c>
      <c r="AE243" s="1" t="s">
        <v>142</v>
      </c>
      <c r="AF243" s="1" t="s">
        <v>129</v>
      </c>
      <c r="AG243" s="1" t="s">
        <v>3995</v>
      </c>
      <c r="AH243" s="1" t="s">
        <v>3996</v>
      </c>
      <c r="AI243" s="1" t="s">
        <v>3997</v>
      </c>
      <c r="AJ243" s="1" t="s">
        <v>109</v>
      </c>
      <c r="AK243" s="1" t="s">
        <v>3998</v>
      </c>
      <c r="AL243" s="1">
        <v>3</v>
      </c>
      <c r="AM243" s="1" t="s">
        <v>132</v>
      </c>
      <c r="AO243" s="1" t="s">
        <v>3999</v>
      </c>
      <c r="AP243" s="1">
        <f>91-9978428090</f>
        <v>-9978427999</v>
      </c>
      <c r="AQ243" s="1" t="s">
        <v>502</v>
      </c>
      <c r="AR243" s="1">
        <v>0</v>
      </c>
      <c r="AS243" s="1">
        <v>0</v>
      </c>
      <c r="AW243" s="1" t="s">
        <v>142</v>
      </c>
      <c r="AX243" s="1" t="s">
        <v>414</v>
      </c>
      <c r="AY243" s="1" t="s">
        <v>150</v>
      </c>
      <c r="AZ243" s="1">
        <v>4.05</v>
      </c>
      <c r="BA243" s="1">
        <v>5.0199999999999996</v>
      </c>
      <c r="BB243" s="1" t="s">
        <v>151</v>
      </c>
      <c r="BC243" s="1" t="s">
        <v>304</v>
      </c>
      <c r="BD243" s="1" t="s">
        <v>1333</v>
      </c>
      <c r="BE243" s="1" t="s">
        <v>120</v>
      </c>
      <c r="BF243" s="1" t="s">
        <v>120</v>
      </c>
      <c r="BG243" s="1" t="s">
        <v>120</v>
      </c>
      <c r="BH243" s="1" t="s">
        <v>120</v>
      </c>
      <c r="BJ243" s="1" t="s">
        <v>120</v>
      </c>
      <c r="BK243" s="1" t="s">
        <v>143</v>
      </c>
      <c r="BL243" s="1">
        <v>0</v>
      </c>
      <c r="BM243" s="1">
        <v>0</v>
      </c>
      <c r="BN243" s="1" t="s">
        <v>4000</v>
      </c>
      <c r="BO243" s="1">
        <v>1</v>
      </c>
      <c r="BP243" s="1" t="s">
        <v>4001</v>
      </c>
      <c r="BQ243" s="1" t="s">
        <v>112</v>
      </c>
      <c r="BR243" s="1">
        <v>0</v>
      </c>
      <c r="BS243" s="1" t="s">
        <v>123</v>
      </c>
      <c r="BT243" s="1" t="s">
        <v>124</v>
      </c>
      <c r="BU243" s="1" t="s">
        <v>112</v>
      </c>
      <c r="BV243" s="1" t="s">
        <v>112</v>
      </c>
      <c r="BW243" s="1" t="s">
        <v>4002</v>
      </c>
      <c r="BX243" s="1" t="s">
        <v>4003</v>
      </c>
      <c r="BY243" s="1" t="s">
        <v>120</v>
      </c>
      <c r="BZ243" s="1">
        <v>1</v>
      </c>
      <c r="CA243" s="1">
        <v>0</v>
      </c>
      <c r="CB243" s="4">
        <v>43024.900923611109</v>
      </c>
      <c r="CC243" s="1">
        <v>1</v>
      </c>
      <c r="CD243" s="1">
        <v>1</v>
      </c>
      <c r="CE243" s="1">
        <v>1</v>
      </c>
      <c r="CF243" s="1">
        <v>4</v>
      </c>
      <c r="CG243" s="4">
        <v>43036.732919178241</v>
      </c>
      <c r="CH243" s="1" t="s">
        <v>112</v>
      </c>
      <c r="CI243" s="1" t="s">
        <v>4004</v>
      </c>
      <c r="CJ243" s="1" t="s">
        <v>157</v>
      </c>
    </row>
    <row r="244" spans="1:88" x14ac:dyDescent="0.35">
      <c r="A244" s="1">
        <v>3847</v>
      </c>
      <c r="B244" s="1" t="s">
        <v>4005</v>
      </c>
      <c r="C244" s="1" t="s">
        <v>4006</v>
      </c>
      <c r="D244" s="1" t="s">
        <v>90</v>
      </c>
      <c r="E244" s="1" t="s">
        <v>3991</v>
      </c>
      <c r="F244" s="1" t="s">
        <v>4007</v>
      </c>
      <c r="G244" s="1">
        <v>1</v>
      </c>
      <c r="H244" s="3">
        <v>30959</v>
      </c>
      <c r="I244" s="1">
        <v>1</v>
      </c>
      <c r="J244" s="1" t="s">
        <v>162</v>
      </c>
      <c r="K244" s="1" t="s">
        <v>4008</v>
      </c>
      <c r="L244" s="2">
        <f>91-7758989199</f>
        <v>-7758989108</v>
      </c>
      <c r="M244" s="1" t="s">
        <v>95</v>
      </c>
      <c r="N244" s="1">
        <v>0</v>
      </c>
      <c r="O244" s="1">
        <v>0</v>
      </c>
      <c r="P244" s="1">
        <v>5.1100000000000003</v>
      </c>
      <c r="Q244" s="1">
        <v>5</v>
      </c>
      <c r="R244" s="1" t="s">
        <v>263</v>
      </c>
      <c r="S244" s="1" t="s">
        <v>165</v>
      </c>
      <c r="T244" s="1" t="s">
        <v>166</v>
      </c>
      <c r="U244" s="1" t="s">
        <v>2540</v>
      </c>
      <c r="V244" s="1" t="s">
        <v>2540</v>
      </c>
      <c r="X244" s="1" t="s">
        <v>296</v>
      </c>
      <c r="Y244" s="1" t="s">
        <v>111</v>
      </c>
      <c r="Z244" s="1" t="s">
        <v>192</v>
      </c>
      <c r="AA244" s="1" t="s">
        <v>4009</v>
      </c>
      <c r="AB244" s="1">
        <v>0</v>
      </c>
      <c r="AD244" s="1" t="s">
        <v>4010</v>
      </c>
      <c r="AE244" s="1">
        <f>91-7218311341</f>
        <v>-7218311250</v>
      </c>
      <c r="AF244" s="1" t="s">
        <v>129</v>
      </c>
      <c r="AG244" s="1" t="s">
        <v>4011</v>
      </c>
      <c r="AH244" s="1" t="s">
        <v>4012</v>
      </c>
      <c r="AI244" s="1" t="s">
        <v>2014</v>
      </c>
      <c r="AJ244" s="1" t="s">
        <v>109</v>
      </c>
      <c r="AK244" s="1" t="s">
        <v>4013</v>
      </c>
      <c r="AL244" s="1">
        <v>8</v>
      </c>
      <c r="AM244" s="1" t="s">
        <v>148</v>
      </c>
      <c r="AP244" s="1">
        <f>91-7758989199</f>
        <v>-7758989108</v>
      </c>
      <c r="AQ244" s="1" t="s">
        <v>565</v>
      </c>
      <c r="AR244" s="1">
        <v>0</v>
      </c>
      <c r="AS244" s="1">
        <v>0</v>
      </c>
      <c r="AW244" s="1" t="s">
        <v>142</v>
      </c>
      <c r="AX244" s="1" t="s">
        <v>4014</v>
      </c>
      <c r="AY244" s="1" t="s">
        <v>95</v>
      </c>
      <c r="AZ244" s="1">
        <v>5</v>
      </c>
      <c r="BA244" s="1">
        <v>5.1100000000000003</v>
      </c>
      <c r="BB244" s="1" t="s">
        <v>151</v>
      </c>
      <c r="BC244" s="1" t="s">
        <v>152</v>
      </c>
      <c r="BD244" s="1" t="s">
        <v>1395</v>
      </c>
      <c r="BE244" s="1" t="s">
        <v>120</v>
      </c>
      <c r="BF244" s="1" t="s">
        <v>120</v>
      </c>
      <c r="BG244" s="1" t="s">
        <v>2541</v>
      </c>
      <c r="BH244" s="1" t="s">
        <v>2541</v>
      </c>
      <c r="BI244" s="1" t="s">
        <v>192</v>
      </c>
      <c r="BL244" s="1">
        <v>0</v>
      </c>
      <c r="BM244" s="1">
        <v>0</v>
      </c>
      <c r="BN244" s="1" t="s">
        <v>4015</v>
      </c>
      <c r="BO244" s="1">
        <v>1</v>
      </c>
      <c r="BP244" s="1" t="s">
        <v>4016</v>
      </c>
      <c r="BQ244" s="1" t="s">
        <v>112</v>
      </c>
      <c r="BR244" s="1">
        <v>1</v>
      </c>
      <c r="BS244" s="1" t="s">
        <v>123</v>
      </c>
      <c r="BT244" s="1" t="s">
        <v>124</v>
      </c>
      <c r="BU244" s="1" t="s">
        <v>112</v>
      </c>
      <c r="BV244" s="1" t="s">
        <v>112</v>
      </c>
      <c r="BW244" s="1" t="s">
        <v>4017</v>
      </c>
      <c r="BX244" s="1" t="s">
        <v>4018</v>
      </c>
      <c r="BY244" s="1" t="s">
        <v>120</v>
      </c>
      <c r="BZ244" s="1">
        <v>2</v>
      </c>
      <c r="CA244" s="1">
        <v>0</v>
      </c>
      <c r="CB244" s="4">
        <v>43043.1473778125</v>
      </c>
      <c r="CC244" s="1">
        <v>1</v>
      </c>
      <c r="CD244" s="1">
        <v>1</v>
      </c>
      <c r="CE244" s="1">
        <v>1</v>
      </c>
      <c r="CF244" s="1">
        <v>1</v>
      </c>
      <c r="CG244" s="4">
        <v>44036.17769340278</v>
      </c>
      <c r="CH244" s="1" t="s">
        <v>112</v>
      </c>
      <c r="CI244" s="1" t="s">
        <v>1878</v>
      </c>
      <c r="CJ244" s="1" t="s">
        <v>157</v>
      </c>
    </row>
    <row r="245" spans="1:88" x14ac:dyDescent="0.35">
      <c r="A245" s="1">
        <v>3848</v>
      </c>
      <c r="B245" s="1" t="s">
        <v>4019</v>
      </c>
      <c r="C245" s="1" t="s">
        <v>4020</v>
      </c>
      <c r="D245" s="1" t="s">
        <v>90</v>
      </c>
      <c r="E245" s="1" t="s">
        <v>1756</v>
      </c>
      <c r="F245" s="1" t="s">
        <v>4021</v>
      </c>
      <c r="G245" s="1">
        <v>1</v>
      </c>
      <c r="H245" s="3">
        <v>32834</v>
      </c>
      <c r="I245" s="1">
        <v>1</v>
      </c>
      <c r="J245" s="1" t="s">
        <v>162</v>
      </c>
      <c r="K245" s="1" t="s">
        <v>163</v>
      </c>
      <c r="L245" s="2">
        <f>91-9978778119</f>
        <v>-9978778028</v>
      </c>
      <c r="M245" s="1" t="s">
        <v>150</v>
      </c>
      <c r="N245" s="1">
        <v>0</v>
      </c>
      <c r="O245" s="1">
        <v>0</v>
      </c>
      <c r="P245" s="1">
        <v>5.04</v>
      </c>
      <c r="Q245" s="1">
        <v>50</v>
      </c>
      <c r="S245" s="1" t="s">
        <v>136</v>
      </c>
      <c r="T245" s="1" t="s">
        <v>427</v>
      </c>
      <c r="U245" s="1" t="s">
        <v>4022</v>
      </c>
      <c r="V245" s="1" t="s">
        <v>231</v>
      </c>
      <c r="W245" s="1" t="s">
        <v>4022</v>
      </c>
      <c r="X245" s="1" t="s">
        <v>100</v>
      </c>
      <c r="Y245" s="1" t="s">
        <v>210</v>
      </c>
      <c r="Z245" s="1" t="s">
        <v>450</v>
      </c>
      <c r="AA245" s="1" t="s">
        <v>4023</v>
      </c>
      <c r="AB245" s="1">
        <v>0</v>
      </c>
      <c r="AD245" s="1" t="s">
        <v>4024</v>
      </c>
      <c r="AE245" s="1">
        <f>91-9978778119</f>
        <v>-9978778028</v>
      </c>
      <c r="AF245" s="1" t="s">
        <v>105</v>
      </c>
      <c r="AG245" s="1" t="s">
        <v>4025</v>
      </c>
      <c r="AH245" s="1" t="s">
        <v>4026</v>
      </c>
      <c r="AI245" s="1" t="s">
        <v>4027</v>
      </c>
      <c r="AJ245" s="1" t="s">
        <v>4028</v>
      </c>
      <c r="AK245" s="1" t="s">
        <v>4029</v>
      </c>
      <c r="AL245" s="1">
        <v>10</v>
      </c>
      <c r="AM245" s="1" t="s">
        <v>132</v>
      </c>
      <c r="AN245" s="1" t="s">
        <v>2439</v>
      </c>
      <c r="AO245" s="1" t="s">
        <v>4030</v>
      </c>
      <c r="AP245" s="1">
        <f>91-9724490057</f>
        <v>-9724489966</v>
      </c>
      <c r="AQ245" s="1" t="s">
        <v>4031</v>
      </c>
      <c r="AR245" s="1">
        <v>0</v>
      </c>
      <c r="AS245" s="1">
        <v>0</v>
      </c>
      <c r="AW245" s="1" t="s">
        <v>142</v>
      </c>
      <c r="AX245" s="1" t="s">
        <v>664</v>
      </c>
      <c r="AY245" s="1" t="s">
        <v>150</v>
      </c>
      <c r="AZ245" s="1">
        <v>4.0999999999999996</v>
      </c>
      <c r="BA245" s="1">
        <v>5.05</v>
      </c>
      <c r="BB245" s="1" t="s">
        <v>151</v>
      </c>
      <c r="BC245" s="1" t="s">
        <v>304</v>
      </c>
      <c r="BD245" s="1" t="s">
        <v>1333</v>
      </c>
      <c r="BE245" s="1" t="s">
        <v>4032</v>
      </c>
      <c r="BF245" s="1" t="s">
        <v>120</v>
      </c>
      <c r="BG245" s="1" t="s">
        <v>4033</v>
      </c>
      <c r="BH245" s="1" t="s">
        <v>120</v>
      </c>
      <c r="BJ245" s="1" t="s">
        <v>120</v>
      </c>
      <c r="BK245" s="1" t="s">
        <v>120</v>
      </c>
      <c r="BL245" s="1">
        <v>0</v>
      </c>
      <c r="BM245" s="1">
        <v>0</v>
      </c>
      <c r="BN245" s="1" t="s">
        <v>4034</v>
      </c>
      <c r="BO245" s="1">
        <v>1</v>
      </c>
      <c r="BP245" s="1" t="s">
        <v>4035</v>
      </c>
      <c r="BQ245" s="1" t="s">
        <v>112</v>
      </c>
      <c r="BR245" s="1">
        <v>0</v>
      </c>
      <c r="BS245" s="1" t="s">
        <v>354</v>
      </c>
      <c r="BT245" s="1" t="s">
        <v>124</v>
      </c>
      <c r="BU245" s="1" t="s">
        <v>112</v>
      </c>
      <c r="BV245" s="1" t="s">
        <v>112</v>
      </c>
      <c r="BW245" s="1" t="s">
        <v>4036</v>
      </c>
      <c r="BX245" s="1" t="s">
        <v>4037</v>
      </c>
      <c r="BY245" s="1" t="s">
        <v>127</v>
      </c>
      <c r="BZ245" s="1">
        <v>0</v>
      </c>
      <c r="CA245" s="1">
        <v>0</v>
      </c>
      <c r="CB245" s="4">
        <v>43044.253519907405</v>
      </c>
      <c r="CC245" s="1">
        <v>1</v>
      </c>
      <c r="CD245" s="1">
        <v>1</v>
      </c>
      <c r="CE245" s="1">
        <v>1</v>
      </c>
      <c r="CF245" s="1">
        <v>1</v>
      </c>
      <c r="CG245" s="4">
        <v>43333.65024505787</v>
      </c>
      <c r="CH245" s="1" t="s">
        <v>112</v>
      </c>
      <c r="CI245" s="1" t="s">
        <v>163</v>
      </c>
      <c r="CJ245" s="1" t="s">
        <v>157</v>
      </c>
    </row>
    <row r="246" spans="1:88" x14ac:dyDescent="0.35">
      <c r="A246" s="1">
        <v>3850</v>
      </c>
      <c r="B246" s="1" t="s">
        <v>4038</v>
      </c>
      <c r="C246" s="1" t="s">
        <v>4039</v>
      </c>
      <c r="D246" s="1" t="s">
        <v>90</v>
      </c>
      <c r="E246" s="1" t="s">
        <v>4040</v>
      </c>
      <c r="F246" s="1" t="s">
        <v>603</v>
      </c>
      <c r="G246" s="1">
        <v>1</v>
      </c>
      <c r="H246" s="3">
        <v>33199</v>
      </c>
      <c r="I246" s="1">
        <v>1</v>
      </c>
      <c r="J246" s="1" t="s">
        <v>162</v>
      </c>
      <c r="K246" s="1" t="s">
        <v>1037</v>
      </c>
      <c r="L246" s="2">
        <f>91-9426820144</f>
        <v>-9426820053</v>
      </c>
      <c r="M246" s="1" t="s">
        <v>150</v>
      </c>
      <c r="N246" s="1">
        <v>0</v>
      </c>
      <c r="O246" s="1">
        <v>0</v>
      </c>
      <c r="P246" s="1">
        <v>6.07</v>
      </c>
      <c r="Q246" s="1">
        <v>10</v>
      </c>
      <c r="S246" s="1" t="s">
        <v>136</v>
      </c>
      <c r="T246" s="1" t="s">
        <v>137</v>
      </c>
      <c r="U246" s="1" t="s">
        <v>2540</v>
      </c>
      <c r="V246" s="1" t="s">
        <v>2540</v>
      </c>
      <c r="X246" s="1" t="s">
        <v>170</v>
      </c>
      <c r="Y246" s="1" t="s">
        <v>210</v>
      </c>
      <c r="Z246" s="1" t="s">
        <v>450</v>
      </c>
      <c r="AB246" s="1">
        <v>0</v>
      </c>
      <c r="AD246" s="1" t="s">
        <v>4041</v>
      </c>
      <c r="AE246" s="1">
        <f>91-9726081292</f>
        <v>-9726081201</v>
      </c>
      <c r="AF246" s="1" t="s">
        <v>129</v>
      </c>
      <c r="AG246" s="1" t="s">
        <v>4042</v>
      </c>
      <c r="AH246" s="1" t="s">
        <v>4043</v>
      </c>
      <c r="AI246" s="1" t="s">
        <v>4044</v>
      </c>
      <c r="AJ246" s="1" t="s">
        <v>109</v>
      </c>
      <c r="AK246" s="1" t="s">
        <v>4045</v>
      </c>
      <c r="AL246" s="1">
        <v>13</v>
      </c>
      <c r="AM246" s="1" t="s">
        <v>210</v>
      </c>
      <c r="AP246" s="1">
        <f>91-9726081292</f>
        <v>-9726081201</v>
      </c>
      <c r="AR246" s="1">
        <v>0</v>
      </c>
      <c r="AS246" s="1">
        <v>0</v>
      </c>
      <c r="AW246" s="1" t="s">
        <v>142</v>
      </c>
      <c r="AX246" s="1" t="s">
        <v>2998</v>
      </c>
      <c r="AY246" s="1" t="s">
        <v>150</v>
      </c>
      <c r="AZ246" s="1">
        <v>5</v>
      </c>
      <c r="BA246" s="1">
        <v>5</v>
      </c>
      <c r="BB246" s="1" t="s">
        <v>151</v>
      </c>
      <c r="BC246" s="1" t="s">
        <v>152</v>
      </c>
      <c r="BD246" s="1" t="s">
        <v>1395</v>
      </c>
      <c r="BE246" s="1" t="s">
        <v>1182</v>
      </c>
      <c r="BF246" s="1" t="s">
        <v>120</v>
      </c>
      <c r="BG246" s="1" t="s">
        <v>2541</v>
      </c>
      <c r="BH246" s="1" t="s">
        <v>2541</v>
      </c>
      <c r="BI246" s="1" t="s">
        <v>132</v>
      </c>
      <c r="BL246" s="1">
        <v>0</v>
      </c>
      <c r="BM246" s="1">
        <v>0</v>
      </c>
      <c r="BN246" s="1" t="s">
        <v>4046</v>
      </c>
      <c r="BO246" s="1">
        <v>0</v>
      </c>
      <c r="BQ246" s="1" t="s">
        <v>180</v>
      </c>
      <c r="BR246" s="1">
        <v>0</v>
      </c>
      <c r="BS246" s="1" t="s">
        <v>123</v>
      </c>
      <c r="BT246" s="1" t="s">
        <v>120</v>
      </c>
      <c r="BV246" s="1" t="s">
        <v>112</v>
      </c>
      <c r="BW246" s="1" t="s">
        <v>4047</v>
      </c>
      <c r="BX246" s="1" t="s">
        <v>4048</v>
      </c>
      <c r="BY246" s="1" t="s">
        <v>127</v>
      </c>
      <c r="BZ246" s="1">
        <v>1</v>
      </c>
      <c r="CA246" s="1">
        <v>1</v>
      </c>
      <c r="CB246" s="4">
        <v>43053.281898842593</v>
      </c>
      <c r="CC246" s="1">
        <v>1</v>
      </c>
      <c r="CD246" s="1">
        <v>1</v>
      </c>
      <c r="CE246" s="1">
        <v>1</v>
      </c>
      <c r="CF246" s="1">
        <v>1</v>
      </c>
      <c r="CG246" s="4">
        <v>43420.27863306713</v>
      </c>
      <c r="CH246" s="1" t="s">
        <v>112</v>
      </c>
      <c r="CI246" s="1" t="s">
        <v>2019</v>
      </c>
      <c r="CJ246" s="1" t="s">
        <v>157</v>
      </c>
    </row>
    <row r="247" spans="1:88" x14ac:dyDescent="0.35">
      <c r="A247" s="1">
        <v>3856</v>
      </c>
      <c r="B247" s="1" t="s">
        <v>4049</v>
      </c>
      <c r="C247" s="1" t="s">
        <v>4050</v>
      </c>
      <c r="D247" s="1" t="s">
        <v>312</v>
      </c>
      <c r="E247" s="1" t="s">
        <v>4051</v>
      </c>
      <c r="F247" s="1" t="s">
        <v>1495</v>
      </c>
      <c r="G247" s="1">
        <v>1</v>
      </c>
      <c r="H247" s="3">
        <v>33090</v>
      </c>
      <c r="I247" s="1">
        <v>38</v>
      </c>
      <c r="J247" s="1" t="s">
        <v>4052</v>
      </c>
      <c r="K247" s="1" t="s">
        <v>4053</v>
      </c>
      <c r="L247" s="2">
        <f>91-9427384438</f>
        <v>-9427384347</v>
      </c>
      <c r="M247" s="1" t="s">
        <v>150</v>
      </c>
      <c r="N247" s="1">
        <v>0</v>
      </c>
      <c r="O247" s="1">
        <v>0</v>
      </c>
      <c r="P247" s="1">
        <v>6.01</v>
      </c>
      <c r="Q247" s="1">
        <v>46</v>
      </c>
      <c r="R247" s="1" t="s">
        <v>292</v>
      </c>
      <c r="S247" s="1" t="s">
        <v>136</v>
      </c>
      <c r="T247" s="1" t="s">
        <v>166</v>
      </c>
      <c r="U247" s="1" t="s">
        <v>2540</v>
      </c>
      <c r="V247" s="1" t="s">
        <v>2540</v>
      </c>
      <c r="X247" s="1" t="s">
        <v>170</v>
      </c>
      <c r="Y247" s="1" t="s">
        <v>101</v>
      </c>
      <c r="Z247" s="1" t="s">
        <v>171</v>
      </c>
      <c r="AB247" s="1">
        <v>0</v>
      </c>
      <c r="AD247" s="1" t="s">
        <v>4054</v>
      </c>
      <c r="AE247" s="1">
        <f>91-9427384438</f>
        <v>-9427384347</v>
      </c>
      <c r="AF247" s="1" t="s">
        <v>2541</v>
      </c>
      <c r="AG247" s="1" t="s">
        <v>4055</v>
      </c>
      <c r="AH247" s="1" t="s">
        <v>4056</v>
      </c>
      <c r="AI247" s="1" t="s">
        <v>4057</v>
      </c>
      <c r="AJ247" s="1" t="s">
        <v>1238</v>
      </c>
      <c r="AK247" s="1" t="s">
        <v>4058</v>
      </c>
      <c r="AL247" s="1">
        <v>17</v>
      </c>
      <c r="AM247" s="1" t="s">
        <v>2541</v>
      </c>
      <c r="AP247" s="1">
        <f>91-9427384438</f>
        <v>-9427384347</v>
      </c>
      <c r="AR247" s="1">
        <v>0</v>
      </c>
      <c r="AS247" s="1">
        <v>0</v>
      </c>
      <c r="AW247" s="1" t="s">
        <v>142</v>
      </c>
      <c r="AX247" s="1" t="s">
        <v>1544</v>
      </c>
      <c r="AY247" s="1" t="s">
        <v>150</v>
      </c>
      <c r="AZ247" s="1">
        <v>5.05</v>
      </c>
      <c r="BA247" s="1">
        <v>6</v>
      </c>
      <c r="BB247" s="1" t="s">
        <v>151</v>
      </c>
      <c r="BC247" s="1" t="s">
        <v>152</v>
      </c>
      <c r="BD247" s="1" t="s">
        <v>1395</v>
      </c>
      <c r="BE247" s="1" t="s">
        <v>219</v>
      </c>
      <c r="BF247" s="1" t="s">
        <v>120</v>
      </c>
      <c r="BG247" s="1" t="s">
        <v>2541</v>
      </c>
      <c r="BH247" s="1" t="s">
        <v>2541</v>
      </c>
      <c r="BI247" s="1" t="s">
        <v>171</v>
      </c>
      <c r="BL247" s="1">
        <v>0</v>
      </c>
      <c r="BM247" s="1">
        <v>1</v>
      </c>
      <c r="BN247" s="1" t="s">
        <v>4059</v>
      </c>
      <c r="BO247" s="1">
        <v>0</v>
      </c>
      <c r="BQ247" s="1" t="s">
        <v>180</v>
      </c>
      <c r="BR247" s="1">
        <v>0</v>
      </c>
      <c r="BS247" s="1" t="s">
        <v>123</v>
      </c>
      <c r="BT247" s="1" t="s">
        <v>124</v>
      </c>
      <c r="BV247" s="1" t="s">
        <v>112</v>
      </c>
      <c r="BW247" s="1" t="s">
        <v>4060</v>
      </c>
      <c r="BX247" s="1" t="s">
        <v>4061</v>
      </c>
      <c r="BY247" s="1" t="s">
        <v>120</v>
      </c>
      <c r="BZ247" s="1">
        <v>0</v>
      </c>
      <c r="CA247" s="1">
        <v>0</v>
      </c>
      <c r="CB247" s="4">
        <v>43060.37588359954</v>
      </c>
      <c r="CC247" s="1">
        <v>1</v>
      </c>
      <c r="CD247" s="1">
        <v>1</v>
      </c>
      <c r="CE247" s="1">
        <v>1</v>
      </c>
      <c r="CF247" s="1">
        <v>1</v>
      </c>
      <c r="CG247" s="4">
        <v>43120.396831053244</v>
      </c>
      <c r="CH247" s="1" t="s">
        <v>112</v>
      </c>
      <c r="CI247" s="1" t="s">
        <v>2283</v>
      </c>
      <c r="CJ247" s="1" t="s">
        <v>157</v>
      </c>
    </row>
    <row r="248" spans="1:88" x14ac:dyDescent="0.35">
      <c r="A248" s="1">
        <v>3857</v>
      </c>
      <c r="B248" s="1" t="s">
        <v>4062</v>
      </c>
      <c r="C248" s="1" t="s">
        <v>4063</v>
      </c>
      <c r="D248" s="1" t="s">
        <v>90</v>
      </c>
      <c r="E248" s="1" t="s">
        <v>4064</v>
      </c>
      <c r="F248" s="1" t="s">
        <v>185</v>
      </c>
      <c r="G248" s="1">
        <v>1</v>
      </c>
      <c r="H248" s="3">
        <v>33343</v>
      </c>
      <c r="I248" s="1">
        <v>1</v>
      </c>
      <c r="J248" s="1" t="s">
        <v>162</v>
      </c>
      <c r="K248" s="1" t="s">
        <v>291</v>
      </c>
      <c r="L248" s="2">
        <f>91-9725255457</f>
        <v>-9725255366</v>
      </c>
      <c r="M248" s="1" t="s">
        <v>150</v>
      </c>
      <c r="N248" s="1">
        <v>0</v>
      </c>
      <c r="O248" s="1">
        <v>0</v>
      </c>
      <c r="P248" s="1">
        <v>5.09</v>
      </c>
      <c r="Q248" s="1">
        <v>29</v>
      </c>
      <c r="R248" s="1" t="s">
        <v>2607</v>
      </c>
      <c r="S248" s="1" t="s">
        <v>97</v>
      </c>
      <c r="T248" s="1" t="s">
        <v>137</v>
      </c>
      <c r="U248" s="1" t="s">
        <v>2540</v>
      </c>
      <c r="V248" s="1" t="s">
        <v>2540</v>
      </c>
      <c r="X248" s="1" t="s">
        <v>100</v>
      </c>
      <c r="Y248" s="1" t="s">
        <v>111</v>
      </c>
      <c r="Z248" s="1" t="s">
        <v>192</v>
      </c>
      <c r="AB248" s="1">
        <v>0</v>
      </c>
      <c r="AD248" s="1" t="s">
        <v>4065</v>
      </c>
      <c r="AE248" s="1">
        <f>91-9725255457</f>
        <v>-9725255366</v>
      </c>
      <c r="AF248" s="1" t="s">
        <v>129</v>
      </c>
      <c r="AG248" s="1" t="s">
        <v>3460</v>
      </c>
      <c r="AH248" s="1" t="s">
        <v>1522</v>
      </c>
      <c r="AI248" s="1" t="s">
        <v>4066</v>
      </c>
      <c r="AJ248" s="1" t="s">
        <v>109</v>
      </c>
      <c r="AK248" s="1" t="s">
        <v>4067</v>
      </c>
      <c r="AL248" s="1">
        <v>40</v>
      </c>
      <c r="AM248" s="1" t="s">
        <v>129</v>
      </c>
      <c r="AP248" s="1">
        <f>91-9898041989</f>
        <v>-9898041898</v>
      </c>
      <c r="AR248" s="1">
        <v>2</v>
      </c>
      <c r="AS248" s="1">
        <v>1</v>
      </c>
      <c r="AW248" s="1" t="s">
        <v>142</v>
      </c>
      <c r="AX248" s="1" t="s">
        <v>2305</v>
      </c>
      <c r="AY248" s="1" t="s">
        <v>150</v>
      </c>
      <c r="AZ248" s="1">
        <v>5.07</v>
      </c>
      <c r="BA248" s="1">
        <v>5.07</v>
      </c>
      <c r="BB248" s="1" t="s">
        <v>151</v>
      </c>
      <c r="BC248" s="1" t="s">
        <v>304</v>
      </c>
      <c r="BD248" s="1" t="s">
        <v>1333</v>
      </c>
      <c r="BE248" s="1" t="s">
        <v>3288</v>
      </c>
      <c r="BF248" s="1" t="s">
        <v>120</v>
      </c>
      <c r="BG248" s="1" t="s">
        <v>170</v>
      </c>
      <c r="BH248" s="1" t="s">
        <v>120</v>
      </c>
      <c r="BJ248" s="1" t="s">
        <v>120</v>
      </c>
      <c r="BK248" s="1" t="s">
        <v>120</v>
      </c>
      <c r="BL248" s="1">
        <v>0</v>
      </c>
      <c r="BM248" s="1">
        <v>0</v>
      </c>
      <c r="BN248" s="1" t="s">
        <v>4068</v>
      </c>
      <c r="BO248" s="1">
        <v>1</v>
      </c>
      <c r="BP248" s="3">
        <v>33343</v>
      </c>
      <c r="BQ248" s="1" t="s">
        <v>112</v>
      </c>
      <c r="BR248" s="1">
        <v>0</v>
      </c>
      <c r="BS248" s="1" t="s">
        <v>596</v>
      </c>
      <c r="BT248" s="1" t="s">
        <v>124</v>
      </c>
      <c r="BU248" s="1" t="s">
        <v>4069</v>
      </c>
      <c r="BV248" s="1" t="s">
        <v>112</v>
      </c>
      <c r="BW248" s="1" t="s">
        <v>4070</v>
      </c>
      <c r="BX248" s="1" t="s">
        <v>4071</v>
      </c>
      <c r="BY248" s="1" t="s">
        <v>120</v>
      </c>
      <c r="BZ248" s="1">
        <v>2</v>
      </c>
      <c r="CA248" s="1">
        <v>2</v>
      </c>
      <c r="CB248" s="4">
        <v>43060.399722256945</v>
      </c>
      <c r="CC248" s="1">
        <v>1</v>
      </c>
      <c r="CD248" s="1">
        <v>1</v>
      </c>
      <c r="CE248" s="1">
        <v>1</v>
      </c>
      <c r="CF248" s="1">
        <v>1</v>
      </c>
      <c r="CG248" s="4">
        <v>43186.768713344907</v>
      </c>
      <c r="CH248" s="1" t="s">
        <v>112</v>
      </c>
      <c r="CI248" s="1" t="s">
        <v>156</v>
      </c>
      <c r="CJ248" s="1" t="s">
        <v>157</v>
      </c>
    </row>
    <row r="249" spans="1:88" x14ac:dyDescent="0.35">
      <c r="A249" s="1">
        <v>3858</v>
      </c>
      <c r="B249" s="1" t="s">
        <v>4072</v>
      </c>
      <c r="C249" s="1" t="s">
        <v>4073</v>
      </c>
      <c r="D249" s="1" t="s">
        <v>259</v>
      </c>
      <c r="E249" s="1" t="s">
        <v>4074</v>
      </c>
      <c r="F249" s="1" t="s">
        <v>4075</v>
      </c>
      <c r="G249" s="1">
        <v>0</v>
      </c>
      <c r="H249" s="3">
        <v>32530</v>
      </c>
      <c r="I249" s="1">
        <v>1</v>
      </c>
      <c r="J249" s="1" t="s">
        <v>93</v>
      </c>
      <c r="K249" s="1" t="s">
        <v>94</v>
      </c>
      <c r="L249" s="2">
        <f>91-8879138137</f>
        <v>-8879138046</v>
      </c>
      <c r="M249" s="1" t="s">
        <v>95</v>
      </c>
      <c r="N249" s="1">
        <v>0</v>
      </c>
      <c r="O249" s="1">
        <v>0</v>
      </c>
      <c r="P249" s="1">
        <v>5.01</v>
      </c>
      <c r="Q249" s="1">
        <v>45</v>
      </c>
      <c r="R249" s="1" t="s">
        <v>1383</v>
      </c>
      <c r="S249" s="1" t="s">
        <v>136</v>
      </c>
      <c r="T249" s="1" t="s">
        <v>137</v>
      </c>
      <c r="U249" s="1" t="s">
        <v>2540</v>
      </c>
      <c r="V249" s="1" t="s">
        <v>2540</v>
      </c>
      <c r="X249" s="1" t="s">
        <v>170</v>
      </c>
      <c r="Y249" s="1" t="s">
        <v>114</v>
      </c>
      <c r="Z249" s="1" t="s">
        <v>1064</v>
      </c>
      <c r="AB249" s="1">
        <v>0</v>
      </c>
      <c r="AD249" s="1" t="s">
        <v>3005</v>
      </c>
      <c r="AE249" s="1">
        <f>91-9426961824</f>
        <v>-9426961733</v>
      </c>
      <c r="AF249" s="1" t="s">
        <v>105</v>
      </c>
      <c r="AG249" s="1" t="s">
        <v>4076</v>
      </c>
      <c r="AH249" s="1" t="s">
        <v>2910</v>
      </c>
      <c r="AI249" s="1" t="s">
        <v>1259</v>
      </c>
      <c r="AJ249" s="1" t="s">
        <v>109</v>
      </c>
      <c r="AK249" s="1" t="s">
        <v>4077</v>
      </c>
      <c r="AL249" s="1">
        <v>4</v>
      </c>
      <c r="AM249" s="1" t="s">
        <v>210</v>
      </c>
      <c r="AN249" s="1" t="s">
        <v>4078</v>
      </c>
      <c r="AO249" s="1" t="s">
        <v>4079</v>
      </c>
      <c r="AP249" s="1">
        <f>91-9925058144</f>
        <v>-9925058053</v>
      </c>
      <c r="AR249" s="1">
        <v>1</v>
      </c>
      <c r="AS249" s="1">
        <v>1</v>
      </c>
      <c r="AW249" s="1" t="s">
        <v>142</v>
      </c>
      <c r="AX249" s="1" t="s">
        <v>683</v>
      </c>
      <c r="AY249" s="1" t="s">
        <v>119</v>
      </c>
      <c r="AZ249" s="1">
        <v>5.03</v>
      </c>
      <c r="BA249" s="1">
        <v>5.08</v>
      </c>
      <c r="BB249" s="1" t="s">
        <v>151</v>
      </c>
      <c r="BC249" s="1" t="s">
        <v>304</v>
      </c>
      <c r="BD249" s="1" t="s">
        <v>1333</v>
      </c>
      <c r="BE249" s="1" t="s">
        <v>219</v>
      </c>
      <c r="BF249" s="1" t="s">
        <v>120</v>
      </c>
      <c r="BG249" s="1" t="s">
        <v>120</v>
      </c>
      <c r="BH249" s="1" t="s">
        <v>724</v>
      </c>
      <c r="BJ249" s="1" t="s">
        <v>154</v>
      </c>
      <c r="BK249" s="1" t="s">
        <v>120</v>
      </c>
      <c r="BL249" s="1">
        <v>0</v>
      </c>
      <c r="BM249" s="1">
        <v>0</v>
      </c>
      <c r="BN249" s="1" t="s">
        <v>4080</v>
      </c>
      <c r="BO249" s="1">
        <v>1</v>
      </c>
      <c r="BP249" s="1" t="s">
        <v>4081</v>
      </c>
      <c r="BQ249" s="1" t="s">
        <v>112</v>
      </c>
      <c r="BR249" s="1">
        <v>1</v>
      </c>
      <c r="BS249" s="1" t="s">
        <v>307</v>
      </c>
      <c r="BT249" s="1" t="s">
        <v>124</v>
      </c>
      <c r="BU249" s="1" t="s">
        <v>112</v>
      </c>
      <c r="BV249" s="1" t="s">
        <v>112</v>
      </c>
      <c r="BW249" s="1" t="s">
        <v>4082</v>
      </c>
      <c r="BX249" s="1" t="s">
        <v>4083</v>
      </c>
      <c r="BY249" s="1" t="s">
        <v>120</v>
      </c>
      <c r="BZ249" s="1">
        <v>0</v>
      </c>
      <c r="CA249" s="1">
        <v>0</v>
      </c>
      <c r="CB249" s="4">
        <v>43065.216369641203</v>
      </c>
      <c r="CC249" s="1">
        <v>1</v>
      </c>
      <c r="CD249" s="1">
        <v>1</v>
      </c>
      <c r="CE249" s="1">
        <v>1</v>
      </c>
      <c r="CF249" s="1">
        <v>1</v>
      </c>
      <c r="CG249" s="4">
        <v>43141.278664432873</v>
      </c>
      <c r="CH249" s="1" t="s">
        <v>112</v>
      </c>
      <c r="CI249" s="1" t="s">
        <v>4084</v>
      </c>
      <c r="CJ249" s="1" t="s">
        <v>157</v>
      </c>
    </row>
    <row r="250" spans="1:88" x14ac:dyDescent="0.35">
      <c r="A250" s="1">
        <v>3862</v>
      </c>
      <c r="B250" s="1" t="s">
        <v>4085</v>
      </c>
      <c r="C250" s="1" t="s">
        <v>4086</v>
      </c>
      <c r="D250" s="1" t="s">
        <v>90</v>
      </c>
      <c r="E250" s="1" t="s">
        <v>1251</v>
      </c>
      <c r="F250" s="1" t="s">
        <v>2411</v>
      </c>
      <c r="G250" s="1">
        <v>1</v>
      </c>
      <c r="H250" s="3">
        <v>33553</v>
      </c>
      <c r="I250" s="1">
        <v>1</v>
      </c>
      <c r="J250" s="1" t="s">
        <v>93</v>
      </c>
      <c r="K250" s="1" t="s">
        <v>1045</v>
      </c>
      <c r="L250" s="2">
        <f>91-8308411406</f>
        <v>-8308411315</v>
      </c>
      <c r="M250" s="1" t="s">
        <v>150</v>
      </c>
      <c r="N250" s="1">
        <v>0</v>
      </c>
      <c r="O250" s="1">
        <v>0</v>
      </c>
      <c r="P250" s="1">
        <v>5.09</v>
      </c>
      <c r="Q250" s="1">
        <v>19</v>
      </c>
      <c r="R250" s="1" t="s">
        <v>714</v>
      </c>
      <c r="S250" s="1" t="s">
        <v>97</v>
      </c>
      <c r="T250" s="1" t="s">
        <v>427</v>
      </c>
      <c r="U250" s="1" t="s">
        <v>2540</v>
      </c>
      <c r="V250" s="1" t="s">
        <v>2540</v>
      </c>
      <c r="X250" s="1" t="s">
        <v>129</v>
      </c>
      <c r="Y250" s="1" t="s">
        <v>210</v>
      </c>
      <c r="Z250" s="1" t="s">
        <v>211</v>
      </c>
      <c r="AB250" s="1">
        <v>0</v>
      </c>
      <c r="AD250" s="1" t="s">
        <v>4087</v>
      </c>
      <c r="AE250" s="1" t="s">
        <v>142</v>
      </c>
      <c r="AF250" s="1" t="s">
        <v>143</v>
      </c>
      <c r="AG250" s="1" t="s">
        <v>1719</v>
      </c>
      <c r="AH250" s="1" t="s">
        <v>4088</v>
      </c>
      <c r="AI250" s="1" t="s">
        <v>4089</v>
      </c>
      <c r="AJ250" s="1" t="s">
        <v>109</v>
      </c>
      <c r="AK250" s="1" t="s">
        <v>4090</v>
      </c>
      <c r="AL250" s="1">
        <v>20</v>
      </c>
      <c r="AM250" s="1" t="s">
        <v>111</v>
      </c>
      <c r="AO250" s="1" t="s">
        <v>4091</v>
      </c>
      <c r="AP250" s="1">
        <f>91-9420352324</f>
        <v>-9420352233</v>
      </c>
      <c r="AR250" s="1">
        <v>2</v>
      </c>
      <c r="AS250" s="1">
        <v>2</v>
      </c>
      <c r="AW250" s="1" t="s">
        <v>142</v>
      </c>
      <c r="AX250" s="1" t="s">
        <v>2531</v>
      </c>
      <c r="AY250" s="1" t="s">
        <v>150</v>
      </c>
      <c r="AZ250" s="1">
        <v>5.0599999999999996</v>
      </c>
      <c r="BA250" s="1">
        <v>5.09</v>
      </c>
      <c r="BB250" s="1" t="s">
        <v>151</v>
      </c>
      <c r="BC250" s="1" t="s">
        <v>152</v>
      </c>
      <c r="BD250" s="1" t="s">
        <v>1395</v>
      </c>
      <c r="BE250" s="1" t="s">
        <v>97</v>
      </c>
      <c r="BF250" s="1" t="s">
        <v>120</v>
      </c>
      <c r="BG250" s="1" t="s">
        <v>2541</v>
      </c>
      <c r="BH250" s="1" t="s">
        <v>2541</v>
      </c>
      <c r="BI250" s="1" t="s">
        <v>211</v>
      </c>
      <c r="BL250" s="1">
        <v>0</v>
      </c>
      <c r="BM250" s="1">
        <v>0</v>
      </c>
      <c r="BN250" s="1" t="s">
        <v>4092</v>
      </c>
      <c r="BO250" s="1">
        <v>1</v>
      </c>
      <c r="BP250" s="1" t="s">
        <v>4093</v>
      </c>
      <c r="BQ250" s="1" t="s">
        <v>112</v>
      </c>
      <c r="BR250" s="1">
        <v>0</v>
      </c>
      <c r="BS250" s="1" t="s">
        <v>1208</v>
      </c>
      <c r="BT250" s="1" t="s">
        <v>124</v>
      </c>
      <c r="BU250" s="1" t="s">
        <v>112</v>
      </c>
      <c r="BV250" s="1" t="s">
        <v>112</v>
      </c>
      <c r="BW250" s="1" t="s">
        <v>4094</v>
      </c>
      <c r="BX250" s="1" t="s">
        <v>4095</v>
      </c>
      <c r="BY250" s="1" t="s">
        <v>120</v>
      </c>
      <c r="BZ250" s="1">
        <v>1</v>
      </c>
      <c r="CA250" s="1">
        <v>1</v>
      </c>
      <c r="CB250" s="4">
        <v>43071.201701585647</v>
      </c>
      <c r="CC250" s="1">
        <v>1</v>
      </c>
      <c r="CD250" s="1">
        <v>1</v>
      </c>
      <c r="CE250" s="1">
        <v>1</v>
      </c>
      <c r="CF250" s="1">
        <v>1</v>
      </c>
      <c r="CG250" s="4">
        <v>43426.586840706019</v>
      </c>
      <c r="CH250" s="1" t="s">
        <v>112</v>
      </c>
      <c r="CI250" s="1" t="s">
        <v>4096</v>
      </c>
      <c r="CJ250" s="1" t="s">
        <v>157</v>
      </c>
    </row>
    <row r="251" spans="1:88" x14ac:dyDescent="0.35">
      <c r="A251" s="1">
        <v>3864</v>
      </c>
      <c r="B251" s="1" t="s">
        <v>4097</v>
      </c>
      <c r="C251" s="1" t="s">
        <v>4098</v>
      </c>
      <c r="D251" s="1" t="s">
        <v>90</v>
      </c>
      <c r="E251" s="1" t="s">
        <v>794</v>
      </c>
      <c r="F251" s="1" t="s">
        <v>134</v>
      </c>
      <c r="G251" s="1">
        <v>1</v>
      </c>
      <c r="H251" s="3">
        <v>32837</v>
      </c>
      <c r="I251" s="1">
        <v>1</v>
      </c>
      <c r="J251" s="1" t="s">
        <v>162</v>
      </c>
      <c r="K251" s="1" t="s">
        <v>163</v>
      </c>
      <c r="L251" s="2">
        <f>91-9510123454</f>
        <v>-9510123363</v>
      </c>
      <c r="M251" s="1" t="s">
        <v>3734</v>
      </c>
      <c r="N251" s="1">
        <v>0</v>
      </c>
      <c r="O251" s="1">
        <v>0</v>
      </c>
      <c r="P251" s="1">
        <v>5.07</v>
      </c>
      <c r="Q251" s="1">
        <v>11</v>
      </c>
      <c r="R251" s="1" t="s">
        <v>340</v>
      </c>
      <c r="S251" s="1" t="s">
        <v>492</v>
      </c>
      <c r="T251" s="1" t="s">
        <v>427</v>
      </c>
      <c r="U251" s="1" t="s">
        <v>2540</v>
      </c>
      <c r="V251" s="1" t="s">
        <v>654</v>
      </c>
      <c r="X251" s="1" t="s">
        <v>170</v>
      </c>
      <c r="Y251" s="1" t="s">
        <v>111</v>
      </c>
      <c r="Z251" s="1" t="s">
        <v>2483</v>
      </c>
      <c r="AB251" s="1">
        <v>0</v>
      </c>
      <c r="AD251" s="1" t="s">
        <v>4099</v>
      </c>
      <c r="AE251" s="1">
        <f>91-9898173050</f>
        <v>-9898172959</v>
      </c>
      <c r="AF251" s="1" t="s">
        <v>105</v>
      </c>
      <c r="AG251" s="1" t="s">
        <v>4100</v>
      </c>
      <c r="AH251" s="1" t="s">
        <v>4101</v>
      </c>
      <c r="AI251" s="1" t="s">
        <v>965</v>
      </c>
      <c r="AJ251" s="1" t="s">
        <v>109</v>
      </c>
      <c r="AK251" s="1" t="s">
        <v>4102</v>
      </c>
      <c r="AL251" s="1">
        <v>55</v>
      </c>
      <c r="AM251" s="1" t="s">
        <v>129</v>
      </c>
      <c r="AP251" s="1">
        <f>91-9898173050</f>
        <v>-9898172959</v>
      </c>
      <c r="AR251" s="1">
        <v>0</v>
      </c>
      <c r="AS251" s="1">
        <v>0</v>
      </c>
      <c r="AW251" s="1" t="s">
        <v>142</v>
      </c>
      <c r="AX251" s="1" t="s">
        <v>1315</v>
      </c>
      <c r="AY251" s="1" t="s">
        <v>351</v>
      </c>
      <c r="AZ251" s="1">
        <v>5</v>
      </c>
      <c r="BA251" s="1">
        <v>5.07</v>
      </c>
      <c r="BB251" s="1" t="s">
        <v>151</v>
      </c>
      <c r="BC251" s="1" t="s">
        <v>304</v>
      </c>
      <c r="BD251" s="1" t="s">
        <v>1333</v>
      </c>
      <c r="BE251" s="1" t="s">
        <v>2440</v>
      </c>
      <c r="BF251" s="1" t="s">
        <v>120</v>
      </c>
      <c r="BG251" s="1" t="s">
        <v>120</v>
      </c>
      <c r="BH251" s="1" t="s">
        <v>120</v>
      </c>
      <c r="BJ251" s="1" t="s">
        <v>154</v>
      </c>
      <c r="BK251" s="1" t="s">
        <v>120</v>
      </c>
      <c r="BL251" s="1">
        <v>0</v>
      </c>
      <c r="BM251" s="1">
        <v>0</v>
      </c>
      <c r="BN251" s="1" t="s">
        <v>4103</v>
      </c>
      <c r="BO251" s="1">
        <v>1</v>
      </c>
      <c r="BP251" s="1" t="s">
        <v>163</v>
      </c>
      <c r="BQ251" s="1" t="s">
        <v>180</v>
      </c>
      <c r="BR251" s="1">
        <v>1</v>
      </c>
      <c r="BS251" s="1" t="s">
        <v>787</v>
      </c>
      <c r="BT251" s="1" t="s">
        <v>124</v>
      </c>
      <c r="BV251" s="1" t="s">
        <v>112</v>
      </c>
      <c r="BW251" s="1" t="s">
        <v>4104</v>
      </c>
      <c r="BX251" s="1" t="s">
        <v>4105</v>
      </c>
      <c r="BY251" s="1" t="s">
        <v>120</v>
      </c>
      <c r="BZ251" s="1">
        <v>2</v>
      </c>
      <c r="CA251" s="1">
        <v>2</v>
      </c>
      <c r="CB251" s="4">
        <v>43073.958011886571</v>
      </c>
      <c r="CC251" s="1">
        <v>1</v>
      </c>
      <c r="CD251" s="1">
        <v>1</v>
      </c>
      <c r="CE251" s="1">
        <v>1</v>
      </c>
      <c r="CF251" s="1">
        <v>1</v>
      </c>
      <c r="CG251" s="4">
        <v>43523.757509108793</v>
      </c>
      <c r="CH251" s="1" t="s">
        <v>112</v>
      </c>
      <c r="CI251" s="1" t="s">
        <v>708</v>
      </c>
      <c r="CJ251" s="1" t="s">
        <v>157</v>
      </c>
    </row>
    <row r="252" spans="1:88" x14ac:dyDescent="0.35">
      <c r="A252" s="1">
        <v>3865</v>
      </c>
      <c r="B252" s="1" t="s">
        <v>4106</v>
      </c>
      <c r="C252" s="1" t="s">
        <v>4107</v>
      </c>
      <c r="D252" s="1" t="s">
        <v>229</v>
      </c>
      <c r="E252" s="1" t="s">
        <v>4108</v>
      </c>
      <c r="F252" s="1" t="s">
        <v>1926</v>
      </c>
      <c r="G252" s="1">
        <v>1</v>
      </c>
      <c r="H252" s="3">
        <v>33976</v>
      </c>
      <c r="I252" s="1">
        <v>1</v>
      </c>
      <c r="J252" s="1" t="s">
        <v>186</v>
      </c>
      <c r="K252" s="1" t="s">
        <v>407</v>
      </c>
      <c r="L252" s="2">
        <f>91-7773877742</f>
        <v>-7773877651</v>
      </c>
      <c r="M252" s="1" t="s">
        <v>150</v>
      </c>
      <c r="N252" s="1">
        <v>0</v>
      </c>
      <c r="O252" s="1">
        <v>0</v>
      </c>
      <c r="P252" s="1">
        <v>5.0999999999999996</v>
      </c>
      <c r="Q252" s="1">
        <v>38</v>
      </c>
      <c r="R252" s="1" t="s">
        <v>317</v>
      </c>
      <c r="S252" s="1" t="s">
        <v>293</v>
      </c>
      <c r="T252" s="1" t="s">
        <v>166</v>
      </c>
      <c r="U252" s="1" t="s">
        <v>2540</v>
      </c>
      <c r="V252" s="1" t="s">
        <v>2540</v>
      </c>
      <c r="X252" s="1" t="s">
        <v>924</v>
      </c>
      <c r="Y252" s="1" t="s">
        <v>111</v>
      </c>
      <c r="Z252" s="1" t="s">
        <v>4109</v>
      </c>
      <c r="AB252" s="1">
        <v>0</v>
      </c>
      <c r="AD252" s="1" t="s">
        <v>4110</v>
      </c>
      <c r="AE252" s="1">
        <f>91-7773837770</f>
        <v>-7773837679</v>
      </c>
      <c r="AF252" s="1" t="s">
        <v>2541</v>
      </c>
      <c r="AG252" s="1" t="s">
        <v>4111</v>
      </c>
      <c r="AH252" s="1" t="s">
        <v>4112</v>
      </c>
      <c r="AI252" s="1" t="s">
        <v>4113</v>
      </c>
      <c r="AJ252" s="1" t="s">
        <v>109</v>
      </c>
      <c r="AK252" s="1" t="s">
        <v>4114</v>
      </c>
      <c r="AL252" s="1">
        <v>6</v>
      </c>
      <c r="AM252" s="1" t="s">
        <v>2541</v>
      </c>
      <c r="AP252" s="1">
        <f>91-8827343852</f>
        <v>-8827343761</v>
      </c>
      <c r="AR252" s="1">
        <v>0</v>
      </c>
      <c r="AS252" s="1">
        <v>0</v>
      </c>
      <c r="AW252" s="1" t="s">
        <v>142</v>
      </c>
      <c r="AX252" s="1" t="s">
        <v>1095</v>
      </c>
      <c r="AY252" s="1" t="s">
        <v>150</v>
      </c>
      <c r="AZ252" s="1">
        <v>5</v>
      </c>
      <c r="BA252" s="1">
        <v>5.0599999999999996</v>
      </c>
      <c r="BB252" s="1" t="s">
        <v>151</v>
      </c>
      <c r="BC252" s="1" t="s">
        <v>152</v>
      </c>
      <c r="BD252" s="1" t="s">
        <v>1395</v>
      </c>
      <c r="BE252" s="1" t="s">
        <v>120</v>
      </c>
      <c r="BF252" s="1" t="s">
        <v>120</v>
      </c>
      <c r="BG252" s="1" t="s">
        <v>2541</v>
      </c>
      <c r="BH252" s="1" t="s">
        <v>2541</v>
      </c>
      <c r="BI252" s="1" t="s">
        <v>132</v>
      </c>
      <c r="BL252" s="1">
        <v>0</v>
      </c>
      <c r="BM252" s="1">
        <v>0</v>
      </c>
      <c r="BN252" s="1" t="s">
        <v>4115</v>
      </c>
      <c r="BO252" s="1">
        <v>0</v>
      </c>
      <c r="BQ252" s="1" t="s">
        <v>180</v>
      </c>
      <c r="BR252" s="1">
        <v>0</v>
      </c>
      <c r="BS252" s="1" t="s">
        <v>252</v>
      </c>
      <c r="BT252" s="1" t="s">
        <v>124</v>
      </c>
      <c r="BV252" s="1" t="s">
        <v>112</v>
      </c>
      <c r="BW252" s="1" t="s">
        <v>4116</v>
      </c>
      <c r="BX252" s="1" t="s">
        <v>4117</v>
      </c>
      <c r="BY252" s="1" t="s">
        <v>120</v>
      </c>
      <c r="BZ252" s="1">
        <v>0</v>
      </c>
      <c r="CA252" s="1">
        <v>0</v>
      </c>
      <c r="CB252" s="4">
        <v>43083.41840628472</v>
      </c>
      <c r="CC252" s="1">
        <v>1</v>
      </c>
      <c r="CD252" s="1">
        <v>1</v>
      </c>
      <c r="CE252" s="1">
        <v>1</v>
      </c>
      <c r="CF252" s="1">
        <v>4</v>
      </c>
      <c r="CG252" s="4">
        <v>43083.41840628472</v>
      </c>
      <c r="CH252" s="1" t="s">
        <v>112</v>
      </c>
      <c r="CI252" s="1" t="s">
        <v>4118</v>
      </c>
      <c r="CJ252" s="1" t="s">
        <v>157</v>
      </c>
    </row>
    <row r="253" spans="1:88" x14ac:dyDescent="0.35">
      <c r="A253" s="1">
        <v>3866</v>
      </c>
      <c r="B253" s="1" t="s">
        <v>4119</v>
      </c>
      <c r="C253" s="1" t="s">
        <v>4120</v>
      </c>
      <c r="D253" s="1" t="s">
        <v>711</v>
      </c>
      <c r="E253" s="1" t="s">
        <v>4121</v>
      </c>
      <c r="F253" s="1" t="s">
        <v>134</v>
      </c>
      <c r="G253" s="1">
        <v>0</v>
      </c>
      <c r="H253" s="3">
        <v>32471</v>
      </c>
      <c r="I253" s="1">
        <v>1</v>
      </c>
      <c r="J253" s="1" t="s">
        <v>4122</v>
      </c>
      <c r="K253" s="1" t="s">
        <v>4123</v>
      </c>
      <c r="L253" s="2">
        <f>91-8800846964</f>
        <v>-8800846873</v>
      </c>
      <c r="M253" s="1" t="s">
        <v>150</v>
      </c>
      <c r="N253" s="1">
        <v>0</v>
      </c>
      <c r="O253" s="1">
        <v>0</v>
      </c>
      <c r="P253" s="1">
        <v>5.0199999999999996</v>
      </c>
      <c r="Q253" s="1">
        <v>27</v>
      </c>
      <c r="R253" s="1" t="s">
        <v>653</v>
      </c>
      <c r="S253" s="1" t="s">
        <v>97</v>
      </c>
      <c r="T253" s="1" t="s">
        <v>137</v>
      </c>
      <c r="U253" s="1" t="s">
        <v>2540</v>
      </c>
      <c r="V253" s="1" t="s">
        <v>2540</v>
      </c>
      <c r="X253" s="1" t="s">
        <v>236</v>
      </c>
      <c r="Y253" s="1" t="s">
        <v>210</v>
      </c>
      <c r="Z253" s="1" t="s">
        <v>450</v>
      </c>
      <c r="AB253" s="1">
        <v>0</v>
      </c>
      <c r="AD253" s="1" t="s">
        <v>4124</v>
      </c>
      <c r="AE253" s="1" t="s">
        <v>142</v>
      </c>
      <c r="AF253" s="1" t="s">
        <v>2541</v>
      </c>
      <c r="AG253" s="1" t="s">
        <v>4125</v>
      </c>
      <c r="AH253" s="1" t="s">
        <v>4126</v>
      </c>
      <c r="AI253" s="1" t="s">
        <v>4127</v>
      </c>
      <c r="AJ253" s="1" t="s">
        <v>478</v>
      </c>
      <c r="AK253" s="1" t="s">
        <v>4128</v>
      </c>
      <c r="AL253" s="1">
        <v>33</v>
      </c>
      <c r="AM253" s="1" t="s">
        <v>2541</v>
      </c>
      <c r="AP253" s="1">
        <f>91-7488972519</f>
        <v>-7488972428</v>
      </c>
      <c r="AR253" s="1">
        <v>0</v>
      </c>
      <c r="AS253" s="1">
        <v>0</v>
      </c>
      <c r="AW253" s="1" t="s">
        <v>142</v>
      </c>
      <c r="AX253" s="1" t="s">
        <v>2298</v>
      </c>
      <c r="AY253" s="1" t="s">
        <v>150</v>
      </c>
      <c r="AZ253" s="1">
        <v>5.05</v>
      </c>
      <c r="BA253" s="1">
        <v>5.1100000000000003</v>
      </c>
      <c r="BB253" s="1" t="s">
        <v>151</v>
      </c>
      <c r="BC253" s="1" t="s">
        <v>152</v>
      </c>
      <c r="BD253" s="1" t="s">
        <v>1395</v>
      </c>
      <c r="BE253" s="1" t="s">
        <v>281</v>
      </c>
      <c r="BF253" s="1" t="s">
        <v>120</v>
      </c>
      <c r="BG253" s="1" t="s">
        <v>2541</v>
      </c>
      <c r="BH253" s="1" t="s">
        <v>2541</v>
      </c>
      <c r="BI253" s="1" t="s">
        <v>450</v>
      </c>
      <c r="BL253" s="1">
        <v>0</v>
      </c>
      <c r="BM253" s="1">
        <v>0</v>
      </c>
      <c r="BN253" s="1" t="s">
        <v>4129</v>
      </c>
      <c r="BO253" s="1">
        <v>0</v>
      </c>
      <c r="BQ253" s="1" t="s">
        <v>180</v>
      </c>
      <c r="BR253" s="1">
        <v>0</v>
      </c>
      <c r="BS253" s="1" t="s">
        <v>376</v>
      </c>
      <c r="BT253" s="1" t="s">
        <v>124</v>
      </c>
      <c r="BV253" s="1" t="s">
        <v>112</v>
      </c>
      <c r="BW253" s="1" t="s">
        <v>4130</v>
      </c>
      <c r="BX253" s="1" t="s">
        <v>4131</v>
      </c>
      <c r="BY253" s="1" t="s">
        <v>120</v>
      </c>
      <c r="BZ253" s="1">
        <v>0</v>
      </c>
      <c r="CA253" s="1">
        <v>0</v>
      </c>
      <c r="CB253" s="4">
        <v>43087.355800659723</v>
      </c>
      <c r="CC253" s="1">
        <v>1</v>
      </c>
      <c r="CD253" s="1">
        <v>1</v>
      </c>
      <c r="CE253" s="1">
        <v>1</v>
      </c>
      <c r="CF253" s="1">
        <v>4</v>
      </c>
      <c r="CG253" s="4">
        <v>43093.710274537036</v>
      </c>
      <c r="CH253" s="1" t="s">
        <v>112</v>
      </c>
      <c r="CI253" s="1" t="s">
        <v>4132</v>
      </c>
      <c r="CJ253" s="1" t="s">
        <v>157</v>
      </c>
    </row>
    <row r="254" spans="1:88" x14ac:dyDescent="0.35">
      <c r="A254" s="1">
        <v>3873</v>
      </c>
      <c r="B254" s="1" t="s">
        <v>4133</v>
      </c>
      <c r="C254" s="1">
        <v>8318021371</v>
      </c>
      <c r="D254" s="1" t="s">
        <v>132</v>
      </c>
      <c r="E254" s="1" t="s">
        <v>2324</v>
      </c>
      <c r="F254" s="1" t="s">
        <v>134</v>
      </c>
      <c r="G254" s="1">
        <v>1</v>
      </c>
      <c r="H254" s="3">
        <v>28866</v>
      </c>
      <c r="I254" s="1">
        <v>1</v>
      </c>
      <c r="J254" s="1" t="s">
        <v>93</v>
      </c>
      <c r="K254" s="1" t="s">
        <v>1086</v>
      </c>
      <c r="L254" s="2">
        <f>91-8318021371</f>
        <v>-8318021280</v>
      </c>
      <c r="M254" s="1" t="s">
        <v>95</v>
      </c>
      <c r="N254" s="1">
        <v>0</v>
      </c>
      <c r="O254" s="1">
        <v>0</v>
      </c>
      <c r="P254" s="1">
        <v>5.0599999999999996</v>
      </c>
      <c r="Q254" s="1">
        <v>43</v>
      </c>
      <c r="R254" s="1" t="s">
        <v>188</v>
      </c>
      <c r="S254" s="1" t="s">
        <v>233</v>
      </c>
      <c r="T254" s="1" t="s">
        <v>124</v>
      </c>
      <c r="U254" s="1" t="s">
        <v>2540</v>
      </c>
      <c r="V254" s="1" t="s">
        <v>2540</v>
      </c>
      <c r="X254" s="1" t="s">
        <v>924</v>
      </c>
      <c r="Y254" s="1" t="s">
        <v>4134</v>
      </c>
      <c r="Z254" s="1" t="s">
        <v>4135</v>
      </c>
      <c r="AB254" s="1">
        <v>0</v>
      </c>
      <c r="AD254" s="1" t="s">
        <v>124</v>
      </c>
      <c r="AE254" s="1">
        <f>91-9921459884</f>
        <v>-9921459793</v>
      </c>
      <c r="AF254" s="1" t="s">
        <v>2541</v>
      </c>
      <c r="AG254" s="1" t="s">
        <v>4136</v>
      </c>
      <c r="AH254" s="1" t="s">
        <v>4137</v>
      </c>
      <c r="AI254" s="1" t="s">
        <v>4138</v>
      </c>
      <c r="AJ254" s="1" t="s">
        <v>109</v>
      </c>
      <c r="AK254" s="1" t="s">
        <v>4139</v>
      </c>
      <c r="AL254" s="1">
        <v>8</v>
      </c>
      <c r="AM254" s="1" t="s">
        <v>2541</v>
      </c>
      <c r="AP254" s="1" t="e">
        <f>91-No</f>
        <v>#NAME?</v>
      </c>
      <c r="AR254" s="1">
        <v>0</v>
      </c>
      <c r="AS254" s="1">
        <v>0</v>
      </c>
      <c r="AW254" s="1" t="s">
        <v>142</v>
      </c>
      <c r="AX254" s="1" t="s">
        <v>4140</v>
      </c>
      <c r="AY254" s="1" t="s">
        <v>4141</v>
      </c>
      <c r="AZ254" s="1">
        <v>5.0199999999999996</v>
      </c>
      <c r="BA254" s="1">
        <v>5.0199999999999996</v>
      </c>
      <c r="BB254" s="1" t="s">
        <v>151</v>
      </c>
      <c r="BC254" s="1" t="s">
        <v>152</v>
      </c>
      <c r="BD254" s="1" t="s">
        <v>1395</v>
      </c>
      <c r="BE254" s="1" t="s">
        <v>120</v>
      </c>
      <c r="BF254" s="1" t="s">
        <v>120</v>
      </c>
      <c r="BG254" s="1" t="s">
        <v>2541</v>
      </c>
      <c r="BH254" s="1" t="s">
        <v>2541</v>
      </c>
      <c r="BI254" s="1" t="s">
        <v>4135</v>
      </c>
      <c r="BL254" s="1">
        <v>0</v>
      </c>
      <c r="BM254" s="1">
        <v>1</v>
      </c>
      <c r="BN254" s="1" t="s">
        <v>124</v>
      </c>
      <c r="BO254" s="1">
        <v>0</v>
      </c>
      <c r="BQ254" s="1" t="s">
        <v>180</v>
      </c>
      <c r="BR254" s="1">
        <v>0</v>
      </c>
      <c r="BS254" s="1" t="s">
        <v>223</v>
      </c>
      <c r="BT254" s="1" t="s">
        <v>1123</v>
      </c>
      <c r="BU254" s="1" t="s">
        <v>4142</v>
      </c>
      <c r="BV254" s="1" t="s">
        <v>112</v>
      </c>
      <c r="BW254" s="1" t="s">
        <v>4143</v>
      </c>
      <c r="BX254" s="1" t="s">
        <v>4144</v>
      </c>
      <c r="BY254" s="1" t="s">
        <v>120</v>
      </c>
      <c r="BZ254" s="1">
        <v>0</v>
      </c>
      <c r="CA254" s="1">
        <v>0</v>
      </c>
      <c r="CB254" s="4">
        <v>43102.214785185184</v>
      </c>
      <c r="CC254" s="1">
        <v>1</v>
      </c>
      <c r="CD254" s="1">
        <v>1</v>
      </c>
      <c r="CE254" s="1">
        <v>1</v>
      </c>
      <c r="CF254" s="1">
        <v>1</v>
      </c>
      <c r="CG254" s="4">
        <v>43102.214785185184</v>
      </c>
      <c r="CH254" s="1" t="s">
        <v>112</v>
      </c>
      <c r="CI254" s="1" t="s">
        <v>1645</v>
      </c>
      <c r="CJ254" s="1" t="s">
        <v>157</v>
      </c>
    </row>
    <row r="255" spans="1:88" x14ac:dyDescent="0.35">
      <c r="A255" s="1">
        <v>3874</v>
      </c>
      <c r="B255" s="1" t="s">
        <v>4145</v>
      </c>
      <c r="C255" s="1" t="s">
        <v>4146</v>
      </c>
      <c r="D255" s="1" t="s">
        <v>90</v>
      </c>
      <c r="E255" s="1" t="s">
        <v>4147</v>
      </c>
      <c r="F255" s="1" t="s">
        <v>4148</v>
      </c>
      <c r="G255" s="1">
        <v>0</v>
      </c>
      <c r="H255" s="3">
        <v>33969</v>
      </c>
      <c r="I255" s="1">
        <v>1</v>
      </c>
      <c r="J255" s="1" t="s">
        <v>162</v>
      </c>
      <c r="K255" s="1" t="s">
        <v>4132</v>
      </c>
      <c r="L255" s="2">
        <f>91-9825516865</f>
        <v>-9825516774</v>
      </c>
      <c r="M255" s="1" t="s">
        <v>150</v>
      </c>
      <c r="N255" s="1">
        <v>0</v>
      </c>
      <c r="O255" s="1">
        <v>0</v>
      </c>
      <c r="P255" s="1">
        <v>5.03</v>
      </c>
      <c r="Q255" s="1">
        <v>11</v>
      </c>
      <c r="R255" s="1" t="s">
        <v>340</v>
      </c>
      <c r="S255" s="1" t="s">
        <v>136</v>
      </c>
      <c r="T255" s="1" t="s">
        <v>234</v>
      </c>
      <c r="U255" s="1" t="s">
        <v>2540</v>
      </c>
      <c r="V255" s="1" t="s">
        <v>2540</v>
      </c>
      <c r="X255" s="1" t="s">
        <v>100</v>
      </c>
      <c r="Y255" s="1" t="s">
        <v>101</v>
      </c>
      <c r="Z255" s="1" t="s">
        <v>4149</v>
      </c>
      <c r="AB255" s="1">
        <v>0</v>
      </c>
      <c r="AD255" s="1" t="s">
        <v>4150</v>
      </c>
      <c r="AE255" s="1" t="s">
        <v>142</v>
      </c>
      <c r="AF255" s="1" t="s">
        <v>2541</v>
      </c>
      <c r="AG255" s="1" t="s">
        <v>4151</v>
      </c>
      <c r="AH255" s="1" t="s">
        <v>4152</v>
      </c>
      <c r="AI255" s="1" t="s">
        <v>4153</v>
      </c>
      <c r="AJ255" s="1" t="s">
        <v>109</v>
      </c>
      <c r="AK255" s="1" t="s">
        <v>4154</v>
      </c>
      <c r="AL255" s="1">
        <v>25</v>
      </c>
      <c r="AM255" s="1" t="s">
        <v>2541</v>
      </c>
      <c r="AP255" s="1">
        <f>91-9825516865</f>
        <v>-9825516774</v>
      </c>
      <c r="AR255" s="1">
        <v>0</v>
      </c>
      <c r="AS255" s="1">
        <v>0</v>
      </c>
      <c r="AW255" s="1" t="s">
        <v>142</v>
      </c>
      <c r="AX255" s="1" t="s">
        <v>526</v>
      </c>
      <c r="AY255" s="1" t="s">
        <v>150</v>
      </c>
      <c r="AZ255" s="1">
        <v>5.07</v>
      </c>
      <c r="BA255" s="1">
        <v>6.02</v>
      </c>
      <c r="BB255" s="1" t="s">
        <v>151</v>
      </c>
      <c r="BC255" s="1" t="s">
        <v>152</v>
      </c>
      <c r="BD255" s="1" t="s">
        <v>1395</v>
      </c>
      <c r="BE255" s="1" t="s">
        <v>281</v>
      </c>
      <c r="BF255" s="1" t="s">
        <v>120</v>
      </c>
      <c r="BG255" s="1" t="s">
        <v>2541</v>
      </c>
      <c r="BH255" s="1" t="s">
        <v>2541</v>
      </c>
      <c r="BI255" s="1" t="s">
        <v>132</v>
      </c>
      <c r="BL255" s="1">
        <v>0</v>
      </c>
      <c r="BM255" s="1">
        <v>0</v>
      </c>
      <c r="BN255" s="1" t="s">
        <v>4155</v>
      </c>
      <c r="BO255" s="1">
        <v>0</v>
      </c>
      <c r="BQ255" s="1" t="s">
        <v>180</v>
      </c>
      <c r="BR255" s="1">
        <v>0</v>
      </c>
      <c r="BS255" s="1" t="s">
        <v>399</v>
      </c>
      <c r="BT255" s="1" t="s">
        <v>120</v>
      </c>
      <c r="BV255" s="1" t="s">
        <v>112</v>
      </c>
      <c r="BW255" s="1" t="s">
        <v>4156</v>
      </c>
      <c r="BX255" s="1" t="s">
        <v>4157</v>
      </c>
      <c r="BY255" s="1" t="s">
        <v>120</v>
      </c>
      <c r="BZ255" s="1">
        <v>0</v>
      </c>
      <c r="CA255" s="1">
        <v>0</v>
      </c>
      <c r="CB255" s="4">
        <v>43102.324582754627</v>
      </c>
      <c r="CC255" s="1">
        <v>1</v>
      </c>
      <c r="CD255" s="1">
        <v>1</v>
      </c>
      <c r="CE255" s="1">
        <v>1</v>
      </c>
      <c r="CF255" s="1">
        <v>1</v>
      </c>
      <c r="CG255" s="4">
        <v>43749.635600428242</v>
      </c>
      <c r="CH255" s="1" t="s">
        <v>112</v>
      </c>
      <c r="CI255" s="1" t="s">
        <v>4158</v>
      </c>
      <c r="CJ255" s="1" t="s">
        <v>157</v>
      </c>
    </row>
    <row r="256" spans="1:88" x14ac:dyDescent="0.35">
      <c r="A256" s="1">
        <v>3878</v>
      </c>
      <c r="B256" s="1" t="s">
        <v>4159</v>
      </c>
      <c r="C256" s="1" t="s">
        <v>4160</v>
      </c>
      <c r="D256" s="1" t="s">
        <v>90</v>
      </c>
      <c r="E256" s="1" t="s">
        <v>4161</v>
      </c>
      <c r="F256" s="1" t="s">
        <v>208</v>
      </c>
      <c r="G256" s="1">
        <v>1</v>
      </c>
      <c r="H256" s="3">
        <v>32975</v>
      </c>
      <c r="I256" s="1">
        <v>1</v>
      </c>
      <c r="J256" s="1" t="s">
        <v>315</v>
      </c>
      <c r="K256" s="1" t="s">
        <v>4162</v>
      </c>
      <c r="L256" s="2">
        <f>91-9886139910</f>
        <v>-9886139819</v>
      </c>
      <c r="M256" s="1" t="s">
        <v>150</v>
      </c>
      <c r="N256" s="1">
        <v>0</v>
      </c>
      <c r="O256" s="1">
        <v>0</v>
      </c>
      <c r="P256" s="1">
        <v>5.0599999999999996</v>
      </c>
      <c r="Q256" s="1">
        <v>10</v>
      </c>
      <c r="S256" s="1" t="s">
        <v>97</v>
      </c>
      <c r="T256" s="1" t="s">
        <v>166</v>
      </c>
      <c r="U256" s="1" t="s">
        <v>2540</v>
      </c>
      <c r="V256" s="1" t="s">
        <v>2540</v>
      </c>
      <c r="X256" s="1" t="s">
        <v>100</v>
      </c>
      <c r="Y256" s="1" t="s">
        <v>111</v>
      </c>
      <c r="Z256" s="1" t="s">
        <v>192</v>
      </c>
      <c r="AB256" s="1">
        <v>0</v>
      </c>
      <c r="AD256" s="1" t="s">
        <v>4163</v>
      </c>
      <c r="AE256" s="1" t="s">
        <v>142</v>
      </c>
      <c r="AF256" s="1" t="s">
        <v>129</v>
      </c>
      <c r="AG256" s="1" t="s">
        <v>4164</v>
      </c>
      <c r="AH256" s="1" t="s">
        <v>4165</v>
      </c>
      <c r="AI256" s="1" t="s">
        <v>4166</v>
      </c>
      <c r="AJ256" s="1" t="s">
        <v>109</v>
      </c>
      <c r="AK256" s="1" t="s">
        <v>4167</v>
      </c>
      <c r="AL256" s="1">
        <v>45</v>
      </c>
      <c r="AM256" s="1" t="s">
        <v>111</v>
      </c>
      <c r="AP256" s="1">
        <f>91-9591076013</f>
        <v>-9591075922</v>
      </c>
      <c r="AR256" s="1">
        <v>1</v>
      </c>
      <c r="AS256" s="1">
        <v>1</v>
      </c>
      <c r="AW256" s="1" t="s">
        <v>142</v>
      </c>
      <c r="AX256" s="1" t="s">
        <v>1315</v>
      </c>
      <c r="AY256" s="1" t="s">
        <v>150</v>
      </c>
      <c r="AZ256" s="1">
        <v>4.08</v>
      </c>
      <c r="BA256" s="1">
        <v>5.07</v>
      </c>
      <c r="BB256" s="1" t="s">
        <v>151</v>
      </c>
      <c r="BC256" s="1" t="s">
        <v>304</v>
      </c>
      <c r="BD256" s="1" t="s">
        <v>1333</v>
      </c>
      <c r="BE256" s="1" t="s">
        <v>120</v>
      </c>
      <c r="BF256" s="1" t="s">
        <v>120</v>
      </c>
      <c r="BG256" s="1" t="s">
        <v>120</v>
      </c>
      <c r="BH256" s="1" t="s">
        <v>120</v>
      </c>
      <c r="BJ256" s="1" t="s">
        <v>120</v>
      </c>
      <c r="BK256" s="1" t="s">
        <v>120</v>
      </c>
      <c r="BL256" s="1">
        <v>0</v>
      </c>
      <c r="BM256" s="1">
        <v>0</v>
      </c>
      <c r="BN256" s="1" t="s">
        <v>4168</v>
      </c>
      <c r="BO256" s="1">
        <v>1</v>
      </c>
      <c r="BP256" s="1" t="s">
        <v>4162</v>
      </c>
      <c r="BQ256" s="1" t="s">
        <v>112</v>
      </c>
      <c r="BR256" s="1">
        <v>0</v>
      </c>
      <c r="BS256" s="1" t="s">
        <v>129</v>
      </c>
      <c r="BT256" s="1" t="s">
        <v>124</v>
      </c>
      <c r="BU256" s="1" t="s">
        <v>112</v>
      </c>
      <c r="BV256" s="1" t="s">
        <v>112</v>
      </c>
      <c r="BW256" s="1" t="s">
        <v>4169</v>
      </c>
      <c r="BX256" s="1" t="s">
        <v>112</v>
      </c>
      <c r="BY256" s="1" t="s">
        <v>120</v>
      </c>
      <c r="BZ256" s="1">
        <v>1</v>
      </c>
      <c r="CA256" s="1">
        <v>1</v>
      </c>
      <c r="CB256" s="4">
        <v>43108.939754664352</v>
      </c>
      <c r="CC256" s="1">
        <v>1</v>
      </c>
      <c r="CD256" s="1">
        <v>1</v>
      </c>
      <c r="CE256" s="1">
        <v>1</v>
      </c>
      <c r="CF256" s="1">
        <v>1</v>
      </c>
      <c r="CG256" s="4">
        <v>43249.655781400463</v>
      </c>
      <c r="CH256" s="1" t="s">
        <v>112</v>
      </c>
      <c r="CI256" s="1" t="s">
        <v>3058</v>
      </c>
      <c r="CJ256" s="1" t="s">
        <v>157</v>
      </c>
    </row>
    <row r="257" spans="1:88" x14ac:dyDescent="0.35">
      <c r="A257" s="1">
        <v>3879</v>
      </c>
      <c r="B257" s="1" t="s">
        <v>4170</v>
      </c>
      <c r="C257" s="1" t="s">
        <v>4171</v>
      </c>
      <c r="D257" s="1" t="s">
        <v>90</v>
      </c>
      <c r="E257" s="1" t="s">
        <v>4172</v>
      </c>
      <c r="F257" s="1" t="s">
        <v>134</v>
      </c>
      <c r="G257" s="1">
        <v>1</v>
      </c>
      <c r="H257" s="3">
        <v>34460</v>
      </c>
      <c r="I257" s="1">
        <v>1</v>
      </c>
      <c r="J257" s="1" t="s">
        <v>162</v>
      </c>
      <c r="K257" s="1" t="s">
        <v>291</v>
      </c>
      <c r="L257" s="2">
        <f>91-9426167507</f>
        <v>-9426167416</v>
      </c>
      <c r="M257" s="1" t="s">
        <v>150</v>
      </c>
      <c r="N257" s="1">
        <v>0</v>
      </c>
      <c r="O257" s="1">
        <v>0</v>
      </c>
      <c r="P257" s="1">
        <v>5.09</v>
      </c>
      <c r="Q257" s="1">
        <v>14</v>
      </c>
      <c r="R257" s="1" t="s">
        <v>164</v>
      </c>
      <c r="S257" s="1" t="s">
        <v>136</v>
      </c>
      <c r="T257" s="1" t="s">
        <v>234</v>
      </c>
      <c r="U257" s="1" t="s">
        <v>2540</v>
      </c>
      <c r="V257" s="1" t="s">
        <v>2540</v>
      </c>
      <c r="X257" s="1" t="s">
        <v>170</v>
      </c>
      <c r="Y257" s="1" t="s">
        <v>111</v>
      </c>
      <c r="Z257" s="1" t="s">
        <v>192</v>
      </c>
      <c r="AB257" s="1">
        <v>0</v>
      </c>
      <c r="AD257" s="1" t="s">
        <v>4173</v>
      </c>
      <c r="AE257" s="1" t="s">
        <v>142</v>
      </c>
      <c r="AF257" s="1" t="s">
        <v>2541</v>
      </c>
      <c r="AG257" s="1" t="s">
        <v>3373</v>
      </c>
      <c r="AH257" s="1" t="s">
        <v>4088</v>
      </c>
      <c r="AI257" s="1" t="s">
        <v>4174</v>
      </c>
      <c r="AJ257" s="1" t="s">
        <v>109</v>
      </c>
      <c r="AK257" s="1" t="s">
        <v>4175</v>
      </c>
      <c r="AL257" s="1">
        <v>60</v>
      </c>
      <c r="AM257" s="1" t="s">
        <v>2541</v>
      </c>
      <c r="AP257" s="1">
        <f>91-9879087495</f>
        <v>-9879087404</v>
      </c>
      <c r="AR257" s="1">
        <v>0</v>
      </c>
      <c r="AS257" s="1">
        <v>0</v>
      </c>
      <c r="AW257" s="1" t="s">
        <v>142</v>
      </c>
      <c r="AX257" s="1" t="s">
        <v>3418</v>
      </c>
      <c r="AY257" s="1" t="s">
        <v>150</v>
      </c>
      <c r="AZ257" s="1">
        <v>5.03</v>
      </c>
      <c r="BA257" s="1">
        <v>5.03</v>
      </c>
      <c r="BB257" s="1" t="s">
        <v>151</v>
      </c>
      <c r="BC257" s="1" t="s">
        <v>152</v>
      </c>
      <c r="BD257" s="1" t="s">
        <v>1395</v>
      </c>
      <c r="BE257" s="1" t="s">
        <v>97</v>
      </c>
      <c r="BF257" s="1" t="s">
        <v>120</v>
      </c>
      <c r="BG257" s="1" t="s">
        <v>2541</v>
      </c>
      <c r="BH257" s="1" t="s">
        <v>2541</v>
      </c>
      <c r="BI257" s="1" t="s">
        <v>192</v>
      </c>
      <c r="BL257" s="1">
        <v>0</v>
      </c>
      <c r="BM257" s="1">
        <v>0</v>
      </c>
      <c r="BN257" s="1" t="s">
        <v>4176</v>
      </c>
      <c r="BO257" s="1">
        <v>0</v>
      </c>
      <c r="BQ257" s="1" t="s">
        <v>180</v>
      </c>
      <c r="BR257" s="1">
        <v>0</v>
      </c>
      <c r="BS257" s="1" t="s">
        <v>399</v>
      </c>
      <c r="BT257" s="1" t="s">
        <v>124</v>
      </c>
      <c r="BV257" s="1" t="s">
        <v>112</v>
      </c>
      <c r="BW257" s="1" t="s">
        <v>4177</v>
      </c>
      <c r="BX257" s="1" t="s">
        <v>4178</v>
      </c>
      <c r="BY257" s="1" t="s">
        <v>120</v>
      </c>
      <c r="BZ257" s="1">
        <v>0</v>
      </c>
      <c r="CA257" s="1">
        <v>0</v>
      </c>
      <c r="CB257" s="4">
        <v>43110.871494178238</v>
      </c>
      <c r="CC257" s="1">
        <v>1</v>
      </c>
      <c r="CD257" s="1">
        <v>1</v>
      </c>
      <c r="CE257" s="1">
        <v>1</v>
      </c>
      <c r="CF257" s="1">
        <v>1</v>
      </c>
      <c r="CG257" s="4">
        <v>43130.558984143521</v>
      </c>
      <c r="CH257" s="1" t="s">
        <v>112</v>
      </c>
      <c r="CI257" s="1" t="s">
        <v>4179</v>
      </c>
      <c r="CJ257" s="1" t="s">
        <v>157</v>
      </c>
    </row>
    <row r="258" spans="1:88" x14ac:dyDescent="0.35">
      <c r="A258" s="1">
        <v>3880</v>
      </c>
      <c r="B258" s="1" t="s">
        <v>4180</v>
      </c>
      <c r="C258" s="1" t="s">
        <v>4181</v>
      </c>
      <c r="D258" s="1" t="s">
        <v>90</v>
      </c>
      <c r="E258" s="1" t="s">
        <v>2008</v>
      </c>
      <c r="F258" s="1" t="s">
        <v>208</v>
      </c>
      <c r="G258" s="1">
        <v>1</v>
      </c>
      <c r="H258" s="3">
        <v>33938</v>
      </c>
      <c r="I258" s="1">
        <v>1</v>
      </c>
      <c r="J258" s="1" t="s">
        <v>162</v>
      </c>
      <c r="K258" s="1" t="s">
        <v>847</v>
      </c>
      <c r="L258" s="2">
        <f>91-9737200463</f>
        <v>-9737200372</v>
      </c>
      <c r="M258" s="1" t="s">
        <v>150</v>
      </c>
      <c r="N258" s="1">
        <v>0</v>
      </c>
      <c r="O258" s="1">
        <v>0</v>
      </c>
      <c r="P258" s="1">
        <v>5.0599999999999996</v>
      </c>
      <c r="Q258" s="1">
        <v>10</v>
      </c>
      <c r="S258" s="1" t="s">
        <v>97</v>
      </c>
      <c r="T258" s="1" t="s">
        <v>341</v>
      </c>
      <c r="U258" s="1" t="s">
        <v>342</v>
      </c>
      <c r="V258" s="1" t="s">
        <v>2273</v>
      </c>
      <c r="W258" s="1" t="s">
        <v>4182</v>
      </c>
      <c r="X258" s="1" t="s">
        <v>296</v>
      </c>
      <c r="Y258" s="1" t="s">
        <v>210</v>
      </c>
      <c r="Z258" s="1" t="s">
        <v>450</v>
      </c>
      <c r="AA258" s="1" t="s">
        <v>4183</v>
      </c>
      <c r="AB258" s="1">
        <v>0</v>
      </c>
      <c r="AD258" s="1" t="s">
        <v>4184</v>
      </c>
      <c r="AE258" s="1">
        <f>91-9426429263</f>
        <v>-9426429172</v>
      </c>
      <c r="AF258" s="1" t="s">
        <v>105</v>
      </c>
      <c r="AG258" s="1" t="s">
        <v>4185</v>
      </c>
      <c r="AH258" s="1" t="s">
        <v>2338</v>
      </c>
      <c r="AI258" s="1" t="s">
        <v>4186</v>
      </c>
      <c r="AJ258" s="1" t="s">
        <v>109</v>
      </c>
      <c r="AK258" s="1" t="s">
        <v>4187</v>
      </c>
      <c r="AL258" s="1">
        <v>1</v>
      </c>
      <c r="AM258" s="1" t="s">
        <v>210</v>
      </c>
      <c r="AP258" s="1">
        <f>91-9427121243</f>
        <v>-9427121152</v>
      </c>
      <c r="AR258" s="1">
        <v>1</v>
      </c>
      <c r="AS258" s="1">
        <v>0</v>
      </c>
      <c r="AW258" s="1" t="s">
        <v>142</v>
      </c>
      <c r="AX258" s="1" t="s">
        <v>1095</v>
      </c>
      <c r="AY258" s="1" t="s">
        <v>150</v>
      </c>
      <c r="AZ258" s="1">
        <v>5</v>
      </c>
      <c r="BA258" s="1">
        <v>5.05</v>
      </c>
      <c r="BE258" s="1" t="s">
        <v>120</v>
      </c>
      <c r="BG258" s="1" t="s">
        <v>296</v>
      </c>
      <c r="BH258" s="1" t="s">
        <v>120</v>
      </c>
      <c r="BJ258" s="1" t="s">
        <v>120</v>
      </c>
      <c r="BK258" s="1" t="s">
        <v>120</v>
      </c>
      <c r="BL258" s="1">
        <v>0</v>
      </c>
      <c r="BM258" s="1">
        <v>0</v>
      </c>
      <c r="BN258" s="1" t="s">
        <v>4188</v>
      </c>
      <c r="BO258" s="1">
        <v>1</v>
      </c>
      <c r="BP258" s="1" t="s">
        <v>1010</v>
      </c>
      <c r="BQ258" s="1" t="s">
        <v>112</v>
      </c>
      <c r="BR258" s="1">
        <v>0</v>
      </c>
      <c r="BS258" s="1" t="s">
        <v>123</v>
      </c>
      <c r="BT258" s="1" t="s">
        <v>124</v>
      </c>
      <c r="BU258" s="1" t="s">
        <v>112</v>
      </c>
      <c r="BV258" s="1" t="s">
        <v>112</v>
      </c>
      <c r="BW258" s="1" t="s">
        <v>4189</v>
      </c>
      <c r="BX258" s="1" t="s">
        <v>4190</v>
      </c>
      <c r="BY258" s="1" t="s">
        <v>120</v>
      </c>
      <c r="BZ258" s="1">
        <v>0</v>
      </c>
      <c r="CA258" s="1">
        <v>0</v>
      </c>
      <c r="CB258" s="4">
        <v>43112.171268634258</v>
      </c>
      <c r="CC258" s="1">
        <v>1</v>
      </c>
      <c r="CD258" s="1">
        <v>1</v>
      </c>
      <c r="CE258" s="1">
        <v>1</v>
      </c>
      <c r="CF258" s="1">
        <v>1</v>
      </c>
      <c r="CG258" s="4">
        <v>43229.244122453703</v>
      </c>
      <c r="CH258" s="1" t="s">
        <v>112</v>
      </c>
      <c r="CI258" s="1" t="s">
        <v>1908</v>
      </c>
      <c r="CJ258" s="1" t="s">
        <v>129</v>
      </c>
    </row>
    <row r="259" spans="1:88" x14ac:dyDescent="0.35">
      <c r="A259" s="1">
        <v>3883</v>
      </c>
      <c r="B259" s="1" t="s">
        <v>4191</v>
      </c>
      <c r="C259" s="1" t="s">
        <v>4192</v>
      </c>
      <c r="D259" s="1" t="s">
        <v>711</v>
      </c>
      <c r="E259" s="1" t="s">
        <v>4193</v>
      </c>
      <c r="F259" s="1" t="s">
        <v>134</v>
      </c>
      <c r="G259" s="1">
        <v>0</v>
      </c>
      <c r="H259" s="3">
        <v>33275</v>
      </c>
      <c r="I259" s="1">
        <v>1</v>
      </c>
      <c r="J259" s="1" t="s">
        <v>1553</v>
      </c>
      <c r="K259" s="1" t="s">
        <v>4194</v>
      </c>
      <c r="L259" s="2">
        <f>91-9630130103</f>
        <v>-9630130012</v>
      </c>
      <c r="M259" s="1" t="s">
        <v>150</v>
      </c>
      <c r="N259" s="1">
        <v>0</v>
      </c>
      <c r="O259" s="1">
        <v>0</v>
      </c>
      <c r="P259" s="1">
        <v>5</v>
      </c>
      <c r="Q259" s="1">
        <v>14</v>
      </c>
      <c r="R259" s="1" t="s">
        <v>164</v>
      </c>
      <c r="S259" s="1" t="s">
        <v>136</v>
      </c>
      <c r="T259" s="1" t="s">
        <v>1107</v>
      </c>
      <c r="U259" s="1" t="s">
        <v>2540</v>
      </c>
      <c r="V259" s="1" t="s">
        <v>2540</v>
      </c>
      <c r="X259" s="1" t="s">
        <v>100</v>
      </c>
      <c r="Y259" s="1" t="s">
        <v>101</v>
      </c>
      <c r="Z259" s="1" t="s">
        <v>634</v>
      </c>
      <c r="AB259" s="1">
        <v>0</v>
      </c>
      <c r="AD259" s="1" t="s">
        <v>4195</v>
      </c>
      <c r="AE259" s="1" t="s">
        <v>142</v>
      </c>
      <c r="AF259" s="1" t="s">
        <v>2541</v>
      </c>
      <c r="AG259" s="1" t="s">
        <v>4196</v>
      </c>
      <c r="AH259" s="1" t="s">
        <v>4197</v>
      </c>
      <c r="AI259" s="1" t="s">
        <v>4198</v>
      </c>
      <c r="AJ259" s="1" t="s">
        <v>478</v>
      </c>
      <c r="AK259" s="1" t="s">
        <v>4199</v>
      </c>
      <c r="AL259" s="1">
        <v>40</v>
      </c>
      <c r="AM259" s="1" t="s">
        <v>2541</v>
      </c>
      <c r="AP259" s="1">
        <f>91-7987971930</f>
        <v>-7987971839</v>
      </c>
      <c r="AR259" s="1">
        <v>0</v>
      </c>
      <c r="AS259" s="1">
        <v>0</v>
      </c>
      <c r="AW259" s="1" t="s">
        <v>142</v>
      </c>
      <c r="AX259" s="1" t="s">
        <v>2747</v>
      </c>
      <c r="AY259" s="1" t="s">
        <v>150</v>
      </c>
      <c r="AZ259" s="1">
        <v>5</v>
      </c>
      <c r="BA259" s="1">
        <v>5.0599999999999996</v>
      </c>
      <c r="BB259" s="1" t="s">
        <v>151</v>
      </c>
      <c r="BC259" s="1" t="s">
        <v>152</v>
      </c>
      <c r="BD259" s="1" t="s">
        <v>1395</v>
      </c>
      <c r="BE259" s="1" t="s">
        <v>2176</v>
      </c>
      <c r="BF259" s="1" t="s">
        <v>120</v>
      </c>
      <c r="BG259" s="1" t="s">
        <v>2541</v>
      </c>
      <c r="BH259" s="1" t="s">
        <v>2541</v>
      </c>
      <c r="BI259" s="1" t="s">
        <v>634</v>
      </c>
      <c r="BL259" s="1">
        <v>0</v>
      </c>
      <c r="BM259" s="1">
        <v>0</v>
      </c>
      <c r="BN259" s="1" t="s">
        <v>4200</v>
      </c>
      <c r="BO259" s="1">
        <v>0</v>
      </c>
      <c r="BQ259" s="1" t="s">
        <v>112</v>
      </c>
      <c r="BR259" s="1">
        <v>0</v>
      </c>
      <c r="BS259" s="1" t="s">
        <v>129</v>
      </c>
      <c r="BT259" s="1" t="s">
        <v>124</v>
      </c>
      <c r="BU259" s="1" t="s">
        <v>112</v>
      </c>
      <c r="BV259" s="1" t="s">
        <v>112</v>
      </c>
      <c r="BW259" s="1" t="s">
        <v>4201</v>
      </c>
      <c r="BX259" s="1" t="s">
        <v>4202</v>
      </c>
      <c r="BY259" s="1" t="s">
        <v>120</v>
      </c>
      <c r="BZ259" s="1">
        <v>0</v>
      </c>
      <c r="CA259" s="1">
        <v>0</v>
      </c>
      <c r="CB259" s="4">
        <v>43117.233038043982</v>
      </c>
      <c r="CC259" s="1">
        <v>1</v>
      </c>
      <c r="CD259" s="1">
        <v>1</v>
      </c>
      <c r="CE259" s="1">
        <v>1</v>
      </c>
      <c r="CF259" s="1">
        <v>1</v>
      </c>
      <c r="CG259" s="4">
        <v>43123.553324189816</v>
      </c>
      <c r="CH259" s="1" t="s">
        <v>112</v>
      </c>
      <c r="CI259" s="1" t="s">
        <v>3827</v>
      </c>
      <c r="CJ259" s="1" t="s">
        <v>157</v>
      </c>
    </row>
    <row r="260" spans="1:88" x14ac:dyDescent="0.35">
      <c r="A260" s="1">
        <v>3884</v>
      </c>
      <c r="B260" s="1" t="s">
        <v>4203</v>
      </c>
      <c r="C260" s="1" t="s">
        <v>4204</v>
      </c>
      <c r="D260" s="1" t="s">
        <v>90</v>
      </c>
      <c r="E260" s="1" t="s">
        <v>2324</v>
      </c>
      <c r="F260" s="1" t="s">
        <v>134</v>
      </c>
      <c r="G260" s="1">
        <v>1</v>
      </c>
      <c r="H260" s="3">
        <v>28866</v>
      </c>
      <c r="I260" s="1">
        <v>1</v>
      </c>
      <c r="J260" s="1" t="s">
        <v>93</v>
      </c>
      <c r="K260" s="1" t="s">
        <v>1086</v>
      </c>
      <c r="L260" s="2">
        <f>91-9921459884</f>
        <v>-9921459793</v>
      </c>
      <c r="M260" s="1" t="s">
        <v>95</v>
      </c>
      <c r="N260" s="1">
        <v>0</v>
      </c>
      <c r="O260" s="1">
        <v>0</v>
      </c>
      <c r="P260" s="1">
        <v>5.0599999999999996</v>
      </c>
      <c r="Q260" s="1">
        <v>43</v>
      </c>
      <c r="R260" s="1" t="s">
        <v>188</v>
      </c>
      <c r="S260" s="1" t="s">
        <v>233</v>
      </c>
      <c r="T260" s="1" t="s">
        <v>4205</v>
      </c>
      <c r="U260" s="1" t="s">
        <v>2540</v>
      </c>
      <c r="V260" s="1" t="s">
        <v>2540</v>
      </c>
      <c r="X260" s="1" t="s">
        <v>4206</v>
      </c>
      <c r="Y260" s="1" t="s">
        <v>111</v>
      </c>
      <c r="Z260" s="1" t="s">
        <v>4207</v>
      </c>
      <c r="AB260" s="1">
        <v>0</v>
      </c>
      <c r="AD260" s="1" t="s">
        <v>4208</v>
      </c>
      <c r="AE260" s="1">
        <f>91-8318021371</f>
        <v>-8318021280</v>
      </c>
      <c r="AF260" s="1" t="s">
        <v>2541</v>
      </c>
      <c r="AG260" s="1" t="s">
        <v>4209</v>
      </c>
      <c r="AH260" s="1" t="s">
        <v>4210</v>
      </c>
      <c r="AI260" s="1" t="s">
        <v>4211</v>
      </c>
      <c r="AJ260" s="1" t="s">
        <v>109</v>
      </c>
      <c r="AK260" s="1" t="s">
        <v>4212</v>
      </c>
      <c r="AL260" s="1">
        <v>13</v>
      </c>
      <c r="AM260" s="1" t="s">
        <v>2541</v>
      </c>
      <c r="AP260" s="1">
        <f>91-9422210002</f>
        <v>-9422209911</v>
      </c>
      <c r="AR260" s="1">
        <v>0</v>
      </c>
      <c r="AS260" s="1">
        <v>0</v>
      </c>
      <c r="AW260" s="1" t="s">
        <v>142</v>
      </c>
      <c r="AX260" s="1" t="s">
        <v>4213</v>
      </c>
      <c r="AY260" s="1" t="s">
        <v>95</v>
      </c>
      <c r="AZ260" s="1">
        <v>5.03</v>
      </c>
      <c r="BA260" s="1">
        <v>5.0599999999999996</v>
      </c>
      <c r="BB260" s="1" t="s">
        <v>151</v>
      </c>
      <c r="BC260" s="1" t="s">
        <v>152</v>
      </c>
      <c r="BD260" s="1" t="s">
        <v>1395</v>
      </c>
      <c r="BE260" s="1" t="s">
        <v>120</v>
      </c>
      <c r="BF260" s="1" t="s">
        <v>120</v>
      </c>
      <c r="BG260" s="1" t="s">
        <v>2541</v>
      </c>
      <c r="BH260" s="1" t="s">
        <v>2541</v>
      </c>
      <c r="BI260" s="1" t="s">
        <v>132</v>
      </c>
      <c r="BL260" s="1">
        <v>0</v>
      </c>
      <c r="BM260" s="1">
        <v>0</v>
      </c>
      <c r="BN260" s="1" t="s">
        <v>2020</v>
      </c>
      <c r="BO260" s="1">
        <v>0</v>
      </c>
      <c r="BQ260" s="1" t="s">
        <v>180</v>
      </c>
      <c r="BR260" s="1">
        <v>0</v>
      </c>
      <c r="BS260" s="1" t="s">
        <v>252</v>
      </c>
      <c r="BT260" s="1" t="s">
        <v>120</v>
      </c>
      <c r="BV260" s="1" t="s">
        <v>112</v>
      </c>
      <c r="BW260" s="1" t="s">
        <v>4214</v>
      </c>
      <c r="BX260" s="1" t="s">
        <v>4215</v>
      </c>
      <c r="BY260" s="1" t="s">
        <v>120</v>
      </c>
      <c r="BZ260" s="1">
        <v>0</v>
      </c>
      <c r="CA260" s="1">
        <v>0</v>
      </c>
      <c r="CB260" s="4">
        <v>43117.909472372688</v>
      </c>
      <c r="CC260" s="1">
        <v>1</v>
      </c>
      <c r="CD260" s="1">
        <v>1</v>
      </c>
      <c r="CE260" s="1">
        <v>1</v>
      </c>
      <c r="CF260" s="1">
        <v>1</v>
      </c>
      <c r="CG260" s="4">
        <v>43117.909472372688</v>
      </c>
      <c r="CH260" s="1" t="s">
        <v>112</v>
      </c>
      <c r="CI260" s="1" t="s">
        <v>4216</v>
      </c>
      <c r="CJ260" s="1" t="s">
        <v>157</v>
      </c>
    </row>
    <row r="261" spans="1:88" x14ac:dyDescent="0.35">
      <c r="A261" s="1">
        <v>3885</v>
      </c>
      <c r="B261" s="1" t="s">
        <v>4217</v>
      </c>
      <c r="C261" s="1" t="s">
        <v>4218</v>
      </c>
      <c r="D261" s="1" t="s">
        <v>90</v>
      </c>
      <c r="E261" s="1" t="s">
        <v>2008</v>
      </c>
      <c r="F261" s="1" t="s">
        <v>581</v>
      </c>
      <c r="G261" s="1">
        <v>1</v>
      </c>
      <c r="H261" s="3">
        <v>34237</v>
      </c>
      <c r="I261" s="1">
        <v>1</v>
      </c>
      <c r="J261" s="1" t="s">
        <v>93</v>
      </c>
      <c r="K261" s="1" t="s">
        <v>4219</v>
      </c>
      <c r="L261" s="2">
        <f>91-8446580053</f>
        <v>-8446579962</v>
      </c>
      <c r="M261" s="1" t="s">
        <v>150</v>
      </c>
      <c r="N261" s="1">
        <v>0</v>
      </c>
      <c r="O261" s="1">
        <v>0</v>
      </c>
      <c r="P261" s="1">
        <v>5.09</v>
      </c>
      <c r="Q261" s="1">
        <v>43</v>
      </c>
      <c r="R261" s="1" t="s">
        <v>188</v>
      </c>
      <c r="S261" s="1" t="s">
        <v>97</v>
      </c>
      <c r="T261" s="1" t="s">
        <v>166</v>
      </c>
      <c r="U261" s="1" t="s">
        <v>2540</v>
      </c>
      <c r="V261" s="1" t="s">
        <v>2540</v>
      </c>
      <c r="X261" s="1" t="s">
        <v>100</v>
      </c>
      <c r="Y261" s="1" t="s">
        <v>111</v>
      </c>
      <c r="Z261" s="1" t="s">
        <v>192</v>
      </c>
      <c r="AB261" s="1">
        <v>0</v>
      </c>
      <c r="AD261" s="1" t="s">
        <v>4220</v>
      </c>
      <c r="AE261" s="1">
        <f>91-8446580053</f>
        <v>-8446579962</v>
      </c>
      <c r="AF261" s="1" t="s">
        <v>2541</v>
      </c>
      <c r="AG261" s="1" t="s">
        <v>4221</v>
      </c>
      <c r="AH261" s="1" t="s">
        <v>4222</v>
      </c>
      <c r="AI261" s="1" t="s">
        <v>4223</v>
      </c>
      <c r="AJ261" s="1" t="s">
        <v>109</v>
      </c>
      <c r="AK261" s="1" t="s">
        <v>4224</v>
      </c>
      <c r="AL261" s="1">
        <v>10</v>
      </c>
      <c r="AM261" s="1" t="s">
        <v>2541</v>
      </c>
      <c r="AP261" s="1">
        <f>91-9011221118</f>
        <v>-9011221027</v>
      </c>
      <c r="AR261" s="1">
        <v>0</v>
      </c>
      <c r="AS261" s="1">
        <v>0</v>
      </c>
      <c r="AW261" s="1" t="s">
        <v>142</v>
      </c>
      <c r="AX261" s="1" t="s">
        <v>2615</v>
      </c>
      <c r="AY261" s="1" t="s">
        <v>150</v>
      </c>
      <c r="AZ261" s="1">
        <v>5.09</v>
      </c>
      <c r="BA261" s="1">
        <v>5.09</v>
      </c>
      <c r="BB261" s="1" t="s">
        <v>151</v>
      </c>
      <c r="BC261" s="1" t="s">
        <v>152</v>
      </c>
      <c r="BD261" s="1" t="s">
        <v>1395</v>
      </c>
      <c r="BE261" s="1" t="s">
        <v>1182</v>
      </c>
      <c r="BF261" s="1" t="s">
        <v>120</v>
      </c>
      <c r="BG261" s="1" t="s">
        <v>2541</v>
      </c>
      <c r="BH261" s="1" t="s">
        <v>2541</v>
      </c>
      <c r="BI261" s="1" t="s">
        <v>192</v>
      </c>
      <c r="BL261" s="1">
        <v>0</v>
      </c>
      <c r="BM261" s="1">
        <v>0</v>
      </c>
      <c r="BN261" s="1" t="s">
        <v>4225</v>
      </c>
      <c r="BO261" s="1">
        <v>0</v>
      </c>
      <c r="BQ261" s="1" t="s">
        <v>180</v>
      </c>
      <c r="BR261" s="1">
        <v>0</v>
      </c>
      <c r="BS261" s="1" t="s">
        <v>123</v>
      </c>
      <c r="BT261" s="1" t="s">
        <v>120</v>
      </c>
      <c r="BV261" s="1" t="s">
        <v>112</v>
      </c>
      <c r="BW261" s="1" t="s">
        <v>4226</v>
      </c>
      <c r="BX261" s="1" t="s">
        <v>4227</v>
      </c>
      <c r="BY261" s="1" t="s">
        <v>120</v>
      </c>
      <c r="BZ261" s="1">
        <v>0</v>
      </c>
      <c r="CA261" s="1">
        <v>0</v>
      </c>
      <c r="CB261" s="4">
        <v>43118.032259571759</v>
      </c>
      <c r="CC261" s="1">
        <v>1</v>
      </c>
      <c r="CD261" s="1">
        <v>1</v>
      </c>
      <c r="CE261" s="1">
        <v>1</v>
      </c>
      <c r="CF261" s="1">
        <v>1</v>
      </c>
      <c r="CG261" s="4">
        <v>43461.355298842594</v>
      </c>
      <c r="CH261" s="1" t="s">
        <v>112</v>
      </c>
      <c r="CI261" s="1" t="s">
        <v>4228</v>
      </c>
      <c r="CJ261" s="1" t="s">
        <v>157</v>
      </c>
    </row>
    <row r="262" spans="1:88" x14ac:dyDescent="0.35">
      <c r="A262" s="1">
        <v>3889</v>
      </c>
      <c r="B262" s="1" t="s">
        <v>4229</v>
      </c>
      <c r="C262" s="1" t="s">
        <v>4230</v>
      </c>
      <c r="D262" s="1" t="s">
        <v>229</v>
      </c>
      <c r="E262" s="1" t="s">
        <v>4231</v>
      </c>
      <c r="F262" s="1" t="s">
        <v>4232</v>
      </c>
      <c r="G262" s="1">
        <v>1</v>
      </c>
      <c r="H262" s="3">
        <v>32882</v>
      </c>
      <c r="I262" s="1">
        <v>1</v>
      </c>
      <c r="J262" s="1" t="s">
        <v>93</v>
      </c>
      <c r="K262" s="1" t="s">
        <v>490</v>
      </c>
      <c r="L262" s="2">
        <f>91-9921775161</f>
        <v>-9921775070</v>
      </c>
      <c r="M262" s="1" t="s">
        <v>150</v>
      </c>
      <c r="N262" s="1">
        <v>0</v>
      </c>
      <c r="O262" s="1">
        <v>0</v>
      </c>
      <c r="P262" s="1">
        <v>5.1100000000000003</v>
      </c>
      <c r="Q262" s="1">
        <v>10</v>
      </c>
      <c r="S262" s="1" t="s">
        <v>293</v>
      </c>
      <c r="T262" s="1" t="s">
        <v>2754</v>
      </c>
      <c r="U262" s="1" t="s">
        <v>2540</v>
      </c>
      <c r="V262" s="1" t="s">
        <v>2540</v>
      </c>
      <c r="X262" s="1" t="s">
        <v>170</v>
      </c>
      <c r="Y262" s="1" t="s">
        <v>111</v>
      </c>
      <c r="Z262" s="1" t="s">
        <v>3794</v>
      </c>
      <c r="AB262" s="1">
        <v>0</v>
      </c>
      <c r="AD262" s="1" t="s">
        <v>4233</v>
      </c>
      <c r="AE262" s="1">
        <f>91-9921775161</f>
        <v>-9921775070</v>
      </c>
      <c r="AF262" s="1" t="s">
        <v>2541</v>
      </c>
      <c r="AG262" s="1" t="s">
        <v>4234</v>
      </c>
      <c r="AH262" s="1" t="s">
        <v>4235</v>
      </c>
      <c r="AI262" s="1" t="s">
        <v>4236</v>
      </c>
      <c r="AJ262" s="1" t="s">
        <v>109</v>
      </c>
      <c r="AK262" s="1" t="s">
        <v>490</v>
      </c>
      <c r="AL262" s="1">
        <v>3</v>
      </c>
      <c r="AM262" s="1" t="s">
        <v>2541</v>
      </c>
      <c r="AP262" s="1">
        <f>91-9925446996</f>
        <v>-9925446905</v>
      </c>
      <c r="AR262" s="1">
        <v>0</v>
      </c>
      <c r="AS262" s="1">
        <v>0</v>
      </c>
      <c r="AW262" s="1" t="s">
        <v>142</v>
      </c>
      <c r="AX262" s="1" t="s">
        <v>4237</v>
      </c>
      <c r="AY262" s="1" t="s">
        <v>150</v>
      </c>
      <c r="AZ262" s="1">
        <v>5</v>
      </c>
      <c r="BA262" s="1">
        <v>5.1100000000000003</v>
      </c>
      <c r="BB262" s="1" t="s">
        <v>151</v>
      </c>
      <c r="BC262" s="1" t="s">
        <v>152</v>
      </c>
      <c r="BD262" s="1" t="s">
        <v>1395</v>
      </c>
      <c r="BE262" s="1" t="s">
        <v>233</v>
      </c>
      <c r="BF262" s="1" t="s">
        <v>120</v>
      </c>
      <c r="BG262" s="1" t="s">
        <v>2541</v>
      </c>
      <c r="BH262" s="1" t="s">
        <v>2541</v>
      </c>
      <c r="BI262" s="1" t="s">
        <v>3794</v>
      </c>
      <c r="BL262" s="1">
        <v>0</v>
      </c>
      <c r="BM262" s="1">
        <v>0</v>
      </c>
      <c r="BN262" s="1" t="s">
        <v>4233</v>
      </c>
      <c r="BO262" s="1">
        <v>0</v>
      </c>
      <c r="BQ262" s="1" t="s">
        <v>180</v>
      </c>
      <c r="BR262" s="1">
        <v>0</v>
      </c>
      <c r="BS262" s="1" t="s">
        <v>123</v>
      </c>
      <c r="BT262" s="1" t="s">
        <v>124</v>
      </c>
      <c r="BV262" s="1" t="s">
        <v>112</v>
      </c>
      <c r="BW262" s="1" t="s">
        <v>4238</v>
      </c>
      <c r="BX262" s="1" t="s">
        <v>4239</v>
      </c>
      <c r="BY262" s="1" t="s">
        <v>120</v>
      </c>
      <c r="BZ262" s="1">
        <v>0</v>
      </c>
      <c r="CA262" s="1">
        <v>0</v>
      </c>
      <c r="CB262" s="4">
        <v>43119.974944247682</v>
      </c>
      <c r="CC262" s="1">
        <v>1</v>
      </c>
      <c r="CD262" s="1">
        <v>1</v>
      </c>
      <c r="CE262" s="1">
        <v>1</v>
      </c>
      <c r="CF262" s="1">
        <v>1</v>
      </c>
      <c r="CG262" s="4">
        <v>43122.30064065972</v>
      </c>
      <c r="CH262" s="1" t="s">
        <v>112</v>
      </c>
      <c r="CI262" s="1" t="s">
        <v>2019</v>
      </c>
      <c r="CJ262" s="1" t="s">
        <v>157</v>
      </c>
    </row>
    <row r="263" spans="1:88" x14ac:dyDescent="0.35">
      <c r="A263" s="1">
        <v>3890</v>
      </c>
      <c r="B263" s="1" t="s">
        <v>4240</v>
      </c>
      <c r="C263" s="1" t="s">
        <v>4241</v>
      </c>
      <c r="D263" s="1" t="s">
        <v>90</v>
      </c>
      <c r="E263" s="1" t="s">
        <v>4242</v>
      </c>
      <c r="F263" s="1" t="s">
        <v>581</v>
      </c>
      <c r="G263" s="1">
        <v>1</v>
      </c>
      <c r="H263" s="3">
        <v>34697</v>
      </c>
      <c r="I263" s="1">
        <v>1</v>
      </c>
      <c r="J263" s="1" t="s">
        <v>93</v>
      </c>
      <c r="K263" s="1" t="s">
        <v>490</v>
      </c>
      <c r="L263" s="2">
        <f>91-8956288666</f>
        <v>-8956288575</v>
      </c>
      <c r="M263" s="1" t="s">
        <v>150</v>
      </c>
      <c r="N263" s="1">
        <v>0</v>
      </c>
      <c r="O263" s="1">
        <v>0</v>
      </c>
      <c r="P263" s="1">
        <v>5.04</v>
      </c>
      <c r="Q263" s="1">
        <v>43</v>
      </c>
      <c r="R263" s="1" t="s">
        <v>188</v>
      </c>
      <c r="S263" s="1" t="s">
        <v>136</v>
      </c>
      <c r="T263" s="1" t="s">
        <v>427</v>
      </c>
      <c r="U263" s="1" t="s">
        <v>4243</v>
      </c>
      <c r="V263" s="1" t="s">
        <v>387</v>
      </c>
      <c r="W263" s="1" t="s">
        <v>4244</v>
      </c>
      <c r="X263" s="1" t="s">
        <v>100</v>
      </c>
      <c r="Y263" s="1" t="s">
        <v>268</v>
      </c>
      <c r="Z263" s="1" t="s">
        <v>515</v>
      </c>
      <c r="AB263" s="1">
        <v>0</v>
      </c>
      <c r="AD263" s="1" t="s">
        <v>4245</v>
      </c>
      <c r="AE263" s="1">
        <f>91-7843022766</f>
        <v>-7843022675</v>
      </c>
      <c r="AF263" s="1" t="s">
        <v>105</v>
      </c>
      <c r="AG263" s="1" t="s">
        <v>4246</v>
      </c>
      <c r="AH263" s="1" t="s">
        <v>4247</v>
      </c>
      <c r="AI263" s="1" t="s">
        <v>4248</v>
      </c>
      <c r="AJ263" s="1" t="s">
        <v>109</v>
      </c>
      <c r="AK263" s="1" t="s">
        <v>4249</v>
      </c>
      <c r="AL263" s="1">
        <v>7</v>
      </c>
      <c r="AM263" s="1" t="s">
        <v>111</v>
      </c>
      <c r="AP263" s="1">
        <f>91-8956288666</f>
        <v>-8956288575</v>
      </c>
      <c r="AR263" s="1">
        <v>0</v>
      </c>
      <c r="AS263" s="1">
        <v>0</v>
      </c>
      <c r="AW263" s="1" t="s">
        <v>142</v>
      </c>
      <c r="AX263" s="1" t="s">
        <v>569</v>
      </c>
      <c r="AY263" s="1" t="s">
        <v>150</v>
      </c>
      <c r="AZ263" s="1">
        <v>5</v>
      </c>
      <c r="BA263" s="1">
        <v>5.0199999999999996</v>
      </c>
      <c r="BB263" s="1" t="s">
        <v>151</v>
      </c>
      <c r="BC263" s="1" t="s">
        <v>304</v>
      </c>
      <c r="BD263" s="1" t="s">
        <v>1333</v>
      </c>
      <c r="BE263" s="1" t="s">
        <v>2176</v>
      </c>
      <c r="BF263" s="1" t="s">
        <v>120</v>
      </c>
      <c r="BG263" s="1" t="s">
        <v>120</v>
      </c>
      <c r="BH263" s="1" t="s">
        <v>3854</v>
      </c>
      <c r="BJ263" s="1" t="s">
        <v>154</v>
      </c>
      <c r="BK263" s="1" t="s">
        <v>120</v>
      </c>
      <c r="BL263" s="1">
        <v>0</v>
      </c>
      <c r="BM263" s="1">
        <v>1</v>
      </c>
      <c r="BN263" s="1" t="s">
        <v>4250</v>
      </c>
      <c r="BO263" s="1">
        <v>1</v>
      </c>
      <c r="BP263" s="1" t="s">
        <v>4251</v>
      </c>
      <c r="BQ263" s="1" t="s">
        <v>112</v>
      </c>
      <c r="BR263" s="1">
        <v>1</v>
      </c>
      <c r="BS263" s="1" t="s">
        <v>787</v>
      </c>
      <c r="BT263" s="1" t="s">
        <v>124</v>
      </c>
      <c r="BU263" s="1" t="s">
        <v>112</v>
      </c>
      <c r="BV263" s="1" t="s">
        <v>112</v>
      </c>
      <c r="BW263" s="1" t="s">
        <v>4252</v>
      </c>
      <c r="BX263" s="1" t="s">
        <v>4253</v>
      </c>
      <c r="BY263" s="1" t="s">
        <v>120</v>
      </c>
      <c r="BZ263" s="1">
        <v>1</v>
      </c>
      <c r="CA263" s="1">
        <v>0</v>
      </c>
      <c r="CB263" s="4">
        <v>43120.248022418979</v>
      </c>
      <c r="CC263" s="1">
        <v>1</v>
      </c>
      <c r="CD263" s="1">
        <v>1</v>
      </c>
      <c r="CE263" s="1">
        <v>1</v>
      </c>
      <c r="CF263" s="1">
        <v>1</v>
      </c>
      <c r="CG263" s="4">
        <v>43289.364065162037</v>
      </c>
      <c r="CH263" s="1" t="s">
        <v>112</v>
      </c>
      <c r="CI263" s="1" t="s">
        <v>4254</v>
      </c>
      <c r="CJ263" s="1" t="s">
        <v>157</v>
      </c>
    </row>
    <row r="264" spans="1:88" x14ac:dyDescent="0.35">
      <c r="A264" s="1">
        <v>3895</v>
      </c>
      <c r="B264" s="1" t="s">
        <v>4255</v>
      </c>
      <c r="C264" s="1" t="s">
        <v>4256</v>
      </c>
      <c r="D264" s="1" t="s">
        <v>90</v>
      </c>
      <c r="E264" s="1" t="s">
        <v>4257</v>
      </c>
      <c r="F264" s="1" t="s">
        <v>3542</v>
      </c>
      <c r="G264" s="1">
        <v>1</v>
      </c>
      <c r="H264" s="3">
        <v>34784</v>
      </c>
      <c r="I264" s="1">
        <v>1</v>
      </c>
      <c r="J264" s="1" t="s">
        <v>1553</v>
      </c>
      <c r="K264" s="1" t="s">
        <v>1554</v>
      </c>
      <c r="L264" s="2">
        <f>91-8085251795</f>
        <v>-8085251704</v>
      </c>
      <c r="M264" s="1" t="s">
        <v>150</v>
      </c>
      <c r="N264" s="1">
        <v>0</v>
      </c>
      <c r="O264" s="1">
        <v>0</v>
      </c>
      <c r="P264" s="1">
        <v>5.07</v>
      </c>
      <c r="Q264" s="1">
        <v>27</v>
      </c>
      <c r="R264" s="1" t="s">
        <v>653</v>
      </c>
      <c r="S264" s="1" t="s">
        <v>492</v>
      </c>
      <c r="T264" s="1" t="s">
        <v>427</v>
      </c>
      <c r="U264" s="1" t="s">
        <v>2540</v>
      </c>
      <c r="V264" s="1" t="s">
        <v>4258</v>
      </c>
      <c r="X264" s="1" t="s">
        <v>170</v>
      </c>
      <c r="Y264" s="1" t="s">
        <v>101</v>
      </c>
      <c r="Z264" s="1" t="s">
        <v>211</v>
      </c>
      <c r="AA264" s="1" t="s">
        <v>4259</v>
      </c>
      <c r="AB264" s="1">
        <v>0</v>
      </c>
      <c r="AD264" s="1" t="s">
        <v>4260</v>
      </c>
      <c r="AE264" s="1" t="s">
        <v>142</v>
      </c>
      <c r="AF264" s="1" t="s">
        <v>129</v>
      </c>
      <c r="AG264" s="1" t="s">
        <v>4261</v>
      </c>
      <c r="AH264" s="1" t="s">
        <v>4262</v>
      </c>
      <c r="AI264" s="1" t="s">
        <v>4263</v>
      </c>
      <c r="AJ264" s="1" t="s">
        <v>109</v>
      </c>
      <c r="AK264" s="1" t="s">
        <v>4264</v>
      </c>
      <c r="AL264" s="1">
        <v>4</v>
      </c>
      <c r="AM264" s="1" t="s">
        <v>129</v>
      </c>
      <c r="AP264" s="1">
        <f>91-8085251642</f>
        <v>-8085251551</v>
      </c>
      <c r="AR264" s="1">
        <v>1</v>
      </c>
      <c r="AS264" s="1">
        <v>0</v>
      </c>
      <c r="AW264" s="1" t="s">
        <v>142</v>
      </c>
      <c r="AX264" s="1" t="s">
        <v>569</v>
      </c>
      <c r="AY264" s="1" t="s">
        <v>150</v>
      </c>
      <c r="AZ264" s="1">
        <v>5.01</v>
      </c>
      <c r="BA264" s="1">
        <v>5.07</v>
      </c>
      <c r="BB264" s="1" t="s">
        <v>151</v>
      </c>
      <c r="BC264" s="1" t="s">
        <v>304</v>
      </c>
      <c r="BD264" s="1" t="s">
        <v>1333</v>
      </c>
      <c r="BE264" s="1" t="s">
        <v>4265</v>
      </c>
      <c r="BF264" s="1" t="s">
        <v>120</v>
      </c>
      <c r="BG264" s="1" t="s">
        <v>120</v>
      </c>
      <c r="BH264" s="1" t="s">
        <v>120</v>
      </c>
      <c r="BJ264" s="1" t="s">
        <v>154</v>
      </c>
      <c r="BK264" s="1" t="s">
        <v>120</v>
      </c>
      <c r="BL264" s="1">
        <v>0</v>
      </c>
      <c r="BM264" s="1">
        <v>1</v>
      </c>
      <c r="BN264" s="1" t="s">
        <v>4266</v>
      </c>
      <c r="BO264" s="1">
        <v>1</v>
      </c>
      <c r="BP264" s="1" t="s">
        <v>4267</v>
      </c>
      <c r="BQ264" s="1" t="s">
        <v>112</v>
      </c>
      <c r="BR264" s="1">
        <v>1</v>
      </c>
      <c r="BS264" s="1" t="s">
        <v>123</v>
      </c>
      <c r="BT264" s="1" t="s">
        <v>124</v>
      </c>
      <c r="BU264" s="1" t="s">
        <v>4268</v>
      </c>
      <c r="BV264" s="1" t="s">
        <v>112</v>
      </c>
      <c r="BW264" s="1" t="s">
        <v>4269</v>
      </c>
      <c r="BX264" s="1" t="s">
        <v>4270</v>
      </c>
      <c r="BY264" s="1" t="s">
        <v>127</v>
      </c>
      <c r="BZ264" s="1">
        <v>0</v>
      </c>
      <c r="CA264" s="1">
        <v>0</v>
      </c>
      <c r="CB264" s="4">
        <v>43123.38328642361</v>
      </c>
      <c r="CC264" s="1">
        <v>1</v>
      </c>
      <c r="CD264" s="1">
        <v>1</v>
      </c>
      <c r="CE264" s="1">
        <v>1</v>
      </c>
      <c r="CF264" s="1">
        <v>1</v>
      </c>
      <c r="CG264" s="4">
        <v>43364.60183846065</v>
      </c>
      <c r="CH264" s="1" t="s">
        <v>112</v>
      </c>
      <c r="CI264" s="1" t="s">
        <v>2106</v>
      </c>
      <c r="CJ264" s="1" t="s">
        <v>157</v>
      </c>
    </row>
    <row r="265" spans="1:88" x14ac:dyDescent="0.35">
      <c r="A265" s="1">
        <v>3896</v>
      </c>
      <c r="B265" s="1" t="s">
        <v>4271</v>
      </c>
      <c r="C265" s="1" t="s">
        <v>4272</v>
      </c>
      <c r="D265" s="1" t="s">
        <v>90</v>
      </c>
      <c r="E265" s="1" t="s">
        <v>4273</v>
      </c>
      <c r="F265" s="1" t="s">
        <v>134</v>
      </c>
      <c r="G265" s="1">
        <v>0</v>
      </c>
      <c r="H265" s="3">
        <v>33174</v>
      </c>
      <c r="I265" s="1">
        <v>1</v>
      </c>
      <c r="J265" s="1" t="s">
        <v>186</v>
      </c>
      <c r="K265" s="1" t="s">
        <v>1652</v>
      </c>
      <c r="L265" s="2">
        <f>91-8770794834</f>
        <v>-8770794743</v>
      </c>
      <c r="M265" s="1" t="s">
        <v>150</v>
      </c>
      <c r="N265" s="1">
        <v>0</v>
      </c>
      <c r="O265" s="1">
        <v>0</v>
      </c>
      <c r="P265" s="1">
        <v>5.05</v>
      </c>
      <c r="Q265" s="1">
        <v>19</v>
      </c>
      <c r="R265" s="1" t="s">
        <v>1535</v>
      </c>
      <c r="S265" s="1" t="s">
        <v>136</v>
      </c>
      <c r="T265" s="1" t="s">
        <v>137</v>
      </c>
      <c r="U265" s="1" t="s">
        <v>4274</v>
      </c>
      <c r="V265" s="1" t="s">
        <v>4275</v>
      </c>
      <c r="W265" s="1" t="s">
        <v>4276</v>
      </c>
      <c r="X265" s="1" t="s">
        <v>236</v>
      </c>
      <c r="Y265" s="1" t="s">
        <v>101</v>
      </c>
      <c r="Z265" s="1" t="s">
        <v>556</v>
      </c>
      <c r="AB265" s="1">
        <v>0</v>
      </c>
      <c r="AD265" s="1" t="s">
        <v>4277</v>
      </c>
      <c r="AE265" s="1" t="s">
        <v>142</v>
      </c>
      <c r="AF265" s="1" t="s">
        <v>105</v>
      </c>
      <c r="AG265" s="1" t="s">
        <v>4278</v>
      </c>
      <c r="AH265" s="1" t="s">
        <v>4279</v>
      </c>
      <c r="AI265" s="1" t="s">
        <v>4280</v>
      </c>
      <c r="AJ265" s="1" t="s">
        <v>109</v>
      </c>
      <c r="AK265" s="1" t="s">
        <v>1652</v>
      </c>
      <c r="AL265" s="1">
        <v>36</v>
      </c>
      <c r="AM265" s="1" t="s">
        <v>111</v>
      </c>
      <c r="AO265" s="1" t="s">
        <v>4281</v>
      </c>
      <c r="AP265" s="1">
        <f>91-9302350738</f>
        <v>-9302350647</v>
      </c>
      <c r="AR265" s="1">
        <v>1</v>
      </c>
      <c r="AS265" s="1">
        <v>0</v>
      </c>
      <c r="AW265" s="1" t="s">
        <v>142</v>
      </c>
      <c r="AX265" s="1" t="s">
        <v>2590</v>
      </c>
      <c r="AY265" s="1" t="s">
        <v>150</v>
      </c>
      <c r="AZ265" s="1">
        <v>5.0599999999999996</v>
      </c>
      <c r="BA265" s="1">
        <v>6.03</v>
      </c>
      <c r="BE265" s="1" t="s">
        <v>120</v>
      </c>
      <c r="BG265" s="1" t="s">
        <v>120</v>
      </c>
      <c r="BH265" s="1" t="s">
        <v>120</v>
      </c>
      <c r="BJ265" s="1" t="s">
        <v>154</v>
      </c>
      <c r="BK265" s="1" t="s">
        <v>120</v>
      </c>
      <c r="BL265" s="1">
        <v>0</v>
      </c>
      <c r="BM265" s="1">
        <v>0</v>
      </c>
      <c r="BN265" s="1" t="s">
        <v>4282</v>
      </c>
      <c r="BO265" s="1">
        <v>1</v>
      </c>
      <c r="BP265" s="1" t="s">
        <v>1652</v>
      </c>
      <c r="BQ265" s="1" t="s">
        <v>112</v>
      </c>
      <c r="BR265" s="1">
        <v>1</v>
      </c>
      <c r="BS265" s="1" t="s">
        <v>334</v>
      </c>
      <c r="BT265" s="1" t="s">
        <v>124</v>
      </c>
      <c r="BU265" s="1" t="s">
        <v>112</v>
      </c>
      <c r="BV265" s="1" t="s">
        <v>112</v>
      </c>
      <c r="BW265" s="1" t="s">
        <v>4283</v>
      </c>
      <c r="BX265" s="1" t="s">
        <v>4284</v>
      </c>
      <c r="BY265" s="1" t="s">
        <v>465</v>
      </c>
      <c r="BZ265" s="1">
        <v>5</v>
      </c>
      <c r="CA265" s="1">
        <v>4</v>
      </c>
      <c r="CB265" s="4">
        <v>43123.931971296297</v>
      </c>
      <c r="CC265" s="1">
        <v>1</v>
      </c>
      <c r="CD265" s="1">
        <v>1</v>
      </c>
      <c r="CE265" s="1">
        <v>1</v>
      </c>
      <c r="CF265" s="1">
        <v>3</v>
      </c>
      <c r="CG265" s="4">
        <v>43545.39040517361</v>
      </c>
      <c r="CH265" s="1" t="s">
        <v>112</v>
      </c>
      <c r="CI265" s="1" t="s">
        <v>2425</v>
      </c>
      <c r="CJ265" s="1" t="s">
        <v>129</v>
      </c>
    </row>
    <row r="266" spans="1:88" x14ac:dyDescent="0.35">
      <c r="A266" s="1">
        <v>3897</v>
      </c>
      <c r="B266" s="1" t="s">
        <v>4285</v>
      </c>
      <c r="C266" s="1" t="s">
        <v>4286</v>
      </c>
      <c r="D266" s="1" t="s">
        <v>90</v>
      </c>
      <c r="E266" s="1" t="s">
        <v>3446</v>
      </c>
      <c r="F266" s="1" t="s">
        <v>4287</v>
      </c>
      <c r="G266" s="1">
        <v>1</v>
      </c>
      <c r="H266" s="3">
        <v>28542</v>
      </c>
      <c r="I266" s="1">
        <v>1</v>
      </c>
      <c r="J266" s="1" t="s">
        <v>93</v>
      </c>
      <c r="K266" s="1" t="s">
        <v>94</v>
      </c>
      <c r="L266" s="2">
        <f>91-9969451108</f>
        <v>-9969451017</v>
      </c>
      <c r="M266" s="1" t="s">
        <v>150</v>
      </c>
      <c r="N266" s="1">
        <v>0</v>
      </c>
      <c r="O266" s="1">
        <v>0</v>
      </c>
      <c r="P266" s="1">
        <v>5.08</v>
      </c>
      <c r="Q266" s="1">
        <v>43</v>
      </c>
      <c r="R266" s="1" t="s">
        <v>188</v>
      </c>
      <c r="S266" s="1" t="s">
        <v>293</v>
      </c>
      <c r="T266" s="1" t="s">
        <v>166</v>
      </c>
      <c r="U266" s="1" t="s">
        <v>2540</v>
      </c>
      <c r="V266" s="1" t="s">
        <v>2540</v>
      </c>
      <c r="W266" s="1" t="s">
        <v>4288</v>
      </c>
      <c r="X266" s="1" t="s">
        <v>296</v>
      </c>
      <c r="Y266" s="1" t="s">
        <v>111</v>
      </c>
      <c r="Z266" s="1" t="s">
        <v>774</v>
      </c>
      <c r="AB266" s="1">
        <v>0</v>
      </c>
      <c r="AD266" s="1" t="s">
        <v>4289</v>
      </c>
      <c r="AE266" s="1">
        <f>91-9969809577</f>
        <v>-9969809486</v>
      </c>
      <c r="AF266" s="1" t="s">
        <v>143</v>
      </c>
      <c r="AG266" s="1" t="s">
        <v>4290</v>
      </c>
      <c r="AH266" s="1" t="s">
        <v>4291</v>
      </c>
      <c r="AI266" s="1" t="s">
        <v>4292</v>
      </c>
      <c r="AJ266" s="1" t="s">
        <v>1238</v>
      </c>
      <c r="AK266" s="1" t="s">
        <v>4293</v>
      </c>
      <c r="AL266" s="1">
        <v>36</v>
      </c>
      <c r="AM266" s="1" t="s">
        <v>111</v>
      </c>
      <c r="AO266" s="1" t="s">
        <v>4294</v>
      </c>
      <c r="AP266" s="1">
        <f>91-9969809577</f>
        <v>-9969809486</v>
      </c>
      <c r="AQ266" s="1" t="s">
        <v>1370</v>
      </c>
      <c r="AR266" s="1">
        <v>1</v>
      </c>
      <c r="AS266" s="1">
        <v>1</v>
      </c>
      <c r="AW266" s="1" t="s">
        <v>142</v>
      </c>
      <c r="AX266" s="1" t="s">
        <v>4213</v>
      </c>
      <c r="AY266" s="1" t="s">
        <v>593</v>
      </c>
      <c r="AZ266" s="1">
        <v>5</v>
      </c>
      <c r="BA266" s="1">
        <v>5.09</v>
      </c>
      <c r="BB266" s="1" t="s">
        <v>151</v>
      </c>
      <c r="BC266" s="1" t="s">
        <v>304</v>
      </c>
      <c r="BD266" s="1" t="s">
        <v>1333</v>
      </c>
      <c r="BE266" s="1" t="s">
        <v>120</v>
      </c>
      <c r="BF266" s="1" t="s">
        <v>120</v>
      </c>
      <c r="BG266" s="1" t="s">
        <v>120</v>
      </c>
      <c r="BH266" s="1" t="s">
        <v>120</v>
      </c>
      <c r="BJ266" s="1" t="s">
        <v>120</v>
      </c>
      <c r="BK266" s="1" t="s">
        <v>120</v>
      </c>
      <c r="BL266" s="1">
        <v>0</v>
      </c>
      <c r="BM266" s="1">
        <v>0</v>
      </c>
      <c r="BN266" s="1" t="s">
        <v>4295</v>
      </c>
      <c r="BO266" s="1">
        <v>1</v>
      </c>
      <c r="BP266" s="1" t="s">
        <v>4296</v>
      </c>
      <c r="BQ266" s="1" t="s">
        <v>112</v>
      </c>
      <c r="BR266" s="1">
        <v>1</v>
      </c>
      <c r="BS266" s="1" t="s">
        <v>307</v>
      </c>
      <c r="BT266" s="1" t="s">
        <v>124</v>
      </c>
      <c r="BU266" s="1" t="s">
        <v>112</v>
      </c>
      <c r="BV266" s="1" t="s">
        <v>112</v>
      </c>
      <c r="BW266" s="1" t="s">
        <v>4297</v>
      </c>
      <c r="BX266" s="1" t="s">
        <v>4298</v>
      </c>
      <c r="BY266" s="1" t="s">
        <v>127</v>
      </c>
      <c r="BZ266" s="1">
        <v>3</v>
      </c>
      <c r="CA266" s="1">
        <v>3</v>
      </c>
      <c r="CB266" s="4">
        <v>43124.199552627317</v>
      </c>
      <c r="CC266" s="1">
        <v>1</v>
      </c>
      <c r="CD266" s="1">
        <v>1</v>
      </c>
      <c r="CE266" s="1">
        <v>1</v>
      </c>
      <c r="CF266" s="1">
        <v>1</v>
      </c>
      <c r="CG266" s="4">
        <v>43136.409682673613</v>
      </c>
      <c r="CH266" s="1" t="s">
        <v>112</v>
      </c>
      <c r="CI266" s="1" t="s">
        <v>4299</v>
      </c>
      <c r="CJ266" s="1" t="s">
        <v>157</v>
      </c>
    </row>
    <row r="267" spans="1:88" x14ac:dyDescent="0.35">
      <c r="A267" s="1">
        <v>3901</v>
      </c>
      <c r="B267" s="1" t="s">
        <v>4300</v>
      </c>
      <c r="C267" s="1" t="s">
        <v>4301</v>
      </c>
      <c r="D267" s="1" t="s">
        <v>312</v>
      </c>
      <c r="E267" s="1" t="s">
        <v>4302</v>
      </c>
      <c r="F267" s="1" t="s">
        <v>185</v>
      </c>
      <c r="G267" s="1">
        <v>1</v>
      </c>
      <c r="H267" s="3">
        <v>33645</v>
      </c>
      <c r="I267" s="1">
        <v>1</v>
      </c>
      <c r="J267" s="1" t="s">
        <v>186</v>
      </c>
      <c r="K267" s="1" t="s">
        <v>4303</v>
      </c>
      <c r="L267" s="2">
        <f>91-9425146703</f>
        <v>-9425146612</v>
      </c>
      <c r="M267" s="1" t="s">
        <v>150</v>
      </c>
      <c r="N267" s="1">
        <v>0</v>
      </c>
      <c r="O267" s="1">
        <v>0</v>
      </c>
      <c r="P267" s="1">
        <v>5.07</v>
      </c>
      <c r="Q267" s="1">
        <v>11</v>
      </c>
      <c r="R267" s="1" t="s">
        <v>340</v>
      </c>
      <c r="S267" s="1" t="s">
        <v>97</v>
      </c>
      <c r="T267" s="1" t="s">
        <v>427</v>
      </c>
      <c r="U267" s="1" t="s">
        <v>2540</v>
      </c>
      <c r="V267" s="1" t="s">
        <v>2540</v>
      </c>
      <c r="X267" s="1" t="s">
        <v>100</v>
      </c>
      <c r="Y267" s="1" t="s">
        <v>101</v>
      </c>
      <c r="Z267" s="1" t="s">
        <v>1387</v>
      </c>
      <c r="AB267" s="1">
        <v>0</v>
      </c>
      <c r="AD267" s="1" t="s">
        <v>4304</v>
      </c>
      <c r="AE267" s="1">
        <f>91-9425146703</f>
        <v>-9425146612</v>
      </c>
      <c r="AF267" s="1" t="s">
        <v>2541</v>
      </c>
      <c r="AG267" s="1" t="s">
        <v>4305</v>
      </c>
      <c r="AH267" s="1" t="s">
        <v>4306</v>
      </c>
      <c r="AI267" s="1" t="s">
        <v>4307</v>
      </c>
      <c r="AJ267" s="1" t="s">
        <v>109</v>
      </c>
      <c r="AK267" s="1" t="s">
        <v>4308</v>
      </c>
      <c r="AL267" s="1">
        <v>45</v>
      </c>
      <c r="AM267" s="1" t="s">
        <v>2541</v>
      </c>
      <c r="AP267" s="1">
        <f>91-9425146703</f>
        <v>-9425146612</v>
      </c>
      <c r="AR267" s="1">
        <v>0</v>
      </c>
      <c r="AS267" s="1">
        <v>0</v>
      </c>
      <c r="AW267" s="1" t="s">
        <v>142</v>
      </c>
      <c r="AX267" s="1" t="s">
        <v>1053</v>
      </c>
      <c r="AY267" s="1" t="s">
        <v>150</v>
      </c>
      <c r="AZ267" s="1">
        <v>5</v>
      </c>
      <c r="BA267" s="1">
        <v>5.05</v>
      </c>
      <c r="BB267" s="1" t="s">
        <v>151</v>
      </c>
      <c r="BC267" s="1" t="s">
        <v>152</v>
      </c>
      <c r="BD267" s="1" t="s">
        <v>1395</v>
      </c>
      <c r="BE267" s="1" t="s">
        <v>97</v>
      </c>
      <c r="BF267" s="1" t="s">
        <v>120</v>
      </c>
      <c r="BG267" s="1" t="s">
        <v>2541</v>
      </c>
      <c r="BH267" s="1" t="s">
        <v>2541</v>
      </c>
      <c r="BI267" s="1" t="s">
        <v>1387</v>
      </c>
      <c r="BL267" s="1">
        <v>0</v>
      </c>
      <c r="BM267" s="1">
        <v>1</v>
      </c>
      <c r="BN267" s="1" t="s">
        <v>4309</v>
      </c>
      <c r="BO267" s="1">
        <v>0</v>
      </c>
      <c r="BQ267" s="1" t="s">
        <v>180</v>
      </c>
      <c r="BR267" s="1">
        <v>0</v>
      </c>
      <c r="BS267" s="1" t="s">
        <v>223</v>
      </c>
      <c r="BT267" s="1" t="s">
        <v>124</v>
      </c>
      <c r="BV267" s="1" t="s">
        <v>112</v>
      </c>
      <c r="BW267" s="1" t="s">
        <v>4310</v>
      </c>
      <c r="BX267" s="1" t="s">
        <v>4311</v>
      </c>
      <c r="BY267" s="1" t="s">
        <v>120</v>
      </c>
      <c r="BZ267" s="1">
        <v>0</v>
      </c>
      <c r="CA267" s="1">
        <v>0</v>
      </c>
      <c r="CB267" s="4">
        <v>43129.917984641201</v>
      </c>
      <c r="CC267" s="1">
        <v>1</v>
      </c>
      <c r="CD267" s="1">
        <v>1</v>
      </c>
      <c r="CE267" s="1">
        <v>1</v>
      </c>
      <c r="CF267" s="1">
        <v>1</v>
      </c>
      <c r="CG267" s="4">
        <v>43163.479586030095</v>
      </c>
      <c r="CH267" s="1" t="s">
        <v>112</v>
      </c>
      <c r="CI267" s="1" t="s">
        <v>4312</v>
      </c>
      <c r="CJ267" s="1" t="s">
        <v>157</v>
      </c>
    </row>
    <row r="268" spans="1:88" x14ac:dyDescent="0.35">
      <c r="A268" s="1">
        <v>3904</v>
      </c>
      <c r="B268" s="1" t="s">
        <v>4313</v>
      </c>
      <c r="C268" s="1" t="s">
        <v>4314</v>
      </c>
      <c r="D268" s="1" t="s">
        <v>90</v>
      </c>
      <c r="E268" s="1" t="s">
        <v>2008</v>
      </c>
      <c r="F268" s="1" t="s">
        <v>1231</v>
      </c>
      <c r="G268" s="1">
        <v>1</v>
      </c>
      <c r="H268" s="3">
        <v>33020</v>
      </c>
      <c r="I268" s="1">
        <v>1</v>
      </c>
      <c r="J268" s="1" t="s">
        <v>162</v>
      </c>
      <c r="K268" s="1" t="s">
        <v>847</v>
      </c>
      <c r="L268" s="2">
        <f>91-9537132682</f>
        <v>-9537132591</v>
      </c>
      <c r="M268" s="1" t="s">
        <v>150</v>
      </c>
      <c r="N268" s="1">
        <v>0</v>
      </c>
      <c r="O268" s="1">
        <v>0</v>
      </c>
      <c r="P268" s="1">
        <v>5.0999999999999996</v>
      </c>
      <c r="Q268" s="1">
        <v>16</v>
      </c>
      <c r="R268" s="1" t="s">
        <v>535</v>
      </c>
      <c r="S268" s="1" t="s">
        <v>136</v>
      </c>
      <c r="T268" s="1" t="s">
        <v>234</v>
      </c>
      <c r="U268" s="1" t="s">
        <v>2540</v>
      </c>
      <c r="V268" s="1" t="s">
        <v>2540</v>
      </c>
      <c r="X268" s="1" t="s">
        <v>170</v>
      </c>
      <c r="Y268" s="1" t="s">
        <v>210</v>
      </c>
      <c r="Z268" s="1" t="s">
        <v>140</v>
      </c>
      <c r="AB268" s="1">
        <v>0</v>
      </c>
      <c r="AD268" s="1" t="s">
        <v>4315</v>
      </c>
      <c r="AE268" s="1">
        <f>91-9727328927</f>
        <v>-9727328836</v>
      </c>
      <c r="AF268" s="1" t="s">
        <v>2541</v>
      </c>
      <c r="AG268" s="1" t="s">
        <v>4316</v>
      </c>
      <c r="AH268" s="1" t="s">
        <v>4317</v>
      </c>
      <c r="AI268" s="1" t="s">
        <v>4318</v>
      </c>
      <c r="AJ268" s="1" t="s">
        <v>109</v>
      </c>
      <c r="AK268" s="1" t="s">
        <v>4319</v>
      </c>
      <c r="AL268" s="1">
        <v>60</v>
      </c>
      <c r="AM268" s="1" t="s">
        <v>2541</v>
      </c>
      <c r="AP268" s="1">
        <f>91-9978748447</f>
        <v>-9978748356</v>
      </c>
      <c r="AR268" s="1">
        <v>0</v>
      </c>
      <c r="AS268" s="1">
        <v>0</v>
      </c>
      <c r="AW268" s="1" t="s">
        <v>142</v>
      </c>
      <c r="AX268" s="1" t="s">
        <v>1440</v>
      </c>
      <c r="AY268" s="1" t="s">
        <v>150</v>
      </c>
      <c r="AZ268" s="1">
        <v>5.03</v>
      </c>
      <c r="BA268" s="1">
        <v>5.0999999999999996</v>
      </c>
      <c r="BB268" s="1" t="s">
        <v>151</v>
      </c>
      <c r="BC268" s="1" t="s">
        <v>152</v>
      </c>
      <c r="BD268" s="1" t="s">
        <v>1395</v>
      </c>
      <c r="BE268" s="1" t="s">
        <v>120</v>
      </c>
      <c r="BF268" s="1" t="s">
        <v>120</v>
      </c>
      <c r="BG268" s="1" t="s">
        <v>2541</v>
      </c>
      <c r="BH268" s="1" t="s">
        <v>2541</v>
      </c>
      <c r="BI268" s="1" t="s">
        <v>140</v>
      </c>
      <c r="BL268" s="1">
        <v>0</v>
      </c>
      <c r="BM268" s="1">
        <v>0</v>
      </c>
      <c r="BN268" s="1" t="s">
        <v>1121</v>
      </c>
      <c r="BO268" s="1">
        <v>0</v>
      </c>
      <c r="BQ268" s="1" t="s">
        <v>180</v>
      </c>
      <c r="BR268" s="1">
        <v>0</v>
      </c>
      <c r="BS268" s="1" t="s">
        <v>223</v>
      </c>
      <c r="BT268" s="1" t="s">
        <v>124</v>
      </c>
      <c r="BV268" s="1" t="s">
        <v>112</v>
      </c>
      <c r="BW268" s="1" t="s">
        <v>4320</v>
      </c>
      <c r="BX268" s="1" t="s">
        <v>4321</v>
      </c>
      <c r="BY268" s="1" t="s">
        <v>120</v>
      </c>
      <c r="BZ268" s="1">
        <v>0</v>
      </c>
      <c r="CA268" s="1">
        <v>0</v>
      </c>
      <c r="CB268" s="4">
        <v>43135.178013344907</v>
      </c>
      <c r="CC268" s="1">
        <v>1</v>
      </c>
      <c r="CD268" s="1">
        <v>1</v>
      </c>
      <c r="CE268" s="1">
        <v>1</v>
      </c>
      <c r="CF268" s="1">
        <v>1</v>
      </c>
      <c r="CG268" s="4">
        <v>43527.668293483795</v>
      </c>
      <c r="CH268" s="1" t="s">
        <v>112</v>
      </c>
      <c r="CI268" s="1" t="s">
        <v>4322</v>
      </c>
      <c r="CJ268" s="1" t="s">
        <v>157</v>
      </c>
    </row>
    <row r="269" spans="1:88" x14ac:dyDescent="0.35">
      <c r="A269" s="1">
        <v>3906</v>
      </c>
      <c r="B269" s="1" t="s">
        <v>4323</v>
      </c>
      <c r="C269" s="1" t="s">
        <v>4324</v>
      </c>
      <c r="D269" s="1" t="s">
        <v>90</v>
      </c>
      <c r="E269" s="1" t="s">
        <v>2988</v>
      </c>
      <c r="F269" s="1" t="s">
        <v>208</v>
      </c>
      <c r="G269" s="1">
        <v>1</v>
      </c>
      <c r="H269" s="3">
        <v>32228</v>
      </c>
      <c r="I269" s="1">
        <v>1</v>
      </c>
      <c r="J269" s="1" t="s">
        <v>162</v>
      </c>
      <c r="K269" s="1" t="s">
        <v>291</v>
      </c>
      <c r="L269" s="2">
        <f>91-9925627803</f>
        <v>-9925627712</v>
      </c>
      <c r="M269" s="1" t="s">
        <v>150</v>
      </c>
      <c r="N269" s="1">
        <v>0</v>
      </c>
      <c r="O269" s="1">
        <v>0</v>
      </c>
      <c r="P269" s="1">
        <v>5.08</v>
      </c>
      <c r="Q269" s="1">
        <v>10</v>
      </c>
      <c r="S269" s="1" t="s">
        <v>97</v>
      </c>
      <c r="T269" s="1" t="s">
        <v>137</v>
      </c>
      <c r="U269" s="1" t="s">
        <v>2540</v>
      </c>
      <c r="V269" s="1" t="s">
        <v>2540</v>
      </c>
      <c r="X269" s="1" t="s">
        <v>170</v>
      </c>
      <c r="Y269" s="1" t="s">
        <v>210</v>
      </c>
      <c r="Z269" s="1" t="s">
        <v>140</v>
      </c>
      <c r="AB269" s="1">
        <v>0</v>
      </c>
      <c r="AD269" s="1" t="s">
        <v>4325</v>
      </c>
      <c r="AE269" s="1">
        <f>91-9016665266</f>
        <v>-9016665175</v>
      </c>
      <c r="AF269" s="1" t="s">
        <v>2541</v>
      </c>
      <c r="AG269" s="1" t="s">
        <v>4326</v>
      </c>
      <c r="AH269" s="1" t="s">
        <v>4327</v>
      </c>
      <c r="AI269" s="1" t="s">
        <v>862</v>
      </c>
      <c r="AJ269" s="1" t="s">
        <v>109</v>
      </c>
      <c r="AK269" s="1" t="s">
        <v>4328</v>
      </c>
      <c r="AL269" s="1">
        <v>35</v>
      </c>
      <c r="AM269" s="1" t="s">
        <v>2541</v>
      </c>
      <c r="AP269" s="1">
        <f>91-9925627803</f>
        <v>-9925627712</v>
      </c>
      <c r="AR269" s="1">
        <v>0</v>
      </c>
      <c r="AS269" s="1">
        <v>0</v>
      </c>
      <c r="AW269" s="1" t="s">
        <v>142</v>
      </c>
      <c r="AX269" s="1" t="s">
        <v>2340</v>
      </c>
      <c r="AY269" s="1" t="s">
        <v>150</v>
      </c>
      <c r="AZ269" s="1">
        <v>5</v>
      </c>
      <c r="BA269" s="1">
        <v>5.08</v>
      </c>
      <c r="BB269" s="1" t="s">
        <v>151</v>
      </c>
      <c r="BC269" s="1" t="s">
        <v>152</v>
      </c>
      <c r="BD269" s="1" t="s">
        <v>1395</v>
      </c>
      <c r="BE269" s="1" t="s">
        <v>3040</v>
      </c>
      <c r="BF269" s="1" t="s">
        <v>120</v>
      </c>
      <c r="BG269" s="1" t="s">
        <v>2541</v>
      </c>
      <c r="BH269" s="1" t="s">
        <v>2541</v>
      </c>
      <c r="BI269" s="1" t="s">
        <v>140</v>
      </c>
      <c r="BL269" s="1">
        <v>0</v>
      </c>
      <c r="BM269" s="1">
        <v>1</v>
      </c>
      <c r="BN269" s="1" t="s">
        <v>4329</v>
      </c>
      <c r="BO269" s="1">
        <v>0</v>
      </c>
      <c r="BQ269" s="1" t="s">
        <v>180</v>
      </c>
      <c r="BR269" s="1">
        <v>0</v>
      </c>
      <c r="BS269" s="1" t="s">
        <v>252</v>
      </c>
      <c r="BT269" s="1" t="s">
        <v>124</v>
      </c>
      <c r="BV269" s="1" t="s">
        <v>112</v>
      </c>
      <c r="BW269" s="1" t="s">
        <v>4330</v>
      </c>
      <c r="BX269" s="1" t="s">
        <v>4331</v>
      </c>
      <c r="BY269" s="1" t="s">
        <v>120</v>
      </c>
      <c r="BZ269" s="1">
        <v>0</v>
      </c>
      <c r="CA269" s="1">
        <v>0</v>
      </c>
      <c r="CB269" s="4">
        <v>43139.006604247683</v>
      </c>
      <c r="CC269" s="1">
        <v>1</v>
      </c>
      <c r="CD269" s="1">
        <v>1</v>
      </c>
      <c r="CE269" s="1">
        <v>1</v>
      </c>
      <c r="CF269" s="1">
        <v>1</v>
      </c>
      <c r="CG269" s="4">
        <v>43809.261333020833</v>
      </c>
      <c r="CH269" s="1" t="s">
        <v>112</v>
      </c>
      <c r="CI269" s="1" t="s">
        <v>1509</v>
      </c>
      <c r="CJ269" s="1" t="s">
        <v>157</v>
      </c>
    </row>
    <row r="270" spans="1:88" x14ac:dyDescent="0.35">
      <c r="A270" s="1">
        <v>3910</v>
      </c>
      <c r="B270" s="1" t="s">
        <v>4332</v>
      </c>
      <c r="C270" s="1" t="s">
        <v>4333</v>
      </c>
      <c r="D270" s="1" t="s">
        <v>90</v>
      </c>
      <c r="E270" s="1" t="s">
        <v>2008</v>
      </c>
      <c r="F270" s="1" t="s">
        <v>3727</v>
      </c>
      <c r="G270" s="1">
        <v>1</v>
      </c>
      <c r="H270" s="3">
        <v>34401</v>
      </c>
      <c r="I270" s="1">
        <v>1</v>
      </c>
      <c r="L270" s="2">
        <f>91-9586482002</f>
        <v>-9586481911</v>
      </c>
      <c r="M270" s="1" t="s">
        <v>150</v>
      </c>
      <c r="N270" s="1">
        <v>0</v>
      </c>
      <c r="O270" s="1">
        <v>0</v>
      </c>
      <c r="P270" s="1">
        <v>5.0599999999999996</v>
      </c>
      <c r="Q270" s="1">
        <v>3</v>
      </c>
      <c r="R270" s="1" t="s">
        <v>3728</v>
      </c>
      <c r="S270" s="1" t="s">
        <v>97</v>
      </c>
      <c r="T270" s="1" t="s">
        <v>166</v>
      </c>
      <c r="U270" s="1" t="s">
        <v>2540</v>
      </c>
      <c r="V270" s="1" t="s">
        <v>2540</v>
      </c>
      <c r="X270" s="1" t="s">
        <v>170</v>
      </c>
      <c r="Y270" s="1" t="s">
        <v>210</v>
      </c>
      <c r="Z270" s="1" t="s">
        <v>171</v>
      </c>
      <c r="AB270" s="1">
        <v>0</v>
      </c>
      <c r="AD270" s="1" t="s">
        <v>4334</v>
      </c>
      <c r="AE270" s="1">
        <f>91-9586482002</f>
        <v>-9586481911</v>
      </c>
      <c r="AF270" s="1" t="s">
        <v>2541</v>
      </c>
      <c r="AG270" s="1" t="s">
        <v>4335</v>
      </c>
      <c r="AH270" s="1" t="s">
        <v>4336</v>
      </c>
      <c r="AI270" s="1" t="s">
        <v>2800</v>
      </c>
      <c r="AJ270" s="1" t="s">
        <v>109</v>
      </c>
      <c r="AK270" s="1" t="s">
        <v>4337</v>
      </c>
      <c r="AL270" s="1">
        <v>60</v>
      </c>
      <c r="AM270" s="1" t="s">
        <v>2541</v>
      </c>
      <c r="AP270" s="1">
        <f>91-9586482002</f>
        <v>-9586481911</v>
      </c>
      <c r="AR270" s="1">
        <v>0</v>
      </c>
      <c r="AS270" s="1">
        <v>0</v>
      </c>
      <c r="AW270" s="1" t="s">
        <v>142</v>
      </c>
      <c r="AX270" s="1" t="s">
        <v>414</v>
      </c>
      <c r="AY270" s="1" t="s">
        <v>150</v>
      </c>
      <c r="AZ270" s="1">
        <v>4.08</v>
      </c>
      <c r="BA270" s="1">
        <v>5.05</v>
      </c>
      <c r="BB270" s="1" t="s">
        <v>151</v>
      </c>
      <c r="BC270" s="1" t="s">
        <v>152</v>
      </c>
      <c r="BD270" s="1" t="s">
        <v>1395</v>
      </c>
      <c r="BE270" s="1" t="s">
        <v>120</v>
      </c>
      <c r="BF270" s="1" t="s">
        <v>120</v>
      </c>
      <c r="BG270" s="1" t="s">
        <v>2541</v>
      </c>
      <c r="BH270" s="1" t="s">
        <v>2541</v>
      </c>
      <c r="BI270" s="1" t="s">
        <v>171</v>
      </c>
      <c r="BL270" s="1">
        <v>0</v>
      </c>
      <c r="BM270" s="1">
        <v>0</v>
      </c>
      <c r="BN270" s="1" t="s">
        <v>4338</v>
      </c>
      <c r="BO270" s="1">
        <v>0</v>
      </c>
      <c r="BQ270" s="1" t="s">
        <v>180</v>
      </c>
      <c r="BR270" s="1">
        <v>0</v>
      </c>
      <c r="BS270" s="1" t="s">
        <v>123</v>
      </c>
      <c r="BT270" s="1" t="s">
        <v>124</v>
      </c>
      <c r="BV270" s="1" t="s">
        <v>112</v>
      </c>
      <c r="BW270" s="1" t="s">
        <v>4339</v>
      </c>
      <c r="BX270" s="1" t="s">
        <v>4340</v>
      </c>
      <c r="BY270" s="1" t="s">
        <v>120</v>
      </c>
      <c r="BZ270" s="1">
        <v>0</v>
      </c>
      <c r="CA270" s="1">
        <v>0</v>
      </c>
      <c r="CB270" s="4">
        <v>43143.430505821758</v>
      </c>
      <c r="CC270" s="1">
        <v>1</v>
      </c>
      <c r="CD270" s="1">
        <v>1</v>
      </c>
      <c r="CE270" s="1">
        <v>1</v>
      </c>
      <c r="CF270" s="1">
        <v>1</v>
      </c>
      <c r="CG270" s="4">
        <v>43157.744112118053</v>
      </c>
      <c r="CH270" s="1" t="s">
        <v>112</v>
      </c>
      <c r="CI270" s="1" t="s">
        <v>4341</v>
      </c>
      <c r="CJ270" s="1" t="s">
        <v>157</v>
      </c>
    </row>
    <row r="271" spans="1:88" x14ac:dyDescent="0.35">
      <c r="A271" s="1">
        <v>3912</v>
      </c>
      <c r="B271" s="1" t="s">
        <v>4342</v>
      </c>
      <c r="C271" s="1" t="s">
        <v>4343</v>
      </c>
      <c r="D271" s="1" t="s">
        <v>90</v>
      </c>
      <c r="E271" s="1" t="s">
        <v>3780</v>
      </c>
      <c r="F271" s="1" t="s">
        <v>489</v>
      </c>
      <c r="G271" s="1">
        <v>1</v>
      </c>
      <c r="H271" s="3">
        <v>34305</v>
      </c>
      <c r="I271" s="1">
        <v>1</v>
      </c>
      <c r="J271" s="1" t="s">
        <v>162</v>
      </c>
      <c r="K271" s="1" t="s">
        <v>847</v>
      </c>
      <c r="L271" s="2">
        <f>91-9099734682</f>
        <v>-9099734591</v>
      </c>
      <c r="M271" s="1" t="s">
        <v>150</v>
      </c>
      <c r="N271" s="1">
        <v>0</v>
      </c>
      <c r="O271" s="1">
        <v>0</v>
      </c>
      <c r="P271" s="1">
        <v>5</v>
      </c>
      <c r="Q271" s="1">
        <v>14</v>
      </c>
      <c r="R271" s="1" t="s">
        <v>164</v>
      </c>
      <c r="S271" s="1" t="s">
        <v>97</v>
      </c>
      <c r="T271" s="1" t="s">
        <v>427</v>
      </c>
      <c r="U271" s="1" t="s">
        <v>2540</v>
      </c>
      <c r="V271" s="1" t="s">
        <v>2540</v>
      </c>
      <c r="X271" s="1" t="s">
        <v>170</v>
      </c>
      <c r="Y271" s="1" t="s">
        <v>210</v>
      </c>
      <c r="Z271" s="1" t="s">
        <v>1387</v>
      </c>
      <c r="AB271" s="1">
        <v>0</v>
      </c>
      <c r="AD271" s="1" t="s">
        <v>3686</v>
      </c>
      <c r="AE271" s="1">
        <f>91-9408020782</f>
        <v>-9408020691</v>
      </c>
      <c r="AF271" s="1" t="s">
        <v>2541</v>
      </c>
      <c r="AG271" s="1" t="s">
        <v>4344</v>
      </c>
      <c r="AH271" s="1" t="s">
        <v>3785</v>
      </c>
      <c r="AI271" s="1" t="s">
        <v>4345</v>
      </c>
      <c r="AJ271" s="1" t="s">
        <v>109</v>
      </c>
      <c r="AK271" s="1" t="s">
        <v>4346</v>
      </c>
      <c r="AL271" s="1">
        <v>24</v>
      </c>
      <c r="AM271" s="1" t="s">
        <v>2541</v>
      </c>
      <c r="AP271" s="1">
        <f>91-9737988886</f>
        <v>-9737988795</v>
      </c>
      <c r="AR271" s="1">
        <v>0</v>
      </c>
      <c r="AS271" s="1">
        <v>0</v>
      </c>
      <c r="AW271" s="1" t="s">
        <v>142</v>
      </c>
      <c r="AX271" s="1" t="s">
        <v>3418</v>
      </c>
      <c r="AY271" s="1" t="s">
        <v>150</v>
      </c>
      <c r="AZ271" s="1">
        <v>4.07</v>
      </c>
      <c r="BA271" s="1">
        <v>5</v>
      </c>
      <c r="BB271" s="1" t="s">
        <v>151</v>
      </c>
      <c r="BC271" s="1" t="s">
        <v>152</v>
      </c>
      <c r="BD271" s="1" t="s">
        <v>1395</v>
      </c>
      <c r="BE271" s="1" t="s">
        <v>120</v>
      </c>
      <c r="BF271" s="1" t="s">
        <v>120</v>
      </c>
      <c r="BG271" s="1" t="s">
        <v>2541</v>
      </c>
      <c r="BH271" s="1" t="s">
        <v>2541</v>
      </c>
      <c r="BI271" s="1" t="s">
        <v>1387</v>
      </c>
      <c r="BL271" s="1">
        <v>0</v>
      </c>
      <c r="BM271" s="1">
        <v>0</v>
      </c>
      <c r="BN271" s="1" t="s">
        <v>4347</v>
      </c>
      <c r="BO271" s="1">
        <v>0</v>
      </c>
      <c r="BQ271" s="1" t="s">
        <v>180</v>
      </c>
      <c r="BR271" s="1">
        <v>0</v>
      </c>
      <c r="BS271" s="1" t="s">
        <v>252</v>
      </c>
      <c r="BT271" s="1" t="s">
        <v>120</v>
      </c>
      <c r="BV271" s="1" t="s">
        <v>112</v>
      </c>
      <c r="BW271" s="1" t="s">
        <v>4348</v>
      </c>
      <c r="BX271" s="1" t="s">
        <v>4349</v>
      </c>
      <c r="BY271" s="1" t="s">
        <v>120</v>
      </c>
      <c r="BZ271" s="1">
        <v>0</v>
      </c>
      <c r="CA271" s="1">
        <v>0</v>
      </c>
      <c r="CB271" s="4">
        <v>43145.501474305558</v>
      </c>
      <c r="CC271" s="1">
        <v>1</v>
      </c>
      <c r="CD271" s="1">
        <v>1</v>
      </c>
      <c r="CE271" s="1">
        <v>1</v>
      </c>
      <c r="CF271" s="1">
        <v>1</v>
      </c>
      <c r="CG271" s="4">
        <v>43614.451338275459</v>
      </c>
      <c r="CH271" s="1" t="s">
        <v>112</v>
      </c>
      <c r="CI271" s="1" t="s">
        <v>1663</v>
      </c>
      <c r="CJ271" s="1" t="s">
        <v>157</v>
      </c>
    </row>
    <row r="272" spans="1:88" x14ac:dyDescent="0.35">
      <c r="A272" s="1">
        <v>3916</v>
      </c>
      <c r="B272" s="1" t="s">
        <v>4350</v>
      </c>
      <c r="C272" s="1" t="s">
        <v>4351</v>
      </c>
      <c r="D272" s="1" t="s">
        <v>312</v>
      </c>
      <c r="E272" s="1" t="s">
        <v>4352</v>
      </c>
      <c r="F272" s="1" t="s">
        <v>489</v>
      </c>
      <c r="G272" s="1">
        <v>1</v>
      </c>
      <c r="H272" s="3">
        <v>34031</v>
      </c>
      <c r="I272" s="1">
        <v>1</v>
      </c>
      <c r="J272" s="1" t="s">
        <v>93</v>
      </c>
      <c r="K272" s="1" t="s">
        <v>1130</v>
      </c>
      <c r="L272" s="2">
        <f>91-9823240678</f>
        <v>-9823240587</v>
      </c>
      <c r="M272" s="1" t="s">
        <v>150</v>
      </c>
      <c r="N272" s="1">
        <v>0</v>
      </c>
      <c r="O272" s="1">
        <v>0</v>
      </c>
      <c r="P272" s="1">
        <v>5.08</v>
      </c>
      <c r="Q272" s="1">
        <v>14</v>
      </c>
      <c r="R272" s="1" t="s">
        <v>164</v>
      </c>
      <c r="S272" s="1" t="s">
        <v>97</v>
      </c>
      <c r="T272" s="1" t="s">
        <v>137</v>
      </c>
      <c r="U272" s="1" t="s">
        <v>2540</v>
      </c>
      <c r="V272" s="1" t="s">
        <v>2540</v>
      </c>
      <c r="X272" s="1" t="s">
        <v>100</v>
      </c>
      <c r="Y272" s="1" t="s">
        <v>111</v>
      </c>
      <c r="Z272" s="1" t="s">
        <v>192</v>
      </c>
      <c r="AB272" s="1">
        <v>0</v>
      </c>
      <c r="AD272" s="1" t="s">
        <v>4353</v>
      </c>
      <c r="AE272" s="1">
        <f>91-9561609333</f>
        <v>-9561609242</v>
      </c>
      <c r="AF272" s="1" t="s">
        <v>2541</v>
      </c>
      <c r="AG272" s="1" t="s">
        <v>4354</v>
      </c>
      <c r="AH272" s="1" t="s">
        <v>4355</v>
      </c>
      <c r="AI272" s="1" t="s">
        <v>3065</v>
      </c>
      <c r="AJ272" s="1" t="s">
        <v>109</v>
      </c>
      <c r="AK272" s="1" t="s">
        <v>4356</v>
      </c>
      <c r="AL272" s="1">
        <v>50</v>
      </c>
      <c r="AM272" s="1" t="s">
        <v>2541</v>
      </c>
      <c r="AP272" s="1">
        <f>91-9823240678</f>
        <v>-9823240587</v>
      </c>
      <c r="AR272" s="1">
        <v>0</v>
      </c>
      <c r="AS272" s="1">
        <v>0</v>
      </c>
      <c r="AW272" s="1" t="s">
        <v>142</v>
      </c>
      <c r="AX272" s="1" t="s">
        <v>3356</v>
      </c>
      <c r="AY272" s="1" t="s">
        <v>150</v>
      </c>
      <c r="AZ272" s="1">
        <v>5.03</v>
      </c>
      <c r="BA272" s="1">
        <v>5.08</v>
      </c>
      <c r="BB272" s="1" t="s">
        <v>151</v>
      </c>
      <c r="BC272" s="1" t="s">
        <v>152</v>
      </c>
      <c r="BD272" s="1" t="s">
        <v>1395</v>
      </c>
      <c r="BE272" s="1" t="s">
        <v>120</v>
      </c>
      <c r="BF272" s="1" t="s">
        <v>120</v>
      </c>
      <c r="BG272" s="1" t="s">
        <v>2541</v>
      </c>
      <c r="BH272" s="1" t="s">
        <v>2541</v>
      </c>
      <c r="BI272" s="1" t="s">
        <v>192</v>
      </c>
      <c r="BL272" s="1">
        <v>0</v>
      </c>
      <c r="BM272" s="1">
        <v>1</v>
      </c>
      <c r="BN272" s="1" t="s">
        <v>4357</v>
      </c>
      <c r="BO272" s="1" t="s">
        <v>112</v>
      </c>
      <c r="BP272" s="1" t="s">
        <v>112</v>
      </c>
      <c r="BQ272" s="1" t="s">
        <v>112</v>
      </c>
      <c r="BR272" s="1" t="s">
        <v>112</v>
      </c>
      <c r="BS272" s="1" t="s">
        <v>112</v>
      </c>
      <c r="BT272" s="1" t="s">
        <v>112</v>
      </c>
      <c r="BU272" s="1" t="s">
        <v>112</v>
      </c>
      <c r="BV272" s="1" t="s">
        <v>112</v>
      </c>
      <c r="BW272" s="1" t="s">
        <v>112</v>
      </c>
      <c r="BX272" s="1" t="s">
        <v>4358</v>
      </c>
      <c r="BY272" s="1" t="s">
        <v>120</v>
      </c>
      <c r="BZ272" s="1">
        <v>0</v>
      </c>
      <c r="CA272" s="1">
        <v>0</v>
      </c>
      <c r="CB272" s="4">
        <v>43147.40350818287</v>
      </c>
      <c r="CC272" s="1">
        <v>1</v>
      </c>
      <c r="CD272" s="1">
        <v>1</v>
      </c>
      <c r="CE272" s="1">
        <v>1</v>
      </c>
      <c r="CF272" s="1">
        <v>3</v>
      </c>
      <c r="CG272" s="4">
        <v>43809.266224537037</v>
      </c>
      <c r="CH272" s="1" t="s">
        <v>112</v>
      </c>
      <c r="CI272" s="1" t="s">
        <v>4359</v>
      </c>
      <c r="CJ272" s="1" t="s">
        <v>157</v>
      </c>
    </row>
    <row r="273" spans="1:88" x14ac:dyDescent="0.35">
      <c r="A273" s="1">
        <v>3919</v>
      </c>
      <c r="B273" s="1" t="s">
        <v>4360</v>
      </c>
      <c r="C273" s="1" t="s">
        <v>4361</v>
      </c>
      <c r="D273" s="1" t="s">
        <v>259</v>
      </c>
      <c r="E273" s="1" t="s">
        <v>4362</v>
      </c>
      <c r="F273" s="1" t="s">
        <v>1451</v>
      </c>
      <c r="G273" s="1">
        <v>0</v>
      </c>
      <c r="H273" s="3">
        <v>33714</v>
      </c>
      <c r="I273" s="1">
        <v>1</v>
      </c>
      <c r="J273" s="1" t="s">
        <v>162</v>
      </c>
      <c r="K273" s="1" t="s">
        <v>847</v>
      </c>
      <c r="L273" s="2">
        <f>91-9428565326</f>
        <v>-9428565235</v>
      </c>
      <c r="M273" s="1" t="s">
        <v>150</v>
      </c>
      <c r="N273" s="1">
        <v>0</v>
      </c>
      <c r="O273" s="1">
        <v>0</v>
      </c>
      <c r="P273" s="1">
        <v>5.04</v>
      </c>
      <c r="Q273" s="1">
        <v>12</v>
      </c>
      <c r="R273" s="1" t="s">
        <v>470</v>
      </c>
      <c r="S273" s="1" t="s">
        <v>136</v>
      </c>
      <c r="T273" s="1" t="s">
        <v>1107</v>
      </c>
      <c r="U273" s="1" t="s">
        <v>2540</v>
      </c>
      <c r="V273" s="1" t="s">
        <v>2540</v>
      </c>
      <c r="X273" s="1" t="s">
        <v>100</v>
      </c>
      <c r="Y273" s="1" t="s">
        <v>210</v>
      </c>
      <c r="Z273" s="1" t="s">
        <v>450</v>
      </c>
      <c r="AB273" s="1">
        <v>0</v>
      </c>
      <c r="AD273" s="1" t="s">
        <v>4363</v>
      </c>
      <c r="AE273" s="1">
        <f>91-9879612251</f>
        <v>-9879612160</v>
      </c>
      <c r="AF273" s="1" t="s">
        <v>2541</v>
      </c>
      <c r="AG273" s="1" t="s">
        <v>4364</v>
      </c>
      <c r="AH273" s="1" t="s">
        <v>4365</v>
      </c>
      <c r="AI273" s="1" t="s">
        <v>4366</v>
      </c>
      <c r="AJ273" s="1" t="s">
        <v>109</v>
      </c>
      <c r="AK273" s="1" t="s">
        <v>4367</v>
      </c>
      <c r="AL273" s="1">
        <v>35</v>
      </c>
      <c r="AM273" s="1" t="s">
        <v>2541</v>
      </c>
      <c r="AP273" s="1">
        <f>91-9428565326</f>
        <v>-9428565235</v>
      </c>
      <c r="AR273" s="1">
        <v>0</v>
      </c>
      <c r="AS273" s="1">
        <v>0</v>
      </c>
      <c r="AW273" s="1" t="s">
        <v>142</v>
      </c>
      <c r="AX273" s="1" t="s">
        <v>2190</v>
      </c>
      <c r="AY273" s="1" t="s">
        <v>150</v>
      </c>
      <c r="AZ273" s="1">
        <v>5.04</v>
      </c>
      <c r="BA273" s="1">
        <v>6</v>
      </c>
      <c r="BB273" s="1" t="s">
        <v>151</v>
      </c>
      <c r="BC273" s="1" t="s">
        <v>152</v>
      </c>
      <c r="BD273" s="1" t="s">
        <v>1395</v>
      </c>
      <c r="BE273" s="1" t="s">
        <v>281</v>
      </c>
      <c r="BF273" s="1" t="s">
        <v>120</v>
      </c>
      <c r="BG273" s="1" t="s">
        <v>2541</v>
      </c>
      <c r="BH273" s="1" t="s">
        <v>2541</v>
      </c>
      <c r="BI273" s="1" t="s">
        <v>450</v>
      </c>
      <c r="BL273" s="1">
        <v>0</v>
      </c>
      <c r="BM273" s="1">
        <v>0</v>
      </c>
      <c r="BN273" s="1" t="s">
        <v>4368</v>
      </c>
      <c r="BO273" s="1" t="s">
        <v>112</v>
      </c>
      <c r="BP273" s="1" t="s">
        <v>112</v>
      </c>
      <c r="BQ273" s="1" t="s">
        <v>112</v>
      </c>
      <c r="BR273" s="1" t="s">
        <v>112</v>
      </c>
      <c r="BS273" s="1" t="s">
        <v>112</v>
      </c>
      <c r="BT273" s="1" t="s">
        <v>112</v>
      </c>
      <c r="BU273" s="1" t="s">
        <v>112</v>
      </c>
      <c r="BV273" s="1" t="s">
        <v>112</v>
      </c>
      <c r="BW273" s="1" t="s">
        <v>4369</v>
      </c>
      <c r="BX273" s="1" t="s">
        <v>4370</v>
      </c>
      <c r="BY273" s="1" t="s">
        <v>120</v>
      </c>
      <c r="BZ273" s="1">
        <v>0</v>
      </c>
      <c r="CA273" s="1">
        <v>0</v>
      </c>
      <c r="CB273" s="4">
        <v>43151.385160729165</v>
      </c>
      <c r="CC273" s="1">
        <v>1</v>
      </c>
      <c r="CD273" s="1">
        <v>1</v>
      </c>
      <c r="CE273" s="1">
        <v>1</v>
      </c>
      <c r="CF273" s="1">
        <v>1</v>
      </c>
      <c r="CG273" s="4">
        <v>43153.517336805555</v>
      </c>
      <c r="CH273" s="1" t="s">
        <v>112</v>
      </c>
      <c r="CI273" s="1" t="s">
        <v>1041</v>
      </c>
      <c r="CJ273" s="1" t="s">
        <v>157</v>
      </c>
    </row>
    <row r="274" spans="1:88" x14ac:dyDescent="0.35">
      <c r="A274" s="1">
        <v>3923</v>
      </c>
      <c r="B274" s="1" t="s">
        <v>4371</v>
      </c>
      <c r="C274" s="1" t="s">
        <v>4372</v>
      </c>
      <c r="D274" s="1" t="s">
        <v>90</v>
      </c>
      <c r="E274" s="1" t="s">
        <v>4373</v>
      </c>
      <c r="F274" s="1" t="s">
        <v>134</v>
      </c>
      <c r="G274" s="1">
        <v>1</v>
      </c>
      <c r="H274" s="3">
        <v>30895</v>
      </c>
      <c r="I274" s="1">
        <v>1</v>
      </c>
      <c r="J274" s="1" t="s">
        <v>162</v>
      </c>
      <c r="K274" s="1" t="s">
        <v>232</v>
      </c>
      <c r="L274" s="2">
        <f>91-8264331310</f>
        <v>-8264331219</v>
      </c>
      <c r="M274" s="1" t="s">
        <v>95</v>
      </c>
      <c r="N274" s="1">
        <v>0</v>
      </c>
      <c r="O274" s="1">
        <v>0</v>
      </c>
      <c r="P274" s="1">
        <v>5.04</v>
      </c>
      <c r="Q274" s="1">
        <v>8</v>
      </c>
      <c r="R274" s="1" t="s">
        <v>605</v>
      </c>
      <c r="S274" s="1" t="s">
        <v>492</v>
      </c>
      <c r="T274" s="1" t="s">
        <v>137</v>
      </c>
      <c r="U274" s="1" t="s">
        <v>2540</v>
      </c>
      <c r="V274" s="1" t="s">
        <v>2540</v>
      </c>
      <c r="X274" s="1" t="s">
        <v>100</v>
      </c>
      <c r="Y274" s="1" t="s">
        <v>111</v>
      </c>
      <c r="Z274" s="1" t="s">
        <v>124</v>
      </c>
      <c r="AB274" s="1">
        <v>0</v>
      </c>
      <c r="AD274" s="1" t="s">
        <v>4374</v>
      </c>
      <c r="AE274" s="1">
        <f>91-8264331310</f>
        <v>-8264331219</v>
      </c>
      <c r="AF274" s="1" t="s">
        <v>143</v>
      </c>
      <c r="AG274" s="1" t="s">
        <v>4375</v>
      </c>
      <c r="AH274" s="1" t="s">
        <v>4327</v>
      </c>
      <c r="AI274" s="1" t="s">
        <v>2437</v>
      </c>
      <c r="AJ274" s="1" t="s">
        <v>109</v>
      </c>
      <c r="AK274" s="1" t="s">
        <v>4376</v>
      </c>
      <c r="AL274" s="1">
        <v>40</v>
      </c>
      <c r="AM274" s="1" t="s">
        <v>148</v>
      </c>
      <c r="AN274" s="1" t="s">
        <v>124</v>
      </c>
      <c r="AO274" s="1" t="s">
        <v>4208</v>
      </c>
      <c r="AP274" s="1">
        <f>91-9825844830</f>
        <v>-9825844739</v>
      </c>
      <c r="AQ274" s="1" t="s">
        <v>124</v>
      </c>
      <c r="AR274" s="1">
        <v>3</v>
      </c>
      <c r="AS274" s="1">
        <v>2</v>
      </c>
      <c r="AW274" s="1" t="s">
        <v>142</v>
      </c>
      <c r="AX274" s="1" t="s">
        <v>4377</v>
      </c>
      <c r="AY274" s="1" t="s">
        <v>351</v>
      </c>
      <c r="AZ274" s="1">
        <v>5</v>
      </c>
      <c r="BA274" s="1">
        <v>6.06</v>
      </c>
      <c r="BB274" s="1" t="s">
        <v>151</v>
      </c>
      <c r="BC274" s="1" t="s">
        <v>304</v>
      </c>
      <c r="BD274" s="1" t="s">
        <v>1333</v>
      </c>
      <c r="BE274" s="1" t="s">
        <v>120</v>
      </c>
      <c r="BF274" s="1" t="s">
        <v>120</v>
      </c>
      <c r="BG274" s="1" t="s">
        <v>120</v>
      </c>
      <c r="BH274" s="1" t="s">
        <v>120</v>
      </c>
      <c r="BJ274" s="1" t="s">
        <v>120</v>
      </c>
      <c r="BK274" s="1" t="s">
        <v>120</v>
      </c>
      <c r="BL274" s="1">
        <v>0</v>
      </c>
      <c r="BM274" s="1">
        <v>0</v>
      </c>
      <c r="BN274" s="1" t="s">
        <v>4378</v>
      </c>
      <c r="BO274" s="1">
        <v>1</v>
      </c>
      <c r="BP274" s="1" t="s">
        <v>232</v>
      </c>
      <c r="BQ274" s="1" t="s">
        <v>180</v>
      </c>
      <c r="BR274" s="1">
        <v>0</v>
      </c>
      <c r="BS274" s="1" t="s">
        <v>181</v>
      </c>
      <c r="BT274" s="1" t="s">
        <v>120</v>
      </c>
      <c r="BU274" s="1" t="s">
        <v>4379</v>
      </c>
      <c r="BV274" s="1" t="s">
        <v>112</v>
      </c>
      <c r="BW274" s="1" t="s">
        <v>4380</v>
      </c>
      <c r="BX274" s="1" t="s">
        <v>4381</v>
      </c>
      <c r="BY274" s="1" t="s">
        <v>120</v>
      </c>
      <c r="BZ274" s="1">
        <v>0</v>
      </c>
      <c r="CA274" s="1">
        <v>0</v>
      </c>
      <c r="CB274" s="4">
        <v>43152.313697256941</v>
      </c>
      <c r="CC274" s="1">
        <v>1</v>
      </c>
      <c r="CD274" s="1">
        <v>1</v>
      </c>
      <c r="CE274" s="1">
        <v>1</v>
      </c>
      <c r="CF274" s="1">
        <v>1</v>
      </c>
      <c r="CG274" s="4">
        <v>43556.714426469909</v>
      </c>
      <c r="CH274" s="1" t="s">
        <v>112</v>
      </c>
      <c r="CI274" s="1" t="s">
        <v>4382</v>
      </c>
      <c r="CJ274" s="1" t="s">
        <v>157</v>
      </c>
    </row>
    <row r="275" spans="1:88" x14ac:dyDescent="0.35">
      <c r="A275" s="1">
        <v>3930</v>
      </c>
      <c r="B275" s="1" t="s">
        <v>4383</v>
      </c>
      <c r="C275" s="1" t="s">
        <v>4384</v>
      </c>
      <c r="D275" s="1" t="s">
        <v>90</v>
      </c>
      <c r="E275" s="1" t="s">
        <v>4385</v>
      </c>
      <c r="F275" s="1" t="s">
        <v>134</v>
      </c>
      <c r="G275" s="1">
        <v>1</v>
      </c>
      <c r="H275" s="3">
        <v>33074</v>
      </c>
      <c r="I275" s="1">
        <v>1</v>
      </c>
      <c r="J275" s="1" t="s">
        <v>162</v>
      </c>
      <c r="K275" s="1" t="s">
        <v>163</v>
      </c>
      <c r="L275" s="2">
        <f>91-9601414739</f>
        <v>-9601414648</v>
      </c>
      <c r="M275" s="1" t="s">
        <v>95</v>
      </c>
      <c r="N275" s="1">
        <v>0</v>
      </c>
      <c r="O275" s="1">
        <v>0</v>
      </c>
      <c r="P275" s="1">
        <v>5.03</v>
      </c>
      <c r="Q275" s="1">
        <v>15</v>
      </c>
      <c r="R275" s="1" t="s">
        <v>2671</v>
      </c>
      <c r="S275" s="1" t="s">
        <v>97</v>
      </c>
      <c r="T275" s="1" t="s">
        <v>1107</v>
      </c>
      <c r="U275" s="1" t="s">
        <v>2540</v>
      </c>
      <c r="V275" s="1" t="s">
        <v>2540</v>
      </c>
      <c r="X275" s="1" t="s">
        <v>170</v>
      </c>
      <c r="Y275" s="1" t="s">
        <v>210</v>
      </c>
      <c r="Z275" s="1" t="s">
        <v>450</v>
      </c>
      <c r="AB275" s="1">
        <v>0</v>
      </c>
      <c r="AD275" s="1" t="s">
        <v>4386</v>
      </c>
      <c r="AE275" s="1" t="s">
        <v>142</v>
      </c>
      <c r="AF275" s="1" t="s">
        <v>2541</v>
      </c>
      <c r="AG275" s="1" t="s">
        <v>2960</v>
      </c>
      <c r="AH275" s="1" t="s">
        <v>1112</v>
      </c>
      <c r="AI275" s="1" t="s">
        <v>4387</v>
      </c>
      <c r="AJ275" s="1" t="s">
        <v>109</v>
      </c>
      <c r="AK275" s="1" t="s">
        <v>4388</v>
      </c>
      <c r="AL275" s="1">
        <v>30</v>
      </c>
      <c r="AM275" s="1" t="s">
        <v>2541</v>
      </c>
      <c r="AP275" s="1">
        <f>91-9925703091</f>
        <v>-9925703000</v>
      </c>
      <c r="AR275" s="1">
        <v>0</v>
      </c>
      <c r="AS275" s="1">
        <v>0</v>
      </c>
      <c r="AW275" s="1" t="s">
        <v>142</v>
      </c>
      <c r="AX275" s="1" t="s">
        <v>2043</v>
      </c>
      <c r="AY275" s="1" t="s">
        <v>351</v>
      </c>
      <c r="AZ275" s="1">
        <v>5</v>
      </c>
      <c r="BA275" s="1">
        <v>5.03</v>
      </c>
      <c r="BB275" s="1" t="s">
        <v>151</v>
      </c>
      <c r="BC275" s="1" t="s">
        <v>152</v>
      </c>
      <c r="BD275" s="1" t="s">
        <v>1395</v>
      </c>
      <c r="BE275" s="1" t="s">
        <v>120</v>
      </c>
      <c r="BF275" s="1" t="s">
        <v>120</v>
      </c>
      <c r="BG275" s="1" t="s">
        <v>2541</v>
      </c>
      <c r="BH275" s="1" t="s">
        <v>2541</v>
      </c>
      <c r="BI275" s="1" t="s">
        <v>450</v>
      </c>
      <c r="BL275" s="1">
        <v>0</v>
      </c>
      <c r="BM275" s="1">
        <v>1</v>
      </c>
      <c r="BN275" s="1" t="s">
        <v>4389</v>
      </c>
      <c r="BO275" s="1">
        <v>0</v>
      </c>
      <c r="BQ275" s="1" t="s">
        <v>180</v>
      </c>
      <c r="BR275" s="1">
        <v>0</v>
      </c>
      <c r="BS275" s="1" t="s">
        <v>252</v>
      </c>
      <c r="BT275" s="1" t="s">
        <v>124</v>
      </c>
      <c r="BV275" s="1" t="s">
        <v>112</v>
      </c>
      <c r="BW275" s="1" t="s">
        <v>4390</v>
      </c>
      <c r="BX275" s="1" t="s">
        <v>4391</v>
      </c>
      <c r="BY275" s="1" t="s">
        <v>120</v>
      </c>
      <c r="BZ275" s="1">
        <v>0</v>
      </c>
      <c r="CA275" s="1">
        <v>0</v>
      </c>
      <c r="CB275" s="4">
        <v>43164.886067245374</v>
      </c>
      <c r="CC275" s="1">
        <v>1</v>
      </c>
      <c r="CD275" s="1">
        <v>1</v>
      </c>
      <c r="CE275" s="1">
        <v>1</v>
      </c>
      <c r="CF275" s="1">
        <v>1</v>
      </c>
      <c r="CG275" s="4">
        <v>43164.886067245374</v>
      </c>
      <c r="CH275" s="1" t="s">
        <v>112</v>
      </c>
      <c r="CI275" s="1" t="s">
        <v>2425</v>
      </c>
      <c r="CJ275" s="1" t="s">
        <v>157</v>
      </c>
    </row>
    <row r="276" spans="1:88" x14ac:dyDescent="0.35">
      <c r="A276" s="1">
        <v>3933</v>
      </c>
      <c r="B276" s="1" t="s">
        <v>4392</v>
      </c>
      <c r="C276" s="1">
        <v>11021990</v>
      </c>
      <c r="D276" s="1" t="s">
        <v>90</v>
      </c>
      <c r="E276" s="1" t="s">
        <v>4354</v>
      </c>
      <c r="F276" s="1" t="s">
        <v>2539</v>
      </c>
      <c r="G276" s="1">
        <v>1</v>
      </c>
      <c r="H276" s="3">
        <v>32915</v>
      </c>
      <c r="I276" s="1">
        <v>1</v>
      </c>
      <c r="J276" s="1" t="s">
        <v>4393</v>
      </c>
      <c r="K276" s="1" t="s">
        <v>4394</v>
      </c>
      <c r="L276" s="2">
        <f>91-9959445113</f>
        <v>-9959445022</v>
      </c>
      <c r="M276" s="1" t="s">
        <v>150</v>
      </c>
      <c r="N276" s="1">
        <v>0</v>
      </c>
      <c r="O276" s="1">
        <v>0</v>
      </c>
      <c r="P276" s="1">
        <v>5.08</v>
      </c>
      <c r="Q276" s="1">
        <v>43</v>
      </c>
      <c r="R276" s="1" t="s">
        <v>188</v>
      </c>
      <c r="S276" s="1" t="s">
        <v>492</v>
      </c>
      <c r="T276" s="1" t="s">
        <v>427</v>
      </c>
      <c r="U276" s="1" t="s">
        <v>4395</v>
      </c>
      <c r="V276" s="1" t="s">
        <v>4396</v>
      </c>
      <c r="W276" s="1" t="s">
        <v>4397</v>
      </c>
      <c r="X276" s="1" t="s">
        <v>100</v>
      </c>
      <c r="Y276" s="1" t="s">
        <v>111</v>
      </c>
      <c r="Z276" s="1" t="s">
        <v>450</v>
      </c>
      <c r="AA276" s="1" t="s">
        <v>4398</v>
      </c>
      <c r="AB276" s="1">
        <v>0</v>
      </c>
      <c r="AD276" s="1" t="s">
        <v>4399</v>
      </c>
      <c r="AE276" s="1">
        <f>91-9959435113</f>
        <v>-9959435022</v>
      </c>
      <c r="AF276" s="1" t="s">
        <v>105</v>
      </c>
      <c r="AG276" s="1" t="s">
        <v>4400</v>
      </c>
      <c r="AH276" s="1" t="s">
        <v>4401</v>
      </c>
      <c r="AI276" s="1" t="s">
        <v>4402</v>
      </c>
      <c r="AJ276" s="1" t="s">
        <v>109</v>
      </c>
      <c r="AK276" s="1" t="s">
        <v>4403</v>
      </c>
      <c r="AL276" s="1">
        <v>8</v>
      </c>
      <c r="AM276" s="1" t="s">
        <v>129</v>
      </c>
      <c r="AN276" s="1" t="s">
        <v>198</v>
      </c>
      <c r="AO276" s="1" t="s">
        <v>4404</v>
      </c>
      <c r="AP276" s="1">
        <f>91-9394032501</f>
        <v>-9394032410</v>
      </c>
      <c r="AQ276" s="1" t="s">
        <v>326</v>
      </c>
      <c r="AR276" s="1">
        <v>2</v>
      </c>
      <c r="AS276" s="1">
        <v>2</v>
      </c>
      <c r="AW276" s="1" t="s">
        <v>142</v>
      </c>
      <c r="AX276" s="1" t="s">
        <v>763</v>
      </c>
      <c r="AY276" s="1" t="s">
        <v>150</v>
      </c>
      <c r="AZ276" s="1">
        <v>4</v>
      </c>
      <c r="BA276" s="1">
        <v>6</v>
      </c>
      <c r="BB276" s="1" t="s">
        <v>151</v>
      </c>
      <c r="BC276" s="1" t="s">
        <v>304</v>
      </c>
      <c r="BD276" s="1" t="s">
        <v>1333</v>
      </c>
      <c r="BE276" s="1" t="s">
        <v>120</v>
      </c>
      <c r="BF276" s="1" t="s">
        <v>120</v>
      </c>
      <c r="BG276" s="1" t="s">
        <v>120</v>
      </c>
      <c r="BH276" s="1" t="s">
        <v>120</v>
      </c>
      <c r="BJ276" s="1" t="s">
        <v>120</v>
      </c>
      <c r="BK276" s="1" t="s">
        <v>120</v>
      </c>
      <c r="BL276" s="1">
        <v>0</v>
      </c>
      <c r="BM276" s="1">
        <v>0</v>
      </c>
      <c r="BN276" s="1" t="s">
        <v>4405</v>
      </c>
      <c r="BO276" s="1">
        <v>1</v>
      </c>
      <c r="BP276" s="1" t="s">
        <v>4406</v>
      </c>
      <c r="BQ276" s="1" t="s">
        <v>112</v>
      </c>
      <c r="BR276" s="1">
        <v>1</v>
      </c>
      <c r="BS276" s="1" t="s">
        <v>354</v>
      </c>
      <c r="BT276" s="1" t="s">
        <v>124</v>
      </c>
      <c r="BU276" s="1" t="s">
        <v>4407</v>
      </c>
      <c r="BV276" s="1" t="s">
        <v>112</v>
      </c>
      <c r="BW276" s="1" t="s">
        <v>4408</v>
      </c>
      <c r="BX276" s="1" t="s">
        <v>4409</v>
      </c>
      <c r="BY276" s="1" t="s">
        <v>120</v>
      </c>
      <c r="BZ276" s="1">
        <v>0</v>
      </c>
      <c r="CA276" s="1">
        <v>0</v>
      </c>
      <c r="CB276" s="4">
        <v>43170.915452858797</v>
      </c>
      <c r="CC276" s="1">
        <v>1</v>
      </c>
      <c r="CD276" s="1">
        <v>1</v>
      </c>
      <c r="CE276" s="1">
        <v>1</v>
      </c>
      <c r="CF276" s="1">
        <v>1</v>
      </c>
      <c r="CG276" s="4">
        <v>43821.171014039355</v>
      </c>
      <c r="CH276" s="1" t="s">
        <v>112</v>
      </c>
      <c r="CI276" s="1" t="s">
        <v>419</v>
      </c>
      <c r="CJ276" s="1" t="s">
        <v>157</v>
      </c>
    </row>
    <row r="277" spans="1:88" x14ac:dyDescent="0.35">
      <c r="A277" s="1">
        <v>3934</v>
      </c>
      <c r="B277" s="1" t="s">
        <v>4410</v>
      </c>
      <c r="C277" s="1" t="s">
        <v>4411</v>
      </c>
      <c r="D277" s="1" t="s">
        <v>90</v>
      </c>
      <c r="E277" s="1" t="s">
        <v>4412</v>
      </c>
      <c r="F277" s="1" t="s">
        <v>4413</v>
      </c>
      <c r="G277" s="1">
        <v>1</v>
      </c>
      <c r="H277" s="3">
        <v>33894</v>
      </c>
      <c r="I277" s="1">
        <v>1</v>
      </c>
      <c r="J277" s="1" t="s">
        <v>2224</v>
      </c>
      <c r="K277" s="1" t="s">
        <v>2225</v>
      </c>
      <c r="L277" s="2">
        <f>91-9177618141</f>
        <v>-9177618050</v>
      </c>
      <c r="M277" s="1" t="s">
        <v>150</v>
      </c>
      <c r="N277" s="1">
        <v>0</v>
      </c>
      <c r="O277" s="1">
        <v>0</v>
      </c>
      <c r="P277" s="1">
        <v>5.0999999999999996</v>
      </c>
      <c r="Q277" s="1">
        <v>8</v>
      </c>
      <c r="R277" s="1" t="s">
        <v>605</v>
      </c>
      <c r="S277" s="1" t="s">
        <v>492</v>
      </c>
      <c r="T277" s="1" t="s">
        <v>427</v>
      </c>
      <c r="U277" s="1" t="s">
        <v>2540</v>
      </c>
      <c r="V277" s="1" t="s">
        <v>2540</v>
      </c>
      <c r="X277" s="1" t="s">
        <v>100</v>
      </c>
      <c r="Y277" s="1" t="s">
        <v>111</v>
      </c>
      <c r="Z277" s="1" t="s">
        <v>192</v>
      </c>
      <c r="AA277" s="1" t="s">
        <v>4414</v>
      </c>
      <c r="AB277" s="1">
        <v>0</v>
      </c>
      <c r="AD277" s="1" t="s">
        <v>4415</v>
      </c>
      <c r="AE277" s="1">
        <f>91-9177618141</f>
        <v>-9177618050</v>
      </c>
      <c r="AF277" s="1" t="s">
        <v>105</v>
      </c>
      <c r="AG277" s="1" t="s">
        <v>4416</v>
      </c>
      <c r="AH277" s="1" t="s">
        <v>4417</v>
      </c>
      <c r="AI277" s="1" t="s">
        <v>4418</v>
      </c>
      <c r="AJ277" s="1" t="s">
        <v>109</v>
      </c>
      <c r="AK277" s="1" t="s">
        <v>4419</v>
      </c>
      <c r="AL277" s="1">
        <v>10</v>
      </c>
      <c r="AM277" s="1" t="s">
        <v>111</v>
      </c>
      <c r="AN277" s="1" t="s">
        <v>4420</v>
      </c>
      <c r="AO277" s="1" t="s">
        <v>4421</v>
      </c>
      <c r="AP277" s="1">
        <f>91-8008333032</f>
        <v>-8008332941</v>
      </c>
      <c r="AQ277" s="1" t="s">
        <v>326</v>
      </c>
      <c r="AR277" s="1">
        <v>1</v>
      </c>
      <c r="AS277" s="1">
        <v>1</v>
      </c>
      <c r="AT277" s="1" t="s">
        <v>4422</v>
      </c>
      <c r="AU277" s="1" t="s">
        <v>1106</v>
      </c>
      <c r="AV277" s="1" t="s">
        <v>1749</v>
      </c>
      <c r="AW277" s="1">
        <f>91-9979932323</f>
        <v>-9979932232</v>
      </c>
      <c r="AX277" s="1" t="s">
        <v>414</v>
      </c>
      <c r="AY277" s="1" t="s">
        <v>150</v>
      </c>
      <c r="AZ277" s="1">
        <v>4.05</v>
      </c>
      <c r="BA277" s="1">
        <v>5.04</v>
      </c>
      <c r="BB277" s="1" t="s">
        <v>151</v>
      </c>
      <c r="BC277" s="1" t="s">
        <v>304</v>
      </c>
      <c r="BD277" s="1" t="s">
        <v>1333</v>
      </c>
      <c r="BE277" s="1" t="s">
        <v>120</v>
      </c>
      <c r="BF277" s="1" t="s">
        <v>120</v>
      </c>
      <c r="BG277" s="1" t="s">
        <v>120</v>
      </c>
      <c r="BH277" s="1" t="s">
        <v>120</v>
      </c>
      <c r="BJ277" s="1" t="s">
        <v>120</v>
      </c>
      <c r="BK277" s="1" t="s">
        <v>120</v>
      </c>
      <c r="BL277" s="1">
        <v>0</v>
      </c>
      <c r="BM277" s="1">
        <v>0</v>
      </c>
      <c r="BN277" s="1" t="s">
        <v>4423</v>
      </c>
      <c r="BO277" s="1">
        <v>1</v>
      </c>
      <c r="BP277" s="1" t="s">
        <v>1106</v>
      </c>
      <c r="BQ277" s="1" t="s">
        <v>112</v>
      </c>
      <c r="BR277" s="1">
        <v>1</v>
      </c>
      <c r="BS277" s="1" t="s">
        <v>787</v>
      </c>
      <c r="BT277" s="1" t="s">
        <v>124</v>
      </c>
      <c r="BU277" s="1" t="s">
        <v>4424</v>
      </c>
      <c r="BV277" s="1" t="s">
        <v>112</v>
      </c>
      <c r="BW277" s="1" t="s">
        <v>4425</v>
      </c>
      <c r="BX277" s="1" t="s">
        <v>4426</v>
      </c>
      <c r="BY277" s="1" t="s">
        <v>127</v>
      </c>
      <c r="BZ277" s="1">
        <v>1</v>
      </c>
      <c r="CA277" s="1">
        <v>1</v>
      </c>
      <c r="CB277" s="4">
        <v>43175.291592743059</v>
      </c>
      <c r="CC277" s="1">
        <v>1</v>
      </c>
      <c r="CD277" s="1">
        <v>1</v>
      </c>
      <c r="CE277" s="1">
        <v>1</v>
      </c>
      <c r="CF277" s="1">
        <v>1</v>
      </c>
      <c r="CG277" s="4">
        <v>43216.509535914352</v>
      </c>
      <c r="CH277" s="1" t="s">
        <v>112</v>
      </c>
      <c r="CI277" s="1" t="s">
        <v>708</v>
      </c>
      <c r="CJ277" s="1" t="s">
        <v>157</v>
      </c>
    </row>
    <row r="278" spans="1:88" x14ac:dyDescent="0.35">
      <c r="A278" s="1">
        <v>3938</v>
      </c>
      <c r="B278" s="1" t="s">
        <v>4427</v>
      </c>
      <c r="C278" s="1" t="s">
        <v>4428</v>
      </c>
      <c r="D278" s="1" t="s">
        <v>90</v>
      </c>
      <c r="E278" s="1" t="s">
        <v>3131</v>
      </c>
      <c r="F278" s="1" t="s">
        <v>4429</v>
      </c>
      <c r="G278" s="1">
        <v>1</v>
      </c>
      <c r="H278" s="3">
        <v>33355</v>
      </c>
      <c r="I278" s="1">
        <v>1</v>
      </c>
      <c r="J278" s="1" t="s">
        <v>93</v>
      </c>
      <c r="K278" s="1" t="s">
        <v>94</v>
      </c>
      <c r="L278" s="2">
        <f>91-8451915171</f>
        <v>-8451915080</v>
      </c>
      <c r="M278" s="1" t="s">
        <v>150</v>
      </c>
      <c r="N278" s="1">
        <v>0</v>
      </c>
      <c r="O278" s="1">
        <v>0</v>
      </c>
      <c r="P278" s="1">
        <v>5.0599999999999996</v>
      </c>
      <c r="Q278" s="1">
        <v>42</v>
      </c>
      <c r="R278" s="1" t="s">
        <v>2723</v>
      </c>
      <c r="S278" s="1" t="s">
        <v>136</v>
      </c>
      <c r="T278" s="1" t="s">
        <v>137</v>
      </c>
      <c r="U278" s="1" t="s">
        <v>4430</v>
      </c>
      <c r="V278" s="1" t="s">
        <v>4431</v>
      </c>
      <c r="X278" s="1" t="s">
        <v>170</v>
      </c>
      <c r="Y278" s="1" t="s">
        <v>111</v>
      </c>
      <c r="Z278" s="1" t="s">
        <v>797</v>
      </c>
      <c r="AA278" s="1" t="s">
        <v>4432</v>
      </c>
      <c r="AB278" s="1">
        <v>0</v>
      </c>
      <c r="AD278" s="1" t="s">
        <v>4433</v>
      </c>
      <c r="AE278" s="1">
        <f>91-9930911007</f>
        <v>-9930910916</v>
      </c>
      <c r="AF278" s="1" t="s">
        <v>143</v>
      </c>
      <c r="AG278" s="1" t="s">
        <v>4434</v>
      </c>
      <c r="AH278" s="1" t="s">
        <v>4088</v>
      </c>
      <c r="AI278" s="1" t="s">
        <v>4435</v>
      </c>
      <c r="AJ278" s="1" t="s">
        <v>109</v>
      </c>
      <c r="AK278" s="1" t="s">
        <v>4436</v>
      </c>
      <c r="AL278" s="1">
        <v>4</v>
      </c>
      <c r="AM278" s="1" t="s">
        <v>148</v>
      </c>
      <c r="AP278" s="1">
        <f>91-9930911007</f>
        <v>-9930910916</v>
      </c>
      <c r="AR278" s="1">
        <v>0</v>
      </c>
      <c r="AS278" s="1">
        <v>0</v>
      </c>
      <c r="AW278" s="1" t="s">
        <v>142</v>
      </c>
      <c r="AX278" s="1" t="s">
        <v>149</v>
      </c>
      <c r="AY278" s="1" t="s">
        <v>150</v>
      </c>
      <c r="AZ278" s="1">
        <v>4.05</v>
      </c>
      <c r="BA278" s="1">
        <v>5.05</v>
      </c>
      <c r="BE278" s="1" t="s">
        <v>120</v>
      </c>
      <c r="BG278" s="1" t="s">
        <v>120</v>
      </c>
      <c r="BH278" s="1" t="s">
        <v>120</v>
      </c>
      <c r="BJ278" s="1" t="s">
        <v>154</v>
      </c>
      <c r="BK278" s="1" t="s">
        <v>120</v>
      </c>
      <c r="BL278" s="1">
        <v>0</v>
      </c>
      <c r="BM278" s="1">
        <v>1</v>
      </c>
      <c r="BN278" s="1" t="s">
        <v>4437</v>
      </c>
      <c r="BO278" s="1">
        <v>1</v>
      </c>
      <c r="BP278" s="1" t="s">
        <v>4438</v>
      </c>
      <c r="BQ278" s="1" t="s">
        <v>112</v>
      </c>
      <c r="BR278" s="1">
        <v>1</v>
      </c>
      <c r="BS278" s="1" t="s">
        <v>181</v>
      </c>
      <c r="BT278" s="1" t="s">
        <v>124</v>
      </c>
      <c r="BU278" s="1" t="s">
        <v>4439</v>
      </c>
      <c r="BV278" s="1" t="s">
        <v>112</v>
      </c>
      <c r="BW278" s="1" t="s">
        <v>4440</v>
      </c>
      <c r="BX278" s="1" t="s">
        <v>4441</v>
      </c>
      <c r="BY278" s="1" t="s">
        <v>120</v>
      </c>
      <c r="BZ278" s="1">
        <v>3</v>
      </c>
      <c r="CA278" s="1">
        <v>2</v>
      </c>
      <c r="CB278" s="4">
        <v>43177.058952893516</v>
      </c>
      <c r="CC278" s="1">
        <v>1</v>
      </c>
      <c r="CD278" s="1">
        <v>1</v>
      </c>
      <c r="CE278" s="1">
        <v>1</v>
      </c>
      <c r="CF278" s="1">
        <v>1</v>
      </c>
      <c r="CG278" s="4">
        <v>43781.666548645837</v>
      </c>
      <c r="CH278" s="1" t="s">
        <v>112</v>
      </c>
      <c r="CI278" s="1" t="s">
        <v>3737</v>
      </c>
      <c r="CJ278" s="1" t="s">
        <v>129</v>
      </c>
    </row>
    <row r="279" spans="1:88" x14ac:dyDescent="0.35">
      <c r="A279" s="1">
        <v>3940</v>
      </c>
      <c r="B279" s="1" t="s">
        <v>4442</v>
      </c>
      <c r="C279" s="1" t="s">
        <v>4443</v>
      </c>
      <c r="D279" s="1" t="s">
        <v>711</v>
      </c>
      <c r="E279" s="1" t="s">
        <v>958</v>
      </c>
      <c r="F279" s="1" t="s">
        <v>4444</v>
      </c>
      <c r="G279" s="1">
        <v>0</v>
      </c>
      <c r="H279" s="3">
        <v>35020</v>
      </c>
      <c r="I279" s="1">
        <v>1</v>
      </c>
      <c r="J279" s="1" t="s">
        <v>162</v>
      </c>
      <c r="K279" s="1" t="s">
        <v>291</v>
      </c>
      <c r="L279" s="2">
        <f>91-9426231834</f>
        <v>-9426231743</v>
      </c>
      <c r="M279" s="1" t="s">
        <v>150</v>
      </c>
      <c r="N279" s="1">
        <v>0</v>
      </c>
      <c r="O279" s="1">
        <v>0</v>
      </c>
      <c r="P279" s="1">
        <v>5.03</v>
      </c>
      <c r="Q279" s="1">
        <v>44</v>
      </c>
      <c r="R279" s="1" t="s">
        <v>4445</v>
      </c>
      <c r="S279" s="1" t="s">
        <v>492</v>
      </c>
      <c r="T279" s="1" t="s">
        <v>98</v>
      </c>
      <c r="U279" s="1" t="s">
        <v>2540</v>
      </c>
      <c r="V279" s="1" t="s">
        <v>2540</v>
      </c>
      <c r="X279" s="1" t="s">
        <v>170</v>
      </c>
      <c r="Y279" s="1" t="s">
        <v>114</v>
      </c>
      <c r="Z279" s="1" t="s">
        <v>1064</v>
      </c>
      <c r="AB279" s="1">
        <v>0</v>
      </c>
      <c r="AD279" s="1" t="s">
        <v>4446</v>
      </c>
      <c r="AE279" s="1">
        <f>91-9426428151</f>
        <v>-9426428060</v>
      </c>
      <c r="AF279" s="1" t="s">
        <v>2541</v>
      </c>
      <c r="AG279" s="1" t="s">
        <v>4447</v>
      </c>
      <c r="AH279" s="1" t="s">
        <v>4448</v>
      </c>
      <c r="AI279" s="1" t="s">
        <v>4449</v>
      </c>
      <c r="AJ279" s="1" t="s">
        <v>109</v>
      </c>
      <c r="AK279" s="1" t="s">
        <v>4450</v>
      </c>
      <c r="AL279" s="1">
        <v>20</v>
      </c>
      <c r="AM279" s="1" t="s">
        <v>2541</v>
      </c>
      <c r="AP279" s="1">
        <f>91-9426231834</f>
        <v>-9426231743</v>
      </c>
      <c r="AR279" s="1">
        <v>0</v>
      </c>
      <c r="AS279" s="1">
        <v>0</v>
      </c>
      <c r="AW279" s="1" t="s">
        <v>142</v>
      </c>
      <c r="AX279" s="1" t="s">
        <v>3654</v>
      </c>
      <c r="AY279" s="1" t="s">
        <v>150</v>
      </c>
      <c r="AZ279" s="1">
        <v>5.05</v>
      </c>
      <c r="BA279" s="1">
        <v>5.05</v>
      </c>
      <c r="BB279" s="1" t="s">
        <v>151</v>
      </c>
      <c r="BC279" s="1" t="s">
        <v>152</v>
      </c>
      <c r="BD279" s="1" t="s">
        <v>1395</v>
      </c>
      <c r="BE279" s="1" t="s">
        <v>120</v>
      </c>
      <c r="BF279" s="1" t="s">
        <v>120</v>
      </c>
      <c r="BG279" s="1" t="s">
        <v>2541</v>
      </c>
      <c r="BH279" s="1" t="s">
        <v>2541</v>
      </c>
      <c r="BI279" s="1" t="s">
        <v>1064</v>
      </c>
      <c r="BL279" s="1">
        <v>0</v>
      </c>
      <c r="BM279" s="1">
        <v>0</v>
      </c>
      <c r="BN279" s="1" t="s">
        <v>4451</v>
      </c>
      <c r="BO279" s="1">
        <v>0</v>
      </c>
      <c r="BQ279" s="1" t="s">
        <v>180</v>
      </c>
      <c r="BR279" s="1">
        <v>0</v>
      </c>
      <c r="BS279" s="1" t="s">
        <v>354</v>
      </c>
      <c r="BT279" s="1" t="s">
        <v>124</v>
      </c>
      <c r="BU279" s="1" t="s">
        <v>4452</v>
      </c>
      <c r="BV279" s="1" t="s">
        <v>112</v>
      </c>
      <c r="BW279" s="1" t="s">
        <v>4453</v>
      </c>
      <c r="BX279" s="1" t="s">
        <v>4454</v>
      </c>
      <c r="BY279" s="1" t="s">
        <v>120</v>
      </c>
      <c r="BZ279" s="1">
        <v>0</v>
      </c>
      <c r="CA279" s="1">
        <v>0</v>
      </c>
      <c r="CB279" s="4">
        <v>43180.892657870369</v>
      </c>
      <c r="CC279" s="1">
        <v>1</v>
      </c>
      <c r="CD279" s="1">
        <v>1</v>
      </c>
      <c r="CE279" s="1">
        <v>1</v>
      </c>
      <c r="CF279" s="1">
        <v>1</v>
      </c>
      <c r="CG279" s="4">
        <v>43190.218599918982</v>
      </c>
      <c r="CH279" s="1" t="s">
        <v>112</v>
      </c>
      <c r="CI279" s="1" t="s">
        <v>1630</v>
      </c>
      <c r="CJ279" s="1" t="s">
        <v>157</v>
      </c>
    </row>
    <row r="280" spans="1:88" x14ac:dyDescent="0.35">
      <c r="A280" s="1">
        <v>3945</v>
      </c>
      <c r="B280" s="1" t="s">
        <v>4455</v>
      </c>
      <c r="C280" s="1" t="s">
        <v>4456</v>
      </c>
      <c r="D280" s="1" t="s">
        <v>90</v>
      </c>
      <c r="E280" s="1" t="s">
        <v>3558</v>
      </c>
      <c r="F280" s="1" t="s">
        <v>134</v>
      </c>
      <c r="G280" s="1">
        <v>1</v>
      </c>
      <c r="H280" s="3">
        <v>32567</v>
      </c>
      <c r="I280" s="1">
        <v>1</v>
      </c>
      <c r="J280" s="1" t="s">
        <v>162</v>
      </c>
      <c r="K280" s="1" t="s">
        <v>163</v>
      </c>
      <c r="L280" s="2">
        <f>91-7621949383</f>
        <v>-7621949292</v>
      </c>
      <c r="M280" s="1" t="s">
        <v>150</v>
      </c>
      <c r="N280" s="1">
        <v>0</v>
      </c>
      <c r="O280" s="1">
        <v>0</v>
      </c>
      <c r="P280" s="1">
        <v>5.08</v>
      </c>
      <c r="Q280" s="1">
        <v>25</v>
      </c>
      <c r="R280" s="1" t="s">
        <v>426</v>
      </c>
      <c r="S280" s="1" t="s">
        <v>492</v>
      </c>
      <c r="T280" s="1" t="s">
        <v>341</v>
      </c>
      <c r="U280" s="1" t="s">
        <v>2540</v>
      </c>
      <c r="V280" s="1" t="s">
        <v>2540</v>
      </c>
      <c r="X280" s="1" t="s">
        <v>833</v>
      </c>
      <c r="Y280" s="1" t="s">
        <v>210</v>
      </c>
      <c r="Z280" s="1" t="s">
        <v>556</v>
      </c>
      <c r="AB280" s="1">
        <v>0</v>
      </c>
      <c r="AD280" s="1" t="s">
        <v>4457</v>
      </c>
      <c r="AE280" s="1">
        <f>91-7621949383</f>
        <v>-7621949292</v>
      </c>
      <c r="AF280" s="1" t="s">
        <v>2541</v>
      </c>
      <c r="AG280" s="1" t="s">
        <v>4458</v>
      </c>
      <c r="AH280" s="1" t="s">
        <v>4336</v>
      </c>
      <c r="AI280" s="1" t="s">
        <v>4459</v>
      </c>
      <c r="AJ280" s="1" t="s">
        <v>4028</v>
      </c>
      <c r="AK280" s="1" t="s">
        <v>4460</v>
      </c>
      <c r="AL280" s="1">
        <v>3</v>
      </c>
      <c r="AM280" s="1" t="s">
        <v>2541</v>
      </c>
      <c r="AP280" s="1">
        <f>91-8511699307</f>
        <v>-8511699216</v>
      </c>
      <c r="AR280" s="1">
        <v>0</v>
      </c>
      <c r="AS280" s="1">
        <v>0</v>
      </c>
      <c r="AW280" s="1" t="s">
        <v>142</v>
      </c>
      <c r="AX280" s="1" t="s">
        <v>949</v>
      </c>
      <c r="AY280" s="1" t="s">
        <v>3933</v>
      </c>
      <c r="AZ280" s="1">
        <v>5</v>
      </c>
      <c r="BA280" s="1">
        <v>5.0599999999999996</v>
      </c>
      <c r="BB280" s="1" t="s">
        <v>151</v>
      </c>
      <c r="BC280" s="1" t="s">
        <v>152</v>
      </c>
      <c r="BD280" s="1" t="s">
        <v>1395</v>
      </c>
      <c r="BE280" s="1" t="s">
        <v>120</v>
      </c>
      <c r="BF280" s="1" t="s">
        <v>120</v>
      </c>
      <c r="BG280" s="1" t="s">
        <v>2541</v>
      </c>
      <c r="BH280" s="1" t="s">
        <v>2541</v>
      </c>
      <c r="BI280" s="1" t="s">
        <v>556</v>
      </c>
      <c r="BL280" s="1">
        <v>0</v>
      </c>
      <c r="BM280" s="1">
        <v>0</v>
      </c>
      <c r="BN280" s="1" t="s">
        <v>124</v>
      </c>
      <c r="BO280" s="1">
        <v>0</v>
      </c>
      <c r="BQ280" s="1" t="s">
        <v>180</v>
      </c>
      <c r="BR280" s="1">
        <v>0</v>
      </c>
      <c r="BS280" s="1" t="s">
        <v>252</v>
      </c>
      <c r="BT280" s="1" t="s">
        <v>120</v>
      </c>
      <c r="BV280" s="1" t="s">
        <v>112</v>
      </c>
      <c r="BW280" s="1" t="s">
        <v>4461</v>
      </c>
      <c r="BX280" s="1" t="s">
        <v>4462</v>
      </c>
      <c r="BY280" s="1" t="s">
        <v>120</v>
      </c>
      <c r="BZ280" s="1">
        <v>0</v>
      </c>
      <c r="CA280" s="1">
        <v>0</v>
      </c>
      <c r="CB280" s="4">
        <v>43187.065051006946</v>
      </c>
      <c r="CC280" s="1">
        <v>1</v>
      </c>
      <c r="CD280" s="1">
        <v>1</v>
      </c>
      <c r="CE280" s="1">
        <v>1</v>
      </c>
      <c r="CF280" s="1">
        <v>1</v>
      </c>
      <c r="CG280" s="4">
        <v>43188.394233067127</v>
      </c>
      <c r="CH280" s="1" t="s">
        <v>112</v>
      </c>
      <c r="CI280" s="1" t="s">
        <v>4463</v>
      </c>
      <c r="CJ280" s="1" t="s">
        <v>157</v>
      </c>
    </row>
    <row r="281" spans="1:88" x14ac:dyDescent="0.35">
      <c r="A281" s="1">
        <v>3946</v>
      </c>
      <c r="B281" s="1" t="s">
        <v>4464</v>
      </c>
      <c r="C281" s="1" t="s">
        <v>4465</v>
      </c>
      <c r="D281" s="1" t="s">
        <v>229</v>
      </c>
      <c r="E281" s="1" t="s">
        <v>1251</v>
      </c>
      <c r="F281" s="1" t="s">
        <v>2411</v>
      </c>
      <c r="G281" s="1">
        <v>1</v>
      </c>
      <c r="H281" s="3">
        <v>33553</v>
      </c>
      <c r="I281" s="1">
        <v>1</v>
      </c>
      <c r="J281" s="1" t="s">
        <v>93</v>
      </c>
      <c r="K281" s="1" t="s">
        <v>1045</v>
      </c>
      <c r="L281" s="2">
        <f>91-8668806478</f>
        <v>-8668806387</v>
      </c>
      <c r="M281" s="1" t="s">
        <v>150</v>
      </c>
      <c r="N281" s="1">
        <v>0</v>
      </c>
      <c r="O281" s="1">
        <v>0</v>
      </c>
      <c r="P281" s="1">
        <v>5.0599999999999996</v>
      </c>
      <c r="Q281" s="1">
        <v>19</v>
      </c>
      <c r="R281" s="1" t="s">
        <v>714</v>
      </c>
      <c r="S281" s="1" t="s">
        <v>97</v>
      </c>
      <c r="T281" s="1" t="s">
        <v>4466</v>
      </c>
      <c r="U281" s="1" t="s">
        <v>2540</v>
      </c>
      <c r="V281" s="1" t="s">
        <v>2540</v>
      </c>
      <c r="X281" s="1" t="s">
        <v>4467</v>
      </c>
      <c r="Y281" s="1" t="s">
        <v>210</v>
      </c>
      <c r="Z281" s="1" t="s">
        <v>211</v>
      </c>
      <c r="AB281" s="1">
        <v>0</v>
      </c>
      <c r="AD281" s="1" t="s">
        <v>4468</v>
      </c>
      <c r="AE281" s="1">
        <f>91-8237488646</f>
        <v>-8237488555</v>
      </c>
      <c r="AF281" s="1" t="s">
        <v>2541</v>
      </c>
      <c r="AG281" s="1" t="s">
        <v>4469</v>
      </c>
      <c r="AH281" s="1" t="s">
        <v>4470</v>
      </c>
      <c r="AI281" s="1" t="s">
        <v>4471</v>
      </c>
      <c r="AJ281" s="1" t="s">
        <v>109</v>
      </c>
      <c r="AK281" s="1" t="s">
        <v>4472</v>
      </c>
      <c r="AL281" s="1">
        <v>24</v>
      </c>
      <c r="AM281" s="1" t="s">
        <v>2541</v>
      </c>
      <c r="AP281" s="1">
        <f>91-9420352324</f>
        <v>-9420352233</v>
      </c>
      <c r="AR281" s="1">
        <v>0</v>
      </c>
      <c r="AS281" s="1">
        <v>0</v>
      </c>
      <c r="AW281" s="1" t="s">
        <v>142</v>
      </c>
      <c r="AX281" s="1" t="s">
        <v>396</v>
      </c>
      <c r="AY281" s="1" t="s">
        <v>150</v>
      </c>
      <c r="AZ281" s="1">
        <v>5</v>
      </c>
      <c r="BA281" s="1">
        <v>5.04</v>
      </c>
      <c r="BB281" s="1" t="s">
        <v>151</v>
      </c>
      <c r="BC281" s="1" t="s">
        <v>152</v>
      </c>
      <c r="BD281" s="1" t="s">
        <v>1395</v>
      </c>
      <c r="BE281" s="1" t="s">
        <v>120</v>
      </c>
      <c r="BF281" s="1" t="s">
        <v>120</v>
      </c>
      <c r="BG281" s="1" t="s">
        <v>2541</v>
      </c>
      <c r="BH281" s="1" t="s">
        <v>2541</v>
      </c>
      <c r="BI281" s="1" t="s">
        <v>211</v>
      </c>
      <c r="BL281" s="1">
        <v>0</v>
      </c>
      <c r="BM281" s="1">
        <v>0</v>
      </c>
      <c r="BN281" s="1" t="s">
        <v>4473</v>
      </c>
      <c r="BO281" s="1">
        <v>0</v>
      </c>
      <c r="BQ281" s="1" t="s">
        <v>180</v>
      </c>
      <c r="BR281" s="1">
        <v>0</v>
      </c>
      <c r="BS281" s="1" t="s">
        <v>223</v>
      </c>
      <c r="BT281" s="1" t="s">
        <v>120</v>
      </c>
      <c r="BV281" s="1" t="s">
        <v>112</v>
      </c>
      <c r="BW281" s="1" t="s">
        <v>4474</v>
      </c>
      <c r="BX281" s="1" t="s">
        <v>4475</v>
      </c>
      <c r="BY281" s="1" t="s">
        <v>120</v>
      </c>
      <c r="BZ281" s="1">
        <v>0</v>
      </c>
      <c r="CA281" s="1">
        <v>0</v>
      </c>
      <c r="CB281" s="4">
        <v>43187.906551157408</v>
      </c>
      <c r="CC281" s="1">
        <v>1</v>
      </c>
      <c r="CD281" s="1">
        <v>1</v>
      </c>
      <c r="CE281" s="1">
        <v>1</v>
      </c>
      <c r="CF281" s="1">
        <v>1</v>
      </c>
      <c r="CG281" s="4">
        <v>43256.194146261572</v>
      </c>
      <c r="CH281" s="1" t="s">
        <v>112</v>
      </c>
      <c r="CI281" s="1" t="s">
        <v>4096</v>
      </c>
      <c r="CJ281" s="1" t="s">
        <v>157</v>
      </c>
    </row>
    <row r="282" spans="1:88" x14ac:dyDescent="0.35">
      <c r="A282" s="1">
        <v>3948</v>
      </c>
      <c r="B282" s="1" t="s">
        <v>4476</v>
      </c>
      <c r="C282" s="1" t="s">
        <v>4477</v>
      </c>
      <c r="D282" s="1" t="s">
        <v>90</v>
      </c>
      <c r="E282" s="1" t="s">
        <v>4478</v>
      </c>
      <c r="F282" s="1" t="s">
        <v>1840</v>
      </c>
      <c r="G282" s="1">
        <v>1</v>
      </c>
      <c r="H282" s="3">
        <v>32869</v>
      </c>
      <c r="I282" s="1">
        <v>211</v>
      </c>
      <c r="J282" s="1" t="s">
        <v>4479</v>
      </c>
      <c r="K282" s="1" t="s">
        <v>4479</v>
      </c>
      <c r="L282" s="2">
        <f>91-9920514019</f>
        <v>-9920513928</v>
      </c>
      <c r="M282" s="1" t="s">
        <v>95</v>
      </c>
      <c r="N282" s="1">
        <v>0</v>
      </c>
      <c r="O282" s="1">
        <v>0</v>
      </c>
      <c r="P282" s="1">
        <v>5.0599999999999996</v>
      </c>
      <c r="Q282" s="1">
        <v>11</v>
      </c>
      <c r="R282" s="1" t="s">
        <v>340</v>
      </c>
      <c r="S282" s="1" t="s">
        <v>97</v>
      </c>
      <c r="T282" s="1" t="s">
        <v>2754</v>
      </c>
      <c r="U282" s="1" t="s">
        <v>2540</v>
      </c>
      <c r="V282" s="1" t="s">
        <v>2540</v>
      </c>
      <c r="X282" s="1" t="s">
        <v>100</v>
      </c>
      <c r="Y282" s="1" t="s">
        <v>210</v>
      </c>
      <c r="Z282" s="1" t="s">
        <v>297</v>
      </c>
      <c r="AB282" s="1">
        <v>0</v>
      </c>
      <c r="AD282" s="1" t="s">
        <v>4480</v>
      </c>
      <c r="AE282" s="1">
        <f>91-9920514019</f>
        <v>-9920513928</v>
      </c>
      <c r="AF282" s="1" t="s">
        <v>2541</v>
      </c>
      <c r="AG282" s="1" t="s">
        <v>4481</v>
      </c>
      <c r="AH282" s="1" t="s">
        <v>4482</v>
      </c>
      <c r="AI282" s="1" t="s">
        <v>4483</v>
      </c>
      <c r="AJ282" s="1" t="s">
        <v>109</v>
      </c>
      <c r="AK282" s="1" t="s">
        <v>4484</v>
      </c>
      <c r="AL282" s="1">
        <v>28</v>
      </c>
      <c r="AM282" s="1" t="s">
        <v>2541</v>
      </c>
      <c r="AP282" s="1">
        <f>91-9920514019</f>
        <v>-9920513928</v>
      </c>
      <c r="AR282" s="1">
        <v>0</v>
      </c>
      <c r="AS282" s="1">
        <v>0</v>
      </c>
      <c r="AW282" s="1" t="s">
        <v>142</v>
      </c>
      <c r="AX282" s="1" t="s">
        <v>2340</v>
      </c>
      <c r="AY282" s="1" t="s">
        <v>3933</v>
      </c>
      <c r="AZ282" s="1">
        <v>4.08</v>
      </c>
      <c r="BA282" s="1">
        <v>5.1100000000000003</v>
      </c>
      <c r="BB282" s="1" t="s">
        <v>151</v>
      </c>
      <c r="BC282" s="1" t="s">
        <v>152</v>
      </c>
      <c r="BD282" s="1" t="s">
        <v>1395</v>
      </c>
      <c r="BE282" s="1" t="s">
        <v>4485</v>
      </c>
      <c r="BF282" s="1" t="s">
        <v>120</v>
      </c>
      <c r="BG282" s="1" t="s">
        <v>2541</v>
      </c>
      <c r="BH282" s="1" t="s">
        <v>2541</v>
      </c>
      <c r="BI282" s="1" t="s">
        <v>297</v>
      </c>
      <c r="BL282" s="1">
        <v>0</v>
      </c>
      <c r="BM282" s="1">
        <v>1</v>
      </c>
      <c r="BN282" s="1" t="s">
        <v>4486</v>
      </c>
      <c r="BO282" s="1">
        <v>0</v>
      </c>
      <c r="BQ282" s="1" t="s">
        <v>180</v>
      </c>
      <c r="BR282" s="1">
        <v>0</v>
      </c>
      <c r="BS282" s="1" t="s">
        <v>1208</v>
      </c>
      <c r="BT282" s="1" t="s">
        <v>120</v>
      </c>
      <c r="BV282" s="1" t="s">
        <v>112</v>
      </c>
      <c r="BW282" s="1" t="s">
        <v>4487</v>
      </c>
      <c r="BX282" s="1" t="s">
        <v>4488</v>
      </c>
      <c r="BY282" s="1" t="s">
        <v>120</v>
      </c>
      <c r="BZ282" s="1">
        <v>0</v>
      </c>
      <c r="CA282" s="1">
        <v>0</v>
      </c>
      <c r="CB282" s="4">
        <v>43195.943306828703</v>
      </c>
      <c r="CC282" s="1">
        <v>1</v>
      </c>
      <c r="CD282" s="1">
        <v>1</v>
      </c>
      <c r="CE282" s="1">
        <v>1</v>
      </c>
      <c r="CF282" s="1">
        <v>1</v>
      </c>
      <c r="CG282" s="4">
        <v>43201.720940590276</v>
      </c>
      <c r="CH282" s="1" t="s">
        <v>112</v>
      </c>
      <c r="CI282" s="1" t="s">
        <v>4489</v>
      </c>
      <c r="CJ282" s="1" t="s">
        <v>157</v>
      </c>
    </row>
    <row r="283" spans="1:88" x14ac:dyDescent="0.35">
      <c r="A283" s="1">
        <v>4955</v>
      </c>
      <c r="B283" s="1" t="s">
        <v>4490</v>
      </c>
      <c r="C283" s="1">
        <v>96241370</v>
      </c>
      <c r="D283" s="1" t="s">
        <v>90</v>
      </c>
      <c r="E283" s="1" t="s">
        <v>4491</v>
      </c>
      <c r="F283" s="1" t="s">
        <v>4492</v>
      </c>
      <c r="G283" s="1">
        <v>1</v>
      </c>
      <c r="H283" s="3">
        <v>34100</v>
      </c>
      <c r="I283" s="1">
        <v>1</v>
      </c>
      <c r="J283" s="1" t="s">
        <v>162</v>
      </c>
      <c r="K283" s="1" t="s">
        <v>4493</v>
      </c>
      <c r="L283" s="2">
        <f>91-9624137083</f>
        <v>-9624136992</v>
      </c>
      <c r="M283" s="1" t="s">
        <v>150</v>
      </c>
      <c r="N283" s="1">
        <v>0</v>
      </c>
      <c r="O283" s="1">
        <v>0</v>
      </c>
      <c r="P283" s="1">
        <v>5.0599999999999996</v>
      </c>
      <c r="Q283" s="1">
        <v>16</v>
      </c>
      <c r="R283" s="1" t="s">
        <v>1252</v>
      </c>
      <c r="S283" s="1" t="s">
        <v>492</v>
      </c>
      <c r="T283" s="1" t="s">
        <v>98</v>
      </c>
      <c r="X283" s="1" t="s">
        <v>100</v>
      </c>
      <c r="Y283" s="1" t="s">
        <v>101</v>
      </c>
      <c r="Z283" s="1" t="s">
        <v>211</v>
      </c>
      <c r="AA283" s="1" t="s">
        <v>4494</v>
      </c>
      <c r="AB283" s="1">
        <v>0</v>
      </c>
      <c r="AD283" s="1" t="s">
        <v>4495</v>
      </c>
      <c r="AE283" s="1">
        <f>91-9624137083</f>
        <v>-9624136992</v>
      </c>
      <c r="AF283" s="1" t="s">
        <v>143</v>
      </c>
      <c r="AG283" s="1" t="s">
        <v>4496</v>
      </c>
      <c r="AH283" s="1" t="s">
        <v>4497</v>
      </c>
      <c r="AI283" s="1" t="s">
        <v>4498</v>
      </c>
      <c r="AJ283" s="1" t="s">
        <v>1238</v>
      </c>
      <c r="AK283" s="1" t="s">
        <v>4499</v>
      </c>
      <c r="AL283" s="1">
        <v>1</v>
      </c>
      <c r="AM283" s="1" t="s">
        <v>210</v>
      </c>
      <c r="AP283" s="1">
        <f>91-9638598644</f>
        <v>-9638598553</v>
      </c>
      <c r="AR283" s="1">
        <v>1</v>
      </c>
      <c r="AS283" s="1">
        <v>1</v>
      </c>
      <c r="AT283" s="1" t="s">
        <v>4500</v>
      </c>
      <c r="AU283" s="1" t="s">
        <v>4493</v>
      </c>
      <c r="AV283" s="1" t="s">
        <v>1119</v>
      </c>
      <c r="AW283" s="1">
        <f>91-9624137083</f>
        <v>-9624136992</v>
      </c>
      <c r="AX283" s="1" t="s">
        <v>1418</v>
      </c>
      <c r="AY283" s="1" t="s">
        <v>150</v>
      </c>
      <c r="AZ283" s="1">
        <v>5.05</v>
      </c>
      <c r="BA283" s="1">
        <v>5.05</v>
      </c>
      <c r="BE283" s="1" t="s">
        <v>120</v>
      </c>
      <c r="BG283" s="1" t="s">
        <v>120</v>
      </c>
      <c r="BH283" s="1" t="s">
        <v>114</v>
      </c>
      <c r="BJ283" s="1" t="s">
        <v>154</v>
      </c>
      <c r="BK283" s="1" t="s">
        <v>120</v>
      </c>
      <c r="BL283" s="1">
        <v>0</v>
      </c>
      <c r="BM283" s="1">
        <v>0</v>
      </c>
      <c r="BN283" s="1" t="s">
        <v>4501</v>
      </c>
      <c r="BO283" s="1">
        <v>1</v>
      </c>
      <c r="BP283" s="1" t="s">
        <v>4502</v>
      </c>
      <c r="BQ283" s="1" t="s">
        <v>112</v>
      </c>
      <c r="BR283" s="1">
        <v>1</v>
      </c>
      <c r="BS283" s="1" t="s">
        <v>1208</v>
      </c>
      <c r="BT283" s="1" t="s">
        <v>124</v>
      </c>
      <c r="BU283" s="1" t="s">
        <v>112</v>
      </c>
      <c r="BV283" s="1" t="s">
        <v>112</v>
      </c>
      <c r="BW283" s="1" t="s">
        <v>4503</v>
      </c>
      <c r="BX283" s="1" t="s">
        <v>4504</v>
      </c>
      <c r="BY283" s="1" t="s">
        <v>127</v>
      </c>
      <c r="BZ283" s="1">
        <v>2</v>
      </c>
      <c r="CA283" s="1">
        <v>2</v>
      </c>
      <c r="CB283" s="4">
        <v>43207.14407696759</v>
      </c>
      <c r="CC283" s="1">
        <v>1</v>
      </c>
      <c r="CD283" s="1">
        <v>1</v>
      </c>
      <c r="CE283" s="1">
        <v>1</v>
      </c>
      <c r="CF283" s="1">
        <v>1</v>
      </c>
      <c r="CG283" s="4">
        <v>43226.458385995371</v>
      </c>
      <c r="CH283" s="1" t="s">
        <v>112</v>
      </c>
      <c r="CI283" s="1" t="s">
        <v>1723</v>
      </c>
      <c r="CJ283" s="1" t="s">
        <v>129</v>
      </c>
    </row>
    <row r="284" spans="1:88" x14ac:dyDescent="0.35">
      <c r="A284" s="1">
        <v>4958</v>
      </c>
      <c r="B284" s="1" t="s">
        <v>4505</v>
      </c>
      <c r="C284" s="1" t="s">
        <v>4506</v>
      </c>
      <c r="D284" s="1" t="s">
        <v>90</v>
      </c>
      <c r="E284" s="1" t="s">
        <v>3279</v>
      </c>
      <c r="F284" s="1" t="s">
        <v>134</v>
      </c>
      <c r="G284" s="1">
        <v>1</v>
      </c>
      <c r="H284" s="3">
        <v>34171</v>
      </c>
      <c r="I284" s="1">
        <v>1</v>
      </c>
      <c r="J284" s="1" t="s">
        <v>93</v>
      </c>
      <c r="K284" s="1" t="s">
        <v>262</v>
      </c>
      <c r="L284" s="2">
        <f>91-9975828595</f>
        <v>-9975828504</v>
      </c>
      <c r="M284" s="1" t="s">
        <v>150</v>
      </c>
      <c r="N284" s="1">
        <v>0</v>
      </c>
      <c r="O284" s="1">
        <v>0</v>
      </c>
      <c r="P284" s="1">
        <v>5.0599999999999996</v>
      </c>
      <c r="Q284" s="1">
        <v>54</v>
      </c>
      <c r="R284" s="1" t="s">
        <v>1131</v>
      </c>
      <c r="S284" s="1" t="s">
        <v>97</v>
      </c>
      <c r="T284" s="1" t="s">
        <v>1132</v>
      </c>
      <c r="U284" s="1" t="s">
        <v>2540</v>
      </c>
      <c r="V284" s="1" t="s">
        <v>2540</v>
      </c>
      <c r="X284" s="1" t="s">
        <v>100</v>
      </c>
      <c r="Y284" s="1" t="s">
        <v>101</v>
      </c>
      <c r="Z284" s="1" t="s">
        <v>3281</v>
      </c>
      <c r="AB284" s="1">
        <v>0</v>
      </c>
      <c r="AD284" s="1" t="s">
        <v>4507</v>
      </c>
      <c r="AE284" s="1" t="s">
        <v>142</v>
      </c>
      <c r="AF284" s="1" t="s">
        <v>129</v>
      </c>
      <c r="AG284" s="1" t="s">
        <v>4508</v>
      </c>
      <c r="AH284" s="1" t="s">
        <v>4509</v>
      </c>
      <c r="AI284" s="1" t="s">
        <v>4510</v>
      </c>
      <c r="AJ284" s="1" t="s">
        <v>109</v>
      </c>
      <c r="AK284" s="1" t="s">
        <v>4511</v>
      </c>
      <c r="AL284" s="1">
        <v>45</v>
      </c>
      <c r="AM284" s="1" t="s">
        <v>111</v>
      </c>
      <c r="AP284" s="1">
        <f>91-9423411265</f>
        <v>-9423411174</v>
      </c>
      <c r="AR284" s="1">
        <v>2</v>
      </c>
      <c r="AS284" s="1">
        <v>0</v>
      </c>
      <c r="AW284" s="1" t="s">
        <v>142</v>
      </c>
      <c r="AX284" s="1" t="s">
        <v>1544</v>
      </c>
      <c r="AY284" s="1" t="s">
        <v>150</v>
      </c>
      <c r="AZ284" s="1">
        <v>4.0999999999999996</v>
      </c>
      <c r="BA284" s="1">
        <v>5.0999999999999996</v>
      </c>
      <c r="BB284" s="1" t="s">
        <v>151</v>
      </c>
      <c r="BC284" s="1" t="s">
        <v>304</v>
      </c>
      <c r="BD284" s="1" t="s">
        <v>1333</v>
      </c>
      <c r="BE284" s="1" t="s">
        <v>97</v>
      </c>
      <c r="BF284" s="1" t="s">
        <v>120</v>
      </c>
      <c r="BG284" s="1" t="s">
        <v>100</v>
      </c>
      <c r="BH284" s="1" t="s">
        <v>120</v>
      </c>
      <c r="BJ284" s="1" t="s">
        <v>154</v>
      </c>
      <c r="BK284" s="1" t="s">
        <v>120</v>
      </c>
      <c r="BL284" s="1">
        <v>0</v>
      </c>
      <c r="BM284" s="1">
        <v>0</v>
      </c>
      <c r="BN284" s="1" t="s">
        <v>3195</v>
      </c>
      <c r="BO284" s="1">
        <v>1</v>
      </c>
      <c r="BP284" s="1" t="s">
        <v>262</v>
      </c>
      <c r="BQ284" s="1" t="s">
        <v>112</v>
      </c>
      <c r="BR284" s="1">
        <v>1</v>
      </c>
      <c r="BS284" s="1" t="s">
        <v>307</v>
      </c>
      <c r="BT284" s="1" t="s">
        <v>124</v>
      </c>
      <c r="BU284" s="1" t="s">
        <v>112</v>
      </c>
      <c r="BV284" s="1" t="s">
        <v>112</v>
      </c>
      <c r="BW284" s="1" t="s">
        <v>4512</v>
      </c>
      <c r="BX284" s="1" t="s">
        <v>4513</v>
      </c>
      <c r="BY284" s="1" t="s">
        <v>120</v>
      </c>
      <c r="BZ284" s="1">
        <v>1</v>
      </c>
      <c r="CA284" s="1">
        <v>0</v>
      </c>
      <c r="CB284" s="4">
        <v>43210.490397800924</v>
      </c>
      <c r="CC284" s="1">
        <v>1</v>
      </c>
      <c r="CD284" s="1">
        <v>1</v>
      </c>
      <c r="CE284" s="1">
        <v>1</v>
      </c>
      <c r="CF284" s="1">
        <v>1</v>
      </c>
      <c r="CG284" s="4">
        <v>44039.130444907409</v>
      </c>
      <c r="CH284" s="1" t="s">
        <v>112</v>
      </c>
      <c r="CI284" s="1" t="s">
        <v>1645</v>
      </c>
      <c r="CJ284" s="1" t="s">
        <v>157</v>
      </c>
    </row>
    <row r="285" spans="1:88" x14ac:dyDescent="0.35">
      <c r="A285" s="1">
        <v>4959</v>
      </c>
      <c r="B285" s="1" t="s">
        <v>4514</v>
      </c>
      <c r="C285" s="1">
        <v>7276764812</v>
      </c>
      <c r="D285" s="1" t="s">
        <v>90</v>
      </c>
      <c r="E285" s="1" t="s">
        <v>4515</v>
      </c>
      <c r="F285" s="1" t="s">
        <v>208</v>
      </c>
      <c r="G285" s="1">
        <v>1</v>
      </c>
      <c r="H285" s="3">
        <v>33551</v>
      </c>
      <c r="I285" s="1">
        <v>1</v>
      </c>
      <c r="J285" s="1" t="s">
        <v>93</v>
      </c>
      <c r="K285" s="1" t="s">
        <v>4516</v>
      </c>
      <c r="L285" s="2">
        <f>91-8087758819</f>
        <v>-8087758728</v>
      </c>
      <c r="M285" s="1" t="s">
        <v>150</v>
      </c>
      <c r="N285" s="1">
        <v>0</v>
      </c>
      <c r="O285" s="1">
        <v>0</v>
      </c>
      <c r="P285" s="1">
        <v>6</v>
      </c>
      <c r="Q285" s="1">
        <v>10</v>
      </c>
      <c r="S285" s="1" t="s">
        <v>492</v>
      </c>
      <c r="T285" s="1" t="s">
        <v>137</v>
      </c>
      <c r="U285" s="1" t="s">
        <v>4517</v>
      </c>
      <c r="V285" s="1" t="s">
        <v>2540</v>
      </c>
      <c r="X285" s="1" t="s">
        <v>236</v>
      </c>
      <c r="Y285" s="1" t="s">
        <v>111</v>
      </c>
      <c r="Z285" s="1" t="s">
        <v>450</v>
      </c>
      <c r="AB285" s="1">
        <v>0</v>
      </c>
      <c r="AD285" s="1" t="s">
        <v>4518</v>
      </c>
      <c r="AE285" s="1">
        <f>91-7972161969</f>
        <v>-7972161878</v>
      </c>
      <c r="AF285" s="1" t="s">
        <v>143</v>
      </c>
      <c r="AG285" s="1" t="s">
        <v>4519</v>
      </c>
      <c r="AH285" s="1" t="s">
        <v>4520</v>
      </c>
      <c r="AI285" s="1" t="s">
        <v>4521</v>
      </c>
      <c r="AJ285" s="1" t="s">
        <v>109</v>
      </c>
      <c r="AK285" s="1" t="s">
        <v>4522</v>
      </c>
      <c r="AL285" s="1">
        <v>25</v>
      </c>
      <c r="AM285" s="1" t="s">
        <v>111</v>
      </c>
      <c r="AN285" s="1" t="s">
        <v>306</v>
      </c>
      <c r="AP285" s="1">
        <f>91-9422914716</f>
        <v>-9422914625</v>
      </c>
      <c r="AR285" s="1">
        <v>1</v>
      </c>
      <c r="AS285" s="1">
        <v>0</v>
      </c>
      <c r="AW285" s="1" t="s">
        <v>142</v>
      </c>
      <c r="AX285" s="1" t="s">
        <v>149</v>
      </c>
      <c r="AY285" s="1" t="s">
        <v>150</v>
      </c>
      <c r="AZ285" s="1">
        <v>5.0599999999999996</v>
      </c>
      <c r="BA285" s="1">
        <v>5.0599999999999996</v>
      </c>
      <c r="BB285" s="1" t="s">
        <v>151</v>
      </c>
      <c r="BC285" s="1" t="s">
        <v>304</v>
      </c>
      <c r="BD285" s="1" t="s">
        <v>1333</v>
      </c>
      <c r="BE285" s="1" t="s">
        <v>120</v>
      </c>
      <c r="BF285" s="1" t="s">
        <v>120</v>
      </c>
      <c r="BG285" s="1" t="s">
        <v>132</v>
      </c>
      <c r="BH285" s="1" t="s">
        <v>120</v>
      </c>
      <c r="BJ285" s="1" t="s">
        <v>71</v>
      </c>
      <c r="BK285" s="1" t="s">
        <v>143</v>
      </c>
      <c r="BL285" s="1">
        <v>0</v>
      </c>
      <c r="BM285" s="1">
        <v>1</v>
      </c>
      <c r="BN285" s="1" t="s">
        <v>4523</v>
      </c>
      <c r="BO285" s="1">
        <v>1</v>
      </c>
      <c r="BP285" s="1" t="s">
        <v>4524</v>
      </c>
      <c r="BQ285" s="1" t="s">
        <v>112</v>
      </c>
      <c r="BR285" s="1">
        <v>0</v>
      </c>
      <c r="BS285" s="1" t="s">
        <v>376</v>
      </c>
      <c r="BT285" s="1" t="s">
        <v>306</v>
      </c>
      <c r="BU285" s="1" t="s">
        <v>4525</v>
      </c>
      <c r="BV285" s="1" t="s">
        <v>112</v>
      </c>
      <c r="BW285" s="1" t="s">
        <v>4526</v>
      </c>
      <c r="BX285" s="1" t="s">
        <v>4527</v>
      </c>
      <c r="BY285" s="1" t="s">
        <v>465</v>
      </c>
      <c r="BZ285" s="1">
        <v>0</v>
      </c>
      <c r="CA285" s="1">
        <v>0</v>
      </c>
      <c r="CB285" s="4">
        <v>43213.21168359954</v>
      </c>
      <c r="CC285" s="1">
        <v>1</v>
      </c>
      <c r="CD285" s="1">
        <v>1</v>
      </c>
      <c r="CE285" s="1">
        <v>1</v>
      </c>
      <c r="CF285" s="1">
        <v>1</v>
      </c>
      <c r="CG285" s="4">
        <v>43272.506899537038</v>
      </c>
      <c r="CH285" s="1" t="s">
        <v>112</v>
      </c>
      <c r="CI285" s="1" t="s">
        <v>4528</v>
      </c>
      <c r="CJ285" s="1" t="s">
        <v>157</v>
      </c>
    </row>
    <row r="286" spans="1:88" x14ac:dyDescent="0.35">
      <c r="A286" s="1">
        <v>4961</v>
      </c>
      <c r="B286" s="1" t="s">
        <v>4529</v>
      </c>
      <c r="C286" s="1" t="s">
        <v>4530</v>
      </c>
      <c r="D286" s="1" t="s">
        <v>90</v>
      </c>
      <c r="E286" s="1" t="s">
        <v>4531</v>
      </c>
      <c r="F286" s="1" t="s">
        <v>4532</v>
      </c>
      <c r="G286" s="1">
        <v>1</v>
      </c>
      <c r="H286" s="3">
        <v>29560</v>
      </c>
      <c r="I286" s="1">
        <v>1</v>
      </c>
      <c r="J286" s="1" t="s">
        <v>93</v>
      </c>
      <c r="K286" s="1" t="s">
        <v>94</v>
      </c>
      <c r="L286" s="2">
        <f>91-9594335541</f>
        <v>-9594335450</v>
      </c>
      <c r="M286" s="1" t="s">
        <v>150</v>
      </c>
      <c r="N286" s="1">
        <v>0</v>
      </c>
      <c r="O286" s="1">
        <v>0</v>
      </c>
      <c r="P286" s="1">
        <v>5.04</v>
      </c>
      <c r="Q286" s="1">
        <v>16</v>
      </c>
      <c r="R286" s="1" t="s">
        <v>535</v>
      </c>
      <c r="S286" s="1" t="s">
        <v>492</v>
      </c>
      <c r="T286" s="1" t="s">
        <v>137</v>
      </c>
      <c r="U286" s="1" t="s">
        <v>2540</v>
      </c>
      <c r="V286" s="1" t="s">
        <v>2540</v>
      </c>
      <c r="X286" s="1" t="s">
        <v>100</v>
      </c>
      <c r="Y286" s="1" t="s">
        <v>210</v>
      </c>
      <c r="Z286" s="1" t="s">
        <v>584</v>
      </c>
      <c r="AB286" s="1">
        <v>0</v>
      </c>
      <c r="AD286" s="1" t="s">
        <v>4533</v>
      </c>
      <c r="AE286" s="1">
        <f>91-9920737907</f>
        <v>-9920737816</v>
      </c>
      <c r="AF286" s="1" t="s">
        <v>105</v>
      </c>
      <c r="AG286" s="1" t="s">
        <v>4534</v>
      </c>
      <c r="AH286" s="1" t="s">
        <v>4535</v>
      </c>
      <c r="AI286" s="1" t="s">
        <v>4366</v>
      </c>
      <c r="AJ286" s="1" t="s">
        <v>109</v>
      </c>
      <c r="AK286" s="1" t="s">
        <v>4536</v>
      </c>
      <c r="AL286" s="1">
        <v>25</v>
      </c>
      <c r="AM286" s="1" t="s">
        <v>111</v>
      </c>
      <c r="AP286" s="1">
        <f>91-9869990296</f>
        <v>-9869990205</v>
      </c>
      <c r="AQ286" s="1" t="s">
        <v>3911</v>
      </c>
      <c r="AR286" s="1">
        <v>1</v>
      </c>
      <c r="AS286" s="1">
        <v>1</v>
      </c>
      <c r="AT286" s="1" t="s">
        <v>4537</v>
      </c>
      <c r="AU286" s="1" t="s">
        <v>4538</v>
      </c>
      <c r="AV286" s="1" t="s">
        <v>4539</v>
      </c>
      <c r="AW286" s="1">
        <f>91-7989840052</f>
        <v>-7989839961</v>
      </c>
      <c r="AX286" s="1" t="s">
        <v>4540</v>
      </c>
      <c r="AY286" s="1" t="s">
        <v>249</v>
      </c>
      <c r="AZ286" s="1">
        <v>5</v>
      </c>
      <c r="BA286" s="1">
        <v>5.03</v>
      </c>
      <c r="BB286" s="1" t="s">
        <v>151</v>
      </c>
      <c r="BC286" s="1" t="s">
        <v>304</v>
      </c>
      <c r="BD286" s="1" t="s">
        <v>1333</v>
      </c>
      <c r="BE286" s="1" t="s">
        <v>120</v>
      </c>
      <c r="BF286" s="1" t="s">
        <v>120</v>
      </c>
      <c r="BG286" s="1" t="s">
        <v>120</v>
      </c>
      <c r="BH286" s="1" t="s">
        <v>120</v>
      </c>
      <c r="BJ286" s="1" t="s">
        <v>154</v>
      </c>
      <c r="BK286" s="1" t="s">
        <v>120</v>
      </c>
      <c r="BL286" s="1">
        <v>0</v>
      </c>
      <c r="BM286" s="1">
        <v>0</v>
      </c>
      <c r="BN286" s="1" t="s">
        <v>4541</v>
      </c>
      <c r="BO286" s="1">
        <v>1</v>
      </c>
      <c r="BP286" s="1" t="s">
        <v>4542</v>
      </c>
      <c r="BQ286" s="1" t="s">
        <v>112</v>
      </c>
      <c r="BR286" s="1">
        <v>1</v>
      </c>
      <c r="BS286" s="1" t="s">
        <v>787</v>
      </c>
      <c r="BT286" s="1" t="s">
        <v>124</v>
      </c>
      <c r="BU286" s="1" t="s">
        <v>4543</v>
      </c>
      <c r="BV286" s="1" t="s">
        <v>112</v>
      </c>
      <c r="BW286" s="1" t="s">
        <v>4544</v>
      </c>
      <c r="BX286" s="1" t="s">
        <v>4545</v>
      </c>
      <c r="BY286" s="1" t="s">
        <v>127</v>
      </c>
      <c r="BZ286" s="1">
        <v>1</v>
      </c>
      <c r="CA286" s="1">
        <v>1</v>
      </c>
      <c r="CB286" s="4">
        <v>43217.335827233794</v>
      </c>
      <c r="CC286" s="1">
        <v>1</v>
      </c>
      <c r="CD286" s="1">
        <v>1</v>
      </c>
      <c r="CE286" s="1">
        <v>1</v>
      </c>
      <c r="CF286" s="1">
        <v>1</v>
      </c>
      <c r="CG286" s="4">
        <v>43516.165937384256</v>
      </c>
      <c r="CH286" s="1" t="s">
        <v>112</v>
      </c>
      <c r="CI286" s="1" t="s">
        <v>4546</v>
      </c>
      <c r="CJ286" s="1" t="s">
        <v>157</v>
      </c>
    </row>
    <row r="287" spans="1:88" x14ac:dyDescent="0.35">
      <c r="A287" s="1">
        <v>4966</v>
      </c>
      <c r="B287" s="1" t="s">
        <v>4547</v>
      </c>
      <c r="C287" s="1" t="s">
        <v>4548</v>
      </c>
      <c r="D287" s="1" t="s">
        <v>312</v>
      </c>
      <c r="E287" s="1" t="s">
        <v>2845</v>
      </c>
      <c r="F287" s="1" t="s">
        <v>134</v>
      </c>
      <c r="G287" s="1">
        <v>1</v>
      </c>
      <c r="H287" s="3">
        <v>32510</v>
      </c>
      <c r="I287" s="1">
        <v>1</v>
      </c>
      <c r="J287" s="1" t="s">
        <v>93</v>
      </c>
      <c r="K287" s="1" t="s">
        <v>490</v>
      </c>
      <c r="L287" s="2">
        <f>91-8980222975</f>
        <v>-8980222884</v>
      </c>
      <c r="M287" s="1" t="s">
        <v>150</v>
      </c>
      <c r="N287" s="1">
        <v>0</v>
      </c>
      <c r="O287" s="1">
        <v>0</v>
      </c>
      <c r="P287" s="1">
        <v>5.07</v>
      </c>
      <c r="Q287" s="1">
        <v>14</v>
      </c>
      <c r="R287" s="1" t="s">
        <v>164</v>
      </c>
      <c r="S287" s="1" t="s">
        <v>136</v>
      </c>
      <c r="T287" s="1" t="s">
        <v>427</v>
      </c>
      <c r="U287" s="1" t="s">
        <v>430</v>
      </c>
      <c r="V287" s="1" t="s">
        <v>2540</v>
      </c>
      <c r="X287" s="1" t="s">
        <v>100</v>
      </c>
      <c r="Y287" s="1" t="s">
        <v>101</v>
      </c>
      <c r="Z287" s="1" t="s">
        <v>171</v>
      </c>
      <c r="AA287" s="1" t="s">
        <v>4549</v>
      </c>
      <c r="AB287" s="1">
        <v>0</v>
      </c>
      <c r="AD287" s="1" t="s">
        <v>4550</v>
      </c>
      <c r="AE287" s="1">
        <f>91-8446417077</f>
        <v>-8446416986</v>
      </c>
      <c r="AF287" s="1" t="s">
        <v>143</v>
      </c>
      <c r="AG287" s="1" t="s">
        <v>4551</v>
      </c>
      <c r="AH287" s="1" t="s">
        <v>4552</v>
      </c>
      <c r="AI287" s="1" t="s">
        <v>4553</v>
      </c>
      <c r="AJ287" s="1" t="s">
        <v>478</v>
      </c>
      <c r="AK287" s="1" t="s">
        <v>4554</v>
      </c>
      <c r="AL287" s="1">
        <v>7</v>
      </c>
      <c r="AM287" s="1" t="s">
        <v>210</v>
      </c>
      <c r="AP287" s="1">
        <f>91-8980222975</f>
        <v>-8980222884</v>
      </c>
      <c r="AQ287" s="1" t="s">
        <v>4555</v>
      </c>
      <c r="AR287" s="1">
        <v>2</v>
      </c>
      <c r="AS287" s="1">
        <v>1</v>
      </c>
      <c r="AW287" s="1" t="s">
        <v>142</v>
      </c>
      <c r="AX287" s="1" t="s">
        <v>2747</v>
      </c>
      <c r="AY287" s="1" t="s">
        <v>150</v>
      </c>
      <c r="AZ287" s="1">
        <v>5</v>
      </c>
      <c r="BA287" s="1">
        <v>5.05</v>
      </c>
      <c r="BB287" s="1" t="s">
        <v>151</v>
      </c>
      <c r="BC287" s="1" t="s">
        <v>304</v>
      </c>
      <c r="BD287" s="1" t="s">
        <v>1333</v>
      </c>
      <c r="BE287" s="1" t="s">
        <v>2176</v>
      </c>
      <c r="BF287" s="1" t="s">
        <v>120</v>
      </c>
      <c r="BG287" s="1" t="s">
        <v>1665</v>
      </c>
      <c r="BH287" s="1" t="s">
        <v>4556</v>
      </c>
      <c r="BJ287" s="1" t="s">
        <v>120</v>
      </c>
      <c r="BK287" s="1" t="s">
        <v>120</v>
      </c>
      <c r="BL287" s="1">
        <v>0</v>
      </c>
      <c r="BM287" s="1">
        <v>0</v>
      </c>
      <c r="BN287" s="1" t="s">
        <v>4557</v>
      </c>
      <c r="BO287" s="1">
        <v>1</v>
      </c>
      <c r="BP287" s="1" t="s">
        <v>933</v>
      </c>
      <c r="BQ287" s="1" t="s">
        <v>112</v>
      </c>
      <c r="BR287" s="1">
        <v>0</v>
      </c>
      <c r="BS287" s="1" t="s">
        <v>787</v>
      </c>
      <c r="BT287" s="1" t="s">
        <v>124</v>
      </c>
      <c r="BU287" s="1" t="s">
        <v>112</v>
      </c>
      <c r="BV287" s="1" t="s">
        <v>112</v>
      </c>
      <c r="BW287" s="1" t="s">
        <v>4558</v>
      </c>
      <c r="BX287" s="1" t="s">
        <v>4559</v>
      </c>
      <c r="BY287" s="1" t="s">
        <v>120</v>
      </c>
      <c r="BZ287" s="1">
        <v>0</v>
      </c>
      <c r="CA287" s="1">
        <v>0</v>
      </c>
      <c r="CB287" s="4">
        <v>43226.463743900465</v>
      </c>
      <c r="CC287" s="1">
        <v>1</v>
      </c>
      <c r="CD287" s="1">
        <v>1</v>
      </c>
      <c r="CE287" s="1">
        <v>1</v>
      </c>
      <c r="CF287" s="1">
        <v>1</v>
      </c>
      <c r="CG287" s="4">
        <v>43232.245421331019</v>
      </c>
      <c r="CH287" s="1" t="s">
        <v>112</v>
      </c>
      <c r="CI287" s="1" t="s">
        <v>3805</v>
      </c>
      <c r="CJ287" s="1" t="s">
        <v>157</v>
      </c>
    </row>
    <row r="288" spans="1:88" x14ac:dyDescent="0.35">
      <c r="A288" s="1">
        <v>4968</v>
      </c>
      <c r="B288" s="1" t="s">
        <v>4560</v>
      </c>
      <c r="C288" s="1" t="s">
        <v>4561</v>
      </c>
      <c r="D288" s="1" t="s">
        <v>90</v>
      </c>
      <c r="E288" s="1" t="s">
        <v>1472</v>
      </c>
      <c r="F288" s="1" t="s">
        <v>4429</v>
      </c>
      <c r="G288" s="1">
        <v>1</v>
      </c>
      <c r="H288" s="3">
        <v>32819</v>
      </c>
      <c r="I288" s="1">
        <v>1</v>
      </c>
      <c r="J288" s="1" t="s">
        <v>93</v>
      </c>
      <c r="K288" s="1" t="s">
        <v>94</v>
      </c>
      <c r="L288" s="2">
        <f>91-9987715933</f>
        <v>-9987715842</v>
      </c>
      <c r="M288" s="1" t="s">
        <v>129</v>
      </c>
      <c r="N288" s="1">
        <v>0</v>
      </c>
      <c r="O288" s="1">
        <v>0</v>
      </c>
      <c r="P288" s="1">
        <v>6.04</v>
      </c>
      <c r="Q288" s="1">
        <v>42</v>
      </c>
      <c r="R288" s="1" t="s">
        <v>2028</v>
      </c>
      <c r="S288" s="1" t="s">
        <v>97</v>
      </c>
      <c r="T288" s="1" t="s">
        <v>166</v>
      </c>
      <c r="U288" s="1" t="s">
        <v>2540</v>
      </c>
      <c r="V288" s="1" t="s">
        <v>2540</v>
      </c>
      <c r="W288" s="1" t="s">
        <v>4562</v>
      </c>
      <c r="X288" s="1" t="s">
        <v>170</v>
      </c>
      <c r="Y288" s="1" t="s">
        <v>210</v>
      </c>
      <c r="Z288" s="1" t="s">
        <v>171</v>
      </c>
      <c r="AA288" s="1" t="s">
        <v>4563</v>
      </c>
      <c r="AB288" s="1">
        <v>0</v>
      </c>
      <c r="AD288" s="1" t="s">
        <v>4564</v>
      </c>
      <c r="AE288" s="1" t="s">
        <v>142</v>
      </c>
      <c r="AF288" s="1" t="s">
        <v>129</v>
      </c>
      <c r="AG288" s="1" t="s">
        <v>4565</v>
      </c>
      <c r="AH288" s="1" t="s">
        <v>4566</v>
      </c>
      <c r="AI288" s="1" t="s">
        <v>4567</v>
      </c>
      <c r="AJ288" s="1" t="s">
        <v>109</v>
      </c>
      <c r="AK288" s="1" t="s">
        <v>4568</v>
      </c>
      <c r="AL288" s="1">
        <v>60</v>
      </c>
      <c r="AM288" s="1" t="s">
        <v>148</v>
      </c>
      <c r="AP288" s="1">
        <f>91-9429815609</f>
        <v>-9429815518</v>
      </c>
      <c r="AR288" s="1">
        <v>0</v>
      </c>
      <c r="AS288" s="1">
        <v>0</v>
      </c>
      <c r="AW288" s="1" t="s">
        <v>142</v>
      </c>
      <c r="AX288" s="1" t="s">
        <v>460</v>
      </c>
      <c r="AY288" s="1" t="s">
        <v>351</v>
      </c>
      <c r="AZ288" s="1">
        <v>5</v>
      </c>
      <c r="BA288" s="1">
        <v>6.04</v>
      </c>
      <c r="BB288" s="1" t="s">
        <v>151</v>
      </c>
      <c r="BC288" s="1" t="s">
        <v>304</v>
      </c>
      <c r="BD288" s="1" t="s">
        <v>1333</v>
      </c>
      <c r="BE288" s="1" t="s">
        <v>3494</v>
      </c>
      <c r="BF288" s="1" t="s">
        <v>120</v>
      </c>
      <c r="BG288" s="1" t="s">
        <v>120</v>
      </c>
      <c r="BH288" s="1" t="s">
        <v>120</v>
      </c>
      <c r="BJ288" s="1" t="s">
        <v>120</v>
      </c>
      <c r="BK288" s="1" t="s">
        <v>120</v>
      </c>
      <c r="BL288" s="1">
        <v>0</v>
      </c>
      <c r="BM288" s="1">
        <v>0</v>
      </c>
      <c r="BN288" s="1" t="s">
        <v>4569</v>
      </c>
      <c r="BO288" s="1">
        <v>1</v>
      </c>
      <c r="BP288" s="1" t="s">
        <v>973</v>
      </c>
      <c r="BQ288" s="1" t="s">
        <v>112</v>
      </c>
      <c r="BR288" s="1">
        <v>0</v>
      </c>
      <c r="BS288" s="1" t="s">
        <v>1668</v>
      </c>
      <c r="BT288" s="1" t="s">
        <v>120</v>
      </c>
      <c r="BU288" s="1" t="s">
        <v>112</v>
      </c>
      <c r="BV288" s="1" t="s">
        <v>112</v>
      </c>
      <c r="BW288" s="1" t="s">
        <v>4570</v>
      </c>
      <c r="BX288" s="1" t="s">
        <v>4571</v>
      </c>
      <c r="BY288" s="1" t="s">
        <v>120</v>
      </c>
      <c r="BZ288" s="1">
        <v>3</v>
      </c>
      <c r="CA288" s="1">
        <v>3</v>
      </c>
      <c r="CB288" s="4">
        <v>43229.02153784722</v>
      </c>
      <c r="CC288" s="1">
        <v>1</v>
      </c>
      <c r="CD288" s="1">
        <v>1</v>
      </c>
      <c r="CE288" s="1">
        <v>1</v>
      </c>
      <c r="CF288" s="1">
        <v>4</v>
      </c>
      <c r="CG288" s="4">
        <v>44075.610177511575</v>
      </c>
      <c r="CH288" s="1" t="s">
        <v>112</v>
      </c>
      <c r="CI288" s="1" t="s">
        <v>973</v>
      </c>
      <c r="CJ288" s="1" t="s">
        <v>157</v>
      </c>
    </row>
    <row r="289" spans="1:88" x14ac:dyDescent="0.35">
      <c r="A289" s="1">
        <v>4971</v>
      </c>
      <c r="B289" s="1" t="s">
        <v>4572</v>
      </c>
      <c r="C289" s="1" t="s">
        <v>4573</v>
      </c>
      <c r="D289" s="1" t="s">
        <v>90</v>
      </c>
      <c r="E289" s="1" t="s">
        <v>4574</v>
      </c>
      <c r="F289" s="1" t="s">
        <v>446</v>
      </c>
      <c r="G289" s="1">
        <v>1</v>
      </c>
      <c r="H289" s="3">
        <v>32743</v>
      </c>
      <c r="I289" s="1">
        <v>1</v>
      </c>
      <c r="J289" s="1" t="s">
        <v>162</v>
      </c>
      <c r="K289" s="1" t="s">
        <v>4132</v>
      </c>
      <c r="L289" s="2">
        <f>91-9725293634</f>
        <v>-9725293543</v>
      </c>
      <c r="M289" s="1" t="s">
        <v>95</v>
      </c>
      <c r="N289" s="1">
        <v>0</v>
      </c>
      <c r="O289" s="1">
        <v>0</v>
      </c>
      <c r="P289" s="1">
        <v>5.04</v>
      </c>
      <c r="Q289" s="1">
        <v>1</v>
      </c>
      <c r="R289" s="1" t="s">
        <v>3457</v>
      </c>
      <c r="S289" s="1" t="s">
        <v>293</v>
      </c>
      <c r="T289" s="1" t="s">
        <v>4575</v>
      </c>
      <c r="U289" s="1" t="s">
        <v>2540</v>
      </c>
      <c r="V289" s="1" t="s">
        <v>2540</v>
      </c>
      <c r="X289" s="1" t="s">
        <v>296</v>
      </c>
      <c r="Y289" s="1" t="s">
        <v>111</v>
      </c>
      <c r="Z289" s="1" t="s">
        <v>4575</v>
      </c>
      <c r="AB289" s="1">
        <v>0</v>
      </c>
      <c r="AD289" s="1" t="s">
        <v>4576</v>
      </c>
      <c r="AE289" s="1">
        <f>91-9725293634</f>
        <v>-9725293543</v>
      </c>
      <c r="AF289" s="1" t="s">
        <v>2541</v>
      </c>
      <c r="AG289" s="1" t="s">
        <v>4577</v>
      </c>
      <c r="AH289" s="1" t="s">
        <v>4578</v>
      </c>
      <c r="AI289" s="1" t="s">
        <v>2688</v>
      </c>
      <c r="AJ289" s="1" t="s">
        <v>109</v>
      </c>
      <c r="AK289" s="1" t="s">
        <v>4579</v>
      </c>
      <c r="AL289" s="1">
        <v>20</v>
      </c>
      <c r="AM289" s="1" t="s">
        <v>2541</v>
      </c>
      <c r="AP289" s="1">
        <f>91-9725293634</f>
        <v>-9725293543</v>
      </c>
      <c r="AR289" s="1">
        <v>0</v>
      </c>
      <c r="AS289" s="1">
        <v>0</v>
      </c>
      <c r="AW289" s="1" t="s">
        <v>142</v>
      </c>
      <c r="AX289" s="1" t="s">
        <v>592</v>
      </c>
      <c r="AY289" s="1" t="s">
        <v>1332</v>
      </c>
      <c r="AZ289" s="1">
        <v>4.09</v>
      </c>
      <c r="BA289" s="1">
        <v>5.04</v>
      </c>
      <c r="BB289" s="1" t="s">
        <v>151</v>
      </c>
      <c r="BC289" s="1" t="s">
        <v>152</v>
      </c>
      <c r="BD289" s="1" t="s">
        <v>1395</v>
      </c>
      <c r="BE289" s="1" t="s">
        <v>1033</v>
      </c>
      <c r="BF289" s="1" t="s">
        <v>120</v>
      </c>
      <c r="BG289" s="1" t="s">
        <v>2541</v>
      </c>
      <c r="BH289" s="1" t="s">
        <v>2541</v>
      </c>
      <c r="BI289" s="1" t="s">
        <v>132</v>
      </c>
      <c r="BL289" s="1">
        <v>0</v>
      </c>
      <c r="BM289" s="1">
        <v>1</v>
      </c>
      <c r="BN289" s="1" t="s">
        <v>4575</v>
      </c>
      <c r="BO289" s="1">
        <v>0</v>
      </c>
      <c r="BQ289" s="1" t="s">
        <v>180</v>
      </c>
      <c r="BR289" s="1">
        <v>0</v>
      </c>
      <c r="BS289" s="1" t="s">
        <v>334</v>
      </c>
      <c r="BT289" s="1" t="s">
        <v>124</v>
      </c>
      <c r="BV289" s="1" t="s">
        <v>112</v>
      </c>
      <c r="BW289" s="1" t="s">
        <v>4580</v>
      </c>
      <c r="BX289" s="1" t="s">
        <v>4581</v>
      </c>
      <c r="BY289" s="1" t="s">
        <v>120</v>
      </c>
      <c r="BZ289" s="1">
        <v>0</v>
      </c>
      <c r="CA289" s="1">
        <v>0</v>
      </c>
      <c r="CB289" s="4">
        <v>43234.059899189815</v>
      </c>
      <c r="CC289" s="1">
        <v>1</v>
      </c>
      <c r="CD289" s="1">
        <v>1</v>
      </c>
      <c r="CE289" s="1">
        <v>1</v>
      </c>
      <c r="CF289" s="1">
        <v>1</v>
      </c>
      <c r="CG289" s="4">
        <v>43234.059899189815</v>
      </c>
      <c r="CH289" s="1" t="s">
        <v>112</v>
      </c>
      <c r="CI289" s="1" t="s">
        <v>124</v>
      </c>
      <c r="CJ289" s="1" t="s">
        <v>157</v>
      </c>
    </row>
    <row r="290" spans="1:88" x14ac:dyDescent="0.35">
      <c r="A290" s="1">
        <v>4972</v>
      </c>
      <c r="B290" s="1" t="s">
        <v>4582</v>
      </c>
      <c r="C290" s="1" t="s">
        <v>4583</v>
      </c>
      <c r="D290" s="1" t="s">
        <v>312</v>
      </c>
      <c r="E290" s="1" t="s">
        <v>4584</v>
      </c>
      <c r="F290" s="1" t="s">
        <v>134</v>
      </c>
      <c r="G290" s="1">
        <v>1</v>
      </c>
      <c r="H290" s="3">
        <v>34958</v>
      </c>
      <c r="I290" s="1">
        <v>1</v>
      </c>
      <c r="J290" s="1" t="s">
        <v>162</v>
      </c>
      <c r="K290" s="1" t="s">
        <v>1061</v>
      </c>
      <c r="L290" s="2">
        <f>91-9408036659</f>
        <v>-9408036568</v>
      </c>
      <c r="M290" s="1" t="s">
        <v>150</v>
      </c>
      <c r="N290" s="1">
        <v>0</v>
      </c>
      <c r="O290" s="1">
        <v>0</v>
      </c>
      <c r="P290" s="1">
        <v>5.09</v>
      </c>
      <c r="Q290" s="1">
        <v>54</v>
      </c>
      <c r="R290" s="1" t="s">
        <v>1131</v>
      </c>
      <c r="S290" s="1" t="s">
        <v>136</v>
      </c>
      <c r="T290" s="1" t="s">
        <v>137</v>
      </c>
      <c r="U290" s="1" t="s">
        <v>4585</v>
      </c>
      <c r="V290" s="1" t="s">
        <v>4586</v>
      </c>
      <c r="W290" s="1" t="s">
        <v>3753</v>
      </c>
      <c r="X290" s="1" t="s">
        <v>100</v>
      </c>
      <c r="Y290" s="1" t="s">
        <v>268</v>
      </c>
      <c r="Z290" s="1" t="s">
        <v>556</v>
      </c>
      <c r="AB290" s="1">
        <v>0</v>
      </c>
      <c r="AD290" s="1" t="s">
        <v>4587</v>
      </c>
      <c r="AE290" s="1" t="s">
        <v>142</v>
      </c>
      <c r="AF290" s="1" t="s">
        <v>143</v>
      </c>
      <c r="AG290" s="1" t="s">
        <v>4588</v>
      </c>
      <c r="AH290" s="1" t="s">
        <v>4589</v>
      </c>
      <c r="AI290" s="1" t="s">
        <v>4590</v>
      </c>
      <c r="AJ290" s="1" t="s">
        <v>109</v>
      </c>
      <c r="AK290" s="1" t="s">
        <v>4591</v>
      </c>
      <c r="AL290" s="1">
        <v>50</v>
      </c>
      <c r="AM290" s="1" t="s">
        <v>111</v>
      </c>
      <c r="AO290" s="1" t="s">
        <v>4592</v>
      </c>
      <c r="AP290" s="1">
        <f>91-9426583340</f>
        <v>-9426583249</v>
      </c>
      <c r="AR290" s="1">
        <v>1</v>
      </c>
      <c r="AS290" s="1">
        <v>1</v>
      </c>
      <c r="AT290" s="1" t="s">
        <v>4593</v>
      </c>
      <c r="AU290" s="1" t="s">
        <v>4594</v>
      </c>
      <c r="AV290" s="1" t="s">
        <v>4595</v>
      </c>
      <c r="AW290" s="1">
        <f>91-9408410377</f>
        <v>-9408410286</v>
      </c>
      <c r="AX290" s="1" t="s">
        <v>569</v>
      </c>
      <c r="AY290" s="1" t="s">
        <v>150</v>
      </c>
      <c r="AZ290" s="1">
        <v>5.03</v>
      </c>
      <c r="BA290" s="1">
        <v>5.07</v>
      </c>
      <c r="BB290" s="1" t="s">
        <v>151</v>
      </c>
      <c r="BC290" s="1" t="s">
        <v>304</v>
      </c>
      <c r="BD290" s="1" t="s">
        <v>1333</v>
      </c>
      <c r="BE290" s="1" t="s">
        <v>219</v>
      </c>
      <c r="BF290" s="1" t="s">
        <v>120</v>
      </c>
      <c r="BG290" s="1" t="s">
        <v>120</v>
      </c>
      <c r="BH290" s="1" t="s">
        <v>120</v>
      </c>
      <c r="BI290" s="1" t="s">
        <v>556</v>
      </c>
      <c r="BJ290" s="1" t="s">
        <v>154</v>
      </c>
      <c r="BK290" s="1" t="s">
        <v>120</v>
      </c>
      <c r="BL290" s="1">
        <v>0</v>
      </c>
      <c r="BM290" s="1">
        <v>0</v>
      </c>
      <c r="BN290" s="1" t="s">
        <v>4596</v>
      </c>
      <c r="BO290" s="1">
        <v>1</v>
      </c>
      <c r="BP290" s="1" t="s">
        <v>4597</v>
      </c>
      <c r="BQ290" s="1" t="s">
        <v>112</v>
      </c>
      <c r="BR290" s="1">
        <v>0</v>
      </c>
      <c r="BS290" s="1" t="s">
        <v>334</v>
      </c>
      <c r="BT290" s="1" t="s">
        <v>124</v>
      </c>
      <c r="BU290" s="1" t="s">
        <v>4598</v>
      </c>
      <c r="BV290" s="1" t="s">
        <v>112</v>
      </c>
      <c r="BW290" s="1" t="s">
        <v>4599</v>
      </c>
      <c r="BX290" s="1" t="s">
        <v>4600</v>
      </c>
      <c r="BY290" s="1" t="s">
        <v>465</v>
      </c>
      <c r="BZ290" s="1">
        <v>0</v>
      </c>
      <c r="CA290" s="1">
        <v>0</v>
      </c>
      <c r="CB290" s="4">
        <v>43234.224094791665</v>
      </c>
      <c r="CC290" s="1">
        <v>1</v>
      </c>
      <c r="CD290" s="1">
        <v>1</v>
      </c>
      <c r="CE290" s="1">
        <v>1</v>
      </c>
      <c r="CF290" s="1">
        <v>1</v>
      </c>
      <c r="CG290" s="4">
        <v>43316.298722766202</v>
      </c>
      <c r="CH290" s="1" t="s">
        <v>112</v>
      </c>
      <c r="CI290" s="1" t="s">
        <v>4601</v>
      </c>
      <c r="CJ290" s="1" t="s">
        <v>157</v>
      </c>
    </row>
    <row r="291" spans="1:88" x14ac:dyDescent="0.35">
      <c r="A291" s="1">
        <v>4976</v>
      </c>
      <c r="B291" s="1" t="s">
        <v>4602</v>
      </c>
      <c r="C291" s="1" t="s">
        <v>4603</v>
      </c>
      <c r="D291" s="1" t="s">
        <v>90</v>
      </c>
      <c r="E291" s="1" t="s">
        <v>4604</v>
      </c>
      <c r="F291" s="1" t="s">
        <v>4605</v>
      </c>
      <c r="G291" s="1">
        <v>1</v>
      </c>
      <c r="H291" s="3">
        <v>33509</v>
      </c>
      <c r="I291" s="1">
        <v>1</v>
      </c>
      <c r="J291" s="1" t="s">
        <v>93</v>
      </c>
      <c r="K291" s="1" t="s">
        <v>490</v>
      </c>
      <c r="L291" s="2">
        <f>91-9423599364</f>
        <v>-9423599273</v>
      </c>
      <c r="M291" s="1" t="s">
        <v>150</v>
      </c>
      <c r="N291" s="1">
        <v>0</v>
      </c>
      <c r="O291" s="1">
        <v>0</v>
      </c>
      <c r="P291" s="1">
        <v>5.05</v>
      </c>
      <c r="Q291" s="1">
        <v>12</v>
      </c>
      <c r="R291" s="1" t="s">
        <v>470</v>
      </c>
      <c r="S291" s="1" t="s">
        <v>97</v>
      </c>
      <c r="T291" s="1" t="s">
        <v>137</v>
      </c>
      <c r="U291" s="1" t="s">
        <v>4606</v>
      </c>
      <c r="V291" s="1" t="s">
        <v>4607</v>
      </c>
      <c r="X291" s="1" t="s">
        <v>236</v>
      </c>
      <c r="Y291" s="1" t="s">
        <v>101</v>
      </c>
      <c r="Z291" s="1" t="s">
        <v>556</v>
      </c>
      <c r="AB291" s="1">
        <v>0</v>
      </c>
      <c r="AD291" s="1" t="s">
        <v>4608</v>
      </c>
      <c r="AE291" s="1">
        <f>91-9423599364</f>
        <v>-9423599273</v>
      </c>
      <c r="AF291" s="1" t="s">
        <v>105</v>
      </c>
      <c r="AG291" s="1" t="s">
        <v>4609</v>
      </c>
      <c r="AH291" s="1" t="s">
        <v>4610</v>
      </c>
      <c r="AI291" s="1" t="s">
        <v>3531</v>
      </c>
      <c r="AJ291" s="1" t="s">
        <v>109</v>
      </c>
      <c r="AK291" s="1" t="s">
        <v>4611</v>
      </c>
      <c r="AL291" s="1">
        <v>20</v>
      </c>
      <c r="AM291" s="1" t="s">
        <v>111</v>
      </c>
      <c r="AO291" s="1" t="s">
        <v>4612</v>
      </c>
      <c r="AP291" s="1">
        <f>91-9423599364</f>
        <v>-9423599273</v>
      </c>
      <c r="AQ291" s="1" t="s">
        <v>3911</v>
      </c>
      <c r="AR291" s="1">
        <v>1</v>
      </c>
      <c r="AS291" s="1">
        <v>1</v>
      </c>
      <c r="AW291" s="1" t="s">
        <v>142</v>
      </c>
      <c r="AX291" s="1" t="s">
        <v>1440</v>
      </c>
      <c r="AY291" s="1" t="s">
        <v>1332</v>
      </c>
      <c r="AZ291" s="1">
        <v>4.0999999999999996</v>
      </c>
      <c r="BA291" s="1">
        <v>5.08</v>
      </c>
      <c r="BB291" s="1" t="s">
        <v>151</v>
      </c>
      <c r="BC291" s="1" t="s">
        <v>304</v>
      </c>
      <c r="BD291" s="1" t="s">
        <v>1333</v>
      </c>
      <c r="BE291" s="1" t="s">
        <v>120</v>
      </c>
      <c r="BF291" s="1" t="s">
        <v>120</v>
      </c>
      <c r="BG291" s="1" t="s">
        <v>120</v>
      </c>
      <c r="BH291" s="1" t="s">
        <v>120</v>
      </c>
      <c r="BI291" s="1" t="s">
        <v>556</v>
      </c>
      <c r="BJ291" s="1" t="s">
        <v>120</v>
      </c>
      <c r="BK291" s="1" t="s">
        <v>120</v>
      </c>
      <c r="BL291" s="1">
        <v>0</v>
      </c>
      <c r="BM291" s="1">
        <v>0</v>
      </c>
      <c r="BN291" s="1" t="s">
        <v>4613</v>
      </c>
      <c r="BO291" s="1">
        <v>1</v>
      </c>
      <c r="BP291" s="1" t="s">
        <v>992</v>
      </c>
      <c r="BQ291" s="1" t="s">
        <v>180</v>
      </c>
      <c r="BR291" s="1">
        <v>1</v>
      </c>
      <c r="BS291" s="1" t="s">
        <v>334</v>
      </c>
      <c r="BT291" s="1" t="s">
        <v>124</v>
      </c>
      <c r="BV291" s="1" t="s">
        <v>112</v>
      </c>
      <c r="BW291" s="1" t="s">
        <v>4614</v>
      </c>
      <c r="BX291" s="1" t="s">
        <v>4615</v>
      </c>
      <c r="BY291" s="1" t="s">
        <v>120</v>
      </c>
      <c r="BZ291" s="1">
        <v>0</v>
      </c>
      <c r="CA291" s="1">
        <v>0</v>
      </c>
      <c r="CB291" s="4">
        <v>43235.338459918981</v>
      </c>
      <c r="CC291" s="1">
        <v>1</v>
      </c>
      <c r="CD291" s="1">
        <v>1</v>
      </c>
      <c r="CE291" s="1">
        <v>1</v>
      </c>
      <c r="CF291" s="1">
        <v>1</v>
      </c>
      <c r="CG291" s="4">
        <v>43487.374312766202</v>
      </c>
      <c r="CH291" s="1" t="s">
        <v>112</v>
      </c>
      <c r="CI291" s="1" t="s">
        <v>992</v>
      </c>
      <c r="CJ291" s="1" t="s">
        <v>157</v>
      </c>
    </row>
    <row r="292" spans="1:88" x14ac:dyDescent="0.35">
      <c r="A292" s="1">
        <v>4977</v>
      </c>
      <c r="B292" s="1" t="s">
        <v>4616</v>
      </c>
      <c r="C292" s="1" t="s">
        <v>4617</v>
      </c>
      <c r="D292" s="1" t="s">
        <v>90</v>
      </c>
      <c r="E292" s="1" t="s">
        <v>4618</v>
      </c>
      <c r="F292" s="1" t="s">
        <v>4619</v>
      </c>
      <c r="G292" s="1">
        <v>1</v>
      </c>
      <c r="H292" s="3">
        <v>33308</v>
      </c>
      <c r="I292" s="1">
        <v>1</v>
      </c>
      <c r="J292" s="1" t="s">
        <v>186</v>
      </c>
      <c r="L292" s="2">
        <f>91-9755067067</f>
        <v>-9755066976</v>
      </c>
      <c r="M292" s="1" t="s">
        <v>150</v>
      </c>
      <c r="N292" s="1">
        <v>0</v>
      </c>
      <c r="O292" s="1">
        <v>0</v>
      </c>
      <c r="P292" s="1">
        <v>5.07</v>
      </c>
      <c r="Q292" s="1">
        <v>23</v>
      </c>
      <c r="R292" s="1" t="s">
        <v>1987</v>
      </c>
      <c r="S292" s="1" t="s">
        <v>97</v>
      </c>
      <c r="T292" s="1" t="s">
        <v>166</v>
      </c>
      <c r="U292" s="1" t="s">
        <v>2540</v>
      </c>
      <c r="V292" s="1" t="s">
        <v>2540</v>
      </c>
      <c r="X292" s="1" t="s">
        <v>236</v>
      </c>
      <c r="Y292" s="1" t="s">
        <v>111</v>
      </c>
      <c r="Z292" s="1" t="s">
        <v>192</v>
      </c>
      <c r="AB292" s="1">
        <v>0</v>
      </c>
      <c r="AD292" s="1" t="s">
        <v>111</v>
      </c>
      <c r="AE292" s="1">
        <f>91-9893584219</f>
        <v>-9893584128</v>
      </c>
      <c r="AF292" s="1" t="s">
        <v>2541</v>
      </c>
      <c r="AG292" s="1" t="s">
        <v>4620</v>
      </c>
      <c r="AH292" s="1" t="s">
        <v>4621</v>
      </c>
      <c r="AI292" s="1" t="s">
        <v>4622</v>
      </c>
      <c r="AJ292" s="1" t="s">
        <v>109</v>
      </c>
      <c r="AK292" s="1" t="s">
        <v>4623</v>
      </c>
      <c r="AL292" s="1">
        <v>40</v>
      </c>
      <c r="AM292" s="1" t="s">
        <v>2541</v>
      </c>
      <c r="AP292" s="1">
        <f>91-9893584219</f>
        <v>-9893584128</v>
      </c>
      <c r="AR292" s="1">
        <v>0</v>
      </c>
      <c r="AS292" s="1">
        <v>0</v>
      </c>
      <c r="AW292" s="1" t="s">
        <v>142</v>
      </c>
      <c r="AX292" s="1" t="s">
        <v>804</v>
      </c>
      <c r="AY292" s="1" t="s">
        <v>150</v>
      </c>
      <c r="AZ292" s="1">
        <v>5</v>
      </c>
      <c r="BA292" s="1">
        <v>5.07</v>
      </c>
      <c r="BB292" s="1" t="s">
        <v>151</v>
      </c>
      <c r="BC292" s="1" t="s">
        <v>152</v>
      </c>
      <c r="BD292" s="1" t="s">
        <v>1395</v>
      </c>
      <c r="BE292" s="1" t="s">
        <v>492</v>
      </c>
      <c r="BF292" s="1" t="s">
        <v>120</v>
      </c>
      <c r="BG292" s="1" t="s">
        <v>2541</v>
      </c>
      <c r="BH292" s="1" t="s">
        <v>2541</v>
      </c>
      <c r="BI292" s="1" t="s">
        <v>192</v>
      </c>
      <c r="BL292" s="1">
        <v>0</v>
      </c>
      <c r="BM292" s="1">
        <v>0</v>
      </c>
      <c r="BN292" s="1" t="s">
        <v>4624</v>
      </c>
      <c r="BO292" s="1">
        <v>0</v>
      </c>
      <c r="BQ292" s="1" t="s">
        <v>180</v>
      </c>
      <c r="BR292" s="1">
        <v>0</v>
      </c>
      <c r="BS292" s="1" t="s">
        <v>1208</v>
      </c>
      <c r="BT292" s="1" t="s">
        <v>124</v>
      </c>
      <c r="BV292" s="1" t="s">
        <v>112</v>
      </c>
      <c r="BW292" s="1" t="s">
        <v>4625</v>
      </c>
      <c r="BX292" s="1" t="s">
        <v>4626</v>
      </c>
      <c r="BY292" s="1" t="s">
        <v>120</v>
      </c>
      <c r="BZ292" s="1">
        <v>0</v>
      </c>
      <c r="CA292" s="1">
        <v>0</v>
      </c>
      <c r="CB292" s="4">
        <v>43236.145934988424</v>
      </c>
      <c r="CC292" s="1">
        <v>1</v>
      </c>
      <c r="CD292" s="1">
        <v>1</v>
      </c>
      <c r="CE292" s="1">
        <v>1</v>
      </c>
      <c r="CF292" s="1">
        <v>1</v>
      </c>
      <c r="CG292" s="4">
        <v>43236.466457291666</v>
      </c>
      <c r="CH292" s="1" t="s">
        <v>112</v>
      </c>
      <c r="CI292" s="1" t="s">
        <v>1893</v>
      </c>
      <c r="CJ292" s="1" t="s">
        <v>157</v>
      </c>
    </row>
    <row r="293" spans="1:88" x14ac:dyDescent="0.35">
      <c r="A293" s="1">
        <v>4980</v>
      </c>
      <c r="B293" s="1" t="s">
        <v>4627</v>
      </c>
      <c r="C293" s="1" t="s">
        <v>4628</v>
      </c>
      <c r="D293" s="1" t="s">
        <v>90</v>
      </c>
      <c r="E293" s="1" t="s">
        <v>4629</v>
      </c>
      <c r="F293" s="1" t="s">
        <v>4148</v>
      </c>
      <c r="G293" s="1">
        <v>1</v>
      </c>
      <c r="H293" s="3">
        <v>34827</v>
      </c>
      <c r="I293" s="1">
        <v>1</v>
      </c>
      <c r="J293" s="1" t="s">
        <v>162</v>
      </c>
      <c r="K293" s="1" t="s">
        <v>847</v>
      </c>
      <c r="L293" s="2">
        <f>91-9558202056</f>
        <v>-9558201965</v>
      </c>
      <c r="M293" s="1" t="s">
        <v>150</v>
      </c>
      <c r="N293" s="1">
        <v>0</v>
      </c>
      <c r="O293" s="1">
        <v>0</v>
      </c>
      <c r="P293" s="1">
        <v>6</v>
      </c>
      <c r="Q293" s="1">
        <v>11</v>
      </c>
      <c r="R293" s="1" t="s">
        <v>340</v>
      </c>
      <c r="S293" s="1" t="s">
        <v>492</v>
      </c>
      <c r="T293" s="1" t="s">
        <v>341</v>
      </c>
      <c r="U293" s="1" t="s">
        <v>2540</v>
      </c>
      <c r="V293" s="1" t="s">
        <v>2540</v>
      </c>
      <c r="X293" s="1" t="s">
        <v>296</v>
      </c>
      <c r="Y293" s="1" t="s">
        <v>111</v>
      </c>
      <c r="Z293" s="1" t="s">
        <v>192</v>
      </c>
      <c r="AA293" s="1" t="s">
        <v>4630</v>
      </c>
      <c r="AB293" s="1">
        <v>0</v>
      </c>
      <c r="AD293" s="1" t="s">
        <v>4631</v>
      </c>
      <c r="AE293" s="1">
        <f>91-9558830497</f>
        <v>-9558830406</v>
      </c>
      <c r="AF293" s="1" t="s">
        <v>105</v>
      </c>
      <c r="AG293" s="1" t="s">
        <v>4632</v>
      </c>
      <c r="AH293" s="1" t="s">
        <v>4633</v>
      </c>
      <c r="AI293" s="1" t="s">
        <v>4634</v>
      </c>
      <c r="AJ293" s="1" t="s">
        <v>109</v>
      </c>
      <c r="AK293" s="1" t="s">
        <v>4635</v>
      </c>
      <c r="AL293" s="1">
        <v>10</v>
      </c>
      <c r="AM293" s="1" t="s">
        <v>132</v>
      </c>
      <c r="AN293" s="1" t="s">
        <v>4636</v>
      </c>
      <c r="AO293" s="1" t="s">
        <v>4637</v>
      </c>
      <c r="AP293" s="1">
        <f>91-9427759936</f>
        <v>-9427759845</v>
      </c>
      <c r="AQ293" s="1" t="s">
        <v>4638</v>
      </c>
      <c r="AR293" s="1">
        <v>3</v>
      </c>
      <c r="AS293" s="1">
        <v>0</v>
      </c>
      <c r="AW293" s="1" t="s">
        <v>142</v>
      </c>
      <c r="AX293" s="1" t="s">
        <v>3654</v>
      </c>
      <c r="AY293" s="1" t="s">
        <v>150</v>
      </c>
      <c r="AZ293" s="1">
        <v>6</v>
      </c>
      <c r="BA293" s="1">
        <v>6</v>
      </c>
      <c r="BE293" s="1" t="s">
        <v>1833</v>
      </c>
      <c r="BG293" s="1" t="s">
        <v>296</v>
      </c>
      <c r="BH293" s="1" t="s">
        <v>114</v>
      </c>
      <c r="BJ293" s="1" t="s">
        <v>71</v>
      </c>
      <c r="BK293" s="1" t="s">
        <v>120</v>
      </c>
      <c r="BL293" s="1">
        <v>0</v>
      </c>
      <c r="BM293" s="1">
        <v>0</v>
      </c>
      <c r="BN293" s="1" t="s">
        <v>4639</v>
      </c>
      <c r="BO293" s="1">
        <v>1</v>
      </c>
      <c r="BP293" s="1" t="s">
        <v>4640</v>
      </c>
      <c r="BQ293" s="1" t="s">
        <v>112</v>
      </c>
      <c r="BR293" s="1">
        <v>1</v>
      </c>
      <c r="BS293" s="1" t="s">
        <v>307</v>
      </c>
      <c r="BT293" s="1" t="s">
        <v>120</v>
      </c>
      <c r="BU293" s="1" t="s">
        <v>4641</v>
      </c>
      <c r="BV293" s="1" t="s">
        <v>112</v>
      </c>
      <c r="BW293" s="1" t="s">
        <v>4642</v>
      </c>
      <c r="BX293" s="1" t="s">
        <v>4643</v>
      </c>
      <c r="BY293" s="1" t="s">
        <v>127</v>
      </c>
      <c r="BZ293" s="1">
        <v>0</v>
      </c>
      <c r="CA293" s="1">
        <v>0</v>
      </c>
      <c r="CB293" s="4">
        <v>43236.915790937499</v>
      </c>
      <c r="CC293" s="1">
        <v>1</v>
      </c>
      <c r="CD293" s="1">
        <v>1</v>
      </c>
      <c r="CE293" s="1">
        <v>1</v>
      </c>
      <c r="CF293" s="1">
        <v>1</v>
      </c>
      <c r="CG293" s="4">
        <v>43239.256323298614</v>
      </c>
      <c r="CH293" s="1" t="s">
        <v>112</v>
      </c>
      <c r="CI293" s="1" t="s">
        <v>2283</v>
      </c>
      <c r="CJ293" s="1" t="s">
        <v>129</v>
      </c>
    </row>
    <row r="294" spans="1:88" x14ac:dyDescent="0.35">
      <c r="A294" s="1">
        <v>4982</v>
      </c>
      <c r="B294" s="1" t="s">
        <v>4644</v>
      </c>
      <c r="C294" s="1" t="s">
        <v>4645</v>
      </c>
      <c r="D294" s="1" t="s">
        <v>90</v>
      </c>
      <c r="E294" s="1" t="s">
        <v>4646</v>
      </c>
      <c r="F294" s="1" t="s">
        <v>3727</v>
      </c>
      <c r="G294" s="1">
        <v>1</v>
      </c>
      <c r="H294" s="3">
        <v>33797</v>
      </c>
      <c r="I294" s="1">
        <v>1</v>
      </c>
      <c r="J294" s="1" t="s">
        <v>162</v>
      </c>
      <c r="K294" s="1" t="s">
        <v>847</v>
      </c>
      <c r="L294" s="2">
        <f>91-6351040212</f>
        <v>-6351040121</v>
      </c>
      <c r="M294" s="1" t="s">
        <v>95</v>
      </c>
      <c r="N294" s="1">
        <v>0</v>
      </c>
      <c r="O294" s="1">
        <v>0</v>
      </c>
      <c r="P294" s="1">
        <v>5.0599999999999996</v>
      </c>
      <c r="Q294" s="1">
        <v>3</v>
      </c>
      <c r="R294" s="1" t="s">
        <v>3728</v>
      </c>
      <c r="S294" s="1" t="s">
        <v>136</v>
      </c>
      <c r="T294" s="1" t="s">
        <v>427</v>
      </c>
      <c r="U294" s="1" t="s">
        <v>2540</v>
      </c>
      <c r="V294" s="1" t="s">
        <v>2540</v>
      </c>
      <c r="X294" s="1" t="s">
        <v>170</v>
      </c>
      <c r="Y294" s="1" t="s">
        <v>111</v>
      </c>
      <c r="Z294" s="1" t="s">
        <v>3781</v>
      </c>
      <c r="AB294" s="1">
        <v>0</v>
      </c>
      <c r="AD294" s="1" t="s">
        <v>4647</v>
      </c>
      <c r="AE294" s="1">
        <f>91-6351040212</f>
        <v>-6351040121</v>
      </c>
      <c r="AF294" s="1" t="s">
        <v>2541</v>
      </c>
      <c r="AG294" s="1" t="s">
        <v>4648</v>
      </c>
      <c r="AH294" s="1" t="s">
        <v>3573</v>
      </c>
      <c r="AI294" s="1" t="s">
        <v>4649</v>
      </c>
      <c r="AJ294" s="1" t="s">
        <v>109</v>
      </c>
      <c r="AK294" s="1" t="s">
        <v>4650</v>
      </c>
      <c r="AL294" s="1">
        <v>6</v>
      </c>
      <c r="AM294" s="1" t="s">
        <v>2541</v>
      </c>
      <c r="AP294" s="1">
        <f>91-8980015268</f>
        <v>-8980015177</v>
      </c>
      <c r="AR294" s="1">
        <v>0</v>
      </c>
      <c r="AS294" s="1">
        <v>0</v>
      </c>
      <c r="AW294" s="1" t="s">
        <v>142</v>
      </c>
      <c r="AX294" s="1" t="s">
        <v>414</v>
      </c>
      <c r="AY294" s="1" t="s">
        <v>1332</v>
      </c>
      <c r="AZ294" s="1">
        <v>5</v>
      </c>
      <c r="BA294" s="1">
        <v>5.0599999999999996</v>
      </c>
      <c r="BB294" s="1" t="s">
        <v>151</v>
      </c>
      <c r="BC294" s="1" t="s">
        <v>152</v>
      </c>
      <c r="BD294" s="1" t="s">
        <v>1395</v>
      </c>
      <c r="BE294" s="1" t="s">
        <v>2440</v>
      </c>
      <c r="BF294" s="1" t="s">
        <v>120</v>
      </c>
      <c r="BG294" s="1" t="s">
        <v>2541</v>
      </c>
      <c r="BH294" s="1" t="s">
        <v>2541</v>
      </c>
      <c r="BI294" s="1" t="s">
        <v>3781</v>
      </c>
      <c r="BL294" s="1">
        <v>0</v>
      </c>
      <c r="BM294" s="1">
        <v>0</v>
      </c>
      <c r="BN294" s="1" t="s">
        <v>4651</v>
      </c>
      <c r="BO294" s="1">
        <v>0</v>
      </c>
      <c r="BQ294" s="1" t="s">
        <v>180</v>
      </c>
      <c r="BR294" s="1">
        <v>0</v>
      </c>
      <c r="BS294" s="1" t="s">
        <v>376</v>
      </c>
      <c r="BT294" s="1" t="s">
        <v>124</v>
      </c>
      <c r="BV294" s="1" t="s">
        <v>112</v>
      </c>
      <c r="BW294" s="1" t="s">
        <v>4652</v>
      </c>
      <c r="BX294" s="1" t="s">
        <v>4653</v>
      </c>
      <c r="BY294" s="1" t="s">
        <v>120</v>
      </c>
      <c r="BZ294" s="1">
        <v>0</v>
      </c>
      <c r="CA294" s="1">
        <v>0</v>
      </c>
      <c r="CB294" s="4">
        <v>43239.399230590279</v>
      </c>
      <c r="CC294" s="1">
        <v>1</v>
      </c>
      <c r="CD294" s="1">
        <v>1</v>
      </c>
      <c r="CE294" s="1">
        <v>1</v>
      </c>
      <c r="CF294" s="1">
        <v>1</v>
      </c>
      <c r="CG294" s="4">
        <v>43239.399230590279</v>
      </c>
      <c r="CH294" s="1" t="s">
        <v>112</v>
      </c>
      <c r="CI294" s="1" t="s">
        <v>4654</v>
      </c>
      <c r="CJ294" s="1" t="s">
        <v>157</v>
      </c>
    </row>
    <row r="295" spans="1:88" x14ac:dyDescent="0.35">
      <c r="A295" s="1">
        <v>4986</v>
      </c>
      <c r="B295" s="1" t="s">
        <v>4655</v>
      </c>
      <c r="C295" s="1" t="s">
        <v>4656</v>
      </c>
      <c r="D295" s="1" t="s">
        <v>90</v>
      </c>
      <c r="E295" s="1" t="s">
        <v>4657</v>
      </c>
      <c r="F295" s="1" t="s">
        <v>4658</v>
      </c>
      <c r="G295" s="1">
        <v>1</v>
      </c>
      <c r="H295" s="3">
        <v>31315</v>
      </c>
      <c r="I295" s="1">
        <v>1</v>
      </c>
      <c r="J295" s="1" t="s">
        <v>162</v>
      </c>
      <c r="K295" s="1" t="s">
        <v>959</v>
      </c>
      <c r="L295" s="2">
        <f>91-8141817451</f>
        <v>-8141817360</v>
      </c>
      <c r="M295" s="1" t="s">
        <v>150</v>
      </c>
      <c r="N295" s="1">
        <v>0</v>
      </c>
      <c r="O295" s="1">
        <v>0</v>
      </c>
      <c r="P295" s="1">
        <v>5.0599999999999996</v>
      </c>
      <c r="Q295" s="1">
        <v>50</v>
      </c>
      <c r="S295" s="1" t="s">
        <v>492</v>
      </c>
      <c r="T295" s="1" t="s">
        <v>137</v>
      </c>
      <c r="U295" s="1" t="s">
        <v>2540</v>
      </c>
      <c r="V295" s="1" t="s">
        <v>2540</v>
      </c>
      <c r="X295" s="1" t="s">
        <v>296</v>
      </c>
      <c r="Y295" s="1" t="s">
        <v>111</v>
      </c>
      <c r="Z295" s="1" t="s">
        <v>192</v>
      </c>
      <c r="AB295" s="1">
        <v>0</v>
      </c>
      <c r="AD295" s="1" t="s">
        <v>4659</v>
      </c>
      <c r="AE295" s="1">
        <f>91-7405299636</f>
        <v>-7405299545</v>
      </c>
      <c r="AF295" s="1" t="s">
        <v>2541</v>
      </c>
      <c r="AG295" s="1" t="s">
        <v>4660</v>
      </c>
      <c r="AH295" s="1" t="s">
        <v>4661</v>
      </c>
      <c r="AI295" s="1" t="s">
        <v>4662</v>
      </c>
      <c r="AJ295" s="1" t="s">
        <v>109</v>
      </c>
      <c r="AK295" s="1" t="s">
        <v>4663</v>
      </c>
      <c r="AL295" s="1">
        <v>10</v>
      </c>
      <c r="AM295" s="1" t="s">
        <v>2541</v>
      </c>
      <c r="AP295" s="1">
        <f>91-8905588177</f>
        <v>-8905588086</v>
      </c>
      <c r="AR295" s="1">
        <v>0</v>
      </c>
      <c r="AS295" s="1">
        <v>0</v>
      </c>
      <c r="AW295" s="1" t="s">
        <v>142</v>
      </c>
      <c r="AX295" s="1" t="s">
        <v>4664</v>
      </c>
      <c r="AY295" s="1" t="s">
        <v>1332</v>
      </c>
      <c r="AZ295" s="1">
        <v>4.0599999999999996</v>
      </c>
      <c r="BA295" s="1">
        <v>5.05</v>
      </c>
      <c r="BB295" s="1" t="s">
        <v>151</v>
      </c>
      <c r="BC295" s="1" t="s">
        <v>152</v>
      </c>
      <c r="BD295" s="1" t="s">
        <v>1395</v>
      </c>
      <c r="BE295" s="1" t="s">
        <v>4665</v>
      </c>
      <c r="BF295" s="1" t="s">
        <v>120</v>
      </c>
      <c r="BG295" s="1" t="s">
        <v>2541</v>
      </c>
      <c r="BH295" s="1" t="s">
        <v>2541</v>
      </c>
      <c r="BI295" s="1" t="s">
        <v>192</v>
      </c>
      <c r="BL295" s="1">
        <v>0</v>
      </c>
      <c r="BM295" s="1">
        <v>0</v>
      </c>
      <c r="BN295" s="1" t="s">
        <v>198</v>
      </c>
      <c r="BO295" s="1">
        <v>0</v>
      </c>
      <c r="BQ295" s="1" t="s">
        <v>180</v>
      </c>
      <c r="BR295" s="1">
        <v>0</v>
      </c>
      <c r="BS295" s="1" t="s">
        <v>123</v>
      </c>
      <c r="BT295" s="1" t="s">
        <v>124</v>
      </c>
      <c r="BU295" s="1" t="s">
        <v>4666</v>
      </c>
      <c r="BV295" s="1" t="s">
        <v>112</v>
      </c>
      <c r="BW295" s="1" t="s">
        <v>4667</v>
      </c>
      <c r="BX295" s="1" t="s">
        <v>4668</v>
      </c>
      <c r="BY295" s="1" t="s">
        <v>120</v>
      </c>
      <c r="BZ295" s="1">
        <v>0</v>
      </c>
      <c r="CA295" s="1">
        <v>0</v>
      </c>
      <c r="CB295" s="4">
        <v>43240.820719212963</v>
      </c>
      <c r="CC295" s="1">
        <v>1</v>
      </c>
      <c r="CD295" s="1">
        <v>1</v>
      </c>
      <c r="CE295" s="1">
        <v>1</v>
      </c>
      <c r="CF295" s="1">
        <v>1</v>
      </c>
      <c r="CG295" s="4">
        <v>43240.820719212963</v>
      </c>
      <c r="CH295" s="1" t="s">
        <v>112</v>
      </c>
      <c r="CI295" s="1" t="s">
        <v>4669</v>
      </c>
      <c r="CJ295" s="1" t="s">
        <v>157</v>
      </c>
    </row>
    <row r="296" spans="1:88" x14ac:dyDescent="0.35">
      <c r="A296" s="1">
        <v>4992</v>
      </c>
      <c r="B296" s="1" t="s">
        <v>4670</v>
      </c>
      <c r="C296" s="1" t="s">
        <v>4671</v>
      </c>
      <c r="D296" s="1" t="s">
        <v>312</v>
      </c>
      <c r="E296" s="1" t="s">
        <v>4672</v>
      </c>
      <c r="F296" s="1" t="s">
        <v>208</v>
      </c>
      <c r="G296" s="1">
        <v>1</v>
      </c>
      <c r="H296" s="3">
        <v>33839</v>
      </c>
      <c r="I296" s="1">
        <v>212</v>
      </c>
      <c r="J296" s="1" t="s">
        <v>4673</v>
      </c>
      <c r="K296" s="1" t="s">
        <v>4673</v>
      </c>
      <c r="L296" s="2">
        <f>91-9830565162</f>
        <v>-9830565071</v>
      </c>
      <c r="M296" s="1" t="s">
        <v>150</v>
      </c>
      <c r="N296" s="1">
        <v>0</v>
      </c>
      <c r="O296" s="1">
        <v>0</v>
      </c>
      <c r="P296" s="1">
        <v>5.09</v>
      </c>
      <c r="Q296" s="1">
        <v>10</v>
      </c>
      <c r="S296" s="1" t="s">
        <v>97</v>
      </c>
      <c r="T296" s="1" t="s">
        <v>427</v>
      </c>
      <c r="U296" s="1" t="s">
        <v>4674</v>
      </c>
      <c r="X296" s="1" t="s">
        <v>100</v>
      </c>
      <c r="Y296" s="1" t="s">
        <v>210</v>
      </c>
      <c r="Z296" s="1" t="s">
        <v>171</v>
      </c>
      <c r="AB296" s="1">
        <v>0</v>
      </c>
      <c r="AD296" s="1" t="s">
        <v>4675</v>
      </c>
      <c r="AE296" s="1" t="s">
        <v>142</v>
      </c>
      <c r="AF296" s="1" t="s">
        <v>105</v>
      </c>
      <c r="AG296" s="1" t="s">
        <v>4676</v>
      </c>
      <c r="AH296" s="1" t="s">
        <v>4677</v>
      </c>
      <c r="AI296" s="1" t="s">
        <v>4678</v>
      </c>
      <c r="AJ296" s="1" t="s">
        <v>109</v>
      </c>
      <c r="AK296" s="1" t="s">
        <v>4679</v>
      </c>
      <c r="AL296" s="1">
        <v>45</v>
      </c>
      <c r="AM296" s="1" t="s">
        <v>101</v>
      </c>
      <c r="AN296" s="1" t="s">
        <v>4680</v>
      </c>
      <c r="AP296" s="1">
        <f>91-9830565162</f>
        <v>-9830565071</v>
      </c>
      <c r="AR296" s="1">
        <v>0</v>
      </c>
      <c r="AS296" s="1">
        <v>0</v>
      </c>
      <c r="AT296" s="1" t="s">
        <v>4681</v>
      </c>
      <c r="AU296" s="1" t="s">
        <v>4682</v>
      </c>
      <c r="AV296" s="1" t="s">
        <v>2400</v>
      </c>
      <c r="AW296" s="1">
        <f>91-9748394424</f>
        <v>-9748394333</v>
      </c>
      <c r="AX296" s="1" t="s">
        <v>414</v>
      </c>
      <c r="AY296" s="1" t="s">
        <v>150</v>
      </c>
      <c r="AZ296" s="1">
        <v>5.05</v>
      </c>
      <c r="BA296" s="1">
        <v>5.09</v>
      </c>
      <c r="BE296" s="1" t="s">
        <v>2209</v>
      </c>
      <c r="BG296" s="1" t="s">
        <v>100</v>
      </c>
      <c r="BH296" s="1" t="s">
        <v>724</v>
      </c>
      <c r="BJ296" s="1" t="s">
        <v>120</v>
      </c>
      <c r="BK296" s="1" t="s">
        <v>120</v>
      </c>
      <c r="BL296" s="1">
        <v>0</v>
      </c>
      <c r="BM296" s="1">
        <v>0</v>
      </c>
      <c r="BN296" s="1" t="s">
        <v>4675</v>
      </c>
      <c r="BO296" s="1">
        <v>1</v>
      </c>
      <c r="BP296" s="1" t="s">
        <v>4683</v>
      </c>
      <c r="BQ296" s="1" t="s">
        <v>112</v>
      </c>
      <c r="BR296" s="1">
        <v>1</v>
      </c>
      <c r="BS296" s="1" t="s">
        <v>252</v>
      </c>
      <c r="BT296" s="1" t="s">
        <v>120</v>
      </c>
      <c r="BU296" s="1" t="s">
        <v>112</v>
      </c>
      <c r="BV296" s="1" t="s">
        <v>112</v>
      </c>
      <c r="BW296" s="1" t="s">
        <v>4684</v>
      </c>
      <c r="BX296" s="1" t="s">
        <v>4685</v>
      </c>
      <c r="BY296" s="1" t="s">
        <v>465</v>
      </c>
      <c r="BZ296" s="1">
        <v>1</v>
      </c>
      <c r="CA296" s="1">
        <v>1</v>
      </c>
      <c r="CB296" s="4">
        <v>43244.879765740741</v>
      </c>
      <c r="CC296" s="1">
        <v>1</v>
      </c>
      <c r="CD296" s="1">
        <v>1</v>
      </c>
      <c r="CE296" s="1">
        <v>1</v>
      </c>
      <c r="CF296" s="1">
        <v>1</v>
      </c>
      <c r="CG296" s="4">
        <v>43686.385168368055</v>
      </c>
      <c r="CH296" s="1" t="s">
        <v>112</v>
      </c>
      <c r="CI296" s="1" t="s">
        <v>829</v>
      </c>
      <c r="CJ296" s="1" t="s">
        <v>129</v>
      </c>
    </row>
    <row r="297" spans="1:88" x14ac:dyDescent="0.35">
      <c r="A297" s="1">
        <v>4994</v>
      </c>
      <c r="B297" s="1" t="s">
        <v>4686</v>
      </c>
      <c r="C297" s="1" t="s">
        <v>4687</v>
      </c>
      <c r="D297" s="1" t="s">
        <v>229</v>
      </c>
      <c r="E297" s="1" t="s">
        <v>4688</v>
      </c>
      <c r="F297" s="1" t="s">
        <v>185</v>
      </c>
      <c r="G297" s="1">
        <v>1</v>
      </c>
      <c r="H297" s="3">
        <v>33891</v>
      </c>
      <c r="I297" s="1">
        <v>1</v>
      </c>
      <c r="J297" s="1" t="s">
        <v>315</v>
      </c>
      <c r="K297" s="1" t="s">
        <v>316</v>
      </c>
      <c r="L297" s="2">
        <f>91-9924849863</f>
        <v>-9924849772</v>
      </c>
      <c r="M297" s="1" t="s">
        <v>150</v>
      </c>
      <c r="N297" s="1">
        <v>0</v>
      </c>
      <c r="O297" s="1">
        <v>0</v>
      </c>
      <c r="P297" s="1">
        <v>5.07</v>
      </c>
      <c r="Q297" s="1">
        <v>43</v>
      </c>
      <c r="R297" s="1" t="s">
        <v>2650</v>
      </c>
      <c r="S297" s="1" t="s">
        <v>97</v>
      </c>
      <c r="T297" s="1" t="s">
        <v>137</v>
      </c>
      <c r="U297" s="1" t="s">
        <v>4689</v>
      </c>
      <c r="V297" s="1" t="s">
        <v>4690</v>
      </c>
      <c r="X297" s="1" t="s">
        <v>100</v>
      </c>
      <c r="Y297" s="1" t="s">
        <v>111</v>
      </c>
      <c r="Z297" s="1" t="s">
        <v>192</v>
      </c>
      <c r="AA297" s="1" t="s">
        <v>4691</v>
      </c>
      <c r="AB297" s="1">
        <v>0</v>
      </c>
      <c r="AD297" s="1" t="s">
        <v>4692</v>
      </c>
      <c r="AE297" s="1">
        <f>91-9924849863</f>
        <v>-9924849772</v>
      </c>
      <c r="AF297" s="1" t="s">
        <v>105</v>
      </c>
      <c r="AG297" s="1" t="s">
        <v>4693</v>
      </c>
      <c r="AH297" s="1" t="s">
        <v>4694</v>
      </c>
      <c r="AI297" s="1" t="s">
        <v>4695</v>
      </c>
      <c r="AJ297" s="1" t="s">
        <v>109</v>
      </c>
      <c r="AK297" s="1" t="s">
        <v>4696</v>
      </c>
      <c r="AL297" s="1">
        <v>23</v>
      </c>
      <c r="AM297" s="1" t="s">
        <v>111</v>
      </c>
      <c r="AP297" s="1">
        <f>91-9924849863</f>
        <v>-9924849772</v>
      </c>
      <c r="AR297" s="1">
        <v>0</v>
      </c>
      <c r="AS297" s="1">
        <v>0</v>
      </c>
      <c r="AW297" s="1" t="s">
        <v>142</v>
      </c>
      <c r="AX297" s="1" t="s">
        <v>3606</v>
      </c>
      <c r="AY297" s="1" t="s">
        <v>150</v>
      </c>
      <c r="AZ297" s="1">
        <v>4.09</v>
      </c>
      <c r="BA297" s="1">
        <v>5.07</v>
      </c>
      <c r="BB297" s="1" t="s">
        <v>151</v>
      </c>
      <c r="BC297" s="1" t="s">
        <v>304</v>
      </c>
      <c r="BD297" s="1" t="s">
        <v>1333</v>
      </c>
      <c r="BE297" s="1" t="s">
        <v>120</v>
      </c>
      <c r="BF297" s="1" t="s">
        <v>120</v>
      </c>
      <c r="BG297" s="1" t="s">
        <v>120</v>
      </c>
      <c r="BH297" s="1" t="s">
        <v>120</v>
      </c>
      <c r="BJ297" s="1" t="s">
        <v>120</v>
      </c>
      <c r="BK297" s="1" t="s">
        <v>120</v>
      </c>
      <c r="BL297" s="1">
        <v>0</v>
      </c>
      <c r="BM297" s="1">
        <v>0</v>
      </c>
      <c r="BN297" s="1" t="s">
        <v>4697</v>
      </c>
      <c r="BO297" s="1">
        <v>1</v>
      </c>
      <c r="BP297" s="1" t="s">
        <v>4698</v>
      </c>
      <c r="BQ297" s="1" t="s">
        <v>112</v>
      </c>
      <c r="BR297" s="1">
        <v>0</v>
      </c>
      <c r="BS297" s="1" t="s">
        <v>129</v>
      </c>
      <c r="BT297" s="1" t="s">
        <v>124</v>
      </c>
      <c r="BU297" s="1" t="s">
        <v>4699</v>
      </c>
      <c r="BV297" s="1" t="s">
        <v>112</v>
      </c>
      <c r="BW297" s="1" t="s">
        <v>4700</v>
      </c>
      <c r="BX297" s="1" t="s">
        <v>4701</v>
      </c>
      <c r="BY297" s="1" t="s">
        <v>127</v>
      </c>
      <c r="BZ297" s="1">
        <v>1</v>
      </c>
      <c r="CA297" s="1">
        <v>1</v>
      </c>
      <c r="CB297" s="4">
        <v>43249.976945451388</v>
      </c>
      <c r="CC297" s="1">
        <v>1</v>
      </c>
      <c r="CD297" s="1">
        <v>1</v>
      </c>
      <c r="CE297" s="1">
        <v>1</v>
      </c>
      <c r="CF297" s="1">
        <v>1</v>
      </c>
      <c r="CG297" s="4">
        <v>43572.384670023152</v>
      </c>
      <c r="CH297" s="1" t="s">
        <v>112</v>
      </c>
      <c r="CI297" s="1" t="s">
        <v>4702</v>
      </c>
      <c r="CJ297" s="1" t="s">
        <v>157</v>
      </c>
    </row>
    <row r="298" spans="1:88" x14ac:dyDescent="0.35">
      <c r="A298" s="1">
        <v>4996</v>
      </c>
      <c r="B298" s="1" t="s">
        <v>4703</v>
      </c>
      <c r="C298" s="1" t="s">
        <v>4704</v>
      </c>
      <c r="D298" s="1" t="s">
        <v>90</v>
      </c>
      <c r="E298" s="1" t="s">
        <v>1251</v>
      </c>
      <c r="F298" s="1" t="s">
        <v>134</v>
      </c>
      <c r="G298" s="1">
        <v>1</v>
      </c>
      <c r="H298" s="3">
        <v>33880</v>
      </c>
      <c r="I298" s="1">
        <v>1</v>
      </c>
      <c r="J298" s="1" t="s">
        <v>315</v>
      </c>
      <c r="K298" s="1" t="s">
        <v>316</v>
      </c>
      <c r="L298" s="2">
        <f>91-9066354447</f>
        <v>-9066354356</v>
      </c>
      <c r="M298" s="1" t="s">
        <v>150</v>
      </c>
      <c r="N298" s="1">
        <v>0</v>
      </c>
      <c r="O298" s="1">
        <v>0</v>
      </c>
      <c r="P298" s="1">
        <v>5.0599999999999996</v>
      </c>
      <c r="Q298" s="1">
        <v>10</v>
      </c>
      <c r="S298" s="1" t="s">
        <v>97</v>
      </c>
      <c r="T298" s="1" t="s">
        <v>137</v>
      </c>
      <c r="U298" s="1" t="s">
        <v>2540</v>
      </c>
      <c r="V298" s="1" t="s">
        <v>2540</v>
      </c>
      <c r="X298" s="1" t="s">
        <v>100</v>
      </c>
      <c r="Y298" s="1" t="s">
        <v>111</v>
      </c>
      <c r="Z298" s="1" t="s">
        <v>192</v>
      </c>
      <c r="AB298" s="1">
        <v>0</v>
      </c>
      <c r="AD298" s="1" t="s">
        <v>4705</v>
      </c>
      <c r="AE298" s="1">
        <f>91-9066354440</f>
        <v>-9066354349</v>
      </c>
      <c r="AF298" s="1" t="s">
        <v>129</v>
      </c>
      <c r="AG298" s="1" t="s">
        <v>4706</v>
      </c>
      <c r="AH298" s="1" t="s">
        <v>4707</v>
      </c>
      <c r="AI298" s="1" t="s">
        <v>4708</v>
      </c>
      <c r="AJ298" s="1" t="s">
        <v>109</v>
      </c>
      <c r="AK298" s="1" t="s">
        <v>4709</v>
      </c>
      <c r="AL298" s="1">
        <v>6</v>
      </c>
      <c r="AM298" s="1" t="s">
        <v>129</v>
      </c>
      <c r="AP298" s="1">
        <f>91-9742414341</f>
        <v>-9742414250</v>
      </c>
      <c r="AR298" s="1">
        <v>0</v>
      </c>
      <c r="AS298" s="1">
        <v>0</v>
      </c>
      <c r="AW298" s="1" t="s">
        <v>142</v>
      </c>
      <c r="AX298" s="1" t="s">
        <v>642</v>
      </c>
      <c r="AY298" s="1" t="s">
        <v>150</v>
      </c>
      <c r="AZ298" s="1">
        <v>4</v>
      </c>
      <c r="BA298" s="1">
        <v>5.05</v>
      </c>
      <c r="BB298" s="1" t="s">
        <v>151</v>
      </c>
      <c r="BC298" s="1" t="s">
        <v>304</v>
      </c>
      <c r="BD298" s="1" t="s">
        <v>1333</v>
      </c>
      <c r="BE298" s="1" t="s">
        <v>120</v>
      </c>
      <c r="BF298" s="1" t="s">
        <v>120</v>
      </c>
      <c r="BG298" s="1" t="s">
        <v>120</v>
      </c>
      <c r="BH298" s="1" t="s">
        <v>120</v>
      </c>
      <c r="BJ298" s="1" t="s">
        <v>154</v>
      </c>
      <c r="BK298" s="1" t="s">
        <v>120</v>
      </c>
      <c r="BL298" s="1">
        <v>0</v>
      </c>
      <c r="BM298" s="1">
        <v>0</v>
      </c>
      <c r="BN298" s="1" t="s">
        <v>4710</v>
      </c>
      <c r="BO298" s="1">
        <v>1</v>
      </c>
      <c r="BP298" s="1" t="s">
        <v>4711</v>
      </c>
      <c r="BQ298" s="1" t="s">
        <v>112</v>
      </c>
      <c r="BR298" s="1">
        <v>0</v>
      </c>
      <c r="BS298" s="1" t="s">
        <v>129</v>
      </c>
      <c r="BT298" s="1" t="s">
        <v>124</v>
      </c>
      <c r="BU298" s="1" t="s">
        <v>112</v>
      </c>
      <c r="BV298" s="1" t="s">
        <v>112</v>
      </c>
      <c r="BW298" s="1" t="s">
        <v>4712</v>
      </c>
      <c r="BX298" s="1" t="s">
        <v>4713</v>
      </c>
      <c r="BY298" s="1" t="s">
        <v>120</v>
      </c>
      <c r="BZ298" s="1">
        <v>0</v>
      </c>
      <c r="CA298" s="1">
        <v>0</v>
      </c>
      <c r="CB298" s="4">
        <v>43250.116729548608</v>
      </c>
      <c r="CC298" s="1">
        <v>1</v>
      </c>
      <c r="CD298" s="1">
        <v>1</v>
      </c>
      <c r="CE298" s="1">
        <v>1</v>
      </c>
      <c r="CF298" s="1">
        <v>1</v>
      </c>
      <c r="CG298" s="4">
        <v>43760.316956134258</v>
      </c>
      <c r="CH298" s="1" t="s">
        <v>112</v>
      </c>
      <c r="CI298" s="1" t="s">
        <v>810</v>
      </c>
      <c r="CJ298" s="1" t="s">
        <v>157</v>
      </c>
    </row>
    <row r="299" spans="1:88" x14ac:dyDescent="0.35">
      <c r="A299" s="1">
        <v>4998</v>
      </c>
      <c r="B299" s="1" t="s">
        <v>4714</v>
      </c>
      <c r="C299" s="1" t="s">
        <v>4704</v>
      </c>
      <c r="D299" s="1" t="s">
        <v>132</v>
      </c>
      <c r="E299" s="1" t="s">
        <v>4715</v>
      </c>
      <c r="F299" s="1" t="s">
        <v>134</v>
      </c>
      <c r="G299" s="1">
        <v>1</v>
      </c>
      <c r="H299" s="3">
        <v>33678</v>
      </c>
      <c r="I299" s="1">
        <v>1</v>
      </c>
      <c r="J299" s="1" t="s">
        <v>315</v>
      </c>
      <c r="K299" s="1" t="s">
        <v>316</v>
      </c>
      <c r="L299" s="2">
        <f>91-9742414341</f>
        <v>-9742414250</v>
      </c>
      <c r="M299" s="1" t="s">
        <v>150</v>
      </c>
      <c r="N299" s="1">
        <v>0</v>
      </c>
      <c r="O299" s="1">
        <v>0</v>
      </c>
      <c r="P299" s="1">
        <v>5.04</v>
      </c>
      <c r="Q299" s="1">
        <v>10</v>
      </c>
      <c r="S299" s="1" t="s">
        <v>97</v>
      </c>
      <c r="T299" s="1" t="s">
        <v>234</v>
      </c>
      <c r="U299" s="1" t="s">
        <v>2540</v>
      </c>
      <c r="V299" s="1" t="s">
        <v>2540</v>
      </c>
      <c r="X299" s="1" t="s">
        <v>100</v>
      </c>
      <c r="Y299" s="1" t="s">
        <v>210</v>
      </c>
      <c r="Z299" s="1" t="s">
        <v>3109</v>
      </c>
      <c r="AB299" s="1">
        <v>0</v>
      </c>
      <c r="AD299" s="1" t="s">
        <v>4716</v>
      </c>
      <c r="AE299" s="1" t="s">
        <v>142</v>
      </c>
      <c r="AF299" s="1" t="s">
        <v>2541</v>
      </c>
      <c r="AG299" s="1" t="s">
        <v>4717</v>
      </c>
      <c r="AH299" s="1" t="s">
        <v>4718</v>
      </c>
      <c r="AI299" s="1" t="s">
        <v>4708</v>
      </c>
      <c r="AJ299" s="1" t="s">
        <v>109</v>
      </c>
      <c r="AK299" s="1" t="s">
        <v>4719</v>
      </c>
      <c r="AL299" s="1">
        <v>6</v>
      </c>
      <c r="AM299" s="1" t="s">
        <v>2541</v>
      </c>
      <c r="AP299" s="1">
        <f>91-9742414341</f>
        <v>-9742414250</v>
      </c>
      <c r="AR299" s="1">
        <v>0</v>
      </c>
      <c r="AS299" s="1">
        <v>0</v>
      </c>
      <c r="AW299" s="1" t="s">
        <v>142</v>
      </c>
      <c r="AX299" s="1" t="s">
        <v>642</v>
      </c>
      <c r="AY299" s="1" t="s">
        <v>150</v>
      </c>
      <c r="AZ299" s="1">
        <v>4</v>
      </c>
      <c r="BA299" s="1">
        <v>5.03</v>
      </c>
      <c r="BB299" s="1" t="s">
        <v>151</v>
      </c>
      <c r="BC299" s="1" t="s">
        <v>152</v>
      </c>
      <c r="BD299" s="1" t="s">
        <v>1395</v>
      </c>
      <c r="BE299" s="1" t="s">
        <v>120</v>
      </c>
      <c r="BF299" s="1" t="s">
        <v>120</v>
      </c>
      <c r="BG299" s="1" t="s">
        <v>2541</v>
      </c>
      <c r="BH299" s="1" t="s">
        <v>2541</v>
      </c>
      <c r="BI299" s="1" t="s">
        <v>3109</v>
      </c>
      <c r="BL299" s="1">
        <v>0</v>
      </c>
      <c r="BM299" s="1">
        <v>0</v>
      </c>
      <c r="BN299" s="1" t="s">
        <v>4720</v>
      </c>
      <c r="BO299" s="1">
        <v>0</v>
      </c>
      <c r="BQ299" s="1" t="s">
        <v>180</v>
      </c>
      <c r="BR299" s="1">
        <v>0</v>
      </c>
      <c r="BS299" s="1" t="s">
        <v>129</v>
      </c>
      <c r="BT299" s="1" t="s">
        <v>124</v>
      </c>
      <c r="BV299" s="1" t="s">
        <v>112</v>
      </c>
      <c r="BW299" s="1" t="s">
        <v>4721</v>
      </c>
      <c r="BX299" s="1" t="s">
        <v>4722</v>
      </c>
      <c r="BY299" s="1" t="s">
        <v>120</v>
      </c>
      <c r="BZ299" s="1">
        <v>0</v>
      </c>
      <c r="CA299" s="1">
        <v>0</v>
      </c>
      <c r="CB299" s="4">
        <v>43251.019192129628</v>
      </c>
      <c r="CC299" s="1">
        <v>1</v>
      </c>
      <c r="CD299" s="1">
        <v>1</v>
      </c>
      <c r="CE299" s="1">
        <v>1</v>
      </c>
      <c r="CF299" s="1">
        <v>1</v>
      </c>
      <c r="CG299" s="4">
        <v>44002.378453935184</v>
      </c>
      <c r="CH299" s="1" t="s">
        <v>112</v>
      </c>
      <c r="CI299" s="1" t="s">
        <v>810</v>
      </c>
      <c r="CJ299" s="1" t="s">
        <v>157</v>
      </c>
    </row>
    <row r="300" spans="1:88" x14ac:dyDescent="0.35">
      <c r="A300" s="1">
        <v>4999</v>
      </c>
      <c r="B300" s="1" t="s">
        <v>4723</v>
      </c>
      <c r="C300" s="1" t="s">
        <v>4724</v>
      </c>
      <c r="D300" s="1" t="s">
        <v>132</v>
      </c>
      <c r="E300" s="1" t="s">
        <v>4725</v>
      </c>
      <c r="F300" s="1" t="s">
        <v>185</v>
      </c>
      <c r="G300" s="1">
        <v>1</v>
      </c>
      <c r="H300" s="3">
        <v>32737</v>
      </c>
      <c r="I300" s="1">
        <v>1</v>
      </c>
      <c r="J300" s="1" t="s">
        <v>162</v>
      </c>
      <c r="K300" s="1" t="s">
        <v>163</v>
      </c>
      <c r="L300" s="2">
        <f>91-9725694801</f>
        <v>-9725694710</v>
      </c>
      <c r="M300" s="1" t="s">
        <v>150</v>
      </c>
      <c r="N300" s="1">
        <v>0</v>
      </c>
      <c r="O300" s="1">
        <v>0</v>
      </c>
      <c r="P300" s="1">
        <v>5.03</v>
      </c>
      <c r="Q300" s="1">
        <v>43</v>
      </c>
      <c r="R300" s="1" t="s">
        <v>188</v>
      </c>
      <c r="S300" s="1" t="s">
        <v>233</v>
      </c>
      <c r="T300" s="1" t="s">
        <v>1173</v>
      </c>
      <c r="U300" s="1" t="s">
        <v>4726</v>
      </c>
      <c r="V300" s="1" t="s">
        <v>2540</v>
      </c>
      <c r="W300" s="1" t="s">
        <v>4726</v>
      </c>
      <c r="X300" s="1" t="s">
        <v>296</v>
      </c>
      <c r="Y300" s="1" t="s">
        <v>111</v>
      </c>
      <c r="Z300" s="1" t="s">
        <v>192</v>
      </c>
      <c r="AB300" s="1">
        <v>0</v>
      </c>
      <c r="AD300" s="1" t="s">
        <v>4727</v>
      </c>
      <c r="AE300" s="1">
        <f>91-9879472442</f>
        <v>-9879472351</v>
      </c>
      <c r="AF300" s="1" t="s">
        <v>143</v>
      </c>
      <c r="AG300" s="1" t="s">
        <v>4728</v>
      </c>
      <c r="AH300" s="1" t="s">
        <v>4729</v>
      </c>
      <c r="AI300" s="1" t="s">
        <v>4730</v>
      </c>
      <c r="AJ300" s="1" t="s">
        <v>109</v>
      </c>
      <c r="AK300" s="1" t="s">
        <v>4731</v>
      </c>
      <c r="AL300" s="1">
        <v>14</v>
      </c>
      <c r="AM300" s="1" t="s">
        <v>148</v>
      </c>
      <c r="AP300" s="1">
        <f>91-9879472442</f>
        <v>-9879472351</v>
      </c>
      <c r="AR300" s="1">
        <v>1</v>
      </c>
      <c r="AS300" s="1">
        <v>1</v>
      </c>
      <c r="AW300" s="1" t="s">
        <v>142</v>
      </c>
      <c r="AX300" s="1" t="s">
        <v>664</v>
      </c>
      <c r="AY300" s="1" t="s">
        <v>150</v>
      </c>
      <c r="AZ300" s="1">
        <v>4.0999999999999996</v>
      </c>
      <c r="BA300" s="1">
        <v>5.0199999999999996</v>
      </c>
      <c r="BB300" s="1" t="s">
        <v>151</v>
      </c>
      <c r="BC300" s="1" t="s">
        <v>304</v>
      </c>
      <c r="BD300" s="1" t="s">
        <v>1333</v>
      </c>
      <c r="BE300" s="1" t="s">
        <v>4732</v>
      </c>
      <c r="BF300" s="1" t="s">
        <v>120</v>
      </c>
      <c r="BG300" s="1" t="s">
        <v>4733</v>
      </c>
      <c r="BH300" s="1" t="s">
        <v>114</v>
      </c>
      <c r="BJ300" s="1" t="s">
        <v>154</v>
      </c>
      <c r="BK300" s="1" t="s">
        <v>105</v>
      </c>
      <c r="BL300" s="1">
        <v>0</v>
      </c>
      <c r="BM300" s="1">
        <v>1</v>
      </c>
      <c r="BN300" s="1" t="s">
        <v>4734</v>
      </c>
      <c r="BO300" s="1">
        <v>1</v>
      </c>
      <c r="BP300" s="1" t="s">
        <v>4735</v>
      </c>
      <c r="BQ300" s="1" t="s">
        <v>112</v>
      </c>
      <c r="BR300" s="1">
        <v>1</v>
      </c>
      <c r="BS300" s="1" t="s">
        <v>123</v>
      </c>
      <c r="BT300" s="1" t="s">
        <v>124</v>
      </c>
      <c r="BU300" s="1" t="s">
        <v>4736</v>
      </c>
      <c r="BV300" s="1" t="s">
        <v>112</v>
      </c>
      <c r="BW300" s="1" t="s">
        <v>4737</v>
      </c>
      <c r="BX300" s="1" t="s">
        <v>4738</v>
      </c>
      <c r="BY300" s="1" t="s">
        <v>127</v>
      </c>
      <c r="BZ300" s="1">
        <v>0</v>
      </c>
      <c r="CA300" s="1">
        <v>0</v>
      </c>
      <c r="CB300" s="4">
        <v>43253.255077696762</v>
      </c>
      <c r="CC300" s="1">
        <v>1</v>
      </c>
      <c r="CD300" s="1">
        <v>1</v>
      </c>
      <c r="CE300" s="1">
        <v>1</v>
      </c>
      <c r="CF300" s="1">
        <v>1</v>
      </c>
      <c r="CG300" s="4">
        <v>43401.431501157407</v>
      </c>
      <c r="CH300" s="1" t="s">
        <v>112</v>
      </c>
      <c r="CI300" s="1" t="s">
        <v>4739</v>
      </c>
      <c r="CJ300" s="1" t="s">
        <v>157</v>
      </c>
    </row>
    <row r="301" spans="1:88" x14ac:dyDescent="0.35">
      <c r="A301" s="1">
        <v>5002</v>
      </c>
      <c r="B301" s="1" t="s">
        <v>4740</v>
      </c>
      <c r="C301" s="1" t="s">
        <v>4741</v>
      </c>
      <c r="D301" s="1" t="s">
        <v>90</v>
      </c>
      <c r="E301" s="1" t="s">
        <v>1251</v>
      </c>
      <c r="F301" s="1" t="s">
        <v>134</v>
      </c>
      <c r="G301" s="1">
        <v>1</v>
      </c>
      <c r="H301" s="3">
        <v>34099</v>
      </c>
      <c r="I301" s="1">
        <v>1</v>
      </c>
      <c r="J301" s="1" t="s">
        <v>3242</v>
      </c>
      <c r="K301" s="1" t="s">
        <v>4742</v>
      </c>
      <c r="L301" s="2">
        <f>91-9681413343</f>
        <v>-9681413252</v>
      </c>
      <c r="M301" s="1" t="s">
        <v>150</v>
      </c>
      <c r="N301" s="1">
        <v>0</v>
      </c>
      <c r="O301" s="1">
        <v>0</v>
      </c>
      <c r="P301" s="1">
        <v>5.0599999999999996</v>
      </c>
      <c r="Q301" s="1">
        <v>5</v>
      </c>
      <c r="R301" s="1" t="s">
        <v>263</v>
      </c>
      <c r="S301" s="1" t="s">
        <v>97</v>
      </c>
      <c r="T301" s="1" t="s">
        <v>137</v>
      </c>
      <c r="U301" s="1" t="s">
        <v>2540</v>
      </c>
      <c r="V301" s="1" t="s">
        <v>2540</v>
      </c>
      <c r="X301" s="1" t="s">
        <v>100</v>
      </c>
      <c r="Y301" s="1" t="s">
        <v>111</v>
      </c>
      <c r="Z301" s="1" t="s">
        <v>192</v>
      </c>
      <c r="AB301" s="1">
        <v>0</v>
      </c>
      <c r="AD301" s="1" t="s">
        <v>4743</v>
      </c>
      <c r="AE301" s="1" t="s">
        <v>142</v>
      </c>
      <c r="AF301" s="1" t="s">
        <v>2541</v>
      </c>
      <c r="AG301" s="1" t="s">
        <v>4744</v>
      </c>
      <c r="AH301" s="1" t="s">
        <v>4745</v>
      </c>
      <c r="AI301" s="1" t="s">
        <v>4746</v>
      </c>
      <c r="AJ301" s="1" t="s">
        <v>109</v>
      </c>
      <c r="AK301" s="1" t="s">
        <v>4747</v>
      </c>
      <c r="AL301" s="1">
        <v>22</v>
      </c>
      <c r="AM301" s="1" t="s">
        <v>2541</v>
      </c>
      <c r="AP301" s="1">
        <f>91-8013636866</f>
        <v>-8013636775</v>
      </c>
      <c r="AR301" s="1">
        <v>0</v>
      </c>
      <c r="AS301" s="1">
        <v>0</v>
      </c>
      <c r="AW301" s="1" t="s">
        <v>142</v>
      </c>
      <c r="AX301" s="1" t="s">
        <v>414</v>
      </c>
      <c r="AY301" s="1" t="s">
        <v>150</v>
      </c>
      <c r="AZ301" s="1">
        <v>4.0999999999999996</v>
      </c>
      <c r="BA301" s="1">
        <v>5.0199999999999996</v>
      </c>
      <c r="BB301" s="1" t="s">
        <v>151</v>
      </c>
      <c r="BC301" s="1" t="s">
        <v>152</v>
      </c>
      <c r="BD301" s="1" t="s">
        <v>1395</v>
      </c>
      <c r="BE301" s="1" t="s">
        <v>97</v>
      </c>
      <c r="BF301" s="1" t="s">
        <v>120</v>
      </c>
      <c r="BG301" s="1" t="s">
        <v>2541</v>
      </c>
      <c r="BH301" s="1" t="s">
        <v>2541</v>
      </c>
      <c r="BI301" s="1" t="s">
        <v>192</v>
      </c>
      <c r="BL301" s="1">
        <v>0</v>
      </c>
      <c r="BM301" s="1">
        <v>0</v>
      </c>
      <c r="BN301" s="1" t="s">
        <v>4748</v>
      </c>
      <c r="BO301" s="1">
        <v>0</v>
      </c>
      <c r="BQ301" s="1" t="s">
        <v>180</v>
      </c>
      <c r="BR301" s="1">
        <v>0</v>
      </c>
      <c r="BS301" s="1" t="s">
        <v>334</v>
      </c>
      <c r="BT301" s="1" t="s">
        <v>124</v>
      </c>
      <c r="BV301" s="1" t="s">
        <v>112</v>
      </c>
      <c r="BW301" s="1" t="s">
        <v>4749</v>
      </c>
      <c r="BX301" s="1" t="s">
        <v>4750</v>
      </c>
      <c r="BY301" s="1" t="s">
        <v>120</v>
      </c>
      <c r="BZ301" s="1">
        <v>0</v>
      </c>
      <c r="CA301" s="1">
        <v>0</v>
      </c>
      <c r="CB301" s="4">
        <v>43259.411154201392</v>
      </c>
      <c r="CC301" s="1">
        <v>1</v>
      </c>
      <c r="CD301" s="1">
        <v>1</v>
      </c>
      <c r="CE301" s="1">
        <v>1</v>
      </c>
      <c r="CF301" s="1">
        <v>1</v>
      </c>
      <c r="CG301" s="4">
        <v>43265.266505868058</v>
      </c>
      <c r="CH301" s="1" t="s">
        <v>112</v>
      </c>
      <c r="CI301" s="1" t="s">
        <v>4751</v>
      </c>
      <c r="CJ301" s="1" t="s">
        <v>157</v>
      </c>
    </row>
    <row r="302" spans="1:88" x14ac:dyDescent="0.35">
      <c r="A302" s="1">
        <v>5004</v>
      </c>
      <c r="B302" s="1" t="s">
        <v>4752</v>
      </c>
      <c r="C302" s="1" t="s">
        <v>4753</v>
      </c>
      <c r="D302" s="1" t="s">
        <v>90</v>
      </c>
      <c r="E302" s="1" t="s">
        <v>4754</v>
      </c>
      <c r="F302" s="1" t="s">
        <v>134</v>
      </c>
      <c r="G302" s="1">
        <v>1</v>
      </c>
      <c r="H302" s="3">
        <v>33261</v>
      </c>
      <c r="I302" s="1">
        <v>1</v>
      </c>
      <c r="J302" s="1" t="s">
        <v>93</v>
      </c>
      <c r="K302" s="1" t="s">
        <v>490</v>
      </c>
      <c r="L302" s="2">
        <f>91-7020622654</f>
        <v>-7020622563</v>
      </c>
      <c r="M302" s="1" t="s">
        <v>150</v>
      </c>
      <c r="N302" s="1">
        <v>0</v>
      </c>
      <c r="O302" s="1">
        <v>0</v>
      </c>
      <c r="P302" s="1">
        <v>5.08</v>
      </c>
      <c r="Q302" s="1">
        <v>23</v>
      </c>
      <c r="R302" s="1" t="s">
        <v>1987</v>
      </c>
      <c r="S302" s="1" t="s">
        <v>97</v>
      </c>
      <c r="T302" s="1" t="s">
        <v>427</v>
      </c>
      <c r="U302" s="1" t="s">
        <v>2540</v>
      </c>
      <c r="V302" s="1" t="s">
        <v>2540</v>
      </c>
      <c r="X302" s="1" t="s">
        <v>100</v>
      </c>
      <c r="Y302" s="1" t="s">
        <v>111</v>
      </c>
      <c r="Z302" s="1" t="s">
        <v>797</v>
      </c>
      <c r="AB302" s="1">
        <v>0</v>
      </c>
      <c r="AD302" s="1" t="s">
        <v>4755</v>
      </c>
      <c r="AE302" s="1" t="s">
        <v>142</v>
      </c>
      <c r="AF302" s="1" t="s">
        <v>2541</v>
      </c>
      <c r="AG302" s="1" t="s">
        <v>4756</v>
      </c>
      <c r="AH302" s="1" t="s">
        <v>4757</v>
      </c>
      <c r="AI302" s="1" t="s">
        <v>4758</v>
      </c>
      <c r="AJ302" s="1" t="s">
        <v>4028</v>
      </c>
      <c r="AK302" s="1" t="s">
        <v>4759</v>
      </c>
      <c r="AL302" s="1">
        <v>2</v>
      </c>
      <c r="AM302" s="1" t="s">
        <v>2541</v>
      </c>
      <c r="AP302" s="1">
        <f>91-8308260402</f>
        <v>-8308260311</v>
      </c>
      <c r="AR302" s="1">
        <v>0</v>
      </c>
      <c r="AS302" s="1">
        <v>0</v>
      </c>
      <c r="AW302" s="1" t="s">
        <v>142</v>
      </c>
      <c r="AX302" s="1" t="s">
        <v>1418</v>
      </c>
      <c r="AY302" s="1" t="s">
        <v>150</v>
      </c>
      <c r="AZ302" s="1">
        <v>4.1100000000000003</v>
      </c>
      <c r="BA302" s="1">
        <v>5.0599999999999996</v>
      </c>
      <c r="BB302" s="1" t="s">
        <v>151</v>
      </c>
      <c r="BC302" s="1" t="s">
        <v>304</v>
      </c>
      <c r="BD302" s="1" t="s">
        <v>1333</v>
      </c>
      <c r="BE302" s="1" t="s">
        <v>870</v>
      </c>
      <c r="BF302" s="1" t="s">
        <v>120</v>
      </c>
      <c r="BG302" s="1" t="s">
        <v>120</v>
      </c>
      <c r="BH302" s="1" t="s">
        <v>132</v>
      </c>
      <c r="BJ302" s="1" t="s">
        <v>154</v>
      </c>
      <c r="BK302" s="1" t="s">
        <v>120</v>
      </c>
      <c r="BL302" s="1">
        <v>0</v>
      </c>
      <c r="BM302" s="1">
        <v>0</v>
      </c>
      <c r="BN302" s="1" t="s">
        <v>4760</v>
      </c>
      <c r="BO302" s="1">
        <v>1</v>
      </c>
      <c r="BQ302" s="1" t="s">
        <v>180</v>
      </c>
      <c r="BR302" s="1">
        <v>0</v>
      </c>
      <c r="BS302" s="1" t="s">
        <v>596</v>
      </c>
      <c r="BT302" s="1" t="s">
        <v>124</v>
      </c>
      <c r="BV302" s="1" t="s">
        <v>112</v>
      </c>
      <c r="BW302" s="1" t="s">
        <v>4761</v>
      </c>
      <c r="BX302" s="1" t="s">
        <v>4762</v>
      </c>
      <c r="BY302" s="1" t="s">
        <v>120</v>
      </c>
      <c r="BZ302" s="1">
        <v>0</v>
      </c>
      <c r="CA302" s="1">
        <v>0</v>
      </c>
      <c r="CB302" s="4">
        <v>43262.333060960649</v>
      </c>
      <c r="CC302" s="1">
        <v>1</v>
      </c>
      <c r="CD302" s="1">
        <v>1</v>
      </c>
      <c r="CE302" s="1">
        <v>1</v>
      </c>
      <c r="CF302" s="1">
        <v>1</v>
      </c>
      <c r="CG302" s="4">
        <v>43262.670651539353</v>
      </c>
      <c r="CH302" s="1" t="s">
        <v>112</v>
      </c>
      <c r="CI302" s="1" t="s">
        <v>4763</v>
      </c>
      <c r="CJ302" s="1" t="s">
        <v>157</v>
      </c>
    </row>
    <row r="303" spans="1:88" x14ac:dyDescent="0.35">
      <c r="A303" s="1">
        <v>5007</v>
      </c>
      <c r="B303" s="1" t="s">
        <v>4764</v>
      </c>
      <c r="C303" s="1">
        <v>23101984</v>
      </c>
      <c r="D303" s="1" t="s">
        <v>229</v>
      </c>
      <c r="E303" s="1" t="s">
        <v>4765</v>
      </c>
      <c r="F303" s="1" t="s">
        <v>1690</v>
      </c>
      <c r="G303" s="1">
        <v>1</v>
      </c>
      <c r="H303" s="3">
        <v>29794</v>
      </c>
      <c r="I303" s="1">
        <v>1</v>
      </c>
      <c r="J303" s="1" t="s">
        <v>162</v>
      </c>
      <c r="K303" s="1" t="s">
        <v>1037</v>
      </c>
      <c r="L303" s="2">
        <f>91-8347010191</f>
        <v>-8347010100</v>
      </c>
      <c r="M303" s="1" t="s">
        <v>150</v>
      </c>
      <c r="N303" s="1">
        <v>0</v>
      </c>
      <c r="O303" s="1">
        <v>0</v>
      </c>
      <c r="P303" s="1">
        <v>5.04</v>
      </c>
      <c r="Q303" s="1">
        <v>8</v>
      </c>
      <c r="R303" s="1" t="s">
        <v>605</v>
      </c>
      <c r="S303" s="1" t="s">
        <v>136</v>
      </c>
      <c r="T303" s="1" t="s">
        <v>341</v>
      </c>
      <c r="U303" s="1" t="s">
        <v>4766</v>
      </c>
      <c r="V303" s="1" t="s">
        <v>4767</v>
      </c>
      <c r="X303" s="1" t="s">
        <v>296</v>
      </c>
      <c r="Y303" s="1" t="s">
        <v>210</v>
      </c>
      <c r="Z303" s="1" t="s">
        <v>450</v>
      </c>
      <c r="AA303" s="1" t="s">
        <v>4768</v>
      </c>
      <c r="AB303" s="1">
        <v>0</v>
      </c>
      <c r="AD303" s="1" t="s">
        <v>4769</v>
      </c>
      <c r="AE303" s="1">
        <f>91-2770273266</f>
        <v>-2770273175</v>
      </c>
      <c r="AF303" s="1" t="s">
        <v>143</v>
      </c>
      <c r="AG303" s="1" t="s">
        <v>2909</v>
      </c>
      <c r="AH303" s="1" t="s">
        <v>4770</v>
      </c>
      <c r="AI303" s="1" t="s">
        <v>4771</v>
      </c>
      <c r="AJ303" s="1" t="s">
        <v>109</v>
      </c>
      <c r="AK303" s="1" t="s">
        <v>4772</v>
      </c>
      <c r="AL303" s="1">
        <v>60</v>
      </c>
      <c r="AM303" s="1" t="s">
        <v>111</v>
      </c>
      <c r="AN303" s="1" t="s">
        <v>2439</v>
      </c>
      <c r="AO303" s="1" t="s">
        <v>4773</v>
      </c>
      <c r="AP303" s="1">
        <f>91-9825494691</f>
        <v>-9825494600</v>
      </c>
      <c r="AR303" s="1">
        <v>1</v>
      </c>
      <c r="AS303" s="1">
        <v>1</v>
      </c>
      <c r="AT303" s="1" t="s">
        <v>4774</v>
      </c>
      <c r="AU303" s="1" t="s">
        <v>4775</v>
      </c>
      <c r="AV303" s="1" t="s">
        <v>4776</v>
      </c>
      <c r="AW303" s="1">
        <f>91-0</f>
        <v>91</v>
      </c>
      <c r="AX303" s="1" t="s">
        <v>4777</v>
      </c>
      <c r="AY303" s="1" t="s">
        <v>119</v>
      </c>
      <c r="AZ303" s="1">
        <v>5</v>
      </c>
      <c r="BA303" s="1">
        <v>5.03</v>
      </c>
      <c r="BB303" s="1" t="s">
        <v>151</v>
      </c>
      <c r="BC303" s="1" t="s">
        <v>304</v>
      </c>
      <c r="BD303" s="1" t="s">
        <v>1333</v>
      </c>
      <c r="BE303" s="1" t="s">
        <v>4778</v>
      </c>
      <c r="BF303" s="1" t="s">
        <v>120</v>
      </c>
      <c r="BG303" s="1" t="s">
        <v>3472</v>
      </c>
      <c r="BH303" s="1" t="s">
        <v>120</v>
      </c>
      <c r="BI303" s="1" t="s">
        <v>450</v>
      </c>
      <c r="BJ303" s="1" t="s">
        <v>120</v>
      </c>
      <c r="BK303" s="1" t="s">
        <v>120</v>
      </c>
      <c r="BL303" s="1">
        <v>0</v>
      </c>
      <c r="BM303" s="1">
        <v>0</v>
      </c>
      <c r="BN303" s="1" t="s">
        <v>4779</v>
      </c>
      <c r="BO303" s="1">
        <v>1</v>
      </c>
      <c r="BP303" s="1" t="s">
        <v>4780</v>
      </c>
      <c r="BQ303" s="1" t="s">
        <v>112</v>
      </c>
      <c r="BR303" s="1">
        <v>0</v>
      </c>
      <c r="BS303" s="1" t="s">
        <v>307</v>
      </c>
      <c r="BT303" s="1" t="s">
        <v>306</v>
      </c>
      <c r="BU303" s="1" t="s">
        <v>4781</v>
      </c>
      <c r="BV303" s="1" t="s">
        <v>112</v>
      </c>
      <c r="BW303" s="1" t="s">
        <v>4782</v>
      </c>
      <c r="BX303" s="1" t="s">
        <v>4783</v>
      </c>
      <c r="BY303" s="1" t="s">
        <v>465</v>
      </c>
      <c r="BZ303" s="1">
        <v>0</v>
      </c>
      <c r="CA303" s="1">
        <v>0</v>
      </c>
      <c r="CB303" s="4">
        <v>43264.381754780094</v>
      </c>
      <c r="CC303" s="1">
        <v>1</v>
      </c>
      <c r="CD303" s="1">
        <v>1</v>
      </c>
      <c r="CE303" s="1">
        <v>1</v>
      </c>
      <c r="CF303" s="1">
        <v>1</v>
      </c>
      <c r="CG303" s="4">
        <v>43269.721103703705</v>
      </c>
      <c r="CH303" s="1" t="s">
        <v>112</v>
      </c>
      <c r="CI303" s="1" t="s">
        <v>4784</v>
      </c>
      <c r="CJ303" s="1" t="s">
        <v>157</v>
      </c>
    </row>
    <row r="304" spans="1:88" x14ac:dyDescent="0.35">
      <c r="A304" s="1">
        <v>5009</v>
      </c>
      <c r="B304" s="1" t="s">
        <v>4785</v>
      </c>
      <c r="C304" s="1" t="s">
        <v>4786</v>
      </c>
      <c r="D304" s="1" t="s">
        <v>90</v>
      </c>
      <c r="E304" s="1" t="s">
        <v>4787</v>
      </c>
      <c r="F304" s="1" t="s">
        <v>4788</v>
      </c>
      <c r="G304" s="1">
        <v>1</v>
      </c>
      <c r="H304" s="3">
        <v>32352</v>
      </c>
      <c r="I304" s="1">
        <v>1</v>
      </c>
      <c r="J304" s="1" t="s">
        <v>162</v>
      </c>
      <c r="K304" s="1" t="s">
        <v>1037</v>
      </c>
      <c r="L304" s="2">
        <f>91-9824431050</f>
        <v>-9824430959</v>
      </c>
      <c r="M304" s="1" t="s">
        <v>150</v>
      </c>
      <c r="N304" s="1">
        <v>0</v>
      </c>
      <c r="O304" s="1">
        <v>0</v>
      </c>
      <c r="P304" s="1">
        <v>5.07</v>
      </c>
      <c r="Q304" s="1">
        <v>3</v>
      </c>
      <c r="R304" s="1" t="s">
        <v>4789</v>
      </c>
      <c r="S304" s="1" t="s">
        <v>1914</v>
      </c>
      <c r="T304" s="1" t="s">
        <v>1915</v>
      </c>
      <c r="U304" s="1" t="s">
        <v>4790</v>
      </c>
      <c r="V304" s="1" t="s">
        <v>4791</v>
      </c>
      <c r="W304" s="1" t="s">
        <v>4792</v>
      </c>
      <c r="X304" s="1" t="s">
        <v>100</v>
      </c>
      <c r="Y304" s="1" t="s">
        <v>101</v>
      </c>
      <c r="Z304" s="1" t="s">
        <v>1917</v>
      </c>
      <c r="AB304" s="1">
        <v>0</v>
      </c>
      <c r="AD304" s="1" t="s">
        <v>4793</v>
      </c>
      <c r="AE304" s="1" t="s">
        <v>142</v>
      </c>
      <c r="AF304" s="1" t="s">
        <v>105</v>
      </c>
      <c r="AG304" s="1" t="s">
        <v>637</v>
      </c>
      <c r="AH304" s="1" t="s">
        <v>4794</v>
      </c>
      <c r="AI304" s="1" t="s">
        <v>4795</v>
      </c>
      <c r="AJ304" s="1" t="s">
        <v>109</v>
      </c>
      <c r="AK304" s="1" t="s">
        <v>4796</v>
      </c>
      <c r="AL304" s="1">
        <v>50</v>
      </c>
      <c r="AM304" s="1" t="s">
        <v>111</v>
      </c>
      <c r="AN304" s="1" t="s">
        <v>4797</v>
      </c>
      <c r="AP304" s="1">
        <f>91-9824431050</f>
        <v>-9824430959</v>
      </c>
      <c r="AR304" s="1">
        <v>0</v>
      </c>
      <c r="AS304" s="1">
        <v>0</v>
      </c>
      <c r="AT304" s="1" t="s">
        <v>4798</v>
      </c>
      <c r="AU304" s="1" t="s">
        <v>4799</v>
      </c>
      <c r="AV304" s="1" t="s">
        <v>4800</v>
      </c>
      <c r="AW304" s="1">
        <f>91-9913024307</f>
        <v>-9913024216</v>
      </c>
      <c r="AX304" s="1" t="s">
        <v>526</v>
      </c>
      <c r="AY304" s="1" t="s">
        <v>150</v>
      </c>
      <c r="AZ304" s="1">
        <v>5</v>
      </c>
      <c r="BA304" s="1">
        <v>5.0599999999999996</v>
      </c>
      <c r="BE304" s="1" t="s">
        <v>1953</v>
      </c>
      <c r="BG304" s="1" t="s">
        <v>100</v>
      </c>
      <c r="BH304" s="1" t="s">
        <v>1784</v>
      </c>
      <c r="BJ304" s="1" t="s">
        <v>154</v>
      </c>
      <c r="BK304" s="1" t="s">
        <v>120</v>
      </c>
      <c r="BL304" s="1">
        <v>0</v>
      </c>
      <c r="BM304" s="1">
        <v>0</v>
      </c>
      <c r="BN304" s="1" t="s">
        <v>4801</v>
      </c>
      <c r="BO304" s="1">
        <v>1</v>
      </c>
      <c r="BP304" s="1" t="s">
        <v>4802</v>
      </c>
      <c r="BQ304" s="1" t="s">
        <v>112</v>
      </c>
      <c r="BR304" s="1">
        <v>1</v>
      </c>
      <c r="BS304" s="1" t="s">
        <v>1208</v>
      </c>
      <c r="BT304" s="1" t="s">
        <v>124</v>
      </c>
      <c r="BU304" s="1" t="s">
        <v>4803</v>
      </c>
      <c r="BV304" s="1" t="s">
        <v>112</v>
      </c>
      <c r="BW304" s="1" t="s">
        <v>4804</v>
      </c>
      <c r="BX304" s="1" t="s">
        <v>4805</v>
      </c>
      <c r="BY304" s="1" t="s">
        <v>465</v>
      </c>
      <c r="BZ304" s="1">
        <v>2</v>
      </c>
      <c r="CA304" s="1">
        <v>1</v>
      </c>
      <c r="CB304" s="4">
        <v>43269.010171793983</v>
      </c>
      <c r="CC304" s="1">
        <v>1</v>
      </c>
      <c r="CD304" s="1">
        <v>1</v>
      </c>
      <c r="CE304" s="1">
        <v>1</v>
      </c>
      <c r="CF304" s="1">
        <v>1</v>
      </c>
      <c r="CG304" s="4">
        <v>43796.532649687499</v>
      </c>
      <c r="CH304" s="1" t="s">
        <v>112</v>
      </c>
      <c r="CI304" s="1" t="s">
        <v>4806</v>
      </c>
      <c r="CJ304" s="1" t="s">
        <v>129</v>
      </c>
    </row>
    <row r="305" spans="1:88" x14ac:dyDescent="0.35">
      <c r="A305" s="1">
        <v>5012</v>
      </c>
      <c r="B305" s="1" t="s">
        <v>4807</v>
      </c>
      <c r="C305" s="1" t="s">
        <v>4808</v>
      </c>
      <c r="D305" s="1" t="s">
        <v>259</v>
      </c>
      <c r="E305" s="1" t="s">
        <v>4809</v>
      </c>
      <c r="F305" s="1" t="s">
        <v>603</v>
      </c>
      <c r="G305" s="1">
        <v>0</v>
      </c>
      <c r="H305" s="3">
        <v>33769</v>
      </c>
      <c r="I305" s="1">
        <v>1</v>
      </c>
      <c r="J305" s="1" t="s">
        <v>315</v>
      </c>
      <c r="K305" s="1" t="s">
        <v>316</v>
      </c>
      <c r="L305" s="2">
        <f>91-9900008384</f>
        <v>-9900008293</v>
      </c>
      <c r="M305" s="1" t="s">
        <v>150</v>
      </c>
      <c r="N305" s="1">
        <v>0</v>
      </c>
      <c r="O305" s="1">
        <v>0</v>
      </c>
      <c r="P305" s="1">
        <v>5.01</v>
      </c>
      <c r="Q305" s="1">
        <v>14</v>
      </c>
      <c r="R305" s="1" t="s">
        <v>164</v>
      </c>
      <c r="S305" s="1" t="s">
        <v>136</v>
      </c>
      <c r="T305" s="1" t="s">
        <v>137</v>
      </c>
      <c r="U305" s="1" t="s">
        <v>2540</v>
      </c>
      <c r="V305" s="1" t="s">
        <v>2540</v>
      </c>
      <c r="X305" s="1" t="s">
        <v>100</v>
      </c>
      <c r="Y305" s="1" t="s">
        <v>210</v>
      </c>
      <c r="Z305" s="1" t="s">
        <v>2724</v>
      </c>
      <c r="AB305" s="1">
        <v>0</v>
      </c>
      <c r="AD305" s="1" t="s">
        <v>4810</v>
      </c>
      <c r="AE305" s="1">
        <f>91-9900008384</f>
        <v>-9900008293</v>
      </c>
      <c r="AF305" s="1" t="s">
        <v>105</v>
      </c>
      <c r="AG305" s="1" t="s">
        <v>4811</v>
      </c>
      <c r="AH305" s="1" t="s">
        <v>4812</v>
      </c>
      <c r="AI305" s="1" t="s">
        <v>4813</v>
      </c>
      <c r="AJ305" s="1" t="s">
        <v>109</v>
      </c>
      <c r="AK305" s="1" t="s">
        <v>4814</v>
      </c>
      <c r="AL305" s="1">
        <v>18</v>
      </c>
      <c r="AM305" s="1" t="s">
        <v>111</v>
      </c>
      <c r="AN305" s="1" t="s">
        <v>1564</v>
      </c>
      <c r="AO305" s="1" t="s">
        <v>4815</v>
      </c>
      <c r="AP305" s="1">
        <f>91-9900008384</f>
        <v>-9900008293</v>
      </c>
      <c r="AQ305" s="1" t="s">
        <v>1951</v>
      </c>
      <c r="AR305" s="1">
        <v>1</v>
      </c>
      <c r="AS305" s="1">
        <v>0</v>
      </c>
      <c r="AW305" s="1" t="s">
        <v>142</v>
      </c>
      <c r="AX305" s="1" t="s">
        <v>3095</v>
      </c>
      <c r="AY305" s="1" t="s">
        <v>150</v>
      </c>
      <c r="AZ305" s="1">
        <v>5.05</v>
      </c>
      <c r="BA305" s="1">
        <v>5.1100000000000003</v>
      </c>
      <c r="BE305" s="1" t="s">
        <v>219</v>
      </c>
      <c r="BG305" s="1" t="s">
        <v>100</v>
      </c>
      <c r="BH305" s="1" t="s">
        <v>283</v>
      </c>
      <c r="BJ305" s="1" t="s">
        <v>154</v>
      </c>
      <c r="BK305" s="1" t="s">
        <v>120</v>
      </c>
      <c r="BL305" s="1">
        <v>0</v>
      </c>
      <c r="BM305" s="1">
        <v>1</v>
      </c>
      <c r="BN305" s="1" t="s">
        <v>4816</v>
      </c>
      <c r="BO305" s="1">
        <v>1</v>
      </c>
      <c r="BP305" s="1" t="s">
        <v>4817</v>
      </c>
      <c r="BQ305" s="1" t="s">
        <v>112</v>
      </c>
      <c r="BR305" s="1">
        <v>1</v>
      </c>
      <c r="BS305" s="1" t="s">
        <v>376</v>
      </c>
      <c r="BT305" s="1" t="s">
        <v>124</v>
      </c>
      <c r="BU305" s="1" t="s">
        <v>112</v>
      </c>
      <c r="BV305" s="1" t="s">
        <v>112</v>
      </c>
      <c r="BW305" s="1" t="s">
        <v>4818</v>
      </c>
      <c r="BX305" s="1" t="s">
        <v>4819</v>
      </c>
      <c r="BY305" s="1" t="s">
        <v>120</v>
      </c>
      <c r="BZ305" s="1">
        <v>1</v>
      </c>
      <c r="CA305" s="1">
        <v>0</v>
      </c>
      <c r="CB305" s="4">
        <v>43272.39677230324</v>
      </c>
      <c r="CC305" s="1">
        <v>1</v>
      </c>
      <c r="CD305" s="1">
        <v>1</v>
      </c>
      <c r="CE305" s="1">
        <v>1</v>
      </c>
      <c r="CF305" s="1">
        <v>1</v>
      </c>
      <c r="CG305" s="4">
        <v>43273.330124108797</v>
      </c>
      <c r="CH305" s="1" t="s">
        <v>112</v>
      </c>
      <c r="CI305" s="1" t="s">
        <v>4820</v>
      </c>
      <c r="CJ305" s="1" t="s">
        <v>129</v>
      </c>
    </row>
    <row r="306" spans="1:88" x14ac:dyDescent="0.35">
      <c r="A306" s="1">
        <v>5014</v>
      </c>
      <c r="B306" s="1" t="s">
        <v>4821</v>
      </c>
      <c r="C306" s="1" t="s">
        <v>4822</v>
      </c>
      <c r="D306" s="1" t="s">
        <v>229</v>
      </c>
      <c r="E306" s="1" t="s">
        <v>3131</v>
      </c>
      <c r="F306" s="1" t="s">
        <v>208</v>
      </c>
      <c r="G306" s="1">
        <v>1</v>
      </c>
      <c r="H306" s="3">
        <v>34994</v>
      </c>
      <c r="I306" s="1">
        <v>1</v>
      </c>
      <c r="J306" s="1" t="s">
        <v>162</v>
      </c>
      <c r="K306" s="1" t="s">
        <v>1037</v>
      </c>
      <c r="L306" s="2">
        <f>91-9998670224</f>
        <v>-9998670133</v>
      </c>
      <c r="M306" s="1" t="s">
        <v>150</v>
      </c>
      <c r="N306" s="1">
        <v>0</v>
      </c>
      <c r="O306" s="1">
        <v>0</v>
      </c>
      <c r="P306" s="1">
        <v>5</v>
      </c>
      <c r="Q306" s="1">
        <v>10</v>
      </c>
      <c r="S306" s="1" t="s">
        <v>492</v>
      </c>
      <c r="T306" s="1" t="s">
        <v>137</v>
      </c>
      <c r="U306" s="1" t="s">
        <v>2540</v>
      </c>
      <c r="V306" s="1" t="s">
        <v>2540</v>
      </c>
      <c r="X306" s="1" t="s">
        <v>296</v>
      </c>
      <c r="Y306" s="1" t="s">
        <v>111</v>
      </c>
      <c r="Z306" s="1" t="s">
        <v>192</v>
      </c>
      <c r="AB306" s="1">
        <v>0</v>
      </c>
      <c r="AD306" s="1" t="s">
        <v>3258</v>
      </c>
      <c r="AE306" s="1">
        <f>91-9426653641</f>
        <v>-9426653550</v>
      </c>
      <c r="AF306" s="1" t="s">
        <v>2541</v>
      </c>
      <c r="AG306" s="1" t="s">
        <v>4823</v>
      </c>
      <c r="AH306" s="1" t="s">
        <v>4824</v>
      </c>
      <c r="AI306" s="1" t="s">
        <v>4825</v>
      </c>
      <c r="AJ306" s="1" t="s">
        <v>109</v>
      </c>
      <c r="AK306" s="1" t="s">
        <v>4826</v>
      </c>
      <c r="AL306" s="1">
        <v>16</v>
      </c>
      <c r="AM306" s="1" t="s">
        <v>2541</v>
      </c>
      <c r="AP306" s="1">
        <f>91-9427853641</f>
        <v>-9427853550</v>
      </c>
      <c r="AR306" s="1">
        <v>0</v>
      </c>
      <c r="AS306" s="1">
        <v>0</v>
      </c>
      <c r="AW306" s="1" t="s">
        <v>142</v>
      </c>
      <c r="AX306" s="1" t="s">
        <v>3533</v>
      </c>
      <c r="AY306" s="1" t="s">
        <v>150</v>
      </c>
      <c r="AZ306" s="1">
        <v>5</v>
      </c>
      <c r="BA306" s="1">
        <v>5.05</v>
      </c>
      <c r="BB306" s="1" t="s">
        <v>151</v>
      </c>
      <c r="BC306" s="1" t="s">
        <v>152</v>
      </c>
      <c r="BD306" s="1" t="s">
        <v>1395</v>
      </c>
      <c r="BE306" s="1" t="s">
        <v>120</v>
      </c>
      <c r="BF306" s="1" t="s">
        <v>120</v>
      </c>
      <c r="BG306" s="1" t="s">
        <v>2541</v>
      </c>
      <c r="BH306" s="1" t="s">
        <v>2541</v>
      </c>
      <c r="BI306" s="1" t="s">
        <v>192</v>
      </c>
      <c r="BL306" s="1">
        <v>0</v>
      </c>
      <c r="BM306" s="1">
        <v>0</v>
      </c>
      <c r="BN306" s="1" t="s">
        <v>4208</v>
      </c>
      <c r="BO306" s="1">
        <v>0</v>
      </c>
      <c r="BQ306" s="1" t="s">
        <v>180</v>
      </c>
      <c r="BR306" s="1">
        <v>0</v>
      </c>
      <c r="BS306" s="1" t="s">
        <v>181</v>
      </c>
      <c r="BT306" s="1" t="s">
        <v>124</v>
      </c>
      <c r="BV306" s="1" t="s">
        <v>112</v>
      </c>
      <c r="BW306" s="1" t="s">
        <v>4827</v>
      </c>
      <c r="BX306" s="1" t="s">
        <v>4828</v>
      </c>
      <c r="BY306" s="1" t="s">
        <v>120</v>
      </c>
      <c r="BZ306" s="1">
        <v>0</v>
      </c>
      <c r="CA306" s="1">
        <v>0</v>
      </c>
      <c r="CB306" s="4">
        <v>43273.961773993055</v>
      </c>
      <c r="CC306" s="1">
        <v>1</v>
      </c>
      <c r="CD306" s="1">
        <v>1</v>
      </c>
      <c r="CE306" s="1">
        <v>1</v>
      </c>
      <c r="CF306" s="1">
        <v>1</v>
      </c>
      <c r="CG306" s="4">
        <v>43274.676426388891</v>
      </c>
      <c r="CH306" s="1" t="s">
        <v>112</v>
      </c>
      <c r="CI306" s="1" t="s">
        <v>4829</v>
      </c>
      <c r="CJ306" s="1" t="s">
        <v>157</v>
      </c>
    </row>
    <row r="307" spans="1:88" x14ac:dyDescent="0.35">
      <c r="A307" s="1">
        <v>5015</v>
      </c>
      <c r="B307" s="1" t="s">
        <v>4830</v>
      </c>
      <c r="C307" s="1" t="s">
        <v>4831</v>
      </c>
      <c r="D307" s="1" t="s">
        <v>90</v>
      </c>
      <c r="E307" s="1" t="s">
        <v>4051</v>
      </c>
      <c r="F307" s="1" t="s">
        <v>185</v>
      </c>
      <c r="G307" s="1">
        <v>1</v>
      </c>
      <c r="H307" s="3">
        <v>31889</v>
      </c>
      <c r="I307" s="1">
        <v>1</v>
      </c>
      <c r="J307" s="1" t="s">
        <v>2224</v>
      </c>
      <c r="K307" s="1" t="s">
        <v>2225</v>
      </c>
      <c r="L307" s="2">
        <f>91-9662004530</f>
        <v>-9662004439</v>
      </c>
      <c r="M307" s="1" t="s">
        <v>95</v>
      </c>
      <c r="N307" s="1">
        <v>0</v>
      </c>
      <c r="O307" s="1">
        <v>0</v>
      </c>
      <c r="P307" s="1">
        <v>6.11</v>
      </c>
      <c r="Q307" s="1">
        <v>16</v>
      </c>
      <c r="R307" s="1" t="s">
        <v>535</v>
      </c>
      <c r="S307" s="1" t="s">
        <v>233</v>
      </c>
      <c r="T307" s="1" t="s">
        <v>341</v>
      </c>
      <c r="U307" s="1" t="s">
        <v>2540</v>
      </c>
      <c r="V307" s="1" t="s">
        <v>2540</v>
      </c>
      <c r="X307" s="1" t="s">
        <v>924</v>
      </c>
      <c r="Y307" s="1" t="s">
        <v>210</v>
      </c>
      <c r="Z307" s="1" t="s">
        <v>4832</v>
      </c>
      <c r="AB307" s="1">
        <v>0</v>
      </c>
      <c r="AD307" s="1" t="s">
        <v>4833</v>
      </c>
      <c r="AE307" s="1">
        <f>91-9934555050</f>
        <v>-9934554959</v>
      </c>
      <c r="AF307" s="1" t="s">
        <v>2541</v>
      </c>
      <c r="AG307" s="1" t="s">
        <v>4834</v>
      </c>
      <c r="AH307" s="1" t="s">
        <v>4835</v>
      </c>
      <c r="AI307" s="1" t="s">
        <v>4836</v>
      </c>
      <c r="AJ307" s="1" t="s">
        <v>109</v>
      </c>
      <c r="AK307" s="1" t="s">
        <v>4837</v>
      </c>
      <c r="AL307" s="1">
        <v>8</v>
      </c>
      <c r="AM307" s="1" t="s">
        <v>2541</v>
      </c>
      <c r="AP307" s="1">
        <f>91-9535691791</f>
        <v>-9535691700</v>
      </c>
      <c r="AR307" s="1">
        <v>0</v>
      </c>
      <c r="AS307" s="1">
        <v>0</v>
      </c>
      <c r="AW307" s="1" t="s">
        <v>142</v>
      </c>
      <c r="AX307" s="1" t="s">
        <v>4838</v>
      </c>
      <c r="AY307" s="1" t="s">
        <v>95</v>
      </c>
      <c r="AZ307" s="1">
        <v>5.04</v>
      </c>
      <c r="BA307" s="1">
        <v>5.0999999999999996</v>
      </c>
      <c r="BB307" s="1" t="s">
        <v>151</v>
      </c>
      <c r="BC307" s="1" t="s">
        <v>152</v>
      </c>
      <c r="BD307" s="1" t="s">
        <v>1395</v>
      </c>
      <c r="BE307" s="1" t="s">
        <v>120</v>
      </c>
      <c r="BF307" s="1" t="s">
        <v>120</v>
      </c>
      <c r="BG307" s="1" t="s">
        <v>2541</v>
      </c>
      <c r="BH307" s="1" t="s">
        <v>2541</v>
      </c>
      <c r="BI307" s="1" t="s">
        <v>132</v>
      </c>
      <c r="BL307" s="1">
        <v>0</v>
      </c>
      <c r="BM307" s="1">
        <v>0</v>
      </c>
      <c r="BN307" s="1" t="s">
        <v>4839</v>
      </c>
      <c r="BO307" s="1">
        <v>0</v>
      </c>
      <c r="BQ307" s="1" t="s">
        <v>180</v>
      </c>
      <c r="BR307" s="1">
        <v>0</v>
      </c>
      <c r="BS307" s="1" t="s">
        <v>123</v>
      </c>
      <c r="BT307" s="1" t="s">
        <v>124</v>
      </c>
      <c r="BV307" s="1" t="s">
        <v>112</v>
      </c>
      <c r="BW307" s="1" t="s">
        <v>4840</v>
      </c>
      <c r="BX307" s="1" t="s">
        <v>4841</v>
      </c>
      <c r="BY307" s="1" t="s">
        <v>120</v>
      </c>
      <c r="BZ307" s="1">
        <v>0</v>
      </c>
      <c r="CA307" s="1">
        <v>0</v>
      </c>
      <c r="CB307" s="4">
        <v>43275.026253819444</v>
      </c>
      <c r="CC307" s="1">
        <v>1</v>
      </c>
      <c r="CD307" s="1">
        <v>1</v>
      </c>
      <c r="CE307" s="1">
        <v>1</v>
      </c>
      <c r="CF307" s="1">
        <v>1</v>
      </c>
      <c r="CG307" s="4">
        <v>43275.026253819444</v>
      </c>
      <c r="CH307" s="1" t="s">
        <v>112</v>
      </c>
      <c r="CI307" s="1" t="s">
        <v>4842</v>
      </c>
      <c r="CJ307" s="1" t="s">
        <v>157</v>
      </c>
    </row>
    <row r="308" spans="1:88" x14ac:dyDescent="0.35">
      <c r="A308" s="1">
        <v>5017</v>
      </c>
      <c r="B308" s="1" t="s">
        <v>4843</v>
      </c>
      <c r="C308" s="1" t="s">
        <v>4844</v>
      </c>
      <c r="D308" s="1" t="s">
        <v>90</v>
      </c>
      <c r="E308" s="1" t="s">
        <v>4845</v>
      </c>
      <c r="F308" s="1" t="s">
        <v>489</v>
      </c>
      <c r="G308" s="1">
        <v>1</v>
      </c>
      <c r="H308" s="3">
        <v>30619</v>
      </c>
      <c r="I308" s="1">
        <v>1</v>
      </c>
      <c r="J308" s="1" t="s">
        <v>162</v>
      </c>
      <c r="K308" s="1" t="s">
        <v>847</v>
      </c>
      <c r="L308" s="2">
        <f>91-9426965614</f>
        <v>-9426965523</v>
      </c>
      <c r="M308" s="1" t="s">
        <v>150</v>
      </c>
      <c r="N308" s="1">
        <v>0</v>
      </c>
      <c r="O308" s="1">
        <v>0</v>
      </c>
      <c r="P308" s="1">
        <v>5.04</v>
      </c>
      <c r="Q308" s="1">
        <v>14</v>
      </c>
      <c r="R308" s="1" t="s">
        <v>164</v>
      </c>
      <c r="S308" s="1" t="s">
        <v>233</v>
      </c>
      <c r="T308" s="1" t="s">
        <v>4846</v>
      </c>
      <c r="U308" s="1" t="s">
        <v>2540</v>
      </c>
      <c r="V308" s="1" t="s">
        <v>2540</v>
      </c>
      <c r="X308" s="1" t="s">
        <v>296</v>
      </c>
      <c r="Y308" s="1" t="s">
        <v>4847</v>
      </c>
      <c r="Z308" s="1" t="s">
        <v>556</v>
      </c>
      <c r="AB308" s="1">
        <v>0</v>
      </c>
      <c r="AD308" s="1" t="s">
        <v>4848</v>
      </c>
      <c r="AE308" s="1">
        <f>91-9426965614</f>
        <v>-9426965523</v>
      </c>
      <c r="AF308" s="1" t="s">
        <v>2541</v>
      </c>
      <c r="AG308" s="1" t="s">
        <v>4849</v>
      </c>
      <c r="AH308" s="1" t="s">
        <v>4850</v>
      </c>
      <c r="AI308" s="1" t="s">
        <v>4851</v>
      </c>
      <c r="AJ308" s="1" t="s">
        <v>478</v>
      </c>
      <c r="AK308" s="1" t="s">
        <v>4852</v>
      </c>
      <c r="AL308" s="1">
        <v>10</v>
      </c>
      <c r="AM308" s="1" t="s">
        <v>2541</v>
      </c>
      <c r="AP308" s="1">
        <f>91-9426965614</f>
        <v>-9426965523</v>
      </c>
      <c r="AR308" s="1">
        <v>0</v>
      </c>
      <c r="AS308" s="1">
        <v>0</v>
      </c>
      <c r="AW308" s="1" t="s">
        <v>142</v>
      </c>
      <c r="AX308" s="1" t="s">
        <v>2401</v>
      </c>
      <c r="AY308" s="1" t="s">
        <v>150</v>
      </c>
      <c r="AZ308" s="1">
        <v>5</v>
      </c>
      <c r="BA308" s="1">
        <v>5</v>
      </c>
      <c r="BB308" s="1" t="s">
        <v>151</v>
      </c>
      <c r="BC308" s="1" t="s">
        <v>152</v>
      </c>
      <c r="BD308" s="1" t="s">
        <v>1395</v>
      </c>
      <c r="BE308" s="1" t="s">
        <v>233</v>
      </c>
      <c r="BF308" s="1" t="s">
        <v>120</v>
      </c>
      <c r="BG308" s="1" t="s">
        <v>2541</v>
      </c>
      <c r="BH308" s="1" t="s">
        <v>2541</v>
      </c>
      <c r="BI308" s="1" t="s">
        <v>556</v>
      </c>
      <c r="BL308" s="1">
        <v>0</v>
      </c>
      <c r="BM308" s="1">
        <v>0</v>
      </c>
      <c r="BN308" s="1" t="s">
        <v>4853</v>
      </c>
      <c r="BO308" s="1">
        <v>0</v>
      </c>
      <c r="BQ308" s="1" t="s">
        <v>180</v>
      </c>
      <c r="BR308" s="1">
        <v>0</v>
      </c>
      <c r="BS308" s="1" t="s">
        <v>354</v>
      </c>
      <c r="BT308" s="1" t="s">
        <v>124</v>
      </c>
      <c r="BU308" s="1" t="s">
        <v>4854</v>
      </c>
      <c r="BV308" s="1" t="s">
        <v>112</v>
      </c>
      <c r="BW308" s="1" t="s">
        <v>4855</v>
      </c>
      <c r="BX308" s="1" t="s">
        <v>4856</v>
      </c>
      <c r="BY308" s="1" t="s">
        <v>120</v>
      </c>
      <c r="BZ308" s="1">
        <v>0</v>
      </c>
      <c r="CA308" s="1">
        <v>0</v>
      </c>
      <c r="CB308" s="4">
        <v>43277.069124884256</v>
      </c>
      <c r="CC308" s="1">
        <v>1</v>
      </c>
      <c r="CD308" s="1">
        <v>1</v>
      </c>
      <c r="CE308" s="1">
        <v>1</v>
      </c>
      <c r="CF308" s="1">
        <v>1</v>
      </c>
      <c r="CG308" s="4">
        <v>43285.31477827546</v>
      </c>
      <c r="CH308" s="1" t="s">
        <v>112</v>
      </c>
      <c r="CI308" s="1" t="s">
        <v>287</v>
      </c>
      <c r="CJ308" s="1" t="s">
        <v>157</v>
      </c>
    </row>
    <row r="309" spans="1:88" x14ac:dyDescent="0.35">
      <c r="A309" s="1">
        <v>5021</v>
      </c>
      <c r="B309" s="1" t="s">
        <v>4857</v>
      </c>
      <c r="C309" s="1" t="s">
        <v>4858</v>
      </c>
      <c r="D309" s="1" t="s">
        <v>132</v>
      </c>
      <c r="E309" s="1" t="s">
        <v>4859</v>
      </c>
      <c r="F309" s="1" t="s">
        <v>4859</v>
      </c>
      <c r="G309" s="1">
        <v>0</v>
      </c>
      <c r="H309" s="3">
        <v>35284</v>
      </c>
      <c r="I309" s="1">
        <v>1</v>
      </c>
      <c r="J309" s="1" t="s">
        <v>162</v>
      </c>
      <c r="K309" s="1" t="s">
        <v>1061</v>
      </c>
      <c r="L309" s="2">
        <f>91-9999999999</f>
        <v>-9999999908</v>
      </c>
      <c r="M309" s="1" t="s">
        <v>150</v>
      </c>
      <c r="N309" s="1">
        <v>0</v>
      </c>
      <c r="O309" s="1">
        <v>0</v>
      </c>
      <c r="P309" s="1">
        <v>6.02</v>
      </c>
      <c r="Q309" s="1">
        <v>8</v>
      </c>
      <c r="R309" s="1" t="s">
        <v>605</v>
      </c>
      <c r="S309" s="1" t="s">
        <v>233</v>
      </c>
      <c r="T309" s="1" t="s">
        <v>4860</v>
      </c>
      <c r="U309" s="1" t="s">
        <v>2540</v>
      </c>
      <c r="V309" s="1" t="s">
        <v>2540</v>
      </c>
      <c r="X309" s="1" t="s">
        <v>296</v>
      </c>
      <c r="Y309" s="1" t="s">
        <v>132</v>
      </c>
      <c r="Z309" s="1" t="s">
        <v>1064</v>
      </c>
      <c r="AB309" s="1">
        <v>0</v>
      </c>
      <c r="AD309" s="1" t="s">
        <v>4861</v>
      </c>
      <c r="AE309" s="1">
        <f>91-8888888888</f>
        <v>-8888888797</v>
      </c>
      <c r="AF309" s="1" t="s">
        <v>129</v>
      </c>
      <c r="AG309" s="1" t="s">
        <v>4862</v>
      </c>
      <c r="AH309" s="1" t="s">
        <v>4863</v>
      </c>
      <c r="AI309" s="1" t="s">
        <v>4864</v>
      </c>
      <c r="AJ309" s="1" t="s">
        <v>109</v>
      </c>
      <c r="AK309" s="1" t="s">
        <v>4865</v>
      </c>
      <c r="AL309" s="1">
        <v>1</v>
      </c>
      <c r="AM309" s="1" t="s">
        <v>129</v>
      </c>
      <c r="AP309" s="1">
        <f>91-9898989898</f>
        <v>-9898989807</v>
      </c>
      <c r="AR309" s="1">
        <v>0</v>
      </c>
      <c r="AS309" s="1">
        <v>0</v>
      </c>
      <c r="AW309" s="1" t="s">
        <v>142</v>
      </c>
      <c r="AX309" s="1" t="s">
        <v>1095</v>
      </c>
      <c r="AY309" s="1" t="s">
        <v>150</v>
      </c>
      <c r="AZ309" s="1">
        <v>5.03</v>
      </c>
      <c r="BA309" s="1">
        <v>5.08</v>
      </c>
      <c r="BB309" s="1" t="s">
        <v>151</v>
      </c>
      <c r="BC309" s="1" t="s">
        <v>304</v>
      </c>
      <c r="BD309" s="1" t="s">
        <v>1333</v>
      </c>
      <c r="BE309" s="1" t="s">
        <v>2176</v>
      </c>
      <c r="BF309" s="1" t="s">
        <v>120</v>
      </c>
      <c r="BG309" s="1" t="s">
        <v>120</v>
      </c>
      <c r="BH309" s="1" t="s">
        <v>120</v>
      </c>
      <c r="BJ309" s="1" t="s">
        <v>71</v>
      </c>
      <c r="BK309" s="1" t="s">
        <v>105</v>
      </c>
      <c r="BL309" s="1">
        <v>1</v>
      </c>
      <c r="BM309" s="1">
        <v>1</v>
      </c>
      <c r="BN309" s="1" t="s">
        <v>4866</v>
      </c>
      <c r="BO309" s="1">
        <v>0</v>
      </c>
      <c r="BQ309" s="1" t="s">
        <v>180</v>
      </c>
      <c r="BR309" s="1">
        <v>0</v>
      </c>
      <c r="BS309" s="1" t="s">
        <v>334</v>
      </c>
      <c r="BT309" s="1" t="s">
        <v>124</v>
      </c>
      <c r="BV309" s="1" t="s">
        <v>112</v>
      </c>
      <c r="BW309" s="1" t="s">
        <v>4867</v>
      </c>
      <c r="BX309" s="1" t="s">
        <v>4868</v>
      </c>
      <c r="BY309" s="1" t="s">
        <v>120</v>
      </c>
      <c r="BZ309" s="1">
        <v>0</v>
      </c>
      <c r="CA309" s="1">
        <v>0</v>
      </c>
      <c r="CB309" s="4">
        <v>43282.233535763888</v>
      </c>
      <c r="CC309" s="1">
        <v>1</v>
      </c>
      <c r="CD309" s="1">
        <v>1</v>
      </c>
      <c r="CE309" s="1">
        <v>1</v>
      </c>
      <c r="CF309" s="1">
        <v>1</v>
      </c>
      <c r="CG309" s="4">
        <v>43303.106260069442</v>
      </c>
      <c r="CH309" s="1" t="s">
        <v>112</v>
      </c>
      <c r="CI309" s="1" t="s">
        <v>4859</v>
      </c>
      <c r="CJ309" s="1" t="s">
        <v>157</v>
      </c>
    </row>
    <row r="310" spans="1:88" x14ac:dyDescent="0.35">
      <c r="A310" s="1">
        <v>5025</v>
      </c>
      <c r="B310" s="1" t="s">
        <v>4869</v>
      </c>
      <c r="C310" s="1" t="s">
        <v>4870</v>
      </c>
      <c r="D310" s="1" t="s">
        <v>90</v>
      </c>
      <c r="E310" s="1" t="s">
        <v>4871</v>
      </c>
      <c r="F310" s="1" t="s">
        <v>134</v>
      </c>
      <c r="G310" s="1">
        <v>1</v>
      </c>
      <c r="H310" s="3">
        <v>32100</v>
      </c>
      <c r="I310" s="1">
        <v>1</v>
      </c>
      <c r="J310" s="1" t="s">
        <v>162</v>
      </c>
      <c r="K310" s="1" t="s">
        <v>4872</v>
      </c>
      <c r="L310" s="2">
        <f>91-9723317066</f>
        <v>-9723316975</v>
      </c>
      <c r="M310" s="1" t="s">
        <v>95</v>
      </c>
      <c r="N310" s="1">
        <v>1</v>
      </c>
      <c r="O310" s="1">
        <v>0</v>
      </c>
      <c r="P310" s="1">
        <v>5.03</v>
      </c>
      <c r="Q310" s="1">
        <v>3</v>
      </c>
      <c r="R310" s="1" t="s">
        <v>3728</v>
      </c>
      <c r="S310" s="1" t="s">
        <v>97</v>
      </c>
      <c r="T310" s="1" t="s">
        <v>4846</v>
      </c>
      <c r="U310" s="1" t="s">
        <v>2540</v>
      </c>
      <c r="V310" s="1" t="s">
        <v>2540</v>
      </c>
      <c r="X310" s="1" t="s">
        <v>100</v>
      </c>
      <c r="Y310" s="1" t="s">
        <v>210</v>
      </c>
      <c r="Z310" s="1" t="s">
        <v>3876</v>
      </c>
      <c r="AB310" s="1">
        <v>0</v>
      </c>
      <c r="AD310" s="1" t="s">
        <v>4873</v>
      </c>
      <c r="AE310" s="1">
        <f>91-9586988110</f>
        <v>-9586988019</v>
      </c>
      <c r="AF310" s="1" t="s">
        <v>2541</v>
      </c>
      <c r="AG310" s="1" t="s">
        <v>4874</v>
      </c>
      <c r="AH310" s="1" t="s">
        <v>1718</v>
      </c>
      <c r="AI310" s="1" t="s">
        <v>4875</v>
      </c>
      <c r="AJ310" s="1" t="s">
        <v>478</v>
      </c>
      <c r="AK310" s="1" t="s">
        <v>4876</v>
      </c>
      <c r="AL310" s="1">
        <v>30</v>
      </c>
      <c r="AM310" s="1" t="s">
        <v>2541</v>
      </c>
      <c r="AP310" s="1">
        <f>91-9687840992</f>
        <v>-9687840901</v>
      </c>
      <c r="AR310" s="1">
        <v>0</v>
      </c>
      <c r="AS310" s="1">
        <v>0</v>
      </c>
      <c r="AW310" s="1" t="s">
        <v>142</v>
      </c>
      <c r="AX310" s="1" t="s">
        <v>2043</v>
      </c>
      <c r="AY310" s="1" t="s">
        <v>95</v>
      </c>
      <c r="AZ310" s="1">
        <v>5</v>
      </c>
      <c r="BA310" s="1">
        <v>5.01</v>
      </c>
      <c r="BB310" s="1" t="s">
        <v>151</v>
      </c>
      <c r="BC310" s="1" t="s">
        <v>152</v>
      </c>
      <c r="BD310" s="1" t="s">
        <v>1395</v>
      </c>
      <c r="BE310" s="1" t="s">
        <v>120</v>
      </c>
      <c r="BF310" s="1" t="s">
        <v>120</v>
      </c>
      <c r="BG310" s="1" t="s">
        <v>2541</v>
      </c>
      <c r="BH310" s="1" t="s">
        <v>2541</v>
      </c>
      <c r="BI310" s="1" t="s">
        <v>3876</v>
      </c>
      <c r="BL310" s="1">
        <v>0</v>
      </c>
      <c r="BM310" s="1">
        <v>0</v>
      </c>
      <c r="BN310" s="1" t="s">
        <v>4877</v>
      </c>
      <c r="BO310" s="1">
        <v>0</v>
      </c>
      <c r="BQ310" s="1" t="s">
        <v>180</v>
      </c>
      <c r="BR310" s="1">
        <v>0</v>
      </c>
      <c r="BS310" s="1" t="s">
        <v>129</v>
      </c>
      <c r="BT310" s="1" t="s">
        <v>124</v>
      </c>
      <c r="BV310" s="1" t="s">
        <v>112</v>
      </c>
      <c r="BX310" s="1" t="s">
        <v>4878</v>
      </c>
      <c r="BY310" s="1" t="s">
        <v>120</v>
      </c>
      <c r="BZ310" s="1">
        <v>0</v>
      </c>
      <c r="CA310" s="1">
        <v>0</v>
      </c>
      <c r="CB310" s="4">
        <v>43286.206855520832</v>
      </c>
      <c r="CC310" s="1">
        <v>1</v>
      </c>
      <c r="CD310" s="1">
        <v>1</v>
      </c>
      <c r="CE310" s="1">
        <v>1</v>
      </c>
      <c r="CF310" s="1">
        <v>1</v>
      </c>
      <c r="CG310" s="4">
        <v>43324.453730752313</v>
      </c>
      <c r="CH310" s="1" t="s">
        <v>112</v>
      </c>
      <c r="CI310" s="1" t="s">
        <v>198</v>
      </c>
      <c r="CJ310" s="1" t="s">
        <v>157</v>
      </c>
    </row>
    <row r="311" spans="1:88" x14ac:dyDescent="0.35">
      <c r="A311" s="1">
        <v>5027</v>
      </c>
      <c r="B311" s="1" t="s">
        <v>4879</v>
      </c>
      <c r="C311" s="1" t="s">
        <v>4880</v>
      </c>
      <c r="D311" s="1" t="s">
        <v>90</v>
      </c>
      <c r="E311" s="1" t="s">
        <v>1472</v>
      </c>
      <c r="F311" s="1" t="s">
        <v>534</v>
      </c>
      <c r="G311" s="1">
        <v>1</v>
      </c>
      <c r="H311" s="3">
        <v>32511</v>
      </c>
      <c r="I311" s="1">
        <v>1</v>
      </c>
      <c r="J311" s="1" t="s">
        <v>93</v>
      </c>
      <c r="K311" s="1" t="s">
        <v>262</v>
      </c>
      <c r="L311" s="2">
        <f>91-8087044220</f>
        <v>-8087044129</v>
      </c>
      <c r="M311" s="1" t="s">
        <v>95</v>
      </c>
      <c r="N311" s="1">
        <v>0</v>
      </c>
      <c r="O311" s="1">
        <v>0</v>
      </c>
      <c r="P311" s="1">
        <v>5.0199999999999996</v>
      </c>
      <c r="Q311" s="1">
        <v>16</v>
      </c>
      <c r="R311" s="1" t="s">
        <v>1252</v>
      </c>
      <c r="S311" s="1" t="s">
        <v>165</v>
      </c>
      <c r="T311" s="1" t="s">
        <v>98</v>
      </c>
      <c r="U311" s="1" t="s">
        <v>4881</v>
      </c>
      <c r="V311" s="1" t="s">
        <v>4882</v>
      </c>
      <c r="W311" s="1" t="s">
        <v>4883</v>
      </c>
      <c r="X311" s="1" t="s">
        <v>100</v>
      </c>
      <c r="Y311" s="1" t="s">
        <v>111</v>
      </c>
      <c r="Z311" s="1" t="s">
        <v>192</v>
      </c>
      <c r="AA311" s="1" t="s">
        <v>4884</v>
      </c>
      <c r="AB311" s="1">
        <v>0</v>
      </c>
      <c r="AD311" s="1" t="s">
        <v>4885</v>
      </c>
      <c r="AE311" s="1">
        <f>91-9518376944</f>
        <v>-9518376853</v>
      </c>
      <c r="AF311" s="1" t="s">
        <v>105</v>
      </c>
      <c r="AG311" s="1" t="s">
        <v>4886</v>
      </c>
      <c r="AH311" s="1" t="s">
        <v>370</v>
      </c>
      <c r="AI311" s="1" t="s">
        <v>4887</v>
      </c>
      <c r="AJ311" s="1" t="s">
        <v>109</v>
      </c>
      <c r="AK311" s="1" t="s">
        <v>4888</v>
      </c>
      <c r="AL311" s="1">
        <v>35</v>
      </c>
      <c r="AM311" s="1" t="s">
        <v>111</v>
      </c>
      <c r="AN311" s="1" t="s">
        <v>4883</v>
      </c>
      <c r="AO311" s="1" t="s">
        <v>4884</v>
      </c>
      <c r="AP311" s="1">
        <f>91-9422797932</f>
        <v>-9422797841</v>
      </c>
      <c r="AQ311" s="1" t="s">
        <v>4883</v>
      </c>
      <c r="AR311" s="1">
        <v>1</v>
      </c>
      <c r="AS311" s="1">
        <v>1</v>
      </c>
      <c r="AT311" s="1" t="s">
        <v>4889</v>
      </c>
      <c r="AU311" s="1" t="s">
        <v>4890</v>
      </c>
      <c r="AV311" s="1" t="s">
        <v>3567</v>
      </c>
      <c r="AW311" s="1">
        <f>91-9902717379</f>
        <v>-9902717288</v>
      </c>
      <c r="AX311" s="1" t="s">
        <v>2561</v>
      </c>
      <c r="AY311" s="1" t="s">
        <v>95</v>
      </c>
      <c r="AZ311" s="1">
        <v>4.05</v>
      </c>
      <c r="BA311" s="1">
        <v>5</v>
      </c>
      <c r="BE311" s="1" t="s">
        <v>492</v>
      </c>
      <c r="BG311" s="1" t="s">
        <v>120</v>
      </c>
      <c r="BH311" s="1" t="s">
        <v>120</v>
      </c>
      <c r="BJ311" s="1" t="s">
        <v>71</v>
      </c>
      <c r="BK311" s="1" t="s">
        <v>120</v>
      </c>
      <c r="BL311" s="1">
        <v>0</v>
      </c>
      <c r="BM311" s="1">
        <v>1</v>
      </c>
      <c r="BN311" s="1" t="s">
        <v>4891</v>
      </c>
      <c r="BO311" s="1">
        <v>1</v>
      </c>
      <c r="BP311" s="1" t="s">
        <v>262</v>
      </c>
      <c r="BQ311" s="1" t="s">
        <v>112</v>
      </c>
      <c r="BR311" s="1">
        <v>1</v>
      </c>
      <c r="BS311" s="1" t="s">
        <v>787</v>
      </c>
      <c r="BT311" s="1" t="s">
        <v>306</v>
      </c>
      <c r="BU311" s="1" t="s">
        <v>4892</v>
      </c>
      <c r="BV311" s="1" t="s">
        <v>112</v>
      </c>
      <c r="BW311" s="1" t="s">
        <v>4893</v>
      </c>
      <c r="BX311" s="1" t="s">
        <v>4894</v>
      </c>
      <c r="BY311" s="1" t="s">
        <v>127</v>
      </c>
      <c r="BZ311" s="1">
        <v>2</v>
      </c>
      <c r="CA311" s="1">
        <v>2</v>
      </c>
      <c r="CB311" s="4">
        <v>43288.977094178241</v>
      </c>
      <c r="CC311" s="1">
        <v>1</v>
      </c>
      <c r="CD311" s="1">
        <v>1</v>
      </c>
      <c r="CE311" s="1">
        <v>1</v>
      </c>
      <c r="CF311" s="1">
        <v>1</v>
      </c>
      <c r="CG311" s="4">
        <v>43613.706923576392</v>
      </c>
      <c r="CH311" s="1" t="s">
        <v>112</v>
      </c>
      <c r="CI311" s="1" t="s">
        <v>1270</v>
      </c>
      <c r="CJ311" s="1" t="s">
        <v>129</v>
      </c>
    </row>
    <row r="312" spans="1:88" x14ac:dyDescent="0.35">
      <c r="A312" s="1">
        <v>5028</v>
      </c>
      <c r="B312" s="1" t="s">
        <v>4895</v>
      </c>
      <c r="C312" s="1" t="s">
        <v>4896</v>
      </c>
      <c r="D312" s="1" t="s">
        <v>90</v>
      </c>
      <c r="E312" s="1" t="s">
        <v>4897</v>
      </c>
      <c r="F312" s="1" t="s">
        <v>134</v>
      </c>
      <c r="G312" s="1">
        <v>1</v>
      </c>
      <c r="H312" s="3">
        <v>30547</v>
      </c>
      <c r="I312" s="1">
        <v>1</v>
      </c>
      <c r="J312" s="1" t="s">
        <v>162</v>
      </c>
      <c r="K312" s="1" t="s">
        <v>163</v>
      </c>
      <c r="L312" s="2">
        <f>91-7874434666</f>
        <v>-7874434575</v>
      </c>
      <c r="M312" s="1" t="s">
        <v>95</v>
      </c>
      <c r="N312" s="1">
        <v>0</v>
      </c>
      <c r="O312" s="1">
        <v>0</v>
      </c>
      <c r="P312" s="1">
        <v>5.03</v>
      </c>
      <c r="Q312" s="1">
        <v>21</v>
      </c>
      <c r="R312" s="1" t="s">
        <v>4898</v>
      </c>
      <c r="S312" s="1" t="s">
        <v>97</v>
      </c>
      <c r="T312" s="1" t="s">
        <v>1915</v>
      </c>
      <c r="U312" s="1" t="s">
        <v>2540</v>
      </c>
      <c r="V312" s="1" t="s">
        <v>2540</v>
      </c>
      <c r="W312" s="1" t="s">
        <v>4899</v>
      </c>
      <c r="X312" s="1" t="s">
        <v>100</v>
      </c>
      <c r="Y312" s="1" t="s">
        <v>101</v>
      </c>
      <c r="Z312" s="1" t="s">
        <v>4900</v>
      </c>
      <c r="AA312" s="1" t="s">
        <v>4901</v>
      </c>
      <c r="AB312" s="1">
        <v>0</v>
      </c>
      <c r="AD312" s="1" t="s">
        <v>4902</v>
      </c>
      <c r="AE312" s="1">
        <f>91-9408129899</f>
        <v>-9408129808</v>
      </c>
      <c r="AF312" s="1" t="s">
        <v>112</v>
      </c>
      <c r="AG312" s="1" t="s">
        <v>112</v>
      </c>
      <c r="AH312" s="1" t="s">
        <v>112</v>
      </c>
      <c r="AI312" s="1" t="s">
        <v>112</v>
      </c>
      <c r="AJ312" s="1" t="s">
        <v>112</v>
      </c>
      <c r="AK312" s="1" t="s">
        <v>112</v>
      </c>
      <c r="AL312" s="1" t="s">
        <v>112</v>
      </c>
      <c r="AM312" s="1" t="s">
        <v>112</v>
      </c>
      <c r="AN312" s="1" t="s">
        <v>112</v>
      </c>
      <c r="AO312" s="1" t="s">
        <v>112</v>
      </c>
      <c r="AP312" s="1" t="s">
        <v>112</v>
      </c>
      <c r="AQ312" s="1" t="s">
        <v>112</v>
      </c>
      <c r="AR312" s="1" t="s">
        <v>112</v>
      </c>
      <c r="AS312" s="1" t="s">
        <v>112</v>
      </c>
      <c r="AT312" s="1" t="s">
        <v>112</v>
      </c>
      <c r="AU312" s="1" t="s">
        <v>112</v>
      </c>
      <c r="AV312" s="1" t="s">
        <v>112</v>
      </c>
      <c r="AW312" s="1" t="s">
        <v>112</v>
      </c>
      <c r="AX312" s="1" t="s">
        <v>4903</v>
      </c>
      <c r="AY312" s="1" t="s">
        <v>351</v>
      </c>
      <c r="AZ312" s="1">
        <v>4.0999999999999996</v>
      </c>
      <c r="BA312" s="1">
        <v>5.03</v>
      </c>
      <c r="BE312" s="1" t="s">
        <v>120</v>
      </c>
      <c r="BG312" s="1" t="s">
        <v>120</v>
      </c>
      <c r="BH312" s="1" t="s">
        <v>120</v>
      </c>
      <c r="BJ312" s="1" t="s">
        <v>120</v>
      </c>
      <c r="BK312" s="1" t="s">
        <v>120</v>
      </c>
      <c r="BL312" s="1">
        <v>0</v>
      </c>
      <c r="BM312" s="1">
        <v>0</v>
      </c>
      <c r="BN312" s="1" t="s">
        <v>4904</v>
      </c>
      <c r="BO312" s="1">
        <v>1</v>
      </c>
      <c r="BP312" s="1" t="s">
        <v>4905</v>
      </c>
      <c r="BQ312" s="1" t="s">
        <v>112</v>
      </c>
      <c r="BR312" s="1">
        <v>1</v>
      </c>
      <c r="BS312" s="1" t="s">
        <v>354</v>
      </c>
      <c r="BT312" s="1" t="s">
        <v>124</v>
      </c>
      <c r="BU312" s="1" t="s">
        <v>112</v>
      </c>
      <c r="BV312" s="1" t="s">
        <v>112</v>
      </c>
      <c r="BW312" s="1" t="s">
        <v>4906</v>
      </c>
      <c r="BX312" s="1" t="s">
        <v>4907</v>
      </c>
      <c r="BY312" s="1" t="s">
        <v>112</v>
      </c>
      <c r="BZ312" s="1" t="s">
        <v>112</v>
      </c>
      <c r="CA312" s="1" t="s">
        <v>112</v>
      </c>
      <c r="CB312" s="4">
        <v>43289.255678738424</v>
      </c>
      <c r="CC312" s="1">
        <v>1</v>
      </c>
      <c r="CD312" s="1">
        <v>1</v>
      </c>
      <c r="CE312" s="1">
        <v>1</v>
      </c>
      <c r="CF312" s="1">
        <v>1</v>
      </c>
      <c r="CG312" s="4">
        <v>43379.583202812501</v>
      </c>
      <c r="CH312" s="1" t="s">
        <v>112</v>
      </c>
      <c r="CI312" s="1" t="s">
        <v>112</v>
      </c>
      <c r="CJ312" s="1" t="s">
        <v>129</v>
      </c>
    </row>
    <row r="313" spans="1:88" x14ac:dyDescent="0.35">
      <c r="A313" s="1">
        <v>5030</v>
      </c>
      <c r="B313" s="1">
        <v>8490074340</v>
      </c>
      <c r="C313" s="1">
        <v>8490074340</v>
      </c>
      <c r="D313" s="1" t="s">
        <v>90</v>
      </c>
      <c r="E313" s="1" t="s">
        <v>134</v>
      </c>
      <c r="F313" s="1" t="s">
        <v>1494</v>
      </c>
      <c r="G313" s="1">
        <v>1</v>
      </c>
      <c r="H313" s="3">
        <v>35264</v>
      </c>
      <c r="I313" s="1">
        <v>1</v>
      </c>
      <c r="J313" s="1" t="s">
        <v>162</v>
      </c>
      <c r="K313" s="1" t="s">
        <v>291</v>
      </c>
      <c r="L313" s="2">
        <f>91-9429927185</f>
        <v>-9429927094</v>
      </c>
      <c r="M313" s="1" t="s">
        <v>150</v>
      </c>
      <c r="N313" s="1">
        <v>0</v>
      </c>
      <c r="O313" s="1">
        <v>0</v>
      </c>
      <c r="P313" s="1">
        <v>5.09</v>
      </c>
      <c r="Q313" s="1">
        <v>10</v>
      </c>
      <c r="S313" s="1" t="s">
        <v>165</v>
      </c>
      <c r="T313" s="1" t="s">
        <v>427</v>
      </c>
      <c r="U313" s="1" t="s">
        <v>2540</v>
      </c>
      <c r="V313" s="1" t="s">
        <v>2540</v>
      </c>
      <c r="X313" s="1" t="s">
        <v>296</v>
      </c>
      <c r="Y313" s="1" t="s">
        <v>111</v>
      </c>
      <c r="Z313" s="1" t="s">
        <v>192</v>
      </c>
      <c r="AB313" s="1">
        <v>0</v>
      </c>
      <c r="AD313" s="1" t="s">
        <v>4908</v>
      </c>
      <c r="AE313" s="1">
        <f>91-9429927185</f>
        <v>-9429927094</v>
      </c>
      <c r="AF313" s="1" t="s">
        <v>2541</v>
      </c>
      <c r="AG313" s="1" t="s">
        <v>4909</v>
      </c>
      <c r="AH313" s="1" t="s">
        <v>4910</v>
      </c>
      <c r="AI313" s="1" t="s">
        <v>4186</v>
      </c>
      <c r="AJ313" s="1" t="s">
        <v>109</v>
      </c>
      <c r="AK313" s="1" t="s">
        <v>4911</v>
      </c>
      <c r="AL313" s="1">
        <v>10</v>
      </c>
      <c r="AM313" s="1" t="s">
        <v>2541</v>
      </c>
      <c r="AP313" s="1">
        <f>91-9427838851</f>
        <v>-9427838760</v>
      </c>
      <c r="AR313" s="1">
        <v>0</v>
      </c>
      <c r="AS313" s="1">
        <v>0</v>
      </c>
      <c r="AW313" s="1" t="s">
        <v>142</v>
      </c>
      <c r="AX313" s="1" t="s">
        <v>329</v>
      </c>
      <c r="AY313" s="1" t="s">
        <v>150</v>
      </c>
      <c r="AZ313" s="1">
        <v>5.05</v>
      </c>
      <c r="BA313" s="1">
        <v>5.09</v>
      </c>
      <c r="BB313" s="1" t="s">
        <v>151</v>
      </c>
      <c r="BC313" s="1" t="s">
        <v>152</v>
      </c>
      <c r="BD313" s="1" t="s">
        <v>1395</v>
      </c>
      <c r="BE313" s="1" t="s">
        <v>120</v>
      </c>
      <c r="BF313" s="1" t="s">
        <v>120</v>
      </c>
      <c r="BG313" s="1" t="s">
        <v>2541</v>
      </c>
      <c r="BH313" s="1" t="s">
        <v>2541</v>
      </c>
      <c r="BI313" s="1" t="s">
        <v>192</v>
      </c>
      <c r="BL313" s="1">
        <v>0</v>
      </c>
      <c r="BM313" s="1">
        <v>0</v>
      </c>
      <c r="BN313" s="1" t="s">
        <v>124</v>
      </c>
      <c r="BO313" s="1">
        <v>0</v>
      </c>
      <c r="BQ313" s="1" t="s">
        <v>180</v>
      </c>
      <c r="BR313" s="1">
        <v>0</v>
      </c>
      <c r="BS313" s="1" t="s">
        <v>1208</v>
      </c>
      <c r="BT313" s="1" t="s">
        <v>124</v>
      </c>
      <c r="BV313" s="1" t="s">
        <v>112</v>
      </c>
      <c r="BW313" s="1" t="s">
        <v>4912</v>
      </c>
      <c r="BX313" s="1" t="s">
        <v>4913</v>
      </c>
      <c r="BY313" s="1" t="s">
        <v>120</v>
      </c>
      <c r="BZ313" s="1">
        <v>0</v>
      </c>
      <c r="CA313" s="1">
        <v>0</v>
      </c>
      <c r="CB313" s="4">
        <v>43290.178805752315</v>
      </c>
      <c r="CC313" s="1">
        <v>1</v>
      </c>
      <c r="CD313" s="1">
        <v>1</v>
      </c>
      <c r="CE313" s="1">
        <v>1</v>
      </c>
      <c r="CF313" s="1">
        <v>1</v>
      </c>
      <c r="CG313" s="4">
        <v>43301.156334837964</v>
      </c>
      <c r="CH313" s="1" t="s">
        <v>112</v>
      </c>
      <c r="CI313" s="1" t="s">
        <v>4914</v>
      </c>
      <c r="CJ313" s="1" t="s">
        <v>157</v>
      </c>
    </row>
    <row r="314" spans="1:88" x14ac:dyDescent="0.35">
      <c r="A314" s="1">
        <v>5039</v>
      </c>
      <c r="B314" s="1" t="s">
        <v>4915</v>
      </c>
      <c r="C314" s="1" t="s">
        <v>4916</v>
      </c>
      <c r="D314" s="1" t="s">
        <v>90</v>
      </c>
      <c r="E314" s="1" t="s">
        <v>4917</v>
      </c>
      <c r="F314" s="1" t="s">
        <v>552</v>
      </c>
      <c r="G314" s="1">
        <v>1</v>
      </c>
      <c r="H314" s="3">
        <v>33803</v>
      </c>
      <c r="I314" s="1">
        <v>1</v>
      </c>
      <c r="J314" s="1" t="s">
        <v>162</v>
      </c>
      <c r="K314" s="1" t="s">
        <v>163</v>
      </c>
      <c r="L314" s="2">
        <f>91-9033042110</f>
        <v>-9033042019</v>
      </c>
      <c r="M314" s="1" t="s">
        <v>150</v>
      </c>
      <c r="N314" s="1">
        <v>0</v>
      </c>
      <c r="O314" s="1">
        <v>0</v>
      </c>
      <c r="P314" s="1">
        <v>5.08</v>
      </c>
      <c r="Q314" s="1">
        <v>11</v>
      </c>
      <c r="R314" s="1" t="s">
        <v>340</v>
      </c>
      <c r="S314" s="1" t="s">
        <v>97</v>
      </c>
      <c r="T314" s="1" t="s">
        <v>137</v>
      </c>
      <c r="U314" s="1" t="s">
        <v>2540</v>
      </c>
      <c r="V314" s="1" t="s">
        <v>2540</v>
      </c>
      <c r="X314" s="1" t="s">
        <v>170</v>
      </c>
      <c r="Y314" s="1" t="s">
        <v>210</v>
      </c>
      <c r="Z314" s="1" t="s">
        <v>269</v>
      </c>
      <c r="AB314" s="1">
        <v>0</v>
      </c>
      <c r="AD314" s="1" t="s">
        <v>4918</v>
      </c>
      <c r="AE314" s="1">
        <f>91-9601125996</f>
        <v>-9601125905</v>
      </c>
      <c r="AF314" s="1" t="s">
        <v>129</v>
      </c>
      <c r="AG314" s="1" t="s">
        <v>4919</v>
      </c>
      <c r="AH314" s="1" t="s">
        <v>4920</v>
      </c>
      <c r="AI314" s="1" t="s">
        <v>4921</v>
      </c>
      <c r="AJ314" s="1" t="s">
        <v>109</v>
      </c>
      <c r="AK314" s="1" t="s">
        <v>4922</v>
      </c>
      <c r="AL314" s="1">
        <v>8</v>
      </c>
      <c r="AM314" s="1" t="s">
        <v>111</v>
      </c>
      <c r="AN314" s="1" t="s">
        <v>4923</v>
      </c>
      <c r="AO314" s="1" t="s">
        <v>4924</v>
      </c>
      <c r="AP314" s="1">
        <f>91-9879888980</f>
        <v>-9879888889</v>
      </c>
      <c r="AQ314" s="1" t="s">
        <v>198</v>
      </c>
      <c r="AR314" s="1">
        <v>0</v>
      </c>
      <c r="AS314" s="1">
        <v>0</v>
      </c>
      <c r="AW314" s="1" t="s">
        <v>142</v>
      </c>
      <c r="AX314" s="1" t="s">
        <v>987</v>
      </c>
      <c r="AY314" s="1" t="s">
        <v>150</v>
      </c>
      <c r="AZ314" s="1">
        <v>5</v>
      </c>
      <c r="BA314" s="1">
        <v>5.03</v>
      </c>
      <c r="BB314" s="1" t="s">
        <v>151</v>
      </c>
      <c r="BC314" s="1" t="s">
        <v>304</v>
      </c>
      <c r="BD314" s="1" t="s">
        <v>1333</v>
      </c>
      <c r="BE314" s="1" t="s">
        <v>3494</v>
      </c>
      <c r="BF314" s="1" t="s">
        <v>120</v>
      </c>
      <c r="BG314" s="1" t="s">
        <v>120</v>
      </c>
      <c r="BH314" s="1" t="s">
        <v>120</v>
      </c>
      <c r="BJ314" s="1" t="s">
        <v>120</v>
      </c>
      <c r="BK314" s="1" t="s">
        <v>120</v>
      </c>
      <c r="BL314" s="1">
        <v>0</v>
      </c>
      <c r="BM314" s="1">
        <v>0</v>
      </c>
      <c r="BN314" s="1" t="s">
        <v>4925</v>
      </c>
      <c r="BO314" s="1">
        <v>1</v>
      </c>
      <c r="BP314" s="1" t="s">
        <v>3313</v>
      </c>
      <c r="BQ314" s="1" t="s">
        <v>112</v>
      </c>
      <c r="BR314" s="1">
        <v>1</v>
      </c>
      <c r="BS314" s="1" t="s">
        <v>1668</v>
      </c>
      <c r="BT314" s="1" t="s">
        <v>120</v>
      </c>
      <c r="BU314" s="1" t="s">
        <v>4926</v>
      </c>
      <c r="BV314" s="1" t="s">
        <v>112</v>
      </c>
      <c r="BW314" s="1" t="s">
        <v>4927</v>
      </c>
      <c r="BX314" s="1" t="s">
        <v>4928</v>
      </c>
      <c r="BY314" s="1" t="s">
        <v>127</v>
      </c>
      <c r="BZ314" s="1">
        <v>1</v>
      </c>
      <c r="CA314" s="1">
        <v>0</v>
      </c>
      <c r="CB314" s="4">
        <v>43331.056624421297</v>
      </c>
      <c r="CC314" s="1">
        <v>1</v>
      </c>
      <c r="CD314" s="1">
        <v>1</v>
      </c>
      <c r="CE314" s="1">
        <v>1</v>
      </c>
      <c r="CF314" s="1">
        <v>1</v>
      </c>
      <c r="CG314" s="4">
        <v>43331.404274340275</v>
      </c>
      <c r="CH314" s="1" t="s">
        <v>112</v>
      </c>
      <c r="CI314" s="1" t="s">
        <v>4929</v>
      </c>
      <c r="CJ314" s="1" t="s">
        <v>157</v>
      </c>
    </row>
    <row r="315" spans="1:88" x14ac:dyDescent="0.35">
      <c r="A315" s="1">
        <v>5041</v>
      </c>
      <c r="B315" s="1" t="s">
        <v>4930</v>
      </c>
      <c r="C315" s="1" t="s">
        <v>4931</v>
      </c>
      <c r="D315" s="1" t="s">
        <v>90</v>
      </c>
      <c r="E315" s="1" t="s">
        <v>4932</v>
      </c>
      <c r="F315" s="1" t="s">
        <v>208</v>
      </c>
      <c r="G315" s="1">
        <v>1</v>
      </c>
      <c r="H315" s="3">
        <v>32923</v>
      </c>
      <c r="I315" s="1">
        <v>1</v>
      </c>
      <c r="J315" s="1" t="s">
        <v>2624</v>
      </c>
      <c r="L315" s="2">
        <f>91-9030597038</f>
        <v>-9030596947</v>
      </c>
      <c r="M315" s="1" t="s">
        <v>150</v>
      </c>
      <c r="N315" s="1">
        <v>0</v>
      </c>
      <c r="O315" s="1">
        <v>0</v>
      </c>
      <c r="P315" s="1">
        <v>5.07</v>
      </c>
      <c r="Q315" s="1">
        <v>10</v>
      </c>
      <c r="S315" s="1" t="s">
        <v>97</v>
      </c>
      <c r="T315" s="1" t="s">
        <v>427</v>
      </c>
      <c r="U315" s="1" t="s">
        <v>2540</v>
      </c>
      <c r="V315" s="1" t="s">
        <v>2540</v>
      </c>
      <c r="X315" s="1" t="s">
        <v>100</v>
      </c>
      <c r="Y315" s="1" t="s">
        <v>111</v>
      </c>
      <c r="Z315" s="1" t="s">
        <v>4933</v>
      </c>
      <c r="AB315" s="1">
        <v>0</v>
      </c>
      <c r="AD315" s="1" t="s">
        <v>4934</v>
      </c>
      <c r="AE315" s="1">
        <f>91-9030597038</f>
        <v>-9030596947</v>
      </c>
      <c r="AF315" s="1" t="s">
        <v>2541</v>
      </c>
      <c r="AG315" s="1" t="s">
        <v>4935</v>
      </c>
      <c r="AH315" s="1" t="s">
        <v>4936</v>
      </c>
      <c r="AI315" s="1" t="s">
        <v>2231</v>
      </c>
      <c r="AJ315" s="1" t="s">
        <v>109</v>
      </c>
      <c r="AK315" s="1" t="s">
        <v>4937</v>
      </c>
      <c r="AL315" s="1">
        <v>20</v>
      </c>
      <c r="AM315" s="1" t="s">
        <v>2541</v>
      </c>
      <c r="AP315" s="1">
        <f>91-9030609715</f>
        <v>-9030609624</v>
      </c>
      <c r="AR315" s="1">
        <v>0</v>
      </c>
      <c r="AS315" s="1">
        <v>0</v>
      </c>
      <c r="AW315" s="1" t="s">
        <v>142</v>
      </c>
      <c r="AX315" s="1" t="s">
        <v>664</v>
      </c>
      <c r="AY315" s="1" t="s">
        <v>150</v>
      </c>
      <c r="AZ315" s="1">
        <v>5.03</v>
      </c>
      <c r="BA315" s="1">
        <v>5.03</v>
      </c>
      <c r="BB315" s="1" t="s">
        <v>151</v>
      </c>
      <c r="BC315" s="1" t="s">
        <v>152</v>
      </c>
      <c r="BD315" s="1" t="s">
        <v>1395</v>
      </c>
      <c r="BE315" s="1" t="s">
        <v>293</v>
      </c>
      <c r="BF315" s="1" t="s">
        <v>120</v>
      </c>
      <c r="BG315" s="1" t="s">
        <v>2541</v>
      </c>
      <c r="BH315" s="1" t="s">
        <v>2541</v>
      </c>
      <c r="BI315" s="1" t="s">
        <v>132</v>
      </c>
      <c r="BL315" s="1">
        <v>0</v>
      </c>
      <c r="BM315" s="1">
        <v>0</v>
      </c>
      <c r="BN315" s="1" t="s">
        <v>4938</v>
      </c>
      <c r="BO315" s="1">
        <v>0</v>
      </c>
      <c r="BQ315" s="1" t="s">
        <v>180</v>
      </c>
      <c r="BR315" s="1">
        <v>0</v>
      </c>
      <c r="BS315" s="1" t="s">
        <v>376</v>
      </c>
      <c r="BT315" s="1" t="s">
        <v>306</v>
      </c>
      <c r="BV315" s="1" t="s">
        <v>112</v>
      </c>
      <c r="BW315" s="1" t="s">
        <v>4939</v>
      </c>
      <c r="BX315" s="1" t="s">
        <v>4940</v>
      </c>
      <c r="BY315" s="1" t="s">
        <v>120</v>
      </c>
      <c r="BZ315" s="1">
        <v>0</v>
      </c>
      <c r="CA315" s="1">
        <v>0</v>
      </c>
      <c r="CB315" s="4">
        <v>43337.128363159725</v>
      </c>
      <c r="CC315" s="1">
        <v>1</v>
      </c>
      <c r="CD315" s="1">
        <v>1</v>
      </c>
      <c r="CE315" s="1">
        <v>1</v>
      </c>
      <c r="CF315" s="1">
        <v>1</v>
      </c>
      <c r="CG315" s="4">
        <v>43347.460192094906</v>
      </c>
      <c r="CH315" s="1" t="s">
        <v>112</v>
      </c>
      <c r="CI315" s="1" t="s">
        <v>4941</v>
      </c>
      <c r="CJ315" s="1" t="s">
        <v>157</v>
      </c>
    </row>
    <row r="316" spans="1:88" x14ac:dyDescent="0.35">
      <c r="A316" s="1">
        <v>5046</v>
      </c>
      <c r="B316" s="1" t="s">
        <v>4942</v>
      </c>
      <c r="C316" s="1" t="s">
        <v>4943</v>
      </c>
      <c r="D316" s="1" t="s">
        <v>90</v>
      </c>
      <c r="E316" s="1" t="s">
        <v>4944</v>
      </c>
      <c r="F316" s="1" t="s">
        <v>208</v>
      </c>
      <c r="G316" s="1">
        <v>1</v>
      </c>
      <c r="H316" s="3">
        <v>34047</v>
      </c>
      <c r="I316" s="1">
        <v>1</v>
      </c>
      <c r="J316" s="1" t="s">
        <v>162</v>
      </c>
      <c r="K316" s="1" t="s">
        <v>847</v>
      </c>
      <c r="L316" s="2">
        <f>91-9033264193</f>
        <v>-9033264102</v>
      </c>
      <c r="M316" s="1" t="s">
        <v>150</v>
      </c>
      <c r="N316" s="1">
        <v>0</v>
      </c>
      <c r="O316" s="1">
        <v>0</v>
      </c>
      <c r="P316" s="1">
        <v>5.0599999999999996</v>
      </c>
      <c r="Q316" s="1">
        <v>10</v>
      </c>
      <c r="S316" s="1" t="s">
        <v>97</v>
      </c>
      <c r="T316" s="1" t="s">
        <v>427</v>
      </c>
      <c r="U316" s="1" t="s">
        <v>2540</v>
      </c>
      <c r="V316" s="1" t="s">
        <v>2540</v>
      </c>
      <c r="X316" s="1" t="s">
        <v>170</v>
      </c>
      <c r="Y316" s="1" t="s">
        <v>101</v>
      </c>
      <c r="Z316" s="1" t="s">
        <v>858</v>
      </c>
      <c r="AB316" s="1">
        <v>0</v>
      </c>
      <c r="AD316" s="1" t="s">
        <v>4945</v>
      </c>
      <c r="AE316" s="1">
        <f>91-9824179184</f>
        <v>-9824179093</v>
      </c>
      <c r="AF316" s="1" t="s">
        <v>2541</v>
      </c>
      <c r="AG316" s="1" t="s">
        <v>4946</v>
      </c>
      <c r="AH316" s="1" t="s">
        <v>4947</v>
      </c>
      <c r="AI316" s="1" t="s">
        <v>4948</v>
      </c>
      <c r="AJ316" s="1" t="s">
        <v>109</v>
      </c>
      <c r="AK316" s="1" t="s">
        <v>4949</v>
      </c>
      <c r="AL316" s="1">
        <v>6</v>
      </c>
      <c r="AM316" s="1" t="s">
        <v>2541</v>
      </c>
      <c r="AP316" s="1">
        <f>91-9913622149</f>
        <v>-9913622058</v>
      </c>
      <c r="AR316" s="1">
        <v>0</v>
      </c>
      <c r="AS316" s="1">
        <v>0</v>
      </c>
      <c r="AW316" s="1" t="s">
        <v>142</v>
      </c>
      <c r="AX316" s="1" t="s">
        <v>414</v>
      </c>
      <c r="AY316" s="1" t="s">
        <v>150</v>
      </c>
      <c r="AZ316" s="1">
        <v>5.05</v>
      </c>
      <c r="BA316" s="1">
        <v>5.05</v>
      </c>
      <c r="BB316" s="1" t="s">
        <v>151</v>
      </c>
      <c r="BC316" s="1" t="s">
        <v>152</v>
      </c>
      <c r="BD316" s="1" t="s">
        <v>1395</v>
      </c>
      <c r="BE316" s="1" t="s">
        <v>1182</v>
      </c>
      <c r="BF316" s="1" t="s">
        <v>120</v>
      </c>
      <c r="BG316" s="1" t="s">
        <v>2541</v>
      </c>
      <c r="BH316" s="1" t="s">
        <v>2541</v>
      </c>
      <c r="BI316" s="1" t="s">
        <v>858</v>
      </c>
      <c r="BL316" s="1">
        <v>0</v>
      </c>
      <c r="BM316" s="1">
        <v>0</v>
      </c>
      <c r="BN316" s="1" t="s">
        <v>4950</v>
      </c>
      <c r="BO316" s="1">
        <v>0</v>
      </c>
      <c r="BQ316" s="1" t="s">
        <v>180</v>
      </c>
      <c r="BR316" s="1">
        <v>0</v>
      </c>
      <c r="BS316" s="1" t="s">
        <v>123</v>
      </c>
      <c r="BT316" s="1" t="s">
        <v>120</v>
      </c>
      <c r="BV316" s="1" t="s">
        <v>112</v>
      </c>
      <c r="BW316" s="1" t="s">
        <v>4951</v>
      </c>
      <c r="BX316" s="1" t="s">
        <v>4952</v>
      </c>
      <c r="BY316" s="1" t="s">
        <v>120</v>
      </c>
      <c r="BZ316" s="1">
        <v>0</v>
      </c>
      <c r="CA316" s="1">
        <v>0</v>
      </c>
      <c r="CB316" s="4">
        <v>43348.810815046294</v>
      </c>
      <c r="CC316" s="1">
        <v>1</v>
      </c>
      <c r="CD316" s="1">
        <v>1</v>
      </c>
      <c r="CE316" s="1">
        <v>1</v>
      </c>
      <c r="CF316" s="1">
        <v>1</v>
      </c>
      <c r="CG316" s="4">
        <v>43348.810815046294</v>
      </c>
      <c r="CH316" s="1" t="s">
        <v>112</v>
      </c>
      <c r="CI316" s="1" t="s">
        <v>4953</v>
      </c>
      <c r="CJ316" s="1" t="s">
        <v>157</v>
      </c>
    </row>
    <row r="317" spans="1:88" x14ac:dyDescent="0.35">
      <c r="A317" s="1">
        <v>5048</v>
      </c>
      <c r="B317" s="1" t="s">
        <v>4954</v>
      </c>
      <c r="C317" s="1" t="s">
        <v>4955</v>
      </c>
      <c r="D317" s="1" t="s">
        <v>90</v>
      </c>
      <c r="E317" s="1" t="s">
        <v>133</v>
      </c>
      <c r="F317" s="1" t="s">
        <v>134</v>
      </c>
      <c r="G317" s="1">
        <v>1</v>
      </c>
      <c r="H317" s="3">
        <v>33468</v>
      </c>
      <c r="I317" s="1">
        <v>1</v>
      </c>
      <c r="J317" s="1" t="s">
        <v>997</v>
      </c>
      <c r="K317" s="1" t="s">
        <v>4956</v>
      </c>
      <c r="L317" s="2">
        <f>91-9853749047</f>
        <v>-9853748956</v>
      </c>
      <c r="M317" s="1" t="s">
        <v>150</v>
      </c>
      <c r="N317" s="1">
        <v>0</v>
      </c>
      <c r="O317" s="1">
        <v>0</v>
      </c>
      <c r="P317" s="1">
        <v>5.09</v>
      </c>
      <c r="Q317" s="1">
        <v>27</v>
      </c>
      <c r="R317" s="1" t="s">
        <v>653</v>
      </c>
      <c r="S317" s="1" t="s">
        <v>97</v>
      </c>
      <c r="T317" s="1" t="s">
        <v>427</v>
      </c>
      <c r="U317" s="1" t="s">
        <v>4957</v>
      </c>
      <c r="V317" s="1" t="s">
        <v>4958</v>
      </c>
      <c r="X317" s="1" t="s">
        <v>236</v>
      </c>
      <c r="Y317" s="1" t="s">
        <v>111</v>
      </c>
      <c r="Z317" s="1" t="s">
        <v>192</v>
      </c>
      <c r="AA317" s="1" t="s">
        <v>4959</v>
      </c>
      <c r="AB317" s="1">
        <v>0</v>
      </c>
      <c r="AD317" s="1" t="s">
        <v>4960</v>
      </c>
      <c r="AE317" s="1">
        <f>91-7894960526</f>
        <v>-7894960435</v>
      </c>
      <c r="AF317" s="1" t="s">
        <v>105</v>
      </c>
      <c r="AG317" s="1" t="s">
        <v>2294</v>
      </c>
      <c r="AH317" s="1" t="s">
        <v>4961</v>
      </c>
      <c r="AI317" s="1" t="s">
        <v>4962</v>
      </c>
      <c r="AJ317" s="1" t="s">
        <v>109</v>
      </c>
      <c r="AK317" s="1" t="s">
        <v>4963</v>
      </c>
      <c r="AL317" s="1">
        <v>45</v>
      </c>
      <c r="AM317" s="1" t="s">
        <v>111</v>
      </c>
      <c r="AO317" s="1" t="s">
        <v>4964</v>
      </c>
      <c r="AP317" s="1">
        <f>91-9778074742</f>
        <v>-9778074651</v>
      </c>
      <c r="AR317" s="1">
        <v>1</v>
      </c>
      <c r="AS317" s="1">
        <v>0</v>
      </c>
      <c r="AT317" s="1" t="s">
        <v>4965</v>
      </c>
      <c r="AU317" s="1" t="s">
        <v>4966</v>
      </c>
      <c r="AV317" s="1" t="s">
        <v>1783</v>
      </c>
      <c r="AW317" s="1">
        <f>91-9424220779</f>
        <v>-9424220688</v>
      </c>
      <c r="AX317" s="1" t="s">
        <v>1952</v>
      </c>
      <c r="AY317" s="1" t="s">
        <v>150</v>
      </c>
      <c r="AZ317" s="1">
        <v>5.04</v>
      </c>
      <c r="BA317" s="1">
        <v>5.0599999999999996</v>
      </c>
      <c r="BB317" s="1" t="s">
        <v>151</v>
      </c>
      <c r="BC317" s="1" t="s">
        <v>152</v>
      </c>
      <c r="BD317" s="1" t="s">
        <v>1395</v>
      </c>
      <c r="BE317" s="1" t="s">
        <v>97</v>
      </c>
      <c r="BF317" s="1" t="s">
        <v>120</v>
      </c>
      <c r="BG317" s="1" t="s">
        <v>2541</v>
      </c>
      <c r="BH317" s="1" t="s">
        <v>2541</v>
      </c>
      <c r="BI317" s="1" t="s">
        <v>132</v>
      </c>
      <c r="BL317" s="1">
        <v>0</v>
      </c>
      <c r="BM317" s="1">
        <v>1</v>
      </c>
      <c r="BN317" s="1" t="s">
        <v>4967</v>
      </c>
      <c r="BO317" s="1">
        <v>1</v>
      </c>
      <c r="BP317" s="1" t="s">
        <v>4956</v>
      </c>
      <c r="BQ317" s="1" t="s">
        <v>180</v>
      </c>
      <c r="BR317" s="1">
        <v>0</v>
      </c>
      <c r="BS317" s="1" t="s">
        <v>376</v>
      </c>
      <c r="BT317" s="1" t="s">
        <v>124</v>
      </c>
      <c r="BV317" s="1" t="s">
        <v>112</v>
      </c>
      <c r="BW317" s="1" t="s">
        <v>4968</v>
      </c>
      <c r="BX317" s="1" t="s">
        <v>4969</v>
      </c>
      <c r="BY317" s="1" t="s">
        <v>465</v>
      </c>
      <c r="BZ317" s="1">
        <v>1</v>
      </c>
      <c r="CA317" s="1">
        <v>0</v>
      </c>
      <c r="CB317" s="4">
        <v>43351.099422997686</v>
      </c>
      <c r="CC317" s="1">
        <v>1</v>
      </c>
      <c r="CD317" s="1">
        <v>1</v>
      </c>
      <c r="CE317" s="1">
        <v>1</v>
      </c>
      <c r="CF317" s="1">
        <v>1</v>
      </c>
      <c r="CG317" s="4">
        <v>44080.855835729169</v>
      </c>
      <c r="CH317" s="1" t="s">
        <v>112</v>
      </c>
      <c r="CI317" s="1" t="s">
        <v>280</v>
      </c>
      <c r="CJ317" s="1" t="s">
        <v>157</v>
      </c>
    </row>
    <row r="318" spans="1:88" x14ac:dyDescent="0.35">
      <c r="A318" s="1">
        <v>5053</v>
      </c>
      <c r="B318" s="1" t="s">
        <v>4970</v>
      </c>
      <c r="C318" s="1" t="s">
        <v>4971</v>
      </c>
      <c r="D318" s="1" t="s">
        <v>90</v>
      </c>
      <c r="E318" s="1" t="s">
        <v>4972</v>
      </c>
      <c r="F318" s="1" t="s">
        <v>134</v>
      </c>
      <c r="G318" s="1">
        <v>0</v>
      </c>
      <c r="H318" s="3">
        <v>33856</v>
      </c>
      <c r="I318" s="1">
        <v>1</v>
      </c>
      <c r="J318" s="1" t="s">
        <v>315</v>
      </c>
      <c r="K318" s="1" t="s">
        <v>316</v>
      </c>
      <c r="L318" s="2">
        <f>91-9844506080</f>
        <v>-9844505989</v>
      </c>
      <c r="M318" s="1" t="s">
        <v>150</v>
      </c>
      <c r="N318" s="1">
        <v>0</v>
      </c>
      <c r="O318" s="1">
        <v>0</v>
      </c>
      <c r="P318" s="1">
        <v>5.04</v>
      </c>
      <c r="Q318" s="1">
        <v>19</v>
      </c>
      <c r="R318" s="1" t="s">
        <v>714</v>
      </c>
      <c r="S318" s="1" t="s">
        <v>97</v>
      </c>
      <c r="T318" s="1" t="s">
        <v>427</v>
      </c>
      <c r="U318" s="1" t="s">
        <v>2540</v>
      </c>
      <c r="V318" s="1" t="s">
        <v>2540</v>
      </c>
      <c r="X318" s="1" t="s">
        <v>100</v>
      </c>
      <c r="Y318" s="1" t="s">
        <v>210</v>
      </c>
      <c r="Z318" s="1" t="s">
        <v>171</v>
      </c>
      <c r="AB318" s="1">
        <v>0</v>
      </c>
      <c r="AD318" s="1" t="s">
        <v>4973</v>
      </c>
      <c r="AE318" s="1">
        <f>91-9964646208</f>
        <v>-9964646117</v>
      </c>
      <c r="AF318" s="1" t="s">
        <v>2541</v>
      </c>
      <c r="AG318" s="1" t="s">
        <v>4974</v>
      </c>
      <c r="AH318" s="1" t="s">
        <v>4975</v>
      </c>
      <c r="AI318" s="1" t="s">
        <v>4976</v>
      </c>
      <c r="AJ318" s="1" t="s">
        <v>478</v>
      </c>
      <c r="AK318" s="1" t="s">
        <v>4977</v>
      </c>
      <c r="AL318" s="1">
        <v>30</v>
      </c>
      <c r="AM318" s="1" t="s">
        <v>2541</v>
      </c>
      <c r="AP318" s="1">
        <f>91-9845359710</f>
        <v>-9845359619</v>
      </c>
      <c r="AR318" s="1">
        <v>0</v>
      </c>
      <c r="AS318" s="1">
        <v>0</v>
      </c>
      <c r="AW318" s="1" t="s">
        <v>142</v>
      </c>
      <c r="AX318" s="1" t="s">
        <v>2190</v>
      </c>
      <c r="AY318" s="1" t="s">
        <v>150</v>
      </c>
      <c r="AZ318" s="1">
        <v>6</v>
      </c>
      <c r="BA318" s="1">
        <v>6</v>
      </c>
      <c r="BB318" s="1" t="s">
        <v>151</v>
      </c>
      <c r="BC318" s="1" t="s">
        <v>152</v>
      </c>
      <c r="BD318" s="1" t="s">
        <v>1395</v>
      </c>
      <c r="BE318" s="1" t="s">
        <v>219</v>
      </c>
      <c r="BF318" s="1" t="s">
        <v>120</v>
      </c>
      <c r="BG318" s="1" t="s">
        <v>2541</v>
      </c>
      <c r="BH318" s="1" t="s">
        <v>2541</v>
      </c>
      <c r="BI318" s="1" t="s">
        <v>171</v>
      </c>
      <c r="BL318" s="1">
        <v>0</v>
      </c>
      <c r="BM318" s="1">
        <v>0</v>
      </c>
      <c r="BN318" s="1" t="s">
        <v>4978</v>
      </c>
      <c r="BO318" s="1">
        <v>0</v>
      </c>
      <c r="BQ318" s="1" t="s">
        <v>180</v>
      </c>
      <c r="BR318" s="1">
        <v>0</v>
      </c>
      <c r="BS318" s="1" t="s">
        <v>223</v>
      </c>
      <c r="BT318" s="1" t="s">
        <v>124</v>
      </c>
      <c r="BV318" s="1" t="s">
        <v>112</v>
      </c>
      <c r="BW318" s="1" t="s">
        <v>4979</v>
      </c>
      <c r="BX318" s="1" t="s">
        <v>4980</v>
      </c>
      <c r="BY318" s="1" t="s">
        <v>120</v>
      </c>
      <c r="BZ318" s="1">
        <v>0</v>
      </c>
      <c r="CA318" s="1">
        <v>0</v>
      </c>
      <c r="CB318" s="4">
        <v>43376.095824687502</v>
      </c>
      <c r="CC318" s="1">
        <v>1</v>
      </c>
      <c r="CD318" s="1">
        <v>1</v>
      </c>
      <c r="CE318" s="1">
        <v>1</v>
      </c>
      <c r="CF318" s="1">
        <v>1</v>
      </c>
      <c r="CG318" s="4">
        <v>43377.27407615741</v>
      </c>
      <c r="CH318" s="1" t="s">
        <v>112</v>
      </c>
      <c r="CI318" s="1" t="s">
        <v>2425</v>
      </c>
      <c r="CJ318" s="1" t="s">
        <v>157</v>
      </c>
    </row>
    <row r="319" spans="1:88" x14ac:dyDescent="0.35">
      <c r="A319" s="1">
        <v>5056</v>
      </c>
      <c r="B319" s="1" t="s">
        <v>4981</v>
      </c>
      <c r="C319" s="1" t="s">
        <v>4982</v>
      </c>
      <c r="D319" s="1" t="s">
        <v>90</v>
      </c>
      <c r="E319" s="1" t="s">
        <v>4983</v>
      </c>
      <c r="F319" s="1" t="s">
        <v>1495</v>
      </c>
      <c r="G319" s="1">
        <v>1</v>
      </c>
      <c r="H319" s="3">
        <v>30608</v>
      </c>
      <c r="I319" s="1">
        <v>1</v>
      </c>
      <c r="J319" s="1" t="s">
        <v>162</v>
      </c>
      <c r="K319" s="1" t="s">
        <v>847</v>
      </c>
      <c r="L319" s="2">
        <f>91-9850226005</f>
        <v>-9850225914</v>
      </c>
      <c r="M319" s="1" t="s">
        <v>95</v>
      </c>
      <c r="N319" s="1">
        <v>0</v>
      </c>
      <c r="O319" s="1">
        <v>0</v>
      </c>
      <c r="P319" s="1">
        <v>5.0199999999999996</v>
      </c>
      <c r="Q319" s="1">
        <v>46</v>
      </c>
      <c r="R319" s="1" t="s">
        <v>292</v>
      </c>
      <c r="S319" s="1" t="s">
        <v>233</v>
      </c>
      <c r="T319" s="1" t="s">
        <v>471</v>
      </c>
      <c r="U319" s="1" t="s">
        <v>2540</v>
      </c>
      <c r="V319" s="1" t="s">
        <v>2540</v>
      </c>
      <c r="X319" s="1" t="s">
        <v>170</v>
      </c>
      <c r="Y319" s="1" t="s">
        <v>111</v>
      </c>
      <c r="Z319" s="1" t="s">
        <v>631</v>
      </c>
      <c r="AB319" s="1">
        <v>0</v>
      </c>
      <c r="AD319" s="1" t="s">
        <v>198</v>
      </c>
      <c r="AE319" s="1">
        <f>91-9850226005</f>
        <v>-9850225914</v>
      </c>
      <c r="AF319" s="1" t="s">
        <v>129</v>
      </c>
      <c r="AG319" s="1" t="s">
        <v>4984</v>
      </c>
      <c r="AH319" s="1" t="s">
        <v>4984</v>
      </c>
      <c r="AI319" s="1" t="s">
        <v>4984</v>
      </c>
      <c r="AJ319" s="1" t="s">
        <v>109</v>
      </c>
      <c r="AK319" s="1" t="s">
        <v>4985</v>
      </c>
      <c r="AL319" s="1">
        <v>30</v>
      </c>
      <c r="AM319" s="1" t="s">
        <v>129</v>
      </c>
      <c r="AP319" s="1">
        <f>91-8156070264</f>
        <v>-8156070173</v>
      </c>
      <c r="AR319" s="1">
        <v>1</v>
      </c>
      <c r="AS319" s="1">
        <v>1</v>
      </c>
      <c r="AW319" s="1" t="s">
        <v>142</v>
      </c>
      <c r="AX319" s="1" t="s">
        <v>4986</v>
      </c>
      <c r="AY319" s="1" t="s">
        <v>119</v>
      </c>
      <c r="AZ319" s="1">
        <v>4</v>
      </c>
      <c r="BA319" s="1">
        <v>5</v>
      </c>
      <c r="BB319" s="1" t="s">
        <v>151</v>
      </c>
      <c r="BC319" s="1" t="s">
        <v>152</v>
      </c>
      <c r="BD319" s="1" t="s">
        <v>1395</v>
      </c>
      <c r="BE319" s="1" t="s">
        <v>4987</v>
      </c>
      <c r="BF319" s="1" t="s">
        <v>120</v>
      </c>
      <c r="BG319" s="1" t="s">
        <v>2541</v>
      </c>
      <c r="BH319" s="1" t="s">
        <v>2541</v>
      </c>
      <c r="BI319" s="1" t="s">
        <v>132</v>
      </c>
      <c r="BL319" s="1">
        <v>0</v>
      </c>
      <c r="BM319" s="1">
        <v>0</v>
      </c>
      <c r="BN319" s="1" t="s">
        <v>4984</v>
      </c>
      <c r="BO319" s="1">
        <v>1</v>
      </c>
      <c r="BP319" s="1" t="s">
        <v>4988</v>
      </c>
      <c r="BQ319" s="1" t="s">
        <v>180</v>
      </c>
      <c r="BR319" s="1">
        <v>0</v>
      </c>
      <c r="BS319" s="1" t="s">
        <v>1668</v>
      </c>
      <c r="BT319" s="1" t="s">
        <v>120</v>
      </c>
      <c r="BV319" s="1" t="s">
        <v>112</v>
      </c>
      <c r="BX319" s="1" t="s">
        <v>4989</v>
      </c>
      <c r="BY319" s="1" t="s">
        <v>120</v>
      </c>
      <c r="BZ319" s="1">
        <v>1</v>
      </c>
      <c r="CA319" s="1">
        <v>1</v>
      </c>
      <c r="CB319" s="4">
        <v>43386.891930590275</v>
      </c>
      <c r="CC319" s="1">
        <v>1</v>
      </c>
      <c r="CD319" s="1">
        <v>1</v>
      </c>
      <c r="CE319" s="1">
        <v>1</v>
      </c>
      <c r="CF319" s="1">
        <v>1</v>
      </c>
      <c r="CG319" s="4">
        <v>43652.228718900464</v>
      </c>
      <c r="CH319" s="1" t="s">
        <v>112</v>
      </c>
      <c r="CI319" s="1" t="s">
        <v>4990</v>
      </c>
      <c r="CJ319" s="1" t="s">
        <v>157</v>
      </c>
    </row>
    <row r="320" spans="1:88" x14ac:dyDescent="0.35">
      <c r="A320" s="1">
        <v>5057</v>
      </c>
      <c r="B320" s="1" t="s">
        <v>4991</v>
      </c>
      <c r="C320" s="1" t="s">
        <v>4992</v>
      </c>
      <c r="D320" s="1" t="s">
        <v>90</v>
      </c>
      <c r="E320" s="1" t="s">
        <v>4993</v>
      </c>
      <c r="F320" s="1" t="s">
        <v>4994</v>
      </c>
      <c r="G320" s="1">
        <v>0</v>
      </c>
      <c r="H320" s="3">
        <v>33658</v>
      </c>
      <c r="I320" s="1">
        <v>1</v>
      </c>
      <c r="J320" s="1" t="s">
        <v>162</v>
      </c>
      <c r="K320" s="1" t="s">
        <v>1061</v>
      </c>
      <c r="L320" s="2">
        <f>91-8160939376</f>
        <v>-8160939285</v>
      </c>
      <c r="M320" s="1" t="s">
        <v>95</v>
      </c>
      <c r="N320" s="1">
        <v>0</v>
      </c>
      <c r="O320" s="1">
        <v>0</v>
      </c>
      <c r="P320" s="1">
        <v>5.03</v>
      </c>
      <c r="Q320" s="1">
        <v>30</v>
      </c>
      <c r="S320" s="1" t="s">
        <v>1914</v>
      </c>
      <c r="T320" s="1" t="s">
        <v>1915</v>
      </c>
      <c r="U320" s="1" t="s">
        <v>4995</v>
      </c>
      <c r="V320" s="1" t="s">
        <v>2540</v>
      </c>
      <c r="X320" s="1" t="s">
        <v>170</v>
      </c>
      <c r="Y320" s="1" t="s">
        <v>268</v>
      </c>
      <c r="Z320" s="1" t="s">
        <v>1917</v>
      </c>
      <c r="AB320" s="1">
        <v>0</v>
      </c>
      <c r="AD320" s="1" t="s">
        <v>4996</v>
      </c>
      <c r="AE320" s="1" t="s">
        <v>142</v>
      </c>
      <c r="AF320" s="1" t="s">
        <v>105</v>
      </c>
      <c r="AG320" s="1" t="s">
        <v>4997</v>
      </c>
      <c r="AH320" s="1" t="s">
        <v>1712</v>
      </c>
      <c r="AI320" s="1" t="s">
        <v>4998</v>
      </c>
      <c r="AJ320" s="1" t="s">
        <v>478</v>
      </c>
      <c r="AK320" s="1" t="s">
        <v>4999</v>
      </c>
      <c r="AL320" s="1">
        <v>11</v>
      </c>
      <c r="AM320" s="1" t="s">
        <v>129</v>
      </c>
      <c r="AP320" s="1">
        <f>91-9429611430</f>
        <v>-9429611339</v>
      </c>
      <c r="AR320" s="1">
        <v>0</v>
      </c>
      <c r="AS320" s="1">
        <v>0</v>
      </c>
      <c r="AW320" s="1" t="s">
        <v>142</v>
      </c>
      <c r="AX320" s="1" t="s">
        <v>218</v>
      </c>
      <c r="AY320" s="1" t="s">
        <v>593</v>
      </c>
      <c r="AZ320" s="1">
        <v>5.05</v>
      </c>
      <c r="BA320" s="1">
        <v>6</v>
      </c>
      <c r="BB320" s="1" t="s">
        <v>151</v>
      </c>
      <c r="BC320" s="1" t="s">
        <v>304</v>
      </c>
      <c r="BD320" s="1" t="s">
        <v>1333</v>
      </c>
      <c r="BE320" s="1" t="s">
        <v>281</v>
      </c>
      <c r="BF320" s="1" t="s">
        <v>120</v>
      </c>
      <c r="BG320" s="1" t="s">
        <v>2379</v>
      </c>
      <c r="BH320" s="1" t="s">
        <v>724</v>
      </c>
      <c r="BJ320" s="1" t="s">
        <v>120</v>
      </c>
      <c r="BK320" s="1" t="s">
        <v>120</v>
      </c>
      <c r="BL320" s="1">
        <v>0</v>
      </c>
      <c r="BM320" s="1">
        <v>0</v>
      </c>
      <c r="BN320" s="1" t="s">
        <v>5000</v>
      </c>
      <c r="BO320" s="1">
        <v>0</v>
      </c>
      <c r="BQ320" s="1" t="s">
        <v>112</v>
      </c>
      <c r="BR320" s="1">
        <v>0</v>
      </c>
      <c r="BS320" s="1" t="s">
        <v>129</v>
      </c>
      <c r="BT320" s="1" t="s">
        <v>124</v>
      </c>
      <c r="BU320" s="1" t="s">
        <v>112</v>
      </c>
      <c r="BV320" s="1" t="s">
        <v>112</v>
      </c>
      <c r="BW320" s="1" t="s">
        <v>5001</v>
      </c>
      <c r="BX320" s="1" t="s">
        <v>5002</v>
      </c>
      <c r="BY320" s="1" t="s">
        <v>120</v>
      </c>
      <c r="BZ320" s="1">
        <v>0</v>
      </c>
      <c r="CA320" s="1">
        <v>0</v>
      </c>
      <c r="CB320" s="4">
        <v>43391.321659259258</v>
      </c>
      <c r="CC320" s="1">
        <v>1</v>
      </c>
      <c r="CD320" s="1">
        <v>1</v>
      </c>
      <c r="CE320" s="1">
        <v>1</v>
      </c>
      <c r="CF320" s="1">
        <v>1</v>
      </c>
      <c r="CG320" s="4">
        <v>43404.412274571761</v>
      </c>
      <c r="CH320" s="1" t="s">
        <v>112</v>
      </c>
      <c r="CI320" s="1" t="s">
        <v>5003</v>
      </c>
      <c r="CJ320" s="1" t="s">
        <v>157</v>
      </c>
    </row>
    <row r="321" spans="1:88" x14ac:dyDescent="0.35">
      <c r="A321" s="1">
        <v>5059</v>
      </c>
      <c r="B321" s="1" t="s">
        <v>5004</v>
      </c>
      <c r="C321" s="1" t="s">
        <v>5005</v>
      </c>
      <c r="D321" s="1" t="s">
        <v>90</v>
      </c>
      <c r="E321" s="1" t="s">
        <v>5006</v>
      </c>
      <c r="F321" s="1" t="s">
        <v>5007</v>
      </c>
      <c r="G321" s="1">
        <v>1</v>
      </c>
      <c r="H321" s="3">
        <v>33224</v>
      </c>
      <c r="I321" s="1">
        <v>1</v>
      </c>
      <c r="J321" s="1" t="s">
        <v>162</v>
      </c>
      <c r="K321" s="1" t="s">
        <v>163</v>
      </c>
      <c r="L321" s="2">
        <f>91-9099275174</f>
        <v>-9099275083</v>
      </c>
      <c r="M321" s="1" t="s">
        <v>150</v>
      </c>
      <c r="N321" s="1">
        <v>0</v>
      </c>
      <c r="O321" s="1">
        <v>0</v>
      </c>
      <c r="P321" s="1">
        <v>5.0999999999999996</v>
      </c>
      <c r="Q321" s="1">
        <v>3</v>
      </c>
      <c r="R321" s="1" t="s">
        <v>3728</v>
      </c>
      <c r="S321" s="1" t="s">
        <v>97</v>
      </c>
      <c r="T321" s="1" t="s">
        <v>166</v>
      </c>
      <c r="U321" s="1" t="s">
        <v>2540</v>
      </c>
      <c r="V321" s="1" t="s">
        <v>2540</v>
      </c>
      <c r="X321" s="1" t="s">
        <v>100</v>
      </c>
      <c r="Y321" s="1" t="s">
        <v>101</v>
      </c>
      <c r="Z321" s="1" t="s">
        <v>171</v>
      </c>
      <c r="AB321" s="1">
        <v>0</v>
      </c>
      <c r="AD321" s="1" t="s">
        <v>5008</v>
      </c>
      <c r="AE321" s="1">
        <f>91-9099275174</f>
        <v>-9099275083</v>
      </c>
      <c r="AF321" s="1" t="s">
        <v>129</v>
      </c>
      <c r="AG321" s="1" t="s">
        <v>5009</v>
      </c>
      <c r="AH321" s="1" t="s">
        <v>5010</v>
      </c>
      <c r="AI321" s="1" t="s">
        <v>5011</v>
      </c>
      <c r="AJ321" s="1" t="s">
        <v>478</v>
      </c>
      <c r="AK321" s="1" t="s">
        <v>5012</v>
      </c>
      <c r="AL321" s="1">
        <v>40</v>
      </c>
      <c r="AM321" s="1" t="s">
        <v>132</v>
      </c>
      <c r="AN321" s="1" t="s">
        <v>437</v>
      </c>
      <c r="AP321" s="1">
        <f>91-9099275174</f>
        <v>-9099275083</v>
      </c>
      <c r="AR321" s="1">
        <v>1</v>
      </c>
      <c r="AS321" s="1">
        <v>1</v>
      </c>
      <c r="AW321" s="1" t="s">
        <v>142</v>
      </c>
      <c r="AX321" s="1" t="s">
        <v>460</v>
      </c>
      <c r="AY321" s="1" t="s">
        <v>119</v>
      </c>
      <c r="AZ321" s="1">
        <v>5.03</v>
      </c>
      <c r="BA321" s="1">
        <v>5.1100000000000003</v>
      </c>
      <c r="BB321" s="1" t="s">
        <v>151</v>
      </c>
      <c r="BC321" s="1" t="s">
        <v>152</v>
      </c>
      <c r="BD321" s="1" t="s">
        <v>1395</v>
      </c>
      <c r="BE321" s="1" t="s">
        <v>870</v>
      </c>
      <c r="BF321" s="1" t="s">
        <v>120</v>
      </c>
      <c r="BG321" s="1" t="s">
        <v>2541</v>
      </c>
      <c r="BH321" s="1" t="s">
        <v>2541</v>
      </c>
      <c r="BI321" s="1" t="s">
        <v>171</v>
      </c>
      <c r="BL321" s="1">
        <v>0</v>
      </c>
      <c r="BM321" s="1">
        <v>0</v>
      </c>
      <c r="BN321" s="1" t="s">
        <v>5013</v>
      </c>
      <c r="BO321" s="1">
        <v>0</v>
      </c>
      <c r="BQ321" s="1" t="s">
        <v>180</v>
      </c>
      <c r="BR321" s="1">
        <v>0</v>
      </c>
      <c r="BS321" s="1" t="s">
        <v>1208</v>
      </c>
      <c r="BT321" s="1" t="s">
        <v>120</v>
      </c>
      <c r="BV321" s="1" t="s">
        <v>112</v>
      </c>
      <c r="BW321" s="1" t="s">
        <v>5014</v>
      </c>
      <c r="BX321" s="1" t="s">
        <v>5015</v>
      </c>
      <c r="BY321" s="1" t="s">
        <v>127</v>
      </c>
      <c r="BZ321" s="1">
        <v>3</v>
      </c>
      <c r="CA321" s="1">
        <v>3</v>
      </c>
      <c r="CB321" s="4">
        <v>43394.32903572917</v>
      </c>
      <c r="CC321" s="1">
        <v>1</v>
      </c>
      <c r="CD321" s="1">
        <v>1</v>
      </c>
      <c r="CE321" s="1">
        <v>1</v>
      </c>
      <c r="CF321" s="1">
        <v>1</v>
      </c>
      <c r="CG321" s="4">
        <v>43404.660722303241</v>
      </c>
      <c r="CH321" s="1" t="s">
        <v>112</v>
      </c>
      <c r="CI321" s="1" t="s">
        <v>5016</v>
      </c>
      <c r="CJ321" s="1" t="s">
        <v>157</v>
      </c>
    </row>
    <row r="322" spans="1:88" x14ac:dyDescent="0.35">
      <c r="A322" s="1">
        <v>5060</v>
      </c>
      <c r="B322" s="1" t="s">
        <v>5017</v>
      </c>
      <c r="C322" s="1" t="s">
        <v>1590</v>
      </c>
      <c r="D322" s="1" t="s">
        <v>90</v>
      </c>
      <c r="E322" s="1" t="s">
        <v>5018</v>
      </c>
      <c r="F322" s="1" t="s">
        <v>5019</v>
      </c>
      <c r="G322" s="1">
        <v>1</v>
      </c>
      <c r="H322" s="3">
        <v>32488</v>
      </c>
      <c r="I322" s="1">
        <v>1</v>
      </c>
      <c r="J322" s="1" t="s">
        <v>93</v>
      </c>
      <c r="K322" s="1" t="s">
        <v>94</v>
      </c>
      <c r="L322" s="2">
        <f>91-9029808592</f>
        <v>-9029808501</v>
      </c>
      <c r="M322" s="1" t="s">
        <v>150</v>
      </c>
      <c r="N322" s="1">
        <v>0</v>
      </c>
      <c r="O322" s="1">
        <v>0</v>
      </c>
      <c r="P322" s="1">
        <v>5.0999999999999996</v>
      </c>
      <c r="Q322" s="1">
        <v>12</v>
      </c>
      <c r="R322" s="1" t="s">
        <v>470</v>
      </c>
      <c r="S322" s="1" t="s">
        <v>492</v>
      </c>
      <c r="T322" s="1" t="s">
        <v>137</v>
      </c>
      <c r="U322" s="1" t="s">
        <v>2540</v>
      </c>
      <c r="V322" s="1" t="s">
        <v>2540</v>
      </c>
      <c r="X322" s="1" t="s">
        <v>170</v>
      </c>
      <c r="Y322" s="1" t="s">
        <v>111</v>
      </c>
      <c r="Z322" s="1" t="s">
        <v>5020</v>
      </c>
      <c r="AB322" s="1">
        <v>0</v>
      </c>
      <c r="AD322" s="1" t="s">
        <v>5021</v>
      </c>
      <c r="AE322" s="1">
        <f>91-9029808592</f>
        <v>-9029808501</v>
      </c>
      <c r="AF322" s="1" t="s">
        <v>2541</v>
      </c>
      <c r="AG322" s="1" t="s">
        <v>5022</v>
      </c>
      <c r="AH322" s="1" t="s">
        <v>5023</v>
      </c>
      <c r="AI322" s="1" t="s">
        <v>5024</v>
      </c>
      <c r="AJ322" s="1" t="s">
        <v>109</v>
      </c>
      <c r="AK322" s="1" t="s">
        <v>5025</v>
      </c>
      <c r="AL322" s="1">
        <v>23</v>
      </c>
      <c r="AM322" s="1" t="s">
        <v>2541</v>
      </c>
      <c r="AP322" s="1">
        <f>91-8108223981</f>
        <v>-8108223890</v>
      </c>
      <c r="AR322" s="1">
        <v>0</v>
      </c>
      <c r="AS322" s="1">
        <v>0</v>
      </c>
      <c r="AW322" s="1" t="s">
        <v>142</v>
      </c>
      <c r="AX322" s="1" t="s">
        <v>2747</v>
      </c>
      <c r="AY322" s="1" t="s">
        <v>150</v>
      </c>
      <c r="AZ322" s="1">
        <v>5.04</v>
      </c>
      <c r="BA322" s="1">
        <v>5.0999999999999996</v>
      </c>
      <c r="BB322" s="1" t="s">
        <v>151</v>
      </c>
      <c r="BC322" s="1" t="s">
        <v>152</v>
      </c>
      <c r="BD322" s="1" t="s">
        <v>1395</v>
      </c>
      <c r="BE322" s="1" t="s">
        <v>120</v>
      </c>
      <c r="BF322" s="1" t="s">
        <v>120</v>
      </c>
      <c r="BG322" s="1" t="s">
        <v>2541</v>
      </c>
      <c r="BH322" s="1" t="s">
        <v>2541</v>
      </c>
      <c r="BI322" s="1" t="s">
        <v>132</v>
      </c>
      <c r="BL322" s="1">
        <v>0</v>
      </c>
      <c r="BM322" s="1">
        <v>0</v>
      </c>
      <c r="BN322" s="1" t="s">
        <v>5026</v>
      </c>
      <c r="BO322" s="1">
        <v>1</v>
      </c>
      <c r="BP322" s="1" t="s">
        <v>5027</v>
      </c>
      <c r="BQ322" s="1" t="s">
        <v>112</v>
      </c>
      <c r="BR322" s="1">
        <v>0</v>
      </c>
      <c r="BS322" s="1" t="s">
        <v>1208</v>
      </c>
      <c r="BT322" s="1" t="s">
        <v>124</v>
      </c>
      <c r="BU322" s="1" t="s">
        <v>112</v>
      </c>
      <c r="BV322" s="1" t="s">
        <v>112</v>
      </c>
      <c r="BW322" s="1" t="s">
        <v>5028</v>
      </c>
      <c r="BX322" s="1" t="s">
        <v>5029</v>
      </c>
      <c r="BY322" s="1" t="s">
        <v>120</v>
      </c>
      <c r="BZ322" s="1">
        <v>0</v>
      </c>
      <c r="CA322" s="1">
        <v>0</v>
      </c>
      <c r="CB322" s="4">
        <v>43394.971974305554</v>
      </c>
      <c r="CC322" s="1">
        <v>1</v>
      </c>
      <c r="CD322" s="1">
        <v>1</v>
      </c>
      <c r="CE322" s="1">
        <v>1</v>
      </c>
      <c r="CF322" s="1">
        <v>1</v>
      </c>
      <c r="CG322" s="4">
        <v>43405.358093900461</v>
      </c>
      <c r="CH322" s="1" t="s">
        <v>112</v>
      </c>
      <c r="CI322" s="1" t="s">
        <v>5030</v>
      </c>
      <c r="CJ322" s="1" t="s">
        <v>157</v>
      </c>
    </row>
    <row r="323" spans="1:88" x14ac:dyDescent="0.35">
      <c r="A323" s="1">
        <v>5068</v>
      </c>
      <c r="B323" s="1" t="s">
        <v>5031</v>
      </c>
      <c r="C323" s="1" t="s">
        <v>5032</v>
      </c>
      <c r="D323" s="1" t="s">
        <v>90</v>
      </c>
      <c r="E323" s="1" t="s">
        <v>5033</v>
      </c>
      <c r="F323" s="1" t="s">
        <v>5034</v>
      </c>
      <c r="G323" s="1">
        <v>1</v>
      </c>
      <c r="H323" s="3">
        <v>30082</v>
      </c>
      <c r="I323" s="1">
        <v>1</v>
      </c>
      <c r="J323" s="1" t="s">
        <v>162</v>
      </c>
      <c r="K323" s="1" t="s">
        <v>847</v>
      </c>
      <c r="L323" s="2">
        <f>91-8140283841</f>
        <v>-8140283750</v>
      </c>
      <c r="M323" s="1" t="s">
        <v>95</v>
      </c>
      <c r="N323" s="1">
        <v>2</v>
      </c>
      <c r="O323" s="1">
        <v>1</v>
      </c>
      <c r="P323" s="1">
        <v>5</v>
      </c>
      <c r="Q323" s="1">
        <v>51</v>
      </c>
      <c r="R323" s="1" t="s">
        <v>2053</v>
      </c>
      <c r="S323" s="1" t="s">
        <v>233</v>
      </c>
      <c r="T323" s="1" t="s">
        <v>3458</v>
      </c>
      <c r="U323" s="1" t="s">
        <v>2540</v>
      </c>
      <c r="V323" s="1" t="s">
        <v>2540</v>
      </c>
      <c r="X323" s="1" t="s">
        <v>296</v>
      </c>
      <c r="Y323" s="1" t="s">
        <v>210</v>
      </c>
      <c r="Z323" s="1" t="s">
        <v>4134</v>
      </c>
      <c r="AB323" s="1">
        <v>0</v>
      </c>
      <c r="AD323" s="1" t="s">
        <v>5035</v>
      </c>
      <c r="AE323" s="1" t="s">
        <v>142</v>
      </c>
      <c r="AF323" s="1" t="s">
        <v>2541</v>
      </c>
      <c r="AG323" s="1" t="s">
        <v>5036</v>
      </c>
      <c r="AH323" s="1" t="s">
        <v>5037</v>
      </c>
      <c r="AI323" s="1" t="s">
        <v>5038</v>
      </c>
      <c r="AJ323" s="1" t="s">
        <v>109</v>
      </c>
      <c r="AK323" s="1" t="s">
        <v>5039</v>
      </c>
      <c r="AL323" s="1">
        <v>2</v>
      </c>
      <c r="AM323" s="1" t="s">
        <v>2541</v>
      </c>
      <c r="AP323" s="1">
        <f>91-8140823841</f>
        <v>-8140823750</v>
      </c>
      <c r="AR323" s="1">
        <v>0</v>
      </c>
      <c r="AS323" s="1">
        <v>0</v>
      </c>
      <c r="AW323" s="1" t="s">
        <v>142</v>
      </c>
      <c r="AX323" s="1" t="s">
        <v>5040</v>
      </c>
      <c r="AY323" s="1" t="s">
        <v>4141</v>
      </c>
      <c r="AZ323" s="1">
        <v>4.05</v>
      </c>
      <c r="BA323" s="1">
        <v>7.05</v>
      </c>
      <c r="BB323" s="1" t="s">
        <v>151</v>
      </c>
      <c r="BC323" s="1" t="s">
        <v>152</v>
      </c>
      <c r="BD323" s="1" t="s">
        <v>1395</v>
      </c>
      <c r="BE323" s="1" t="s">
        <v>120</v>
      </c>
      <c r="BF323" s="1" t="s">
        <v>120</v>
      </c>
      <c r="BG323" s="1" t="s">
        <v>2541</v>
      </c>
      <c r="BH323" s="1" t="s">
        <v>2541</v>
      </c>
      <c r="BI323" s="1" t="s">
        <v>132</v>
      </c>
      <c r="BL323" s="1">
        <v>0</v>
      </c>
      <c r="BM323" s="1">
        <v>0</v>
      </c>
      <c r="BN323" s="1" t="s">
        <v>124</v>
      </c>
      <c r="BO323" s="1">
        <v>0</v>
      </c>
      <c r="BQ323" s="1" t="s">
        <v>180</v>
      </c>
      <c r="BR323" s="1">
        <v>0</v>
      </c>
      <c r="BS323" s="1" t="s">
        <v>1208</v>
      </c>
      <c r="BT323" s="1" t="s">
        <v>120</v>
      </c>
      <c r="BV323" s="1" t="s">
        <v>112</v>
      </c>
      <c r="BW323" s="1" t="s">
        <v>5041</v>
      </c>
      <c r="BX323" s="1" t="s">
        <v>5042</v>
      </c>
      <c r="BY323" s="1" t="s">
        <v>120</v>
      </c>
      <c r="BZ323" s="1">
        <v>0</v>
      </c>
      <c r="CA323" s="1">
        <v>0</v>
      </c>
      <c r="CB323" s="4">
        <v>43416.393043865741</v>
      </c>
      <c r="CC323" s="1">
        <v>1</v>
      </c>
      <c r="CD323" s="1">
        <v>1</v>
      </c>
      <c r="CE323" s="1">
        <v>1</v>
      </c>
      <c r="CF323" s="1">
        <v>1</v>
      </c>
      <c r="CG323" s="4">
        <v>43416.393043865741</v>
      </c>
      <c r="CH323" s="1" t="s">
        <v>112</v>
      </c>
      <c r="CI323" s="1" t="s">
        <v>3805</v>
      </c>
      <c r="CJ323" s="1" t="s">
        <v>157</v>
      </c>
    </row>
    <row r="324" spans="1:88" x14ac:dyDescent="0.35">
      <c r="A324" s="1">
        <v>5072</v>
      </c>
      <c r="B324" s="1" t="s">
        <v>5043</v>
      </c>
      <c r="C324" s="1" t="s">
        <v>5044</v>
      </c>
      <c r="D324" s="1" t="s">
        <v>90</v>
      </c>
      <c r="E324" s="1" t="s">
        <v>1308</v>
      </c>
      <c r="F324" s="1" t="s">
        <v>134</v>
      </c>
      <c r="G324" s="1">
        <v>1</v>
      </c>
      <c r="H324" s="3">
        <v>33812</v>
      </c>
      <c r="I324" s="1">
        <v>1</v>
      </c>
      <c r="J324" s="1" t="s">
        <v>93</v>
      </c>
      <c r="K324" s="1" t="s">
        <v>1130</v>
      </c>
      <c r="L324" s="2">
        <f>91-9405701655</f>
        <v>-9405701564</v>
      </c>
      <c r="M324" s="1" t="s">
        <v>150</v>
      </c>
      <c r="N324" s="1">
        <v>0</v>
      </c>
      <c r="O324" s="1">
        <v>0</v>
      </c>
      <c r="P324" s="1">
        <v>5.0599999999999996</v>
      </c>
      <c r="Q324" s="1">
        <v>11</v>
      </c>
      <c r="R324" s="1" t="s">
        <v>340</v>
      </c>
      <c r="S324" s="1" t="s">
        <v>492</v>
      </c>
      <c r="T324" s="1" t="s">
        <v>5045</v>
      </c>
      <c r="U324" s="1" t="s">
        <v>2540</v>
      </c>
      <c r="V324" s="1" t="s">
        <v>2540</v>
      </c>
      <c r="X324" s="1" t="s">
        <v>170</v>
      </c>
      <c r="Y324" s="1" t="s">
        <v>111</v>
      </c>
      <c r="Z324" s="1" t="s">
        <v>192</v>
      </c>
      <c r="AB324" s="1">
        <v>0</v>
      </c>
      <c r="AD324" s="1" t="s">
        <v>5046</v>
      </c>
      <c r="AE324" s="1">
        <f>91-9422548752</f>
        <v>-9422548661</v>
      </c>
      <c r="AF324" s="1" t="s">
        <v>2541</v>
      </c>
      <c r="AG324" s="1" t="s">
        <v>5047</v>
      </c>
      <c r="AH324" s="1" t="s">
        <v>3483</v>
      </c>
      <c r="AI324" s="1" t="s">
        <v>5048</v>
      </c>
      <c r="AJ324" s="1" t="s">
        <v>109</v>
      </c>
      <c r="AK324" s="1" t="s">
        <v>5049</v>
      </c>
      <c r="AL324" s="1">
        <v>60</v>
      </c>
      <c r="AM324" s="1" t="s">
        <v>2541</v>
      </c>
      <c r="AP324" s="1">
        <f>91-9422548752</f>
        <v>-9422548661</v>
      </c>
      <c r="AR324" s="1">
        <v>0</v>
      </c>
      <c r="AS324" s="1">
        <v>0</v>
      </c>
      <c r="AW324" s="1" t="s">
        <v>142</v>
      </c>
      <c r="AX324" s="1" t="s">
        <v>149</v>
      </c>
      <c r="AY324" s="1" t="s">
        <v>150</v>
      </c>
      <c r="AZ324" s="1">
        <v>5.03</v>
      </c>
      <c r="BA324" s="1">
        <v>5.03</v>
      </c>
      <c r="BB324" s="1" t="s">
        <v>151</v>
      </c>
      <c r="BC324" s="1" t="s">
        <v>152</v>
      </c>
      <c r="BD324" s="1" t="s">
        <v>1395</v>
      </c>
      <c r="BE324" s="1" t="s">
        <v>120</v>
      </c>
      <c r="BF324" s="1" t="s">
        <v>120</v>
      </c>
      <c r="BG324" s="1" t="s">
        <v>2541</v>
      </c>
      <c r="BH324" s="1" t="s">
        <v>2541</v>
      </c>
      <c r="BI324" s="1" t="s">
        <v>192</v>
      </c>
      <c r="BL324" s="1">
        <v>0</v>
      </c>
      <c r="BM324" s="1">
        <v>0</v>
      </c>
      <c r="BN324" s="1" t="s">
        <v>482</v>
      </c>
      <c r="BO324" s="1">
        <v>0</v>
      </c>
      <c r="BQ324" s="1" t="s">
        <v>180</v>
      </c>
      <c r="BR324" s="1">
        <v>0</v>
      </c>
      <c r="BS324" s="1" t="s">
        <v>334</v>
      </c>
      <c r="BT324" s="1" t="s">
        <v>124</v>
      </c>
      <c r="BV324" s="1" t="s">
        <v>112</v>
      </c>
      <c r="BW324" s="1" t="s">
        <v>5050</v>
      </c>
      <c r="BX324" s="1" t="s">
        <v>5051</v>
      </c>
      <c r="BY324" s="1" t="s">
        <v>120</v>
      </c>
      <c r="BZ324" s="1">
        <v>0</v>
      </c>
      <c r="CA324" s="1">
        <v>0</v>
      </c>
      <c r="CB324" s="4">
        <v>43420.106495138891</v>
      </c>
      <c r="CC324" s="1">
        <v>1</v>
      </c>
      <c r="CD324" s="1">
        <v>1</v>
      </c>
      <c r="CE324" s="1">
        <v>1</v>
      </c>
      <c r="CF324" s="1">
        <v>1</v>
      </c>
      <c r="CG324" s="4">
        <v>43447.479382442129</v>
      </c>
      <c r="CH324" s="1" t="s">
        <v>112</v>
      </c>
      <c r="CI324" s="1" t="s">
        <v>5052</v>
      </c>
      <c r="CJ324" s="1" t="s">
        <v>157</v>
      </c>
    </row>
    <row r="325" spans="1:88" x14ac:dyDescent="0.35">
      <c r="A325" s="1">
        <v>5073</v>
      </c>
      <c r="B325" s="1" t="s">
        <v>5053</v>
      </c>
      <c r="C325" s="1" t="s">
        <v>5054</v>
      </c>
      <c r="D325" s="1" t="s">
        <v>90</v>
      </c>
      <c r="E325" s="1" t="s">
        <v>4917</v>
      </c>
      <c r="F325" s="1" t="s">
        <v>5055</v>
      </c>
      <c r="G325" s="1">
        <v>1</v>
      </c>
      <c r="H325" s="3">
        <v>35086</v>
      </c>
      <c r="I325" s="1">
        <v>1</v>
      </c>
      <c r="J325" s="1" t="s">
        <v>93</v>
      </c>
      <c r="K325" s="1" t="s">
        <v>1045</v>
      </c>
      <c r="L325" s="2">
        <f>91-9130724619</f>
        <v>-9130724528</v>
      </c>
      <c r="M325" s="1" t="s">
        <v>150</v>
      </c>
      <c r="N325" s="1">
        <v>0</v>
      </c>
      <c r="O325" s="1">
        <v>0</v>
      </c>
      <c r="P325" s="1">
        <v>5.04</v>
      </c>
      <c r="Q325" s="1">
        <v>49</v>
      </c>
      <c r="R325" s="1" t="s">
        <v>135</v>
      </c>
      <c r="S325" s="1" t="s">
        <v>136</v>
      </c>
      <c r="T325" s="1" t="s">
        <v>137</v>
      </c>
      <c r="U325" s="1" t="s">
        <v>2540</v>
      </c>
      <c r="V325" s="1" t="s">
        <v>2540</v>
      </c>
      <c r="X325" s="1" t="s">
        <v>170</v>
      </c>
      <c r="Y325" s="1" t="s">
        <v>111</v>
      </c>
      <c r="Z325" s="1" t="s">
        <v>2483</v>
      </c>
      <c r="AB325" s="1">
        <v>0</v>
      </c>
      <c r="AD325" s="1" t="s">
        <v>5056</v>
      </c>
      <c r="AE325" s="1">
        <f>91-9130724619</f>
        <v>-9130724528</v>
      </c>
      <c r="AF325" s="1" t="s">
        <v>2541</v>
      </c>
      <c r="AG325" s="1" t="s">
        <v>5057</v>
      </c>
      <c r="AH325" s="1" t="s">
        <v>5058</v>
      </c>
      <c r="AI325" s="1" t="s">
        <v>5059</v>
      </c>
      <c r="AJ325" s="1" t="s">
        <v>109</v>
      </c>
      <c r="AK325" s="1" t="s">
        <v>5060</v>
      </c>
      <c r="AL325" s="1">
        <v>28</v>
      </c>
      <c r="AM325" s="1" t="s">
        <v>2541</v>
      </c>
      <c r="AP325" s="1">
        <f>91-9420006947</f>
        <v>-9420006856</v>
      </c>
      <c r="AR325" s="1">
        <v>0</v>
      </c>
      <c r="AS325" s="1">
        <v>0</v>
      </c>
      <c r="AW325" s="1" t="s">
        <v>142</v>
      </c>
      <c r="AX325" s="1" t="s">
        <v>5061</v>
      </c>
      <c r="AY325" s="1" t="s">
        <v>150</v>
      </c>
      <c r="AZ325" s="1">
        <v>4.1100000000000003</v>
      </c>
      <c r="BA325" s="1">
        <v>5.03</v>
      </c>
      <c r="BB325" s="1" t="s">
        <v>151</v>
      </c>
      <c r="BC325" s="1" t="s">
        <v>152</v>
      </c>
      <c r="BD325" s="1" t="s">
        <v>1395</v>
      </c>
      <c r="BE325" s="1" t="s">
        <v>97</v>
      </c>
      <c r="BF325" s="1" t="s">
        <v>120</v>
      </c>
      <c r="BG325" s="1" t="s">
        <v>2541</v>
      </c>
      <c r="BH325" s="1" t="s">
        <v>2541</v>
      </c>
      <c r="BI325" s="1" t="s">
        <v>2483</v>
      </c>
      <c r="BL325" s="1">
        <v>0</v>
      </c>
      <c r="BM325" s="1">
        <v>0</v>
      </c>
      <c r="BN325" s="1" t="s">
        <v>5062</v>
      </c>
      <c r="BO325" s="1">
        <v>0</v>
      </c>
      <c r="BQ325" s="1" t="s">
        <v>180</v>
      </c>
      <c r="BR325" s="1">
        <v>0</v>
      </c>
      <c r="BS325" s="1" t="s">
        <v>1668</v>
      </c>
      <c r="BT325" s="1" t="s">
        <v>124</v>
      </c>
      <c r="BV325" s="1" t="s">
        <v>112</v>
      </c>
      <c r="BW325" s="1" t="s">
        <v>5063</v>
      </c>
      <c r="BX325" s="1" t="s">
        <v>5064</v>
      </c>
      <c r="BY325" s="1" t="s">
        <v>120</v>
      </c>
      <c r="BZ325" s="1">
        <v>0</v>
      </c>
      <c r="CA325" s="1">
        <v>0</v>
      </c>
      <c r="CB325" s="4">
        <v>43420.170124571756</v>
      </c>
      <c r="CC325" s="1">
        <v>1</v>
      </c>
      <c r="CD325" s="1">
        <v>1</v>
      </c>
      <c r="CE325" s="1">
        <v>1</v>
      </c>
      <c r="CF325" s="1">
        <v>1</v>
      </c>
      <c r="CG325" s="4">
        <v>43503.509892905095</v>
      </c>
      <c r="CH325" s="1" t="s">
        <v>112</v>
      </c>
      <c r="CI325" s="1" t="s">
        <v>5065</v>
      </c>
      <c r="CJ325" s="1" t="s">
        <v>157</v>
      </c>
    </row>
    <row r="326" spans="1:88" x14ac:dyDescent="0.35">
      <c r="A326" s="1">
        <v>5075</v>
      </c>
      <c r="B326" s="1" t="s">
        <v>5066</v>
      </c>
      <c r="C326" s="1" t="s">
        <v>5067</v>
      </c>
      <c r="D326" s="1" t="s">
        <v>259</v>
      </c>
      <c r="E326" s="1" t="s">
        <v>5068</v>
      </c>
      <c r="F326" s="1" t="s">
        <v>5069</v>
      </c>
      <c r="G326" s="1">
        <v>0</v>
      </c>
      <c r="H326" s="3">
        <v>33798</v>
      </c>
      <c r="I326" s="1">
        <v>1</v>
      </c>
      <c r="J326" s="1" t="s">
        <v>162</v>
      </c>
      <c r="K326" s="1" t="s">
        <v>291</v>
      </c>
      <c r="L326" s="2">
        <f>91-9890113310</f>
        <v>-9890113219</v>
      </c>
      <c r="M326" s="1" t="s">
        <v>150</v>
      </c>
      <c r="N326" s="1">
        <v>0</v>
      </c>
      <c r="O326" s="1">
        <v>0</v>
      </c>
      <c r="P326" s="1">
        <v>5.01</v>
      </c>
      <c r="Q326" s="1">
        <v>40</v>
      </c>
      <c r="S326" s="1" t="s">
        <v>97</v>
      </c>
      <c r="T326" s="1" t="s">
        <v>234</v>
      </c>
      <c r="U326" s="1" t="s">
        <v>5070</v>
      </c>
      <c r="V326" s="1" t="s">
        <v>5071</v>
      </c>
      <c r="W326" s="1" t="s">
        <v>5072</v>
      </c>
      <c r="X326" s="1" t="s">
        <v>100</v>
      </c>
      <c r="Y326" s="1" t="s">
        <v>210</v>
      </c>
      <c r="Z326" s="1" t="s">
        <v>5073</v>
      </c>
      <c r="AA326" s="1" t="s">
        <v>5074</v>
      </c>
      <c r="AB326" s="1">
        <v>0</v>
      </c>
      <c r="AD326" s="1" t="s">
        <v>5075</v>
      </c>
      <c r="AE326" s="1">
        <f>91-9375513310</f>
        <v>-9375513219</v>
      </c>
      <c r="AF326" s="1" t="s">
        <v>105</v>
      </c>
      <c r="AG326" s="1" t="s">
        <v>5076</v>
      </c>
      <c r="AH326" s="1" t="s">
        <v>5077</v>
      </c>
      <c r="AI326" s="1" t="s">
        <v>5078</v>
      </c>
      <c r="AJ326" s="1" t="s">
        <v>109</v>
      </c>
      <c r="AK326" s="1" t="s">
        <v>5079</v>
      </c>
      <c r="AL326" s="1">
        <v>3</v>
      </c>
      <c r="AM326" s="1" t="s">
        <v>210</v>
      </c>
      <c r="AN326" s="1" t="s">
        <v>5080</v>
      </c>
      <c r="AO326" s="1" t="s">
        <v>5081</v>
      </c>
      <c r="AP326" s="1">
        <f>91-9890113310</f>
        <v>-9890113219</v>
      </c>
      <c r="AR326" s="1">
        <v>1</v>
      </c>
      <c r="AS326" s="1">
        <v>1</v>
      </c>
      <c r="AT326" s="1" t="s">
        <v>5082</v>
      </c>
      <c r="AU326" s="1" t="s">
        <v>5083</v>
      </c>
      <c r="AV326" s="1" t="s">
        <v>5084</v>
      </c>
      <c r="AW326" s="1">
        <f>91-9999999999</f>
        <v>-9999999908</v>
      </c>
      <c r="AX326" s="1" t="s">
        <v>704</v>
      </c>
      <c r="AY326" s="1" t="s">
        <v>150</v>
      </c>
      <c r="AZ326" s="1">
        <v>5.01</v>
      </c>
      <c r="BA326" s="1">
        <v>5.07</v>
      </c>
      <c r="BB326" s="1" t="s">
        <v>151</v>
      </c>
      <c r="BC326" s="1" t="s">
        <v>304</v>
      </c>
      <c r="BD326" s="1" t="s">
        <v>1333</v>
      </c>
      <c r="BE326" s="1" t="s">
        <v>219</v>
      </c>
      <c r="BF326" s="1" t="s">
        <v>120</v>
      </c>
      <c r="BG326" s="1" t="s">
        <v>1665</v>
      </c>
      <c r="BH326" s="1" t="s">
        <v>2380</v>
      </c>
      <c r="BJ326" s="1" t="s">
        <v>120</v>
      </c>
      <c r="BK326" s="1" t="s">
        <v>120</v>
      </c>
      <c r="BL326" s="1">
        <v>0</v>
      </c>
      <c r="BM326" s="1">
        <v>0</v>
      </c>
      <c r="BN326" s="1" t="s">
        <v>5085</v>
      </c>
      <c r="BO326" s="1">
        <v>1</v>
      </c>
      <c r="BP326" s="1" t="s">
        <v>5086</v>
      </c>
      <c r="BQ326" s="1" t="s">
        <v>180</v>
      </c>
      <c r="BR326" s="1">
        <v>1</v>
      </c>
      <c r="BS326" s="1" t="s">
        <v>1208</v>
      </c>
      <c r="BT326" s="1" t="s">
        <v>120</v>
      </c>
      <c r="BV326" s="1" t="s">
        <v>112</v>
      </c>
      <c r="BW326" s="1" t="s">
        <v>5087</v>
      </c>
      <c r="BX326" s="1" t="s">
        <v>5088</v>
      </c>
      <c r="BY326" s="1" t="s">
        <v>465</v>
      </c>
      <c r="BZ326" s="1">
        <v>0</v>
      </c>
      <c r="CA326" s="1">
        <v>0</v>
      </c>
      <c r="CB326" s="4">
        <v>43422.111277430558</v>
      </c>
      <c r="CC326" s="1">
        <v>1</v>
      </c>
      <c r="CD326" s="1">
        <v>1</v>
      </c>
      <c r="CE326" s="1">
        <v>1</v>
      </c>
      <c r="CF326" s="1">
        <v>1</v>
      </c>
      <c r="CG326" s="4">
        <v>43435.480681168985</v>
      </c>
      <c r="CH326" s="1" t="s">
        <v>112</v>
      </c>
      <c r="CI326" s="1" t="s">
        <v>5089</v>
      </c>
      <c r="CJ326" s="1" t="s">
        <v>157</v>
      </c>
    </row>
    <row r="327" spans="1:88" x14ac:dyDescent="0.35">
      <c r="A327" s="1">
        <v>5076</v>
      </c>
      <c r="B327" s="1" t="s">
        <v>5090</v>
      </c>
      <c r="C327" s="1" t="s">
        <v>5091</v>
      </c>
      <c r="D327" s="1" t="s">
        <v>312</v>
      </c>
      <c r="E327" s="1" t="s">
        <v>2988</v>
      </c>
      <c r="F327" s="1" t="s">
        <v>134</v>
      </c>
      <c r="G327" s="1">
        <v>1</v>
      </c>
      <c r="H327" s="3">
        <v>33621</v>
      </c>
      <c r="I327" s="1">
        <v>1</v>
      </c>
      <c r="J327" s="1" t="s">
        <v>162</v>
      </c>
      <c r="K327" s="1" t="s">
        <v>163</v>
      </c>
      <c r="L327" s="2">
        <f>91-8141728188</f>
        <v>-8141728097</v>
      </c>
      <c r="M327" s="1" t="s">
        <v>150</v>
      </c>
      <c r="N327" s="1">
        <v>0</v>
      </c>
      <c r="O327" s="1">
        <v>0</v>
      </c>
      <c r="P327" s="1">
        <v>5.0599999999999996</v>
      </c>
      <c r="Q327" s="1">
        <v>27</v>
      </c>
      <c r="R327" s="1" t="s">
        <v>653</v>
      </c>
      <c r="S327" s="1" t="s">
        <v>136</v>
      </c>
      <c r="T327" s="1" t="s">
        <v>1107</v>
      </c>
      <c r="U327" s="1" t="s">
        <v>2540</v>
      </c>
      <c r="V327" s="1" t="s">
        <v>2540</v>
      </c>
      <c r="X327" s="1" t="s">
        <v>100</v>
      </c>
      <c r="Y327" s="1" t="s">
        <v>268</v>
      </c>
      <c r="Z327" s="1" t="s">
        <v>3109</v>
      </c>
      <c r="AB327" s="1">
        <v>0</v>
      </c>
      <c r="AD327" s="1" t="s">
        <v>5092</v>
      </c>
      <c r="AE327" s="1">
        <f>91-8141728188</f>
        <v>-8141728097</v>
      </c>
      <c r="AF327" s="1" t="s">
        <v>2541</v>
      </c>
      <c r="AG327" s="1" t="s">
        <v>5093</v>
      </c>
      <c r="AH327" s="1" t="s">
        <v>5094</v>
      </c>
      <c r="AI327" s="1" t="s">
        <v>3878</v>
      </c>
      <c r="AJ327" s="1" t="s">
        <v>109</v>
      </c>
      <c r="AK327" s="1" t="s">
        <v>5095</v>
      </c>
      <c r="AL327" s="1">
        <v>2</v>
      </c>
      <c r="AM327" s="1" t="s">
        <v>2541</v>
      </c>
      <c r="AP327" s="1">
        <f>91-8141728188</f>
        <v>-8141728097</v>
      </c>
      <c r="AR327" s="1">
        <v>0</v>
      </c>
      <c r="AS327" s="1">
        <v>0</v>
      </c>
      <c r="AW327" s="1" t="s">
        <v>142</v>
      </c>
      <c r="AX327" s="1" t="s">
        <v>149</v>
      </c>
      <c r="AY327" s="1" t="s">
        <v>150</v>
      </c>
      <c r="AZ327" s="1">
        <v>5.0199999999999996</v>
      </c>
      <c r="BA327" s="1">
        <v>5.0599999999999996</v>
      </c>
      <c r="BB327" s="1" t="s">
        <v>151</v>
      </c>
      <c r="BC327" s="1" t="s">
        <v>152</v>
      </c>
      <c r="BD327" s="1" t="s">
        <v>1395</v>
      </c>
      <c r="BE327" s="1" t="s">
        <v>870</v>
      </c>
      <c r="BF327" s="1" t="s">
        <v>120</v>
      </c>
      <c r="BG327" s="1" t="s">
        <v>2541</v>
      </c>
      <c r="BH327" s="1" t="s">
        <v>2541</v>
      </c>
      <c r="BI327" s="1" t="s">
        <v>3109</v>
      </c>
      <c r="BL327" s="1">
        <v>0</v>
      </c>
      <c r="BM327" s="1">
        <v>1</v>
      </c>
      <c r="BN327" s="1" t="s">
        <v>5096</v>
      </c>
      <c r="BO327" s="1">
        <v>0</v>
      </c>
      <c r="BQ327" s="1" t="s">
        <v>180</v>
      </c>
      <c r="BR327" s="1">
        <v>0</v>
      </c>
      <c r="BS327" s="1" t="s">
        <v>252</v>
      </c>
      <c r="BT327" s="1" t="s">
        <v>124</v>
      </c>
      <c r="BV327" s="1" t="s">
        <v>112</v>
      </c>
      <c r="BW327" s="1" t="s">
        <v>5097</v>
      </c>
      <c r="BX327" s="1" t="s">
        <v>5098</v>
      </c>
      <c r="BY327" s="1" t="s">
        <v>120</v>
      </c>
      <c r="BZ327" s="1">
        <v>0</v>
      </c>
      <c r="CA327" s="1">
        <v>0</v>
      </c>
      <c r="CB327" s="4">
        <v>43422.39797283565</v>
      </c>
      <c r="CC327" s="1">
        <v>1</v>
      </c>
      <c r="CD327" s="1">
        <v>1</v>
      </c>
      <c r="CE327" s="1">
        <v>1</v>
      </c>
      <c r="CF327" s="1">
        <v>1</v>
      </c>
      <c r="CG327" s="4">
        <v>43422.39797283565</v>
      </c>
      <c r="CH327" s="1" t="s">
        <v>112</v>
      </c>
      <c r="CI327" s="1" t="s">
        <v>5099</v>
      </c>
      <c r="CJ327" s="1" t="s">
        <v>157</v>
      </c>
    </row>
    <row r="328" spans="1:88" x14ac:dyDescent="0.35">
      <c r="A328" s="1">
        <v>5079</v>
      </c>
      <c r="B328" s="1" t="s">
        <v>5100</v>
      </c>
      <c r="C328" s="1" t="s">
        <v>5101</v>
      </c>
      <c r="D328" s="1" t="s">
        <v>90</v>
      </c>
      <c r="E328" s="1" t="s">
        <v>5102</v>
      </c>
      <c r="F328" s="1" t="s">
        <v>5103</v>
      </c>
      <c r="G328" s="1">
        <v>1</v>
      </c>
      <c r="H328" s="3">
        <v>33571</v>
      </c>
      <c r="I328" s="1">
        <v>1</v>
      </c>
      <c r="J328" s="1" t="s">
        <v>93</v>
      </c>
      <c r="K328" s="1" t="s">
        <v>5104</v>
      </c>
      <c r="L328" s="2">
        <f>91-9096676751</f>
        <v>-9096676660</v>
      </c>
      <c r="M328" s="1" t="s">
        <v>150</v>
      </c>
      <c r="N328" s="1">
        <v>0</v>
      </c>
      <c r="O328" s="1">
        <v>0</v>
      </c>
      <c r="P328" s="1">
        <v>5.08</v>
      </c>
      <c r="Q328" s="1">
        <v>34</v>
      </c>
      <c r="R328" s="1" t="s">
        <v>2625</v>
      </c>
      <c r="S328" s="1" t="s">
        <v>97</v>
      </c>
      <c r="T328" s="1" t="s">
        <v>427</v>
      </c>
      <c r="U328" s="1" t="s">
        <v>2540</v>
      </c>
      <c r="V328" s="1" t="s">
        <v>2540</v>
      </c>
      <c r="X328" s="1" t="s">
        <v>132</v>
      </c>
      <c r="Y328" s="1" t="s">
        <v>111</v>
      </c>
      <c r="Z328" s="1" t="s">
        <v>192</v>
      </c>
      <c r="AA328" s="1" t="s">
        <v>5105</v>
      </c>
      <c r="AB328" s="1">
        <v>0</v>
      </c>
      <c r="AD328" s="1" t="s">
        <v>5106</v>
      </c>
      <c r="AE328" s="1">
        <f>91-7066949669</f>
        <v>-7066949578</v>
      </c>
      <c r="AF328" s="1" t="s">
        <v>143</v>
      </c>
      <c r="AG328" s="1" t="s">
        <v>5107</v>
      </c>
      <c r="AH328" s="1" t="s">
        <v>5108</v>
      </c>
      <c r="AI328" s="1" t="s">
        <v>5109</v>
      </c>
      <c r="AJ328" s="1" t="s">
        <v>109</v>
      </c>
      <c r="AK328" s="1" t="s">
        <v>5110</v>
      </c>
      <c r="AL328" s="1">
        <v>58</v>
      </c>
      <c r="AM328" s="1" t="s">
        <v>111</v>
      </c>
      <c r="AO328" s="1" t="s">
        <v>5111</v>
      </c>
      <c r="AP328" s="1">
        <f>91-7066949669</f>
        <v>-7066949578</v>
      </c>
      <c r="AR328" s="1">
        <v>1</v>
      </c>
      <c r="AS328" s="1">
        <v>0</v>
      </c>
      <c r="AT328" s="1" t="s">
        <v>5112</v>
      </c>
      <c r="AU328" s="1" t="s">
        <v>5113</v>
      </c>
      <c r="AV328" s="1" t="s">
        <v>128</v>
      </c>
      <c r="AW328" s="1">
        <f>91-9428325764</f>
        <v>-9428325673</v>
      </c>
      <c r="AX328" s="1" t="s">
        <v>1300</v>
      </c>
      <c r="AY328" s="1" t="s">
        <v>150</v>
      </c>
      <c r="AZ328" s="1">
        <v>5.04</v>
      </c>
      <c r="BA328" s="1">
        <v>5.08</v>
      </c>
      <c r="BB328" s="1" t="s">
        <v>151</v>
      </c>
      <c r="BC328" s="1" t="s">
        <v>304</v>
      </c>
      <c r="BD328" s="1" t="s">
        <v>1333</v>
      </c>
      <c r="BE328" s="1" t="s">
        <v>120</v>
      </c>
      <c r="BF328" s="1" t="s">
        <v>120</v>
      </c>
      <c r="BG328" s="1" t="s">
        <v>120</v>
      </c>
      <c r="BH328" s="1" t="s">
        <v>120</v>
      </c>
      <c r="BJ328" s="1" t="s">
        <v>120</v>
      </c>
      <c r="BK328" s="1" t="s">
        <v>120</v>
      </c>
      <c r="BL328" s="1">
        <v>0</v>
      </c>
      <c r="BM328" s="1">
        <v>0</v>
      </c>
      <c r="BN328" s="1" t="s">
        <v>5114</v>
      </c>
      <c r="BO328" s="1">
        <v>1</v>
      </c>
      <c r="BP328" s="1" t="s">
        <v>5115</v>
      </c>
      <c r="BQ328" s="1" t="s">
        <v>112</v>
      </c>
      <c r="BR328" s="1">
        <v>1</v>
      </c>
      <c r="BS328" s="1" t="s">
        <v>354</v>
      </c>
      <c r="BT328" s="1" t="s">
        <v>120</v>
      </c>
      <c r="BU328" s="1" t="s">
        <v>5116</v>
      </c>
      <c r="BV328" s="1" t="s">
        <v>112</v>
      </c>
      <c r="BW328" s="1" t="s">
        <v>5117</v>
      </c>
      <c r="BX328" s="1" t="s">
        <v>5118</v>
      </c>
      <c r="BY328" s="1" t="s">
        <v>127</v>
      </c>
      <c r="BZ328" s="1">
        <v>0</v>
      </c>
      <c r="CA328" s="1">
        <v>0</v>
      </c>
      <c r="CB328" s="4">
        <v>43424.927939201392</v>
      </c>
      <c r="CC328" s="1">
        <v>1</v>
      </c>
      <c r="CD328" s="1">
        <v>1</v>
      </c>
      <c r="CE328" s="1">
        <v>1</v>
      </c>
      <c r="CF328" s="1">
        <v>1</v>
      </c>
      <c r="CG328" s="4">
        <v>43483.725678437499</v>
      </c>
      <c r="CH328" s="1" t="s">
        <v>112</v>
      </c>
      <c r="CI328" s="1" t="s">
        <v>5119</v>
      </c>
      <c r="CJ328" s="1" t="s">
        <v>157</v>
      </c>
    </row>
    <row r="329" spans="1:88" x14ac:dyDescent="0.35">
      <c r="A329" s="1">
        <v>5080</v>
      </c>
      <c r="B329" s="1" t="s">
        <v>5120</v>
      </c>
      <c r="C329" s="1" t="s">
        <v>5121</v>
      </c>
      <c r="D329" s="1" t="s">
        <v>90</v>
      </c>
      <c r="E329" s="1" t="s">
        <v>5122</v>
      </c>
      <c r="F329" s="1" t="s">
        <v>5123</v>
      </c>
      <c r="G329" s="1">
        <v>1</v>
      </c>
      <c r="H329" s="3">
        <v>33626</v>
      </c>
      <c r="I329" s="1">
        <v>1</v>
      </c>
      <c r="J329" s="1" t="s">
        <v>162</v>
      </c>
      <c r="K329" s="1" t="s">
        <v>291</v>
      </c>
      <c r="L329" s="2">
        <f>91-9429009693</f>
        <v>-9429009602</v>
      </c>
      <c r="M329" s="1" t="s">
        <v>150</v>
      </c>
      <c r="N329" s="1">
        <v>0</v>
      </c>
      <c r="O329" s="1">
        <v>0</v>
      </c>
      <c r="P329" s="1">
        <v>5.0599999999999996</v>
      </c>
      <c r="Q329" s="1">
        <v>10</v>
      </c>
      <c r="S329" s="1" t="s">
        <v>136</v>
      </c>
      <c r="T329" s="1" t="s">
        <v>166</v>
      </c>
      <c r="U329" s="1" t="s">
        <v>922</v>
      </c>
      <c r="V329" s="1" t="s">
        <v>5124</v>
      </c>
      <c r="X329" s="1" t="s">
        <v>170</v>
      </c>
      <c r="Y329" s="1" t="s">
        <v>210</v>
      </c>
      <c r="Z329" s="1" t="s">
        <v>140</v>
      </c>
      <c r="AA329" s="1" t="s">
        <v>5125</v>
      </c>
      <c r="AB329" s="1">
        <v>0</v>
      </c>
      <c r="AD329" s="1" t="s">
        <v>5126</v>
      </c>
      <c r="AE329" s="1">
        <f>91-9998497583</f>
        <v>-9998497492</v>
      </c>
      <c r="AF329" s="1" t="s">
        <v>143</v>
      </c>
      <c r="AG329" s="1" t="s">
        <v>5127</v>
      </c>
      <c r="AH329" s="1" t="s">
        <v>1718</v>
      </c>
      <c r="AI329" s="1" t="s">
        <v>5128</v>
      </c>
      <c r="AJ329" s="1" t="s">
        <v>109</v>
      </c>
      <c r="AK329" s="1" t="s">
        <v>5129</v>
      </c>
      <c r="AL329" s="1">
        <v>8</v>
      </c>
      <c r="AM329" s="1" t="s">
        <v>148</v>
      </c>
      <c r="AP329" s="1">
        <f>91-9725270703</f>
        <v>-9725270612</v>
      </c>
      <c r="AR329" s="1">
        <v>3</v>
      </c>
      <c r="AS329" s="1">
        <v>2</v>
      </c>
      <c r="AW329" s="1" t="s">
        <v>142</v>
      </c>
      <c r="AX329" s="1" t="s">
        <v>504</v>
      </c>
      <c r="AY329" s="1" t="s">
        <v>1332</v>
      </c>
      <c r="AZ329" s="1">
        <v>4.05</v>
      </c>
      <c r="BA329" s="1">
        <v>5.0599999999999996</v>
      </c>
      <c r="BB329" s="1" t="s">
        <v>151</v>
      </c>
      <c r="BC329" s="1" t="s">
        <v>304</v>
      </c>
      <c r="BD329" s="1" t="s">
        <v>1333</v>
      </c>
      <c r="BE329" s="1" t="s">
        <v>120</v>
      </c>
      <c r="BF329" s="1" t="s">
        <v>120</v>
      </c>
      <c r="BG329" s="1" t="s">
        <v>120</v>
      </c>
      <c r="BH329" s="1" t="s">
        <v>5130</v>
      </c>
      <c r="BJ329" s="1" t="s">
        <v>120</v>
      </c>
      <c r="BK329" s="1" t="s">
        <v>120</v>
      </c>
      <c r="BL329" s="1">
        <v>0</v>
      </c>
      <c r="BM329" s="1">
        <v>0</v>
      </c>
      <c r="BN329" s="1" t="s">
        <v>5131</v>
      </c>
      <c r="BO329" s="1">
        <v>1</v>
      </c>
      <c r="BP329" s="1" t="s">
        <v>810</v>
      </c>
      <c r="BQ329" s="1" t="s">
        <v>112</v>
      </c>
      <c r="BR329" s="1">
        <v>1</v>
      </c>
      <c r="BS329" s="1" t="s">
        <v>181</v>
      </c>
      <c r="BT329" s="1" t="s">
        <v>306</v>
      </c>
      <c r="BU329" s="1" t="s">
        <v>112</v>
      </c>
      <c r="BV329" s="1" t="s">
        <v>112</v>
      </c>
      <c r="BW329" s="1" t="s">
        <v>5132</v>
      </c>
      <c r="BX329" s="1" t="s">
        <v>5133</v>
      </c>
      <c r="BY329" s="1" t="s">
        <v>120</v>
      </c>
      <c r="BZ329" s="1">
        <v>0</v>
      </c>
      <c r="CA329" s="1">
        <v>0</v>
      </c>
      <c r="CB329" s="4">
        <v>43425.366616666666</v>
      </c>
      <c r="CC329" s="1">
        <v>1</v>
      </c>
      <c r="CD329" s="1">
        <v>1</v>
      </c>
      <c r="CE329" s="1">
        <v>1</v>
      </c>
      <c r="CF329" s="1">
        <v>1</v>
      </c>
      <c r="CG329" s="4">
        <v>43822.470100543978</v>
      </c>
      <c r="CH329" s="1" t="s">
        <v>112</v>
      </c>
      <c r="CI329" s="1" t="s">
        <v>5134</v>
      </c>
      <c r="CJ329" s="1" t="s">
        <v>157</v>
      </c>
    </row>
    <row r="330" spans="1:88" x14ac:dyDescent="0.35">
      <c r="A330" s="1">
        <v>5084</v>
      </c>
      <c r="B330" s="1" t="s">
        <v>5135</v>
      </c>
      <c r="C330" s="1" t="s">
        <v>5136</v>
      </c>
      <c r="D330" s="1" t="s">
        <v>90</v>
      </c>
      <c r="E330" s="1" t="s">
        <v>5137</v>
      </c>
      <c r="F330" s="1" t="s">
        <v>185</v>
      </c>
      <c r="G330" s="1">
        <v>1</v>
      </c>
      <c r="H330" s="3">
        <v>34277</v>
      </c>
      <c r="I330" s="1">
        <v>1</v>
      </c>
      <c r="J330" s="1" t="s">
        <v>93</v>
      </c>
      <c r="K330" s="1" t="s">
        <v>384</v>
      </c>
      <c r="L330" s="2">
        <f>91-7588176308</f>
        <v>-7588176217</v>
      </c>
      <c r="M330" s="1" t="s">
        <v>150</v>
      </c>
      <c r="N330" s="1">
        <v>0</v>
      </c>
      <c r="O330" s="1">
        <v>0</v>
      </c>
      <c r="P330" s="1">
        <v>5.0999999999999996</v>
      </c>
      <c r="Q330" s="1">
        <v>10</v>
      </c>
      <c r="S330" s="1" t="s">
        <v>136</v>
      </c>
      <c r="T330" s="1" t="s">
        <v>427</v>
      </c>
      <c r="U330" s="1" t="s">
        <v>2540</v>
      </c>
      <c r="V330" s="1" t="s">
        <v>2540</v>
      </c>
      <c r="X330" s="1" t="s">
        <v>100</v>
      </c>
      <c r="Y330" s="1" t="s">
        <v>268</v>
      </c>
      <c r="Z330" s="1" t="s">
        <v>515</v>
      </c>
      <c r="AB330" s="1">
        <v>0</v>
      </c>
      <c r="AD330" s="1" t="s">
        <v>5138</v>
      </c>
      <c r="AE330" s="1">
        <f>91-7588176312</f>
        <v>-7588176221</v>
      </c>
      <c r="AF330" s="1" t="s">
        <v>2541</v>
      </c>
      <c r="AG330" s="1" t="s">
        <v>5139</v>
      </c>
      <c r="AH330" s="1" t="s">
        <v>5140</v>
      </c>
      <c r="AI330" s="1" t="s">
        <v>5141</v>
      </c>
      <c r="AJ330" s="1" t="s">
        <v>109</v>
      </c>
      <c r="AK330" s="1" t="s">
        <v>5142</v>
      </c>
      <c r="AL330" s="1">
        <v>60</v>
      </c>
      <c r="AM330" s="1" t="s">
        <v>2541</v>
      </c>
      <c r="AP330" s="1">
        <f>91-9423486742</f>
        <v>-9423486651</v>
      </c>
      <c r="AR330" s="1">
        <v>0</v>
      </c>
      <c r="AS330" s="1">
        <v>0</v>
      </c>
      <c r="AW330" s="1" t="s">
        <v>142</v>
      </c>
      <c r="AX330" s="1" t="s">
        <v>2305</v>
      </c>
      <c r="AY330" s="1" t="s">
        <v>150</v>
      </c>
      <c r="AZ330" s="1">
        <v>5</v>
      </c>
      <c r="BA330" s="1">
        <v>5.0999999999999996</v>
      </c>
      <c r="BB330" s="1" t="s">
        <v>151</v>
      </c>
      <c r="BC330" s="1" t="s">
        <v>152</v>
      </c>
      <c r="BD330" s="1" t="s">
        <v>1395</v>
      </c>
      <c r="BE330" s="1" t="s">
        <v>2176</v>
      </c>
      <c r="BF330" s="1" t="s">
        <v>120</v>
      </c>
      <c r="BG330" s="1" t="s">
        <v>2541</v>
      </c>
      <c r="BH330" s="1" t="s">
        <v>2541</v>
      </c>
      <c r="BI330" s="1" t="s">
        <v>515</v>
      </c>
      <c r="BL330" s="1">
        <v>0</v>
      </c>
      <c r="BM330" s="1">
        <v>0</v>
      </c>
      <c r="BN330" s="1" t="s">
        <v>5143</v>
      </c>
      <c r="BO330" s="1">
        <v>0</v>
      </c>
      <c r="BQ330" s="1" t="s">
        <v>180</v>
      </c>
      <c r="BR330" s="1">
        <v>0</v>
      </c>
      <c r="BS330" s="1" t="s">
        <v>252</v>
      </c>
      <c r="BT330" s="1" t="s">
        <v>124</v>
      </c>
      <c r="BV330" s="1" t="s">
        <v>112</v>
      </c>
      <c r="BW330" s="1" t="s">
        <v>5144</v>
      </c>
      <c r="BX330" s="1" t="s">
        <v>5145</v>
      </c>
      <c r="BY330" s="1" t="s">
        <v>120</v>
      </c>
      <c r="BZ330" s="1">
        <v>0</v>
      </c>
      <c r="CA330" s="1">
        <v>0</v>
      </c>
      <c r="CB330" s="4">
        <v>43426.932169826388</v>
      </c>
      <c r="CC330" s="1">
        <v>1</v>
      </c>
      <c r="CD330" s="1">
        <v>1</v>
      </c>
      <c r="CE330" s="1">
        <v>1</v>
      </c>
      <c r="CF330" s="1">
        <v>1</v>
      </c>
      <c r="CG330" s="4">
        <v>43426.932169826388</v>
      </c>
      <c r="CH330" s="1" t="s">
        <v>112</v>
      </c>
      <c r="CI330" s="1" t="s">
        <v>3916</v>
      </c>
      <c r="CJ330" s="1" t="s">
        <v>157</v>
      </c>
    </row>
    <row r="331" spans="1:88" x14ac:dyDescent="0.35">
      <c r="A331" s="1">
        <v>5086</v>
      </c>
      <c r="B331" s="1" t="s">
        <v>5146</v>
      </c>
      <c r="C331" s="1" t="s">
        <v>5147</v>
      </c>
      <c r="D331" s="1" t="s">
        <v>312</v>
      </c>
      <c r="E331" s="1" t="s">
        <v>5148</v>
      </c>
      <c r="F331" s="1" t="s">
        <v>5034</v>
      </c>
      <c r="G331" s="1">
        <v>1</v>
      </c>
      <c r="H331" s="3">
        <v>33223</v>
      </c>
      <c r="I331" s="1">
        <v>1</v>
      </c>
      <c r="J331" s="1" t="s">
        <v>162</v>
      </c>
      <c r="K331" s="1" t="s">
        <v>163</v>
      </c>
      <c r="L331" s="2">
        <f>91-9434678601</f>
        <v>-9434678510</v>
      </c>
      <c r="M331" s="1" t="s">
        <v>150</v>
      </c>
      <c r="N331" s="1">
        <v>0</v>
      </c>
      <c r="O331" s="1">
        <v>0</v>
      </c>
      <c r="P331" s="1">
        <v>5.0599999999999996</v>
      </c>
      <c r="Q331" s="1">
        <v>51</v>
      </c>
      <c r="R331" s="1" t="s">
        <v>2053</v>
      </c>
      <c r="S331" s="1" t="s">
        <v>136</v>
      </c>
      <c r="T331" s="1" t="s">
        <v>234</v>
      </c>
      <c r="U331" s="1" t="s">
        <v>2540</v>
      </c>
      <c r="V331" s="1" t="s">
        <v>2540</v>
      </c>
      <c r="X331" s="1" t="s">
        <v>100</v>
      </c>
      <c r="Y331" s="1" t="s">
        <v>210</v>
      </c>
      <c r="Z331" s="1" t="s">
        <v>3876</v>
      </c>
      <c r="AB331" s="1">
        <v>0</v>
      </c>
      <c r="AD331" s="1" t="s">
        <v>5149</v>
      </c>
      <c r="AE331" s="1">
        <f>91-9712293222</f>
        <v>-9712293131</v>
      </c>
      <c r="AF331" s="1" t="s">
        <v>2541</v>
      </c>
      <c r="AG331" s="1" t="s">
        <v>5150</v>
      </c>
      <c r="AH331" s="1" t="s">
        <v>3731</v>
      </c>
      <c r="AI331" s="1" t="s">
        <v>1113</v>
      </c>
      <c r="AJ331" s="1" t="s">
        <v>109</v>
      </c>
      <c r="AK331" s="1" t="s">
        <v>5151</v>
      </c>
      <c r="AL331" s="1">
        <v>10</v>
      </c>
      <c r="AM331" s="1" t="s">
        <v>2541</v>
      </c>
      <c r="AP331" s="1">
        <f>91-9832178791</f>
        <v>-9832178700</v>
      </c>
      <c r="AR331" s="1">
        <v>0</v>
      </c>
      <c r="AS331" s="1">
        <v>0</v>
      </c>
      <c r="AW331" s="1" t="s">
        <v>142</v>
      </c>
      <c r="AX331" s="1" t="s">
        <v>1120</v>
      </c>
      <c r="AY331" s="1" t="s">
        <v>150</v>
      </c>
      <c r="AZ331" s="1">
        <v>4</v>
      </c>
      <c r="BA331" s="1">
        <v>5.07</v>
      </c>
      <c r="BB331" s="1" t="s">
        <v>151</v>
      </c>
      <c r="BC331" s="1" t="s">
        <v>152</v>
      </c>
      <c r="BD331" s="1" t="s">
        <v>1395</v>
      </c>
      <c r="BE331" s="1" t="s">
        <v>3800</v>
      </c>
      <c r="BF331" s="1" t="s">
        <v>120</v>
      </c>
      <c r="BG331" s="1" t="s">
        <v>2541</v>
      </c>
      <c r="BH331" s="1" t="s">
        <v>2541</v>
      </c>
      <c r="BI331" s="1" t="s">
        <v>3876</v>
      </c>
      <c r="BL331" s="1">
        <v>0</v>
      </c>
      <c r="BM331" s="1">
        <v>0</v>
      </c>
      <c r="BN331" s="1" t="s">
        <v>5152</v>
      </c>
      <c r="BO331" s="1">
        <v>0</v>
      </c>
      <c r="BQ331" s="1" t="s">
        <v>180</v>
      </c>
      <c r="BR331" s="1">
        <v>0</v>
      </c>
      <c r="BS331" s="1" t="s">
        <v>376</v>
      </c>
      <c r="BT331" s="1" t="s">
        <v>124</v>
      </c>
      <c r="BV331" s="1" t="s">
        <v>112</v>
      </c>
      <c r="BW331" s="1" t="s">
        <v>5153</v>
      </c>
      <c r="BX331" s="1" t="s">
        <v>5154</v>
      </c>
      <c r="BY331" s="1" t="s">
        <v>120</v>
      </c>
      <c r="BZ331" s="1">
        <v>0</v>
      </c>
      <c r="CA331" s="1">
        <v>0</v>
      </c>
      <c r="CB331" s="4">
        <v>43431.304762187501</v>
      </c>
      <c r="CC331" s="1">
        <v>1</v>
      </c>
      <c r="CD331" s="1">
        <v>1</v>
      </c>
      <c r="CE331" s="1">
        <v>1</v>
      </c>
      <c r="CF331" s="1">
        <v>1</v>
      </c>
      <c r="CG331" s="4">
        <v>43544.579720949077</v>
      </c>
      <c r="CH331" s="1" t="s">
        <v>112</v>
      </c>
      <c r="CI331" s="1" t="s">
        <v>287</v>
      </c>
      <c r="CJ331" s="1" t="s">
        <v>157</v>
      </c>
    </row>
    <row r="332" spans="1:88" x14ac:dyDescent="0.35">
      <c r="A332" s="1">
        <v>5089</v>
      </c>
      <c r="B332" s="1" t="s">
        <v>5155</v>
      </c>
      <c r="C332" s="1" t="s">
        <v>5156</v>
      </c>
      <c r="D332" s="1" t="s">
        <v>90</v>
      </c>
      <c r="E332" s="1" t="s">
        <v>1756</v>
      </c>
      <c r="F332" s="1" t="s">
        <v>1495</v>
      </c>
      <c r="G332" s="1">
        <v>1</v>
      </c>
      <c r="H332" s="3">
        <v>31440</v>
      </c>
      <c r="I332" s="1">
        <v>1</v>
      </c>
      <c r="J332" s="1" t="s">
        <v>162</v>
      </c>
      <c r="K332" s="1" t="s">
        <v>847</v>
      </c>
      <c r="L332" s="2">
        <f>91-7874736925</f>
        <v>-7874736834</v>
      </c>
      <c r="M332" s="1" t="s">
        <v>150</v>
      </c>
      <c r="N332" s="1">
        <v>0</v>
      </c>
      <c r="O332" s="1">
        <v>0</v>
      </c>
      <c r="P332" s="1">
        <v>5.05</v>
      </c>
      <c r="Q332" s="1">
        <v>46</v>
      </c>
      <c r="R332" s="1" t="s">
        <v>292</v>
      </c>
      <c r="S332" s="1" t="s">
        <v>97</v>
      </c>
      <c r="T332" s="1" t="s">
        <v>137</v>
      </c>
      <c r="U332" s="1" t="s">
        <v>2540</v>
      </c>
      <c r="V332" s="1" t="s">
        <v>2540</v>
      </c>
      <c r="X332" s="1" t="s">
        <v>100</v>
      </c>
      <c r="Y332" s="1" t="s">
        <v>210</v>
      </c>
      <c r="Z332" s="1" t="s">
        <v>450</v>
      </c>
      <c r="AB332" s="1">
        <v>0</v>
      </c>
      <c r="AD332" s="1" t="s">
        <v>5157</v>
      </c>
      <c r="AE332" s="1">
        <f>91-9638496402</f>
        <v>-9638496311</v>
      </c>
      <c r="AF332" s="1" t="s">
        <v>2541</v>
      </c>
      <c r="AG332" s="1" t="s">
        <v>5158</v>
      </c>
      <c r="AH332" s="1" t="s">
        <v>5159</v>
      </c>
      <c r="AI332" s="1" t="s">
        <v>5160</v>
      </c>
      <c r="AJ332" s="1" t="s">
        <v>109</v>
      </c>
      <c r="AK332" s="1" t="s">
        <v>5161</v>
      </c>
      <c r="AL332" s="1">
        <v>32</v>
      </c>
      <c r="AM332" s="1" t="s">
        <v>2541</v>
      </c>
      <c r="AP332" s="1">
        <f>91-9638496402</f>
        <v>-9638496311</v>
      </c>
      <c r="AR332" s="1">
        <v>0</v>
      </c>
      <c r="AS332" s="1">
        <v>0</v>
      </c>
      <c r="AW332" s="1" t="s">
        <v>142</v>
      </c>
      <c r="AX332" s="1" t="s">
        <v>763</v>
      </c>
      <c r="AY332" s="1" t="s">
        <v>150</v>
      </c>
      <c r="AZ332" s="1">
        <v>5.01</v>
      </c>
      <c r="BA332" s="1">
        <v>5.05</v>
      </c>
      <c r="BB332" s="1" t="s">
        <v>151</v>
      </c>
      <c r="BC332" s="1" t="s">
        <v>152</v>
      </c>
      <c r="BD332" s="1" t="s">
        <v>1395</v>
      </c>
      <c r="BE332" s="1" t="s">
        <v>97</v>
      </c>
      <c r="BF332" s="1" t="s">
        <v>120</v>
      </c>
      <c r="BG332" s="1" t="s">
        <v>2541</v>
      </c>
      <c r="BH332" s="1" t="s">
        <v>2541</v>
      </c>
      <c r="BI332" s="1" t="s">
        <v>450</v>
      </c>
      <c r="BL332" s="1">
        <v>0</v>
      </c>
      <c r="BM332" s="1">
        <v>0</v>
      </c>
      <c r="BN332" s="1" t="s">
        <v>5162</v>
      </c>
      <c r="BO332" s="1">
        <v>0</v>
      </c>
      <c r="BQ332" s="1" t="s">
        <v>180</v>
      </c>
      <c r="BR332" s="1">
        <v>0</v>
      </c>
      <c r="BS332" s="1" t="s">
        <v>354</v>
      </c>
      <c r="BT332" s="1" t="s">
        <v>124</v>
      </c>
      <c r="BV332" s="1" t="s">
        <v>112</v>
      </c>
      <c r="BW332" s="1" t="s">
        <v>5163</v>
      </c>
      <c r="BX332" s="1" t="s">
        <v>5164</v>
      </c>
      <c r="BY332" s="1" t="s">
        <v>120</v>
      </c>
      <c r="BZ332" s="1">
        <v>0</v>
      </c>
      <c r="CA332" s="1">
        <v>0</v>
      </c>
      <c r="CB332" s="4">
        <v>43440.372209224537</v>
      </c>
      <c r="CC332" s="1">
        <v>1</v>
      </c>
      <c r="CD332" s="1">
        <v>1</v>
      </c>
      <c r="CE332" s="1">
        <v>1</v>
      </c>
      <c r="CF332" s="1">
        <v>1</v>
      </c>
      <c r="CG332" s="4">
        <v>43535.341110879628</v>
      </c>
      <c r="CH332" s="1" t="s">
        <v>112</v>
      </c>
      <c r="CI332" s="1" t="s">
        <v>5165</v>
      </c>
      <c r="CJ332" s="1" t="s">
        <v>157</v>
      </c>
    </row>
    <row r="333" spans="1:88" x14ac:dyDescent="0.35">
      <c r="A333" s="1">
        <v>5092</v>
      </c>
      <c r="B333" s="1" t="s">
        <v>5166</v>
      </c>
      <c r="C333" s="1" t="s">
        <v>5167</v>
      </c>
      <c r="D333" s="1" t="s">
        <v>90</v>
      </c>
      <c r="E333" s="1" t="s">
        <v>5168</v>
      </c>
      <c r="F333" s="1" t="s">
        <v>5169</v>
      </c>
      <c r="G333" s="1">
        <v>1</v>
      </c>
      <c r="H333" s="3">
        <v>32064</v>
      </c>
      <c r="I333" s="1">
        <v>1</v>
      </c>
      <c r="J333" s="1" t="s">
        <v>162</v>
      </c>
      <c r="K333" s="1" t="s">
        <v>1037</v>
      </c>
      <c r="L333" s="2">
        <f>91-9824863590</f>
        <v>-9824863499</v>
      </c>
      <c r="M333" s="1" t="s">
        <v>150</v>
      </c>
      <c r="N333" s="1">
        <v>0</v>
      </c>
      <c r="O333" s="1">
        <v>0</v>
      </c>
      <c r="P333" s="1">
        <v>5.03</v>
      </c>
      <c r="Q333" s="1">
        <v>44</v>
      </c>
      <c r="R333" s="1" t="s">
        <v>4445</v>
      </c>
      <c r="S333" s="1" t="s">
        <v>136</v>
      </c>
      <c r="T333" s="1" t="s">
        <v>341</v>
      </c>
      <c r="U333" s="1" t="s">
        <v>2540</v>
      </c>
      <c r="V333" s="1" t="s">
        <v>2540</v>
      </c>
      <c r="X333" s="1" t="s">
        <v>296</v>
      </c>
      <c r="Y333" s="1" t="s">
        <v>268</v>
      </c>
      <c r="Z333" s="1" t="s">
        <v>515</v>
      </c>
      <c r="AB333" s="1">
        <v>0</v>
      </c>
      <c r="AD333" s="1" t="s">
        <v>5170</v>
      </c>
      <c r="AE333" s="1">
        <f>91-9016744155</f>
        <v>-9016744064</v>
      </c>
      <c r="AF333" s="1" t="s">
        <v>2541</v>
      </c>
      <c r="AG333" s="1" t="s">
        <v>2229</v>
      </c>
      <c r="AH333" s="1" t="s">
        <v>2612</v>
      </c>
      <c r="AI333" s="1" t="s">
        <v>4435</v>
      </c>
      <c r="AJ333" s="1" t="s">
        <v>109</v>
      </c>
      <c r="AK333" s="1" t="s">
        <v>5171</v>
      </c>
      <c r="AL333" s="1">
        <v>30</v>
      </c>
      <c r="AM333" s="1" t="s">
        <v>2541</v>
      </c>
      <c r="AP333" s="1">
        <f>91-9429236911</f>
        <v>-9429236820</v>
      </c>
      <c r="AR333" s="1">
        <v>0</v>
      </c>
      <c r="AS333" s="1">
        <v>0</v>
      </c>
      <c r="AW333" s="1" t="s">
        <v>142</v>
      </c>
      <c r="AX333" s="1" t="s">
        <v>763</v>
      </c>
      <c r="AY333" s="1" t="s">
        <v>150</v>
      </c>
      <c r="AZ333" s="1">
        <v>4.0999999999999996</v>
      </c>
      <c r="BA333" s="1">
        <v>4.0999999999999996</v>
      </c>
      <c r="BB333" s="1" t="s">
        <v>151</v>
      </c>
      <c r="BC333" s="1" t="s">
        <v>152</v>
      </c>
      <c r="BD333" s="1" t="s">
        <v>1395</v>
      </c>
      <c r="BE333" s="1" t="s">
        <v>293</v>
      </c>
      <c r="BF333" s="1" t="s">
        <v>120</v>
      </c>
      <c r="BG333" s="1" t="s">
        <v>2541</v>
      </c>
      <c r="BH333" s="1" t="s">
        <v>2541</v>
      </c>
      <c r="BI333" s="1" t="s">
        <v>515</v>
      </c>
      <c r="BL333" s="1">
        <v>0</v>
      </c>
      <c r="BM333" s="1">
        <v>0</v>
      </c>
      <c r="BN333" s="1" t="s">
        <v>5172</v>
      </c>
      <c r="BO333" s="1">
        <v>0</v>
      </c>
      <c r="BQ333" s="1" t="s">
        <v>180</v>
      </c>
      <c r="BR333" s="1">
        <v>0</v>
      </c>
      <c r="BS333" s="1" t="s">
        <v>252</v>
      </c>
      <c r="BT333" s="1" t="s">
        <v>124</v>
      </c>
      <c r="BV333" s="1" t="s">
        <v>112</v>
      </c>
      <c r="BW333" s="1" t="s">
        <v>5173</v>
      </c>
      <c r="BX333" s="1" t="s">
        <v>5174</v>
      </c>
      <c r="BY333" s="1" t="s">
        <v>120</v>
      </c>
      <c r="BZ333" s="1">
        <v>0</v>
      </c>
      <c r="CA333" s="1">
        <v>0</v>
      </c>
      <c r="CB333" s="4">
        <v>43450.349529710649</v>
      </c>
      <c r="CC333" s="1">
        <v>1</v>
      </c>
      <c r="CD333" s="1">
        <v>1</v>
      </c>
      <c r="CE333" s="1">
        <v>1</v>
      </c>
      <c r="CF333" s="1">
        <v>1</v>
      </c>
      <c r="CG333" s="4">
        <v>43471.542132442133</v>
      </c>
      <c r="CH333" s="1" t="s">
        <v>112</v>
      </c>
      <c r="CI333" s="1" t="s">
        <v>4382</v>
      </c>
      <c r="CJ333" s="1" t="s">
        <v>157</v>
      </c>
    </row>
    <row r="334" spans="1:88" x14ac:dyDescent="0.35">
      <c r="A334" s="1">
        <v>5093</v>
      </c>
      <c r="B334" s="1" t="s">
        <v>5175</v>
      </c>
      <c r="C334" s="1" t="s">
        <v>5176</v>
      </c>
      <c r="D334" s="1" t="s">
        <v>229</v>
      </c>
      <c r="E334" s="1" t="s">
        <v>5177</v>
      </c>
      <c r="F334" s="1" t="s">
        <v>134</v>
      </c>
      <c r="G334" s="1">
        <v>1</v>
      </c>
      <c r="H334" s="3">
        <v>33121</v>
      </c>
      <c r="I334" s="1">
        <v>1</v>
      </c>
      <c r="J334" s="1" t="s">
        <v>162</v>
      </c>
      <c r="K334" s="1" t="s">
        <v>163</v>
      </c>
      <c r="L334" s="2">
        <f>91-7600117848</f>
        <v>-7600117757</v>
      </c>
      <c r="M334" s="1" t="s">
        <v>150</v>
      </c>
      <c r="N334" s="1">
        <v>0</v>
      </c>
      <c r="O334" s="1">
        <v>0</v>
      </c>
      <c r="P334" s="1">
        <v>5.0599999999999996</v>
      </c>
      <c r="Q334" s="1">
        <v>27</v>
      </c>
      <c r="R334" s="1" t="s">
        <v>653</v>
      </c>
      <c r="S334" s="1" t="s">
        <v>136</v>
      </c>
      <c r="T334" s="1" t="s">
        <v>98</v>
      </c>
      <c r="U334" s="1" t="s">
        <v>5178</v>
      </c>
      <c r="V334" s="1" t="s">
        <v>364</v>
      </c>
      <c r="W334" s="1" t="s">
        <v>1928</v>
      </c>
      <c r="X334" s="1" t="s">
        <v>100</v>
      </c>
      <c r="Y334" s="1" t="s">
        <v>210</v>
      </c>
      <c r="Z334" s="1" t="s">
        <v>1899</v>
      </c>
      <c r="AA334" s="1" t="s">
        <v>5179</v>
      </c>
      <c r="AB334" s="1">
        <v>0</v>
      </c>
      <c r="AD334" s="1" t="s">
        <v>4659</v>
      </c>
      <c r="AE334" s="1">
        <f>91-7600117848</f>
        <v>-7600117757</v>
      </c>
      <c r="AF334" s="1" t="s">
        <v>105</v>
      </c>
      <c r="AG334" s="1" t="s">
        <v>5180</v>
      </c>
      <c r="AH334" s="1" t="s">
        <v>4088</v>
      </c>
      <c r="AI334" s="1" t="s">
        <v>5181</v>
      </c>
      <c r="AJ334" s="1" t="s">
        <v>109</v>
      </c>
      <c r="AK334" s="1" t="s">
        <v>5182</v>
      </c>
      <c r="AL334" s="1">
        <v>4</v>
      </c>
      <c r="AM334" s="1" t="s">
        <v>132</v>
      </c>
      <c r="AP334" s="1">
        <f>91-9427077329</f>
        <v>-9427077238</v>
      </c>
      <c r="AR334" s="1">
        <v>2</v>
      </c>
      <c r="AS334" s="1">
        <v>1</v>
      </c>
      <c r="AW334" s="1" t="s">
        <v>142</v>
      </c>
      <c r="AX334" s="1" t="s">
        <v>1440</v>
      </c>
      <c r="AY334" s="1" t="s">
        <v>150</v>
      </c>
      <c r="AZ334" s="1">
        <v>5</v>
      </c>
      <c r="BA334" s="1">
        <v>5.07</v>
      </c>
      <c r="BB334" s="1" t="s">
        <v>151</v>
      </c>
      <c r="BC334" s="1" t="s">
        <v>304</v>
      </c>
      <c r="BD334" s="1" t="s">
        <v>1333</v>
      </c>
      <c r="BE334" s="1" t="s">
        <v>2440</v>
      </c>
      <c r="BF334" s="1" t="s">
        <v>120</v>
      </c>
      <c r="BG334" s="1" t="s">
        <v>120</v>
      </c>
      <c r="BH334" s="1" t="s">
        <v>120</v>
      </c>
      <c r="BJ334" s="1" t="s">
        <v>154</v>
      </c>
      <c r="BK334" s="1" t="s">
        <v>120</v>
      </c>
      <c r="BL334" s="1">
        <v>0</v>
      </c>
      <c r="BM334" s="1">
        <v>0</v>
      </c>
      <c r="BN334" s="1" t="s">
        <v>5183</v>
      </c>
      <c r="BO334" s="1">
        <v>1</v>
      </c>
      <c r="BQ334" s="1" t="s">
        <v>112</v>
      </c>
      <c r="BR334" s="1">
        <v>0</v>
      </c>
      <c r="BS334" s="1" t="s">
        <v>129</v>
      </c>
      <c r="BT334" s="1" t="s">
        <v>124</v>
      </c>
      <c r="BU334" s="1" t="s">
        <v>112</v>
      </c>
      <c r="BV334" s="1" t="s">
        <v>112</v>
      </c>
      <c r="BW334" s="1" t="s">
        <v>5184</v>
      </c>
      <c r="BX334" s="1" t="s">
        <v>5185</v>
      </c>
      <c r="BY334" s="1" t="s">
        <v>120</v>
      </c>
      <c r="BZ334" s="1">
        <v>1</v>
      </c>
      <c r="CA334" s="1">
        <v>1</v>
      </c>
      <c r="CB334" s="4">
        <v>43450.982590821761</v>
      </c>
      <c r="CC334" s="1">
        <v>1</v>
      </c>
      <c r="CD334" s="1">
        <v>1</v>
      </c>
      <c r="CE334" s="1">
        <v>1</v>
      </c>
      <c r="CF334" s="1">
        <v>1</v>
      </c>
      <c r="CG334" s="4">
        <v>43469.628378622685</v>
      </c>
      <c r="CH334" s="1" t="s">
        <v>112</v>
      </c>
      <c r="CI334" s="1" t="s">
        <v>887</v>
      </c>
      <c r="CJ334" s="1" t="s">
        <v>157</v>
      </c>
    </row>
    <row r="335" spans="1:88" x14ac:dyDescent="0.35">
      <c r="A335" s="1">
        <v>5094</v>
      </c>
      <c r="B335" s="1" t="s">
        <v>5186</v>
      </c>
      <c r="C335" s="1" t="s">
        <v>5187</v>
      </c>
      <c r="D335" s="1" t="s">
        <v>90</v>
      </c>
      <c r="E335" s="1" t="s">
        <v>5188</v>
      </c>
      <c r="F335" s="1" t="s">
        <v>630</v>
      </c>
      <c r="G335" s="1">
        <v>1</v>
      </c>
      <c r="H335" s="3">
        <v>33464</v>
      </c>
      <c r="I335" s="1">
        <v>1</v>
      </c>
      <c r="J335" s="1" t="s">
        <v>162</v>
      </c>
      <c r="K335" s="1" t="s">
        <v>163</v>
      </c>
      <c r="L335" s="2">
        <f>91-9429295196</f>
        <v>-9429295105</v>
      </c>
      <c r="M335" s="1" t="s">
        <v>150</v>
      </c>
      <c r="N335" s="1">
        <v>0</v>
      </c>
      <c r="O335" s="1">
        <v>0</v>
      </c>
      <c r="P335" s="1">
        <v>5.08</v>
      </c>
      <c r="Q335" s="1">
        <v>5</v>
      </c>
      <c r="R335" s="1" t="s">
        <v>263</v>
      </c>
      <c r="S335" s="1" t="s">
        <v>136</v>
      </c>
      <c r="T335" s="1" t="s">
        <v>1107</v>
      </c>
      <c r="U335" s="1" t="s">
        <v>2540</v>
      </c>
      <c r="V335" s="1" t="s">
        <v>2540</v>
      </c>
      <c r="X335" s="1" t="s">
        <v>100</v>
      </c>
      <c r="Y335" s="1" t="s">
        <v>111</v>
      </c>
      <c r="Z335" s="1" t="s">
        <v>3109</v>
      </c>
      <c r="AB335" s="1">
        <v>0</v>
      </c>
      <c r="AD335" s="1" t="s">
        <v>5189</v>
      </c>
      <c r="AE335" s="1">
        <f>91-94277962110</f>
        <v>-94277962019</v>
      </c>
      <c r="AF335" s="1" t="s">
        <v>129</v>
      </c>
      <c r="AG335" s="1" t="s">
        <v>5190</v>
      </c>
      <c r="AH335" s="1" t="s">
        <v>5191</v>
      </c>
      <c r="AI335" s="1" t="s">
        <v>5192</v>
      </c>
      <c r="AJ335" s="1" t="s">
        <v>478</v>
      </c>
      <c r="AK335" s="1" t="s">
        <v>5193</v>
      </c>
      <c r="AL335" s="1">
        <v>7</v>
      </c>
      <c r="AM335" s="1" t="s">
        <v>129</v>
      </c>
      <c r="AP335" s="1">
        <f>91-9427762110</f>
        <v>-9427762019</v>
      </c>
      <c r="AR335" s="1">
        <v>0</v>
      </c>
      <c r="AS335" s="1">
        <v>0</v>
      </c>
      <c r="AW335" s="1" t="s">
        <v>142</v>
      </c>
      <c r="AX335" s="1" t="s">
        <v>1544</v>
      </c>
      <c r="AY335" s="1" t="s">
        <v>150</v>
      </c>
      <c r="AZ335" s="1">
        <v>5.01</v>
      </c>
      <c r="BA335" s="1">
        <v>5.08</v>
      </c>
      <c r="BB335" s="1" t="s">
        <v>151</v>
      </c>
      <c r="BC335" s="1" t="s">
        <v>304</v>
      </c>
      <c r="BD335" s="1" t="s">
        <v>1333</v>
      </c>
      <c r="BE335" s="1" t="s">
        <v>219</v>
      </c>
      <c r="BF335" s="1" t="s">
        <v>120</v>
      </c>
      <c r="BG335" s="1" t="s">
        <v>120</v>
      </c>
      <c r="BH335" s="1" t="s">
        <v>120</v>
      </c>
      <c r="BI335" s="1" t="s">
        <v>3109</v>
      </c>
      <c r="BJ335" s="1" t="s">
        <v>120</v>
      </c>
      <c r="BK335" s="1" t="s">
        <v>120</v>
      </c>
      <c r="BL335" s="1">
        <v>0</v>
      </c>
      <c r="BM335" s="1">
        <v>0</v>
      </c>
      <c r="BN335" s="1" t="s">
        <v>5194</v>
      </c>
      <c r="BO335" s="1">
        <v>0</v>
      </c>
      <c r="BQ335" s="1" t="s">
        <v>180</v>
      </c>
      <c r="BR335" s="1">
        <v>0</v>
      </c>
      <c r="BS335" s="1" t="s">
        <v>181</v>
      </c>
      <c r="BT335" s="1" t="s">
        <v>124</v>
      </c>
      <c r="BV335" s="1" t="s">
        <v>112</v>
      </c>
      <c r="BW335" s="1" t="s">
        <v>5195</v>
      </c>
      <c r="BX335" s="1" t="s">
        <v>5196</v>
      </c>
      <c r="BY335" s="1" t="s">
        <v>120</v>
      </c>
      <c r="BZ335" s="1">
        <v>0</v>
      </c>
      <c r="CA335" s="1">
        <v>0</v>
      </c>
      <c r="CB335" s="4">
        <v>43451.082237233793</v>
      </c>
      <c r="CC335" s="1">
        <v>1</v>
      </c>
      <c r="CD335" s="1">
        <v>1</v>
      </c>
      <c r="CE335" s="1">
        <v>1</v>
      </c>
      <c r="CF335" s="1">
        <v>1</v>
      </c>
      <c r="CG335" s="4">
        <v>43452.59077480324</v>
      </c>
      <c r="CH335" s="1" t="s">
        <v>112</v>
      </c>
      <c r="CI335" s="1" t="s">
        <v>3058</v>
      </c>
      <c r="CJ335" s="1" t="s">
        <v>157</v>
      </c>
    </row>
    <row r="336" spans="1:88" x14ac:dyDescent="0.35">
      <c r="A336" s="1">
        <v>5096</v>
      </c>
      <c r="B336" s="1" t="s">
        <v>5197</v>
      </c>
      <c r="C336" s="1" t="s">
        <v>5198</v>
      </c>
      <c r="D336" s="1" t="s">
        <v>259</v>
      </c>
      <c r="E336" s="1" t="s">
        <v>5199</v>
      </c>
      <c r="F336" s="1" t="s">
        <v>4605</v>
      </c>
      <c r="G336" s="1">
        <v>0</v>
      </c>
      <c r="H336" s="3">
        <v>35424</v>
      </c>
      <c r="I336" s="1">
        <v>1</v>
      </c>
      <c r="J336" s="1" t="s">
        <v>162</v>
      </c>
      <c r="K336" s="1" t="s">
        <v>959</v>
      </c>
      <c r="L336" s="2">
        <f>91-9426142552</f>
        <v>-9426142461</v>
      </c>
      <c r="M336" s="1" t="s">
        <v>150</v>
      </c>
      <c r="N336" s="1">
        <v>0</v>
      </c>
      <c r="O336" s="1">
        <v>0</v>
      </c>
      <c r="P336" s="1">
        <v>5.04</v>
      </c>
      <c r="Q336" s="1">
        <v>12</v>
      </c>
      <c r="R336" s="1" t="s">
        <v>470</v>
      </c>
      <c r="S336" s="1" t="s">
        <v>1914</v>
      </c>
      <c r="T336" s="1" t="s">
        <v>1915</v>
      </c>
      <c r="U336" s="1" t="s">
        <v>2540</v>
      </c>
      <c r="V336" s="1" t="s">
        <v>2540</v>
      </c>
      <c r="X336" s="1" t="s">
        <v>100</v>
      </c>
      <c r="Y336" s="1" t="s">
        <v>5200</v>
      </c>
      <c r="Z336" s="1" t="s">
        <v>3050</v>
      </c>
      <c r="AB336" s="1">
        <v>0</v>
      </c>
      <c r="AD336" s="1" t="s">
        <v>5201</v>
      </c>
      <c r="AE336" s="1">
        <f>91-9426142552</f>
        <v>-9426142461</v>
      </c>
      <c r="AF336" s="1" t="s">
        <v>2541</v>
      </c>
      <c r="AG336" s="1" t="s">
        <v>5202</v>
      </c>
      <c r="AH336" s="1" t="s">
        <v>5203</v>
      </c>
      <c r="AI336" s="1" t="s">
        <v>5204</v>
      </c>
      <c r="AJ336" s="1" t="s">
        <v>109</v>
      </c>
      <c r="AK336" s="1" t="s">
        <v>5205</v>
      </c>
      <c r="AL336" s="1">
        <v>30</v>
      </c>
      <c r="AM336" s="1" t="s">
        <v>2541</v>
      </c>
      <c r="AP336" s="1">
        <f>91-9426142552</f>
        <v>-9426142461</v>
      </c>
      <c r="AR336" s="1">
        <v>0</v>
      </c>
      <c r="AS336" s="1">
        <v>0</v>
      </c>
      <c r="AW336" s="1" t="s">
        <v>142</v>
      </c>
      <c r="AX336" s="1" t="s">
        <v>396</v>
      </c>
      <c r="AY336" s="1" t="s">
        <v>150</v>
      </c>
      <c r="AZ336" s="1">
        <v>5.04</v>
      </c>
      <c r="BA336" s="1">
        <v>5.0999999999999996</v>
      </c>
      <c r="BB336" s="1" t="s">
        <v>151</v>
      </c>
      <c r="BC336" s="1" t="s">
        <v>152</v>
      </c>
      <c r="BD336" s="1" t="s">
        <v>1395</v>
      </c>
      <c r="BE336" s="1" t="s">
        <v>120</v>
      </c>
      <c r="BF336" s="1" t="s">
        <v>120</v>
      </c>
      <c r="BG336" s="1" t="s">
        <v>2541</v>
      </c>
      <c r="BH336" s="1" t="s">
        <v>2541</v>
      </c>
      <c r="BI336" s="1" t="s">
        <v>3050</v>
      </c>
      <c r="BL336" s="1">
        <v>0</v>
      </c>
      <c r="BM336" s="1">
        <v>0</v>
      </c>
      <c r="BN336" s="1" t="s">
        <v>5206</v>
      </c>
      <c r="BO336" s="1">
        <v>0</v>
      </c>
      <c r="BQ336" s="1" t="s">
        <v>180</v>
      </c>
      <c r="BR336" s="1">
        <v>0</v>
      </c>
      <c r="BS336" s="1" t="s">
        <v>223</v>
      </c>
      <c r="BT336" s="1" t="s">
        <v>124</v>
      </c>
      <c r="BV336" s="1" t="s">
        <v>112</v>
      </c>
      <c r="BW336" s="1" t="s">
        <v>5207</v>
      </c>
      <c r="BX336" s="1" t="s">
        <v>5208</v>
      </c>
      <c r="BY336" s="1" t="s">
        <v>120</v>
      </c>
      <c r="BZ336" s="1">
        <v>0</v>
      </c>
      <c r="CA336" s="1">
        <v>0</v>
      </c>
      <c r="CB336" s="4">
        <v>43455.112390625</v>
      </c>
      <c r="CC336" s="1">
        <v>1</v>
      </c>
      <c r="CD336" s="1">
        <v>1</v>
      </c>
      <c r="CE336" s="1">
        <v>1</v>
      </c>
      <c r="CF336" s="1">
        <v>1</v>
      </c>
      <c r="CG336" s="4">
        <v>43471.490381053241</v>
      </c>
      <c r="CH336" s="1" t="s">
        <v>112</v>
      </c>
      <c r="CI336" s="1" t="s">
        <v>5209</v>
      </c>
      <c r="CJ336" s="1" t="s">
        <v>157</v>
      </c>
    </row>
    <row r="337" spans="1:88" x14ac:dyDescent="0.35">
      <c r="A337" s="1">
        <v>5097</v>
      </c>
      <c r="B337" s="1" t="s">
        <v>5210</v>
      </c>
      <c r="C337" s="1" t="s">
        <v>5211</v>
      </c>
      <c r="D337" s="1" t="s">
        <v>90</v>
      </c>
      <c r="E337" s="1" t="s">
        <v>5212</v>
      </c>
      <c r="F337" s="1" t="s">
        <v>5213</v>
      </c>
      <c r="G337" s="1">
        <v>1</v>
      </c>
      <c r="H337" s="3">
        <v>33577</v>
      </c>
      <c r="I337" s="1">
        <v>1</v>
      </c>
      <c r="J337" s="1" t="s">
        <v>162</v>
      </c>
      <c r="K337" s="1" t="s">
        <v>291</v>
      </c>
      <c r="L337" s="2">
        <f>91-9426490423</f>
        <v>-9426490332</v>
      </c>
      <c r="M337" s="1" t="s">
        <v>150</v>
      </c>
      <c r="N337" s="1">
        <v>0</v>
      </c>
      <c r="O337" s="1">
        <v>0</v>
      </c>
      <c r="P337" s="1">
        <v>5.07</v>
      </c>
      <c r="Q337" s="1">
        <v>14</v>
      </c>
      <c r="R337" s="1" t="s">
        <v>164</v>
      </c>
      <c r="S337" s="1" t="s">
        <v>293</v>
      </c>
      <c r="T337" s="1" t="s">
        <v>137</v>
      </c>
      <c r="U337" s="1" t="s">
        <v>2540</v>
      </c>
      <c r="V337" s="1" t="s">
        <v>2540</v>
      </c>
      <c r="X337" s="1" t="s">
        <v>296</v>
      </c>
      <c r="Y337" s="1" t="s">
        <v>111</v>
      </c>
      <c r="Z337" s="1" t="s">
        <v>192</v>
      </c>
      <c r="AB337" s="1">
        <v>0</v>
      </c>
      <c r="AD337" s="1" t="s">
        <v>4659</v>
      </c>
      <c r="AE337" s="1">
        <f>91-9426490423</f>
        <v>-9426490332</v>
      </c>
      <c r="AF337" s="1" t="s">
        <v>2541</v>
      </c>
      <c r="AG337" s="1" t="s">
        <v>5214</v>
      </c>
      <c r="AH337" s="1" t="s">
        <v>5215</v>
      </c>
      <c r="AI337" s="1" t="s">
        <v>5216</v>
      </c>
      <c r="AJ337" s="1" t="s">
        <v>109</v>
      </c>
      <c r="AK337" s="1" t="s">
        <v>5217</v>
      </c>
      <c r="AL337" s="1">
        <v>16</v>
      </c>
      <c r="AM337" s="1" t="s">
        <v>2541</v>
      </c>
      <c r="AP337" s="1">
        <f>91-9427590423</f>
        <v>-9427590332</v>
      </c>
      <c r="AR337" s="1">
        <v>0</v>
      </c>
      <c r="AS337" s="1">
        <v>0</v>
      </c>
      <c r="AW337" s="1" t="s">
        <v>142</v>
      </c>
      <c r="AX337" s="1" t="s">
        <v>414</v>
      </c>
      <c r="AY337" s="1" t="s">
        <v>150</v>
      </c>
      <c r="AZ337" s="1">
        <v>5</v>
      </c>
      <c r="BA337" s="1">
        <v>6.05</v>
      </c>
      <c r="BB337" s="1" t="s">
        <v>151</v>
      </c>
      <c r="BC337" s="1" t="s">
        <v>152</v>
      </c>
      <c r="BD337" s="1" t="s">
        <v>1395</v>
      </c>
      <c r="BE337" s="1" t="s">
        <v>5218</v>
      </c>
      <c r="BF337" s="1" t="s">
        <v>120</v>
      </c>
      <c r="BG337" s="1" t="s">
        <v>2541</v>
      </c>
      <c r="BH337" s="1" t="s">
        <v>2541</v>
      </c>
      <c r="BI337" s="1" t="s">
        <v>192</v>
      </c>
      <c r="BL337" s="1">
        <v>0</v>
      </c>
      <c r="BM337" s="1">
        <v>0</v>
      </c>
      <c r="BN337" s="1" t="s">
        <v>5219</v>
      </c>
      <c r="BO337" s="1">
        <v>0</v>
      </c>
      <c r="BQ337" s="1" t="s">
        <v>180</v>
      </c>
      <c r="BR337" s="1">
        <v>0</v>
      </c>
      <c r="BS337" s="1" t="s">
        <v>376</v>
      </c>
      <c r="BT337" s="1" t="s">
        <v>124</v>
      </c>
      <c r="BV337" s="1" t="s">
        <v>112</v>
      </c>
      <c r="BW337" s="1" t="s">
        <v>5220</v>
      </c>
      <c r="BX337" s="1" t="s">
        <v>5221</v>
      </c>
      <c r="BY337" s="1" t="s">
        <v>120</v>
      </c>
      <c r="BZ337" s="1">
        <v>0</v>
      </c>
      <c r="CA337" s="1">
        <v>0</v>
      </c>
      <c r="CB337" s="4">
        <v>43457.940878437497</v>
      </c>
      <c r="CC337" s="1">
        <v>1</v>
      </c>
      <c r="CD337" s="1">
        <v>1</v>
      </c>
      <c r="CE337" s="1">
        <v>1</v>
      </c>
      <c r="CF337" s="1">
        <v>1</v>
      </c>
      <c r="CG337" s="4">
        <v>43457.940878437497</v>
      </c>
      <c r="CH337" s="1" t="s">
        <v>112</v>
      </c>
      <c r="CI337" s="1" t="s">
        <v>5222</v>
      </c>
      <c r="CJ337" s="1" t="s">
        <v>157</v>
      </c>
    </row>
    <row r="338" spans="1:88" x14ac:dyDescent="0.35">
      <c r="A338" s="1">
        <v>5099</v>
      </c>
      <c r="B338" s="1" t="s">
        <v>5223</v>
      </c>
      <c r="C338" s="1" t="s">
        <v>5224</v>
      </c>
      <c r="D338" s="1" t="s">
        <v>90</v>
      </c>
      <c r="E338" s="1" t="s">
        <v>4051</v>
      </c>
      <c r="F338" s="1" t="s">
        <v>5225</v>
      </c>
      <c r="G338" s="1">
        <v>1</v>
      </c>
      <c r="H338" s="3">
        <v>33609</v>
      </c>
      <c r="I338" s="1">
        <v>1</v>
      </c>
      <c r="J338" s="1" t="s">
        <v>93</v>
      </c>
      <c r="K338" s="1" t="s">
        <v>3684</v>
      </c>
      <c r="L338" s="2">
        <f>91-9403200441</f>
        <v>-9403200350</v>
      </c>
      <c r="M338" s="1" t="s">
        <v>150</v>
      </c>
      <c r="N338" s="1">
        <v>0</v>
      </c>
      <c r="O338" s="1">
        <v>0</v>
      </c>
      <c r="P338" s="1">
        <v>5.08</v>
      </c>
      <c r="Q338" s="1">
        <v>29</v>
      </c>
      <c r="R338" s="1" t="s">
        <v>2607</v>
      </c>
      <c r="S338" s="1" t="s">
        <v>97</v>
      </c>
      <c r="T338" s="1" t="s">
        <v>166</v>
      </c>
      <c r="U338" s="1" t="s">
        <v>2540</v>
      </c>
      <c r="V338" s="1" t="s">
        <v>2540</v>
      </c>
      <c r="X338" s="1" t="s">
        <v>100</v>
      </c>
      <c r="Y338" s="1" t="s">
        <v>111</v>
      </c>
      <c r="Z338" s="1" t="s">
        <v>5226</v>
      </c>
      <c r="AB338" s="1">
        <v>0</v>
      </c>
      <c r="AD338" s="1" t="s">
        <v>5227</v>
      </c>
      <c r="AE338" s="1">
        <f>91-9403200441</f>
        <v>-9403200350</v>
      </c>
      <c r="AF338" s="1" t="s">
        <v>2541</v>
      </c>
      <c r="AG338" s="1" t="s">
        <v>5228</v>
      </c>
      <c r="AH338" s="1" t="s">
        <v>4910</v>
      </c>
      <c r="AI338" s="1" t="s">
        <v>3493</v>
      </c>
      <c r="AJ338" s="1" t="s">
        <v>109</v>
      </c>
      <c r="AK338" s="1" t="s">
        <v>5229</v>
      </c>
      <c r="AL338" s="1">
        <v>50</v>
      </c>
      <c r="AM338" s="1" t="s">
        <v>2541</v>
      </c>
      <c r="AP338" s="1">
        <f>91-9420076886</f>
        <v>-9420076795</v>
      </c>
      <c r="AR338" s="1">
        <v>0</v>
      </c>
      <c r="AS338" s="1">
        <v>0</v>
      </c>
      <c r="AW338" s="1" t="s">
        <v>142</v>
      </c>
      <c r="AX338" s="1" t="s">
        <v>149</v>
      </c>
      <c r="AY338" s="1" t="s">
        <v>150</v>
      </c>
      <c r="AZ338" s="1">
        <v>5.01</v>
      </c>
      <c r="BA338" s="1">
        <v>5.08</v>
      </c>
      <c r="BB338" s="1" t="s">
        <v>151</v>
      </c>
      <c r="BC338" s="1" t="s">
        <v>152</v>
      </c>
      <c r="BD338" s="1" t="s">
        <v>1395</v>
      </c>
      <c r="BE338" s="1" t="s">
        <v>120</v>
      </c>
      <c r="BF338" s="1" t="s">
        <v>120</v>
      </c>
      <c r="BG338" s="1" t="s">
        <v>2541</v>
      </c>
      <c r="BH338" s="1" t="s">
        <v>2541</v>
      </c>
      <c r="BI338" s="1" t="s">
        <v>132</v>
      </c>
      <c r="BL338" s="1">
        <v>0</v>
      </c>
      <c r="BM338" s="1">
        <v>0</v>
      </c>
      <c r="BN338" s="1" t="s">
        <v>4208</v>
      </c>
      <c r="BO338" s="1">
        <v>0</v>
      </c>
      <c r="BQ338" s="1" t="s">
        <v>180</v>
      </c>
      <c r="BR338" s="1">
        <v>0</v>
      </c>
      <c r="BS338" s="1" t="s">
        <v>123</v>
      </c>
      <c r="BT338" s="1" t="s">
        <v>124</v>
      </c>
      <c r="BV338" s="1" t="s">
        <v>112</v>
      </c>
      <c r="BX338" s="1" t="s">
        <v>5230</v>
      </c>
      <c r="BY338" s="1" t="s">
        <v>120</v>
      </c>
      <c r="BZ338" s="1">
        <v>0</v>
      </c>
      <c r="CA338" s="1">
        <v>0</v>
      </c>
      <c r="CB338" s="4">
        <v>43459.218386493056</v>
      </c>
      <c r="CC338" s="1">
        <v>1</v>
      </c>
      <c r="CD338" s="1">
        <v>1</v>
      </c>
      <c r="CE338" s="1">
        <v>1</v>
      </c>
      <c r="CF338" s="1">
        <v>1</v>
      </c>
      <c r="CG338" s="4">
        <v>43459.218386493056</v>
      </c>
      <c r="CH338" s="1" t="s">
        <v>112</v>
      </c>
      <c r="CI338" s="1" t="s">
        <v>256</v>
      </c>
      <c r="CJ338" s="1" t="s">
        <v>157</v>
      </c>
    </row>
    <row r="339" spans="1:88" x14ac:dyDescent="0.35">
      <c r="A339" s="1">
        <v>5110</v>
      </c>
      <c r="B339" s="1" t="s">
        <v>5231</v>
      </c>
      <c r="C339" s="1" t="s">
        <v>5232</v>
      </c>
      <c r="D339" s="1" t="s">
        <v>312</v>
      </c>
      <c r="E339" s="1" t="s">
        <v>5233</v>
      </c>
      <c r="F339" s="1" t="s">
        <v>134</v>
      </c>
      <c r="G339" s="1">
        <v>1</v>
      </c>
      <c r="H339" s="3">
        <v>34332</v>
      </c>
      <c r="I339" s="1">
        <v>1</v>
      </c>
      <c r="J339" s="1" t="s">
        <v>3242</v>
      </c>
      <c r="K339" s="1" t="s">
        <v>2717</v>
      </c>
      <c r="L339" s="2">
        <f>91-9831027148</f>
        <v>-9831027057</v>
      </c>
      <c r="M339" s="1" t="s">
        <v>150</v>
      </c>
      <c r="N339" s="1">
        <v>0</v>
      </c>
      <c r="O339" s="1">
        <v>0</v>
      </c>
      <c r="P339" s="1">
        <v>5.08</v>
      </c>
      <c r="Q339" s="1">
        <v>38</v>
      </c>
      <c r="R339" s="1" t="s">
        <v>317</v>
      </c>
      <c r="S339" s="1" t="s">
        <v>97</v>
      </c>
      <c r="T339" s="1" t="s">
        <v>137</v>
      </c>
      <c r="U339" s="1" t="s">
        <v>2540</v>
      </c>
      <c r="V339" s="1" t="s">
        <v>2540</v>
      </c>
      <c r="X339" s="1" t="s">
        <v>100</v>
      </c>
      <c r="Y339" s="1" t="s">
        <v>111</v>
      </c>
      <c r="Z339" s="1" t="s">
        <v>192</v>
      </c>
      <c r="AB339" s="1">
        <v>1</v>
      </c>
      <c r="AC339" s="1" t="s">
        <v>5234</v>
      </c>
      <c r="AD339" s="1" t="s">
        <v>5235</v>
      </c>
      <c r="AE339" s="1" t="s">
        <v>142</v>
      </c>
      <c r="AF339" s="1" t="s">
        <v>129</v>
      </c>
      <c r="AG339" s="1" t="s">
        <v>5236</v>
      </c>
      <c r="AH339" s="1" t="s">
        <v>5237</v>
      </c>
      <c r="AI339" s="1" t="s">
        <v>5238</v>
      </c>
      <c r="AJ339" s="1" t="s">
        <v>109</v>
      </c>
      <c r="AK339" s="1" t="s">
        <v>5239</v>
      </c>
      <c r="AL339" s="1">
        <v>40</v>
      </c>
      <c r="AM339" s="1" t="s">
        <v>111</v>
      </c>
      <c r="AP339" s="1">
        <f>91-9831027148</f>
        <v>-9831027057</v>
      </c>
      <c r="AR339" s="1">
        <v>0</v>
      </c>
      <c r="AS339" s="1">
        <v>0</v>
      </c>
      <c r="AW339" s="1" t="s">
        <v>142</v>
      </c>
      <c r="AX339" s="1" t="s">
        <v>396</v>
      </c>
      <c r="AY339" s="1" t="s">
        <v>150</v>
      </c>
      <c r="AZ339" s="1">
        <v>5</v>
      </c>
      <c r="BA339" s="1">
        <v>5.07</v>
      </c>
      <c r="BB339" s="1" t="s">
        <v>151</v>
      </c>
      <c r="BC339" s="1" t="s">
        <v>304</v>
      </c>
      <c r="BD339" s="1" t="s">
        <v>1333</v>
      </c>
      <c r="BE339" s="1" t="s">
        <v>120</v>
      </c>
      <c r="BF339" s="1" t="s">
        <v>120</v>
      </c>
      <c r="BG339" s="1" t="s">
        <v>120</v>
      </c>
      <c r="BH339" s="1" t="s">
        <v>120</v>
      </c>
      <c r="BJ339" s="1" t="s">
        <v>120</v>
      </c>
      <c r="BK339" s="1" t="s">
        <v>120</v>
      </c>
      <c r="BL339" s="1">
        <v>0</v>
      </c>
      <c r="BM339" s="1">
        <v>0</v>
      </c>
      <c r="BN339" s="1" t="s">
        <v>5240</v>
      </c>
      <c r="BO339" s="1">
        <v>1</v>
      </c>
      <c r="BQ339" s="1" t="s">
        <v>180</v>
      </c>
      <c r="BR339" s="1">
        <v>0</v>
      </c>
      <c r="BS339" s="1" t="s">
        <v>252</v>
      </c>
      <c r="BT339" s="1" t="s">
        <v>124</v>
      </c>
      <c r="BU339" s="1" t="s">
        <v>5241</v>
      </c>
      <c r="BV339" s="1" t="s">
        <v>112</v>
      </c>
      <c r="BW339" s="1" t="s">
        <v>5242</v>
      </c>
      <c r="BX339" s="1" t="s">
        <v>5243</v>
      </c>
      <c r="BY339" s="1" t="s">
        <v>120</v>
      </c>
      <c r="BZ339" s="1">
        <v>1</v>
      </c>
      <c r="CA339" s="1">
        <v>1</v>
      </c>
      <c r="CB339" s="4">
        <v>43482.305388310182</v>
      </c>
      <c r="CC339" s="1">
        <v>1</v>
      </c>
      <c r="CD339" s="1">
        <v>1</v>
      </c>
      <c r="CE339" s="1">
        <v>1</v>
      </c>
      <c r="CF339" s="1">
        <v>1</v>
      </c>
      <c r="CG339" s="4">
        <v>43491.470777199072</v>
      </c>
      <c r="CH339" s="1" t="s">
        <v>112</v>
      </c>
      <c r="CI339" s="1" t="s">
        <v>280</v>
      </c>
      <c r="CJ339" s="1" t="s">
        <v>157</v>
      </c>
    </row>
    <row r="340" spans="1:88" x14ac:dyDescent="0.35">
      <c r="A340" s="1">
        <v>5112</v>
      </c>
      <c r="B340" s="1" t="s">
        <v>5244</v>
      </c>
      <c r="C340" s="1" t="s">
        <v>5245</v>
      </c>
      <c r="D340" s="1" t="s">
        <v>90</v>
      </c>
      <c r="E340" s="1" t="s">
        <v>4051</v>
      </c>
      <c r="F340" s="1" t="s">
        <v>5246</v>
      </c>
      <c r="G340" s="1">
        <v>1</v>
      </c>
      <c r="H340" s="3">
        <v>31315</v>
      </c>
      <c r="I340" s="1">
        <v>1</v>
      </c>
      <c r="J340" s="1" t="s">
        <v>162</v>
      </c>
      <c r="K340" s="1" t="s">
        <v>959</v>
      </c>
      <c r="L340" s="2">
        <f>91-8141817451</f>
        <v>-8141817360</v>
      </c>
      <c r="M340" s="1" t="s">
        <v>150</v>
      </c>
      <c r="N340" s="1">
        <v>0</v>
      </c>
      <c r="O340" s="1">
        <v>0</v>
      </c>
      <c r="P340" s="1">
        <v>5.05</v>
      </c>
      <c r="Q340" s="1">
        <v>50</v>
      </c>
      <c r="S340" s="1" t="s">
        <v>492</v>
      </c>
      <c r="T340" s="1" t="s">
        <v>137</v>
      </c>
      <c r="U340" s="1" t="s">
        <v>2540</v>
      </c>
      <c r="V340" s="1" t="s">
        <v>2540</v>
      </c>
      <c r="X340" s="1" t="s">
        <v>296</v>
      </c>
      <c r="Y340" s="1" t="s">
        <v>111</v>
      </c>
      <c r="Z340" s="1" t="s">
        <v>192</v>
      </c>
      <c r="AB340" s="1">
        <v>0</v>
      </c>
      <c r="AD340" s="1" t="s">
        <v>124</v>
      </c>
      <c r="AE340" s="1">
        <f>91-8141817451</f>
        <v>-8141817360</v>
      </c>
      <c r="AF340" s="1" t="s">
        <v>2541</v>
      </c>
      <c r="AG340" s="1" t="s">
        <v>5247</v>
      </c>
      <c r="AH340" s="1" t="s">
        <v>5248</v>
      </c>
      <c r="AI340" s="1" t="s">
        <v>5249</v>
      </c>
      <c r="AJ340" s="1" t="s">
        <v>109</v>
      </c>
      <c r="AK340" s="1" t="s">
        <v>5250</v>
      </c>
      <c r="AL340" s="1">
        <v>12</v>
      </c>
      <c r="AM340" s="1" t="s">
        <v>2541</v>
      </c>
      <c r="AP340" s="1">
        <f>91-8905588177</f>
        <v>-8905588086</v>
      </c>
      <c r="AR340" s="1">
        <v>0</v>
      </c>
      <c r="AS340" s="1">
        <v>0</v>
      </c>
      <c r="AW340" s="1" t="s">
        <v>142</v>
      </c>
      <c r="AX340" s="1" t="s">
        <v>3957</v>
      </c>
      <c r="AY340" s="1" t="s">
        <v>593</v>
      </c>
      <c r="AZ340" s="1">
        <v>4.05</v>
      </c>
      <c r="BA340" s="1">
        <v>5.0599999999999996</v>
      </c>
      <c r="BB340" s="1" t="s">
        <v>151</v>
      </c>
      <c r="BC340" s="1" t="s">
        <v>152</v>
      </c>
      <c r="BD340" s="1" t="s">
        <v>1395</v>
      </c>
      <c r="BE340" s="1" t="s">
        <v>5251</v>
      </c>
      <c r="BF340" s="1" t="s">
        <v>120</v>
      </c>
      <c r="BG340" s="1" t="s">
        <v>2541</v>
      </c>
      <c r="BH340" s="1" t="s">
        <v>2541</v>
      </c>
      <c r="BI340" s="1" t="s">
        <v>192</v>
      </c>
      <c r="BL340" s="1">
        <v>0</v>
      </c>
      <c r="BM340" s="1">
        <v>0</v>
      </c>
      <c r="BN340" s="1" t="s">
        <v>124</v>
      </c>
      <c r="BO340" s="1">
        <v>0</v>
      </c>
      <c r="BQ340" s="1" t="s">
        <v>180</v>
      </c>
      <c r="BR340" s="1">
        <v>0</v>
      </c>
      <c r="BS340" s="1" t="s">
        <v>123</v>
      </c>
      <c r="BT340" s="1" t="s">
        <v>124</v>
      </c>
      <c r="BV340" s="1" t="s">
        <v>112</v>
      </c>
      <c r="BW340" s="1" t="s">
        <v>5252</v>
      </c>
      <c r="BX340" s="1" t="s">
        <v>5253</v>
      </c>
      <c r="BY340" s="1" t="s">
        <v>120</v>
      </c>
      <c r="BZ340" s="1">
        <v>0</v>
      </c>
      <c r="CA340" s="1">
        <v>0</v>
      </c>
      <c r="CB340" s="4">
        <v>43483.970543831019</v>
      </c>
      <c r="CC340" s="1">
        <v>1</v>
      </c>
      <c r="CD340" s="1">
        <v>1</v>
      </c>
      <c r="CE340" s="1">
        <v>1</v>
      </c>
      <c r="CF340" s="1">
        <v>1</v>
      </c>
      <c r="CG340" s="4">
        <v>43601.053040509258</v>
      </c>
      <c r="CH340" s="1" t="s">
        <v>112</v>
      </c>
      <c r="CI340" s="1" t="s">
        <v>287</v>
      </c>
      <c r="CJ340" s="1" t="s">
        <v>157</v>
      </c>
    </row>
    <row r="341" spans="1:88" x14ac:dyDescent="0.35">
      <c r="A341" s="1">
        <v>5115</v>
      </c>
      <c r="B341" s="1" t="s">
        <v>5254</v>
      </c>
      <c r="C341" s="1" t="s">
        <v>5255</v>
      </c>
      <c r="D341" s="1" t="s">
        <v>90</v>
      </c>
      <c r="E341" s="1" t="s">
        <v>5256</v>
      </c>
      <c r="F341" s="1" t="s">
        <v>603</v>
      </c>
      <c r="G341" s="1">
        <v>1</v>
      </c>
      <c r="H341" s="3">
        <v>32685</v>
      </c>
      <c r="I341" s="1">
        <v>1</v>
      </c>
      <c r="J341" s="1" t="s">
        <v>162</v>
      </c>
      <c r="K341" s="1" t="s">
        <v>232</v>
      </c>
      <c r="L341" s="2">
        <f>91-9033910705</f>
        <v>-9033910614</v>
      </c>
      <c r="M341" s="1" t="s">
        <v>95</v>
      </c>
      <c r="N341" s="1">
        <v>0</v>
      </c>
      <c r="O341" s="1">
        <v>0</v>
      </c>
      <c r="P341" s="1">
        <v>5.1100000000000003</v>
      </c>
      <c r="Q341" s="1">
        <v>11</v>
      </c>
      <c r="R341" s="1" t="s">
        <v>340</v>
      </c>
      <c r="S341" s="1" t="s">
        <v>136</v>
      </c>
      <c r="T341" s="1" t="s">
        <v>234</v>
      </c>
      <c r="U341" s="1" t="s">
        <v>694</v>
      </c>
      <c r="V341" s="1" t="s">
        <v>2540</v>
      </c>
      <c r="X341" s="1" t="s">
        <v>100</v>
      </c>
      <c r="Y341" s="1" t="s">
        <v>210</v>
      </c>
      <c r="Z341" s="1" t="s">
        <v>556</v>
      </c>
      <c r="AA341" s="1" t="s">
        <v>5257</v>
      </c>
      <c r="AB341" s="1">
        <v>0</v>
      </c>
      <c r="AD341" s="1" t="s">
        <v>5258</v>
      </c>
      <c r="AE341" s="1">
        <f>91-9033910705</f>
        <v>-9033910614</v>
      </c>
      <c r="AF341" s="1" t="s">
        <v>105</v>
      </c>
      <c r="AG341" s="1" t="s">
        <v>5259</v>
      </c>
      <c r="AH341" s="1" t="s">
        <v>5260</v>
      </c>
      <c r="AI341" s="1" t="s">
        <v>5261</v>
      </c>
      <c r="AJ341" s="1" t="s">
        <v>478</v>
      </c>
      <c r="AK341" s="1" t="s">
        <v>5262</v>
      </c>
      <c r="AL341" s="1">
        <v>20</v>
      </c>
      <c r="AM341" s="1" t="s">
        <v>111</v>
      </c>
      <c r="AO341" s="1" t="s">
        <v>5263</v>
      </c>
      <c r="AP341" s="1">
        <f>91-7874562174</f>
        <v>-7874562083</v>
      </c>
      <c r="AR341" s="1">
        <v>1</v>
      </c>
      <c r="AS341" s="1">
        <v>1</v>
      </c>
      <c r="AW341" s="1" t="s">
        <v>142</v>
      </c>
      <c r="AX341" s="1" t="s">
        <v>2043</v>
      </c>
      <c r="AY341" s="1" t="s">
        <v>593</v>
      </c>
      <c r="AZ341" s="1">
        <v>4.0999999999999996</v>
      </c>
      <c r="BA341" s="1">
        <v>5.0999999999999996</v>
      </c>
      <c r="BB341" s="1" t="s">
        <v>151</v>
      </c>
      <c r="BC341" s="1" t="s">
        <v>304</v>
      </c>
      <c r="BD341" s="1" t="s">
        <v>1333</v>
      </c>
      <c r="BE341" s="1" t="s">
        <v>3040</v>
      </c>
      <c r="BF341" s="1" t="s">
        <v>120</v>
      </c>
      <c r="BG341" s="1" t="s">
        <v>5264</v>
      </c>
      <c r="BH341" s="1" t="s">
        <v>5265</v>
      </c>
      <c r="BI341" s="1" t="s">
        <v>556</v>
      </c>
      <c r="BJ341" s="1" t="s">
        <v>120</v>
      </c>
      <c r="BK341" s="1" t="s">
        <v>120</v>
      </c>
      <c r="BL341" s="1">
        <v>0</v>
      </c>
      <c r="BM341" s="1">
        <v>0</v>
      </c>
      <c r="BN341" s="1" t="s">
        <v>5266</v>
      </c>
      <c r="BO341" s="1">
        <v>1</v>
      </c>
      <c r="BP341" s="1" t="s">
        <v>1569</v>
      </c>
      <c r="BQ341" s="1" t="s">
        <v>112</v>
      </c>
      <c r="BR341" s="1">
        <v>0</v>
      </c>
      <c r="BS341" s="1" t="s">
        <v>399</v>
      </c>
      <c r="BT341" s="1" t="s">
        <v>306</v>
      </c>
      <c r="BU341" s="1" t="s">
        <v>112</v>
      </c>
      <c r="BV341" s="1" t="s">
        <v>112</v>
      </c>
      <c r="BW341" s="1" t="s">
        <v>5267</v>
      </c>
      <c r="BX341" s="1" t="s">
        <v>5268</v>
      </c>
      <c r="BY341" s="1" t="s">
        <v>127</v>
      </c>
      <c r="BZ341" s="1">
        <v>1</v>
      </c>
      <c r="CA341" s="1">
        <v>1</v>
      </c>
      <c r="CB341" s="4">
        <v>43484.299644328705</v>
      </c>
      <c r="CC341" s="1">
        <v>1</v>
      </c>
      <c r="CD341" s="1">
        <v>1</v>
      </c>
      <c r="CE341" s="1">
        <v>1</v>
      </c>
      <c r="CF341" s="1">
        <v>1</v>
      </c>
      <c r="CG341" s="4">
        <v>43584.674606516201</v>
      </c>
      <c r="CH341" s="1" t="s">
        <v>112</v>
      </c>
      <c r="CI341" s="1" t="s">
        <v>5269</v>
      </c>
      <c r="CJ341" s="1" t="s">
        <v>157</v>
      </c>
    </row>
    <row r="342" spans="1:88" x14ac:dyDescent="0.35">
      <c r="A342" s="1">
        <v>5116</v>
      </c>
      <c r="B342" s="1" t="s">
        <v>5270</v>
      </c>
      <c r="C342" s="1">
        <v>123456789</v>
      </c>
      <c r="D342" s="1" t="s">
        <v>259</v>
      </c>
      <c r="E342" s="1" t="s">
        <v>5271</v>
      </c>
      <c r="F342" s="1" t="s">
        <v>5272</v>
      </c>
      <c r="G342" s="1">
        <v>1</v>
      </c>
      <c r="H342" s="3">
        <v>34336</v>
      </c>
      <c r="I342" s="1">
        <v>1</v>
      </c>
      <c r="J342" s="1" t="s">
        <v>162</v>
      </c>
      <c r="K342" s="1" t="s">
        <v>163</v>
      </c>
      <c r="L342" s="2">
        <f>91-9974277240</f>
        <v>-9974277149</v>
      </c>
      <c r="M342" s="1" t="s">
        <v>150</v>
      </c>
      <c r="N342" s="1">
        <v>0</v>
      </c>
      <c r="O342" s="1">
        <v>0</v>
      </c>
      <c r="P342" s="1">
        <v>5.05</v>
      </c>
      <c r="Q342" s="1">
        <v>27</v>
      </c>
      <c r="R342" s="1" t="s">
        <v>653</v>
      </c>
      <c r="S342" s="1" t="s">
        <v>165</v>
      </c>
      <c r="T342" s="1" t="s">
        <v>427</v>
      </c>
      <c r="U342" s="1" t="s">
        <v>2540</v>
      </c>
      <c r="V342" s="1" t="s">
        <v>2540</v>
      </c>
      <c r="X342" s="1" t="s">
        <v>170</v>
      </c>
      <c r="Y342" s="1" t="s">
        <v>210</v>
      </c>
      <c r="Z342" s="1" t="s">
        <v>858</v>
      </c>
      <c r="AB342" s="1">
        <v>0</v>
      </c>
      <c r="AD342" s="1" t="s">
        <v>5273</v>
      </c>
      <c r="AE342" s="1">
        <f>91-9825014174</f>
        <v>-9825014083</v>
      </c>
      <c r="AF342" s="1" t="s">
        <v>2541</v>
      </c>
      <c r="AG342" s="1" t="s">
        <v>5274</v>
      </c>
      <c r="AH342" s="1" t="s">
        <v>5275</v>
      </c>
      <c r="AI342" s="1" t="s">
        <v>5276</v>
      </c>
      <c r="AJ342" s="1" t="s">
        <v>109</v>
      </c>
      <c r="AK342" s="1" t="s">
        <v>5277</v>
      </c>
      <c r="AL342" s="1">
        <v>50</v>
      </c>
      <c r="AM342" s="1" t="s">
        <v>2541</v>
      </c>
      <c r="AP342" s="1">
        <f>91-9825014174</f>
        <v>-9825014083</v>
      </c>
      <c r="AR342" s="1">
        <v>0</v>
      </c>
      <c r="AS342" s="1">
        <v>0</v>
      </c>
      <c r="AW342" s="1" t="s">
        <v>142</v>
      </c>
      <c r="AX342" s="1" t="s">
        <v>3287</v>
      </c>
      <c r="AY342" s="1" t="s">
        <v>150</v>
      </c>
      <c r="AZ342" s="1">
        <v>4.0999999999999996</v>
      </c>
      <c r="BA342" s="1">
        <v>5.04</v>
      </c>
      <c r="BB342" s="1" t="s">
        <v>151</v>
      </c>
      <c r="BC342" s="1" t="s">
        <v>152</v>
      </c>
      <c r="BD342" s="1" t="s">
        <v>1395</v>
      </c>
      <c r="BE342" s="1" t="s">
        <v>2260</v>
      </c>
      <c r="BF342" s="1" t="s">
        <v>120</v>
      </c>
      <c r="BG342" s="1" t="s">
        <v>2541</v>
      </c>
      <c r="BH342" s="1" t="s">
        <v>2541</v>
      </c>
      <c r="BI342" s="1" t="s">
        <v>858</v>
      </c>
      <c r="BL342" s="1">
        <v>0</v>
      </c>
      <c r="BM342" s="1">
        <v>0</v>
      </c>
      <c r="BN342" s="1" t="s">
        <v>5278</v>
      </c>
      <c r="BO342" s="1">
        <v>0</v>
      </c>
      <c r="BQ342" s="1" t="s">
        <v>180</v>
      </c>
      <c r="BR342" s="1">
        <v>0</v>
      </c>
      <c r="BS342" s="1" t="s">
        <v>354</v>
      </c>
      <c r="BT342" s="1" t="s">
        <v>124</v>
      </c>
      <c r="BV342" s="1" t="s">
        <v>112</v>
      </c>
      <c r="BW342" s="1" t="s">
        <v>5279</v>
      </c>
      <c r="BX342" s="1" t="s">
        <v>5280</v>
      </c>
      <c r="BY342" s="1" t="s">
        <v>120</v>
      </c>
      <c r="BZ342" s="1">
        <v>0</v>
      </c>
      <c r="CA342" s="1">
        <v>0</v>
      </c>
      <c r="CB342" s="4">
        <v>43484.853246909719</v>
      </c>
      <c r="CC342" s="1">
        <v>1</v>
      </c>
      <c r="CD342" s="1">
        <v>1</v>
      </c>
      <c r="CE342" s="1">
        <v>1</v>
      </c>
      <c r="CF342" s="1">
        <v>1</v>
      </c>
      <c r="CG342" s="4">
        <v>43485.154760879632</v>
      </c>
      <c r="CH342" s="1" t="s">
        <v>112</v>
      </c>
      <c r="CI342" s="1" t="s">
        <v>5281</v>
      </c>
      <c r="CJ342" s="1" t="s">
        <v>157</v>
      </c>
    </row>
    <row r="343" spans="1:88" x14ac:dyDescent="0.35">
      <c r="A343" s="1">
        <v>5118</v>
      </c>
      <c r="B343" s="1" t="s">
        <v>5282</v>
      </c>
      <c r="C343" s="1" t="s">
        <v>5283</v>
      </c>
      <c r="D343" s="1" t="s">
        <v>90</v>
      </c>
      <c r="E343" s="1" t="s">
        <v>5284</v>
      </c>
      <c r="F343" s="1" t="s">
        <v>1382</v>
      </c>
      <c r="G343" s="1">
        <v>1</v>
      </c>
      <c r="H343" s="3">
        <v>34516</v>
      </c>
      <c r="I343" s="1">
        <v>1</v>
      </c>
      <c r="J343" s="1" t="s">
        <v>93</v>
      </c>
      <c r="L343" s="2">
        <f>91-9373828705</f>
        <v>-9373828614</v>
      </c>
      <c r="M343" s="1" t="s">
        <v>150</v>
      </c>
      <c r="N343" s="1">
        <v>0</v>
      </c>
      <c r="O343" s="1">
        <v>0</v>
      </c>
      <c r="P343" s="1">
        <v>5.05</v>
      </c>
      <c r="Q343" s="1">
        <v>45</v>
      </c>
      <c r="R343" s="1" t="s">
        <v>1383</v>
      </c>
      <c r="S343" s="1" t="s">
        <v>293</v>
      </c>
      <c r="T343" s="1" t="s">
        <v>137</v>
      </c>
      <c r="U343" s="1" t="s">
        <v>2540</v>
      </c>
      <c r="V343" s="1" t="s">
        <v>2540</v>
      </c>
      <c r="X343" s="1" t="s">
        <v>236</v>
      </c>
      <c r="Y343" s="1" t="s">
        <v>111</v>
      </c>
      <c r="Z343" s="1" t="s">
        <v>192</v>
      </c>
      <c r="AB343" s="1">
        <v>0</v>
      </c>
      <c r="AD343" s="1" t="s">
        <v>5285</v>
      </c>
      <c r="AE343" s="1">
        <f>91-9373828705</f>
        <v>-9373828614</v>
      </c>
      <c r="AF343" s="1" t="s">
        <v>2541</v>
      </c>
      <c r="AG343" s="1" t="s">
        <v>5286</v>
      </c>
      <c r="AH343" s="1" t="s">
        <v>5287</v>
      </c>
      <c r="AI343" s="1" t="s">
        <v>1257</v>
      </c>
      <c r="AJ343" s="1" t="s">
        <v>109</v>
      </c>
      <c r="AK343" s="1" t="s">
        <v>5288</v>
      </c>
      <c r="AL343" s="1">
        <v>30</v>
      </c>
      <c r="AM343" s="1" t="s">
        <v>2541</v>
      </c>
      <c r="AP343" s="1">
        <f>91-7875684691</f>
        <v>-7875684600</v>
      </c>
      <c r="AR343" s="1">
        <v>0</v>
      </c>
      <c r="AS343" s="1">
        <v>0</v>
      </c>
      <c r="AW343" s="1" t="s">
        <v>142</v>
      </c>
      <c r="AX343" s="1" t="s">
        <v>329</v>
      </c>
      <c r="AY343" s="1" t="s">
        <v>150</v>
      </c>
      <c r="AZ343" s="1">
        <v>4.05</v>
      </c>
      <c r="BA343" s="1">
        <v>5.08</v>
      </c>
      <c r="BB343" s="1" t="s">
        <v>151</v>
      </c>
      <c r="BC343" s="1" t="s">
        <v>152</v>
      </c>
      <c r="BD343" s="1" t="s">
        <v>1395</v>
      </c>
      <c r="BE343" s="1" t="s">
        <v>120</v>
      </c>
      <c r="BF343" s="1" t="s">
        <v>120</v>
      </c>
      <c r="BG343" s="1" t="s">
        <v>2541</v>
      </c>
      <c r="BH343" s="1" t="s">
        <v>2541</v>
      </c>
      <c r="BI343" s="1" t="s">
        <v>192</v>
      </c>
      <c r="BL343" s="1">
        <v>0</v>
      </c>
      <c r="BM343" s="1">
        <v>0</v>
      </c>
      <c r="BN343" s="1" t="s">
        <v>5289</v>
      </c>
      <c r="BO343" s="1">
        <v>0</v>
      </c>
      <c r="BQ343" s="1" t="s">
        <v>180</v>
      </c>
      <c r="BR343" s="1">
        <v>0</v>
      </c>
      <c r="BS343" s="1" t="s">
        <v>399</v>
      </c>
      <c r="BT343" s="1" t="s">
        <v>124</v>
      </c>
      <c r="BV343" s="1" t="s">
        <v>112</v>
      </c>
      <c r="BW343" s="1" t="s">
        <v>5290</v>
      </c>
      <c r="BX343" s="1" t="s">
        <v>5291</v>
      </c>
      <c r="BY343" s="1" t="s">
        <v>120</v>
      </c>
      <c r="BZ343" s="1">
        <v>0</v>
      </c>
      <c r="CA343" s="1">
        <v>0</v>
      </c>
      <c r="CB343" s="4">
        <v>43487.150953321761</v>
      </c>
      <c r="CC343" s="1">
        <v>1</v>
      </c>
      <c r="CD343" s="1">
        <v>1</v>
      </c>
      <c r="CE343" s="1">
        <v>1</v>
      </c>
      <c r="CF343" s="1">
        <v>1</v>
      </c>
      <c r="CG343" s="4">
        <v>43492.536572881945</v>
      </c>
      <c r="CH343" s="1" t="s">
        <v>112</v>
      </c>
      <c r="CI343" s="1" t="s">
        <v>2283</v>
      </c>
      <c r="CJ343" s="1" t="s">
        <v>157</v>
      </c>
    </row>
    <row r="344" spans="1:88" x14ac:dyDescent="0.35">
      <c r="A344" s="1">
        <v>5119</v>
      </c>
      <c r="B344" s="1" t="s">
        <v>5292</v>
      </c>
      <c r="C344" s="1" t="s">
        <v>5293</v>
      </c>
      <c r="D344" s="1" t="s">
        <v>90</v>
      </c>
      <c r="E344" s="1" t="s">
        <v>794</v>
      </c>
      <c r="F344" s="1" t="s">
        <v>134</v>
      </c>
      <c r="G344" s="1">
        <v>1</v>
      </c>
      <c r="H344" s="3">
        <v>34887</v>
      </c>
      <c r="I344" s="1">
        <v>1</v>
      </c>
      <c r="J344" s="1" t="s">
        <v>162</v>
      </c>
      <c r="K344" s="1" t="s">
        <v>2166</v>
      </c>
      <c r="L344" s="2">
        <f>91-8866679389</f>
        <v>-8866679298</v>
      </c>
      <c r="M344" s="1" t="s">
        <v>150</v>
      </c>
      <c r="N344" s="1">
        <v>0</v>
      </c>
      <c r="O344" s="1">
        <v>0</v>
      </c>
      <c r="P344" s="1">
        <v>5.07</v>
      </c>
      <c r="Q344" s="1">
        <v>27</v>
      </c>
      <c r="R344" s="1" t="s">
        <v>653</v>
      </c>
      <c r="S344" s="1" t="s">
        <v>97</v>
      </c>
      <c r="T344" s="1" t="s">
        <v>137</v>
      </c>
      <c r="U344" s="1" t="s">
        <v>2540</v>
      </c>
      <c r="V344" s="1" t="s">
        <v>2540</v>
      </c>
      <c r="X344" s="1" t="s">
        <v>100</v>
      </c>
      <c r="Y344" s="1" t="s">
        <v>111</v>
      </c>
      <c r="Z344" s="1" t="s">
        <v>192</v>
      </c>
      <c r="AB344" s="1">
        <v>0</v>
      </c>
      <c r="AD344" s="1" t="s">
        <v>5294</v>
      </c>
      <c r="AE344" s="1">
        <f>91-9974289725</f>
        <v>-9974289634</v>
      </c>
      <c r="AF344" s="1" t="s">
        <v>2541</v>
      </c>
      <c r="AG344" s="1" t="s">
        <v>5295</v>
      </c>
      <c r="AH344" s="1" t="s">
        <v>5296</v>
      </c>
      <c r="AI344" s="1" t="s">
        <v>5297</v>
      </c>
      <c r="AJ344" s="1" t="s">
        <v>109</v>
      </c>
      <c r="AK344" s="1" t="s">
        <v>5298</v>
      </c>
      <c r="AL344" s="1">
        <v>10</v>
      </c>
      <c r="AM344" s="1" t="s">
        <v>2541</v>
      </c>
      <c r="AP344" s="1">
        <f>91-9974289725</f>
        <v>-9974289634</v>
      </c>
      <c r="AR344" s="1">
        <v>0</v>
      </c>
      <c r="AS344" s="1">
        <v>0</v>
      </c>
      <c r="AW344" s="1" t="s">
        <v>142</v>
      </c>
      <c r="AX344" s="1" t="s">
        <v>5299</v>
      </c>
      <c r="AY344" s="1" t="s">
        <v>150</v>
      </c>
      <c r="AZ344" s="1">
        <v>4.05</v>
      </c>
      <c r="BA344" s="1">
        <v>5.07</v>
      </c>
      <c r="BB344" s="1" t="s">
        <v>151</v>
      </c>
      <c r="BC344" s="1" t="s">
        <v>152</v>
      </c>
      <c r="BD344" s="1" t="s">
        <v>1395</v>
      </c>
      <c r="BE344" s="1" t="s">
        <v>120</v>
      </c>
      <c r="BF344" s="1" t="s">
        <v>120</v>
      </c>
      <c r="BG344" s="1" t="s">
        <v>2541</v>
      </c>
      <c r="BH344" s="1" t="s">
        <v>2541</v>
      </c>
      <c r="BI344" s="1" t="s">
        <v>192</v>
      </c>
      <c r="BL344" s="1">
        <v>0</v>
      </c>
      <c r="BM344" s="1">
        <v>0</v>
      </c>
      <c r="BN344" s="1" t="s">
        <v>5300</v>
      </c>
      <c r="BO344" s="1">
        <v>0</v>
      </c>
      <c r="BQ344" s="1" t="s">
        <v>180</v>
      </c>
      <c r="BR344" s="1">
        <v>0</v>
      </c>
      <c r="BS344" s="1" t="s">
        <v>787</v>
      </c>
      <c r="BT344" s="1" t="s">
        <v>124</v>
      </c>
      <c r="BV344" s="1" t="s">
        <v>112</v>
      </c>
      <c r="BY344" s="1" t="s">
        <v>120</v>
      </c>
      <c r="BZ344" s="1">
        <v>0</v>
      </c>
      <c r="CA344" s="1">
        <v>0</v>
      </c>
      <c r="CB344" s="4">
        <v>43490.361129826386</v>
      </c>
      <c r="CC344" s="1">
        <v>1</v>
      </c>
      <c r="CD344" s="1">
        <v>1</v>
      </c>
      <c r="CE344" s="1">
        <v>0</v>
      </c>
      <c r="CF344" s="1">
        <v>0</v>
      </c>
      <c r="CG344" s="4">
        <v>43490.361129826386</v>
      </c>
      <c r="CH344" s="1" t="s">
        <v>112</v>
      </c>
      <c r="CI344" s="1" t="s">
        <v>5301</v>
      </c>
      <c r="CJ344" s="1" t="s">
        <v>157</v>
      </c>
    </row>
    <row r="345" spans="1:88" x14ac:dyDescent="0.35">
      <c r="A345" s="1">
        <v>5120</v>
      </c>
      <c r="B345" s="1" t="s">
        <v>5302</v>
      </c>
      <c r="C345" s="1" t="s">
        <v>5303</v>
      </c>
      <c r="D345" s="1" t="s">
        <v>90</v>
      </c>
      <c r="E345" s="1" t="s">
        <v>5304</v>
      </c>
      <c r="F345" s="1" t="s">
        <v>134</v>
      </c>
      <c r="G345" s="1">
        <v>1</v>
      </c>
      <c r="H345" s="3">
        <v>33877</v>
      </c>
      <c r="I345" s="1">
        <v>1</v>
      </c>
      <c r="J345" s="1" t="s">
        <v>3242</v>
      </c>
      <c r="K345" s="1" t="s">
        <v>2717</v>
      </c>
      <c r="L345" s="2">
        <f>91-9110618480</f>
        <v>-9110618389</v>
      </c>
      <c r="M345" s="1" t="s">
        <v>150</v>
      </c>
      <c r="N345" s="1">
        <v>0</v>
      </c>
      <c r="O345" s="1">
        <v>0</v>
      </c>
      <c r="P345" s="1">
        <v>5.08</v>
      </c>
      <c r="Q345" s="1">
        <v>27</v>
      </c>
      <c r="R345" s="1" t="s">
        <v>653</v>
      </c>
      <c r="S345" s="1" t="s">
        <v>97</v>
      </c>
      <c r="T345" s="1" t="s">
        <v>5305</v>
      </c>
      <c r="U345" s="1" t="s">
        <v>2540</v>
      </c>
      <c r="V345" s="1" t="s">
        <v>2540</v>
      </c>
      <c r="X345" s="1" t="s">
        <v>100</v>
      </c>
      <c r="Y345" s="1" t="s">
        <v>210</v>
      </c>
      <c r="Z345" s="1" t="s">
        <v>450</v>
      </c>
      <c r="AB345" s="1">
        <v>0</v>
      </c>
      <c r="AD345" s="1" t="s">
        <v>5306</v>
      </c>
      <c r="AE345" s="1">
        <f>91-9883306771</f>
        <v>-9883306680</v>
      </c>
      <c r="AF345" s="1" t="s">
        <v>129</v>
      </c>
      <c r="AG345" s="1" t="s">
        <v>5307</v>
      </c>
      <c r="AH345" s="1" t="s">
        <v>5308</v>
      </c>
      <c r="AI345" s="1" t="s">
        <v>5309</v>
      </c>
      <c r="AJ345" s="1" t="s">
        <v>109</v>
      </c>
      <c r="AK345" s="1" t="s">
        <v>5310</v>
      </c>
      <c r="AL345" s="1">
        <v>40</v>
      </c>
      <c r="AM345" s="1" t="s">
        <v>129</v>
      </c>
      <c r="AP345" s="1">
        <f>91-9883306771</f>
        <v>-9883306680</v>
      </c>
      <c r="AR345" s="1">
        <v>0</v>
      </c>
      <c r="AS345" s="1">
        <v>0</v>
      </c>
      <c r="AW345" s="1" t="s">
        <v>142</v>
      </c>
      <c r="AX345" s="1" t="s">
        <v>2531</v>
      </c>
      <c r="AY345" s="1" t="s">
        <v>150</v>
      </c>
      <c r="AZ345" s="1">
        <v>5</v>
      </c>
      <c r="BA345" s="1">
        <v>5.05</v>
      </c>
      <c r="BB345" s="1" t="s">
        <v>151</v>
      </c>
      <c r="BC345" s="1" t="s">
        <v>304</v>
      </c>
      <c r="BD345" s="1" t="s">
        <v>1333</v>
      </c>
      <c r="BE345" s="1" t="s">
        <v>97</v>
      </c>
      <c r="BF345" s="1" t="s">
        <v>120</v>
      </c>
      <c r="BG345" s="1" t="s">
        <v>120</v>
      </c>
      <c r="BH345" s="1" t="s">
        <v>210</v>
      </c>
      <c r="BJ345" s="1" t="s">
        <v>120</v>
      </c>
      <c r="BK345" s="1" t="s">
        <v>120</v>
      </c>
      <c r="BL345" s="1">
        <v>0</v>
      </c>
      <c r="BM345" s="1">
        <v>0</v>
      </c>
      <c r="BN345" s="1" t="s">
        <v>5311</v>
      </c>
      <c r="BO345" s="1">
        <v>0</v>
      </c>
      <c r="BQ345" s="1" t="s">
        <v>180</v>
      </c>
      <c r="BR345" s="1">
        <v>0</v>
      </c>
      <c r="BS345" s="1" t="s">
        <v>376</v>
      </c>
      <c r="BT345" s="1" t="s">
        <v>124</v>
      </c>
      <c r="BV345" s="1" t="s">
        <v>112</v>
      </c>
      <c r="BW345" s="1" t="s">
        <v>5312</v>
      </c>
      <c r="BX345" s="1" t="s">
        <v>5313</v>
      </c>
      <c r="BY345" s="1" t="s">
        <v>120</v>
      </c>
      <c r="BZ345" s="1">
        <v>0</v>
      </c>
      <c r="CA345" s="1">
        <v>0</v>
      </c>
      <c r="CB345" s="4">
        <v>43496.262545833335</v>
      </c>
      <c r="CC345" s="1">
        <v>1</v>
      </c>
      <c r="CD345" s="1">
        <v>1</v>
      </c>
      <c r="CE345" s="1">
        <v>1</v>
      </c>
      <c r="CF345" s="1">
        <v>1</v>
      </c>
      <c r="CG345" s="4">
        <v>43884.428251620368</v>
      </c>
      <c r="CH345" s="1" t="s">
        <v>112</v>
      </c>
      <c r="CI345" s="1" t="s">
        <v>280</v>
      </c>
      <c r="CJ345" s="1" t="s">
        <v>157</v>
      </c>
    </row>
    <row r="346" spans="1:88" x14ac:dyDescent="0.35">
      <c r="A346" s="1">
        <v>5124</v>
      </c>
      <c r="B346" s="1" t="s">
        <v>5314</v>
      </c>
      <c r="C346" s="1">
        <v>9724137217</v>
      </c>
      <c r="D346" s="1" t="s">
        <v>90</v>
      </c>
      <c r="E346" s="1" t="s">
        <v>5315</v>
      </c>
      <c r="F346" s="1" t="s">
        <v>185</v>
      </c>
      <c r="G346" s="1">
        <v>1</v>
      </c>
      <c r="H346" s="3">
        <v>30082</v>
      </c>
      <c r="I346" s="1">
        <v>1</v>
      </c>
      <c r="J346" s="1" t="s">
        <v>162</v>
      </c>
      <c r="K346" s="1" t="s">
        <v>2166</v>
      </c>
      <c r="L346" s="2">
        <f>91-9724137217</f>
        <v>-9724137126</v>
      </c>
      <c r="M346" s="1" t="s">
        <v>95</v>
      </c>
      <c r="N346" s="1">
        <v>0</v>
      </c>
      <c r="O346" s="1">
        <v>0</v>
      </c>
      <c r="P346" s="1">
        <v>5.09</v>
      </c>
      <c r="Q346" s="1">
        <v>48</v>
      </c>
      <c r="R346" s="1" t="s">
        <v>385</v>
      </c>
      <c r="S346" s="1" t="s">
        <v>233</v>
      </c>
      <c r="T346" s="1" t="s">
        <v>98</v>
      </c>
      <c r="U346" s="1" t="s">
        <v>2540</v>
      </c>
      <c r="V346" s="1" t="s">
        <v>2540</v>
      </c>
      <c r="X346" s="1" t="s">
        <v>170</v>
      </c>
      <c r="Y346" s="1" t="s">
        <v>111</v>
      </c>
      <c r="Z346" s="1" t="s">
        <v>192</v>
      </c>
      <c r="AB346" s="1">
        <v>0</v>
      </c>
      <c r="AD346" s="1" t="s">
        <v>5316</v>
      </c>
      <c r="AE346" s="1">
        <f>91-9724137217</f>
        <v>-9724137126</v>
      </c>
      <c r="AF346" s="1" t="s">
        <v>2541</v>
      </c>
      <c r="AG346" s="1" t="s">
        <v>5317</v>
      </c>
      <c r="AH346" s="1" t="s">
        <v>5318</v>
      </c>
      <c r="AI346" s="1" t="s">
        <v>5319</v>
      </c>
      <c r="AJ346" s="1" t="s">
        <v>109</v>
      </c>
      <c r="AK346" s="1" t="s">
        <v>5320</v>
      </c>
      <c r="AL346" s="1">
        <v>10</v>
      </c>
      <c r="AM346" s="1" t="s">
        <v>2541</v>
      </c>
      <c r="AP346" s="1">
        <f>91-9879255882</f>
        <v>-9879255791</v>
      </c>
      <c r="AR346" s="1">
        <v>0</v>
      </c>
      <c r="AS346" s="1">
        <v>0</v>
      </c>
      <c r="AW346" s="1" t="s">
        <v>142</v>
      </c>
      <c r="AX346" s="1" t="s">
        <v>4140</v>
      </c>
      <c r="AY346" s="1" t="s">
        <v>5321</v>
      </c>
      <c r="AZ346" s="1">
        <v>5.09</v>
      </c>
      <c r="BA346" s="1">
        <v>5.09</v>
      </c>
      <c r="BB346" s="1" t="s">
        <v>151</v>
      </c>
      <c r="BC346" s="1" t="s">
        <v>152</v>
      </c>
      <c r="BD346" s="1" t="s">
        <v>1395</v>
      </c>
      <c r="BE346" s="1" t="s">
        <v>2260</v>
      </c>
      <c r="BF346" s="1" t="s">
        <v>120</v>
      </c>
      <c r="BG346" s="1" t="s">
        <v>2541</v>
      </c>
      <c r="BH346" s="1" t="s">
        <v>2541</v>
      </c>
      <c r="BI346" s="1" t="s">
        <v>192</v>
      </c>
      <c r="BL346" s="1">
        <v>0</v>
      </c>
      <c r="BM346" s="1">
        <v>1</v>
      </c>
      <c r="BN346" s="1" t="s">
        <v>5322</v>
      </c>
      <c r="BO346" s="1">
        <v>0</v>
      </c>
      <c r="BQ346" s="1" t="s">
        <v>180</v>
      </c>
      <c r="BR346" s="1">
        <v>0</v>
      </c>
      <c r="BS346" s="1" t="s">
        <v>1208</v>
      </c>
      <c r="BT346" s="1" t="s">
        <v>120</v>
      </c>
      <c r="BV346" s="1" t="s">
        <v>112</v>
      </c>
      <c r="BX346" s="1" t="s">
        <v>5323</v>
      </c>
      <c r="BY346" s="1" t="s">
        <v>120</v>
      </c>
      <c r="BZ346" s="1">
        <v>0</v>
      </c>
      <c r="CA346" s="1">
        <v>0</v>
      </c>
      <c r="CB346" s="4">
        <v>43513.032239814813</v>
      </c>
      <c r="CC346" s="1">
        <v>1</v>
      </c>
      <c r="CD346" s="1">
        <v>1</v>
      </c>
      <c r="CE346" s="1">
        <v>1</v>
      </c>
      <c r="CF346" s="1">
        <v>1</v>
      </c>
      <c r="CG346" s="4">
        <v>43513.032239814813</v>
      </c>
      <c r="CH346" s="1" t="s">
        <v>112</v>
      </c>
      <c r="CI346" s="1" t="s">
        <v>5324</v>
      </c>
      <c r="CJ346" s="1" t="s">
        <v>157</v>
      </c>
    </row>
    <row r="347" spans="1:88" x14ac:dyDescent="0.35">
      <c r="A347" s="1">
        <v>5126</v>
      </c>
      <c r="B347" s="1" t="s">
        <v>5325</v>
      </c>
      <c r="C347" s="1" t="s">
        <v>5326</v>
      </c>
      <c r="D347" s="1" t="s">
        <v>90</v>
      </c>
      <c r="E347" s="1" t="s">
        <v>3991</v>
      </c>
      <c r="F347" s="1" t="s">
        <v>1690</v>
      </c>
      <c r="G347" s="1">
        <v>1</v>
      </c>
      <c r="H347" s="3">
        <v>33964</v>
      </c>
      <c r="I347" s="1">
        <v>1</v>
      </c>
      <c r="J347" s="1" t="s">
        <v>162</v>
      </c>
      <c r="K347" s="1" t="s">
        <v>163</v>
      </c>
      <c r="L347" s="2">
        <f>91-9725097143</f>
        <v>-9725097052</v>
      </c>
      <c r="M347" s="1" t="s">
        <v>150</v>
      </c>
      <c r="N347" s="1">
        <v>0</v>
      </c>
      <c r="O347" s="1">
        <v>0</v>
      </c>
      <c r="P347" s="1">
        <v>4.05</v>
      </c>
      <c r="Q347" s="1">
        <v>8</v>
      </c>
      <c r="R347" s="1" t="s">
        <v>605</v>
      </c>
      <c r="S347" s="1" t="s">
        <v>492</v>
      </c>
      <c r="T347" s="1" t="s">
        <v>137</v>
      </c>
      <c r="U347" s="1" t="s">
        <v>2540</v>
      </c>
      <c r="V347" s="1" t="s">
        <v>2540</v>
      </c>
      <c r="X347" s="1" t="s">
        <v>170</v>
      </c>
      <c r="Y347" s="1" t="s">
        <v>111</v>
      </c>
      <c r="Z347" s="1" t="s">
        <v>1659</v>
      </c>
      <c r="AB347" s="1">
        <v>0</v>
      </c>
      <c r="AD347" s="1" t="s">
        <v>5327</v>
      </c>
      <c r="AE347" s="1">
        <f>91-9725097143</f>
        <v>-9725097052</v>
      </c>
      <c r="AF347" s="1" t="s">
        <v>2541</v>
      </c>
      <c r="AG347" s="1" t="s">
        <v>5328</v>
      </c>
      <c r="AH347" s="1" t="s">
        <v>5329</v>
      </c>
      <c r="AI347" s="1" t="s">
        <v>862</v>
      </c>
      <c r="AJ347" s="1" t="s">
        <v>109</v>
      </c>
      <c r="AK347" s="1" t="s">
        <v>5330</v>
      </c>
      <c r="AL347" s="1">
        <v>40</v>
      </c>
      <c r="AM347" s="1" t="s">
        <v>2541</v>
      </c>
      <c r="AP347" s="1">
        <f>91-9558172100</f>
        <v>-9558172009</v>
      </c>
      <c r="AR347" s="1">
        <v>0</v>
      </c>
      <c r="AS347" s="1">
        <v>0</v>
      </c>
      <c r="AW347" s="1" t="s">
        <v>142</v>
      </c>
      <c r="AX347" s="1" t="s">
        <v>5331</v>
      </c>
      <c r="AY347" s="1" t="s">
        <v>150</v>
      </c>
      <c r="AZ347" s="1">
        <v>4.05</v>
      </c>
      <c r="BA347" s="1">
        <v>4.05</v>
      </c>
      <c r="BB347" s="1" t="s">
        <v>151</v>
      </c>
      <c r="BC347" s="1" t="s">
        <v>152</v>
      </c>
      <c r="BD347" s="1" t="s">
        <v>1395</v>
      </c>
      <c r="BE347" s="1" t="s">
        <v>492</v>
      </c>
      <c r="BF347" s="1" t="s">
        <v>120</v>
      </c>
      <c r="BG347" s="1" t="s">
        <v>2541</v>
      </c>
      <c r="BH347" s="1" t="s">
        <v>2541</v>
      </c>
      <c r="BI347" s="1" t="s">
        <v>132</v>
      </c>
      <c r="BL347" s="1">
        <v>0</v>
      </c>
      <c r="BM347" s="1">
        <v>1</v>
      </c>
      <c r="BN347" s="1" t="s">
        <v>5332</v>
      </c>
      <c r="BO347" s="1">
        <v>0</v>
      </c>
      <c r="BQ347" s="1" t="s">
        <v>180</v>
      </c>
      <c r="BR347" s="1">
        <v>0</v>
      </c>
      <c r="BS347" s="1" t="s">
        <v>123</v>
      </c>
      <c r="BT347" s="1" t="s">
        <v>124</v>
      </c>
      <c r="BV347" s="1" t="s">
        <v>112</v>
      </c>
      <c r="BW347" s="1" t="s">
        <v>5333</v>
      </c>
      <c r="BX347" s="1" t="s">
        <v>5334</v>
      </c>
      <c r="BY347" s="1" t="s">
        <v>120</v>
      </c>
      <c r="BZ347" s="1">
        <v>0</v>
      </c>
      <c r="CA347" s="1">
        <v>0</v>
      </c>
      <c r="CB347" s="4">
        <v>43514.078951701391</v>
      </c>
      <c r="CC347" s="1">
        <v>1</v>
      </c>
      <c r="CD347" s="1">
        <v>1</v>
      </c>
      <c r="CE347" s="1">
        <v>1</v>
      </c>
      <c r="CF347" s="1">
        <v>3</v>
      </c>
      <c r="CG347" s="4">
        <v>43514.078951701391</v>
      </c>
      <c r="CH347" s="1" t="s">
        <v>112</v>
      </c>
      <c r="CI347" s="1" t="s">
        <v>5335</v>
      </c>
      <c r="CJ347" s="1" t="s">
        <v>157</v>
      </c>
    </row>
    <row r="348" spans="1:88" x14ac:dyDescent="0.35">
      <c r="A348" s="1">
        <v>5130</v>
      </c>
      <c r="B348" s="1" t="s">
        <v>5336</v>
      </c>
      <c r="C348" s="1" t="s">
        <v>5337</v>
      </c>
      <c r="D348" s="1" t="s">
        <v>229</v>
      </c>
      <c r="E348" s="1" t="s">
        <v>5338</v>
      </c>
      <c r="F348" s="1" t="s">
        <v>5339</v>
      </c>
      <c r="G348" s="1">
        <v>1</v>
      </c>
      <c r="H348" s="3">
        <v>32715</v>
      </c>
      <c r="I348" s="1">
        <v>1</v>
      </c>
      <c r="J348" s="1" t="s">
        <v>162</v>
      </c>
      <c r="K348" s="1" t="s">
        <v>163</v>
      </c>
      <c r="L348" s="2">
        <f>91-8790450580</f>
        <v>-8790450489</v>
      </c>
      <c r="M348" s="1" t="s">
        <v>150</v>
      </c>
      <c r="N348" s="1">
        <v>0</v>
      </c>
      <c r="O348" s="1">
        <v>0</v>
      </c>
      <c r="P348" s="1">
        <v>5.1100000000000003</v>
      </c>
      <c r="Q348" s="1">
        <v>14</v>
      </c>
      <c r="R348" s="1" t="s">
        <v>164</v>
      </c>
      <c r="S348" s="1" t="s">
        <v>136</v>
      </c>
      <c r="T348" s="1" t="s">
        <v>341</v>
      </c>
      <c r="U348" s="1" t="s">
        <v>2540</v>
      </c>
      <c r="V348" s="1" t="s">
        <v>2540</v>
      </c>
      <c r="X348" s="1" t="s">
        <v>296</v>
      </c>
      <c r="Y348" s="1" t="s">
        <v>111</v>
      </c>
      <c r="Z348" s="1" t="s">
        <v>2483</v>
      </c>
      <c r="AB348" s="1">
        <v>0</v>
      </c>
      <c r="AD348" s="1" t="s">
        <v>5340</v>
      </c>
      <c r="AE348" s="1">
        <f>91-8790450580</f>
        <v>-8790450489</v>
      </c>
      <c r="AF348" s="1" t="s">
        <v>129</v>
      </c>
      <c r="AG348" s="1" t="s">
        <v>720</v>
      </c>
      <c r="AH348" s="1" t="s">
        <v>5341</v>
      </c>
      <c r="AI348" s="1" t="s">
        <v>5342</v>
      </c>
      <c r="AJ348" s="1" t="s">
        <v>109</v>
      </c>
      <c r="AK348" s="1" t="s">
        <v>5343</v>
      </c>
      <c r="AL348" s="1">
        <v>2</v>
      </c>
      <c r="AM348" s="1" t="s">
        <v>132</v>
      </c>
      <c r="AN348" s="1" t="s">
        <v>2439</v>
      </c>
      <c r="AO348" s="1" t="s">
        <v>5344</v>
      </c>
      <c r="AP348" s="1">
        <f>91-9427406795</f>
        <v>-9427406704</v>
      </c>
      <c r="AR348" s="1">
        <v>0</v>
      </c>
      <c r="AS348" s="1">
        <v>0</v>
      </c>
      <c r="AW348" s="1" t="s">
        <v>142</v>
      </c>
      <c r="AX348" s="1" t="s">
        <v>526</v>
      </c>
      <c r="AY348" s="1" t="s">
        <v>150</v>
      </c>
      <c r="AZ348" s="1">
        <v>5</v>
      </c>
      <c r="BA348" s="1">
        <v>6</v>
      </c>
      <c r="BB348" s="1" t="s">
        <v>151</v>
      </c>
      <c r="BC348" s="1" t="s">
        <v>304</v>
      </c>
      <c r="BD348" s="1" t="s">
        <v>1333</v>
      </c>
      <c r="BE348" s="1" t="s">
        <v>120</v>
      </c>
      <c r="BF348" s="1" t="s">
        <v>120</v>
      </c>
      <c r="BG348" s="1" t="s">
        <v>120</v>
      </c>
      <c r="BH348" s="1" t="s">
        <v>120</v>
      </c>
      <c r="BJ348" s="1" t="s">
        <v>120</v>
      </c>
      <c r="BK348" s="1" t="s">
        <v>120</v>
      </c>
      <c r="BL348" s="1">
        <v>0</v>
      </c>
      <c r="BM348" s="1">
        <v>0</v>
      </c>
      <c r="BN348" s="1" t="s">
        <v>5345</v>
      </c>
      <c r="BO348" s="1">
        <v>0</v>
      </c>
      <c r="BQ348" s="1" t="s">
        <v>180</v>
      </c>
      <c r="BR348" s="1">
        <v>0</v>
      </c>
      <c r="BS348" s="1" t="s">
        <v>596</v>
      </c>
      <c r="BT348" s="1" t="s">
        <v>306</v>
      </c>
      <c r="BV348" s="1" t="s">
        <v>112</v>
      </c>
      <c r="BW348" s="1" t="s">
        <v>5346</v>
      </c>
      <c r="BX348" s="1" t="s">
        <v>5347</v>
      </c>
      <c r="BY348" s="1" t="s">
        <v>465</v>
      </c>
      <c r="BZ348" s="1">
        <v>4</v>
      </c>
      <c r="CA348" s="1">
        <v>4</v>
      </c>
      <c r="CB348" s="4">
        <v>43526.125778738424</v>
      </c>
      <c r="CC348" s="1">
        <v>1</v>
      </c>
      <c r="CD348" s="1">
        <v>1</v>
      </c>
      <c r="CE348" s="1">
        <v>1</v>
      </c>
      <c r="CF348" s="1">
        <v>3</v>
      </c>
      <c r="CG348" s="4">
        <v>43541.527314733794</v>
      </c>
      <c r="CH348" s="1" t="s">
        <v>112</v>
      </c>
      <c r="CI348" s="1" t="s">
        <v>5348</v>
      </c>
      <c r="CJ348" s="1" t="s">
        <v>157</v>
      </c>
    </row>
    <row r="349" spans="1:88" x14ac:dyDescent="0.35">
      <c r="A349" s="1">
        <v>5132</v>
      </c>
      <c r="B349" s="1" t="s">
        <v>5349</v>
      </c>
      <c r="C349" s="1" t="s">
        <v>5350</v>
      </c>
      <c r="D349" s="1" t="s">
        <v>90</v>
      </c>
      <c r="E349" s="1" t="s">
        <v>134</v>
      </c>
      <c r="F349" s="1" t="s">
        <v>4629</v>
      </c>
      <c r="G349" s="1">
        <v>1</v>
      </c>
      <c r="H349" s="3">
        <v>35223</v>
      </c>
      <c r="I349" s="1">
        <v>1</v>
      </c>
      <c r="J349" s="1" t="s">
        <v>162</v>
      </c>
      <c r="K349" s="1" t="s">
        <v>291</v>
      </c>
      <c r="L349" s="2">
        <f>91-9106896012</f>
        <v>-9106895921</v>
      </c>
      <c r="M349" s="1" t="s">
        <v>150</v>
      </c>
      <c r="N349" s="1">
        <v>0</v>
      </c>
      <c r="O349" s="1">
        <v>0</v>
      </c>
      <c r="P349" s="1">
        <v>5.0599999999999996</v>
      </c>
      <c r="Q349" s="1">
        <v>12</v>
      </c>
      <c r="R349" s="1" t="s">
        <v>470</v>
      </c>
      <c r="S349" s="1" t="s">
        <v>1914</v>
      </c>
      <c r="T349" s="1" t="s">
        <v>1915</v>
      </c>
      <c r="U349" s="1" t="s">
        <v>2134</v>
      </c>
      <c r="V349" s="1" t="s">
        <v>5351</v>
      </c>
      <c r="X349" s="1" t="s">
        <v>170</v>
      </c>
      <c r="Y349" s="1" t="s">
        <v>268</v>
      </c>
      <c r="Z349" s="1" t="s">
        <v>1917</v>
      </c>
      <c r="AA349" s="1" t="s">
        <v>5352</v>
      </c>
      <c r="AB349" s="1">
        <v>0</v>
      </c>
      <c r="AD349" s="1" t="s">
        <v>5353</v>
      </c>
      <c r="AE349" s="1">
        <f>91-9106896012</f>
        <v>-9106895921</v>
      </c>
      <c r="AF349" s="1" t="s">
        <v>129</v>
      </c>
      <c r="AG349" s="1" t="s">
        <v>5354</v>
      </c>
      <c r="AH349" s="1" t="s">
        <v>5355</v>
      </c>
      <c r="AI349" s="1" t="s">
        <v>5356</v>
      </c>
      <c r="AJ349" s="1" t="s">
        <v>109</v>
      </c>
      <c r="AK349" s="1" t="s">
        <v>5357</v>
      </c>
      <c r="AL349" s="1">
        <v>16</v>
      </c>
      <c r="AM349" s="1" t="s">
        <v>111</v>
      </c>
      <c r="AO349" s="1" t="s">
        <v>5358</v>
      </c>
      <c r="AP349" s="1">
        <f>91-9824085617</f>
        <v>-9824085526</v>
      </c>
      <c r="AQ349" s="1" t="s">
        <v>565</v>
      </c>
      <c r="AR349" s="1">
        <v>1</v>
      </c>
      <c r="AS349" s="1">
        <v>1</v>
      </c>
      <c r="AW349" s="1" t="s">
        <v>142</v>
      </c>
      <c r="AX349" s="1" t="s">
        <v>3418</v>
      </c>
      <c r="AY349" s="1" t="s">
        <v>150</v>
      </c>
      <c r="AZ349" s="1">
        <v>5.03</v>
      </c>
      <c r="BA349" s="1">
        <v>5.0599999999999996</v>
      </c>
      <c r="BB349" s="1" t="s">
        <v>151</v>
      </c>
      <c r="BC349" s="1" t="s">
        <v>304</v>
      </c>
      <c r="BD349" s="1" t="s">
        <v>1333</v>
      </c>
      <c r="BE349" s="1" t="s">
        <v>120</v>
      </c>
      <c r="BF349" s="1" t="s">
        <v>120</v>
      </c>
      <c r="BG349" s="1" t="s">
        <v>170</v>
      </c>
      <c r="BH349" s="1" t="s">
        <v>120</v>
      </c>
      <c r="BJ349" s="1" t="s">
        <v>120</v>
      </c>
      <c r="BK349" s="1" t="s">
        <v>120</v>
      </c>
      <c r="BL349" s="1">
        <v>0</v>
      </c>
      <c r="BM349" s="1">
        <v>1</v>
      </c>
      <c r="BN349" s="1" t="s">
        <v>5359</v>
      </c>
      <c r="BO349" s="1">
        <v>1</v>
      </c>
      <c r="BP349" s="1" t="s">
        <v>5360</v>
      </c>
      <c r="BQ349" s="1" t="s">
        <v>112</v>
      </c>
      <c r="BR349" s="1">
        <v>0</v>
      </c>
      <c r="BS349" s="1" t="s">
        <v>307</v>
      </c>
      <c r="BT349" s="1" t="s">
        <v>124</v>
      </c>
      <c r="BU349" s="1" t="s">
        <v>112</v>
      </c>
      <c r="BV349" s="1" t="s">
        <v>112</v>
      </c>
      <c r="BW349" s="1" t="s">
        <v>5361</v>
      </c>
      <c r="BX349" s="1" t="s">
        <v>5362</v>
      </c>
      <c r="BY349" s="1" t="s">
        <v>120</v>
      </c>
      <c r="BZ349" s="1">
        <v>1</v>
      </c>
      <c r="CA349" s="1">
        <v>1</v>
      </c>
      <c r="CB349" s="4">
        <v>43527.083168321762</v>
      </c>
      <c r="CC349" s="1">
        <v>1</v>
      </c>
      <c r="CD349" s="1">
        <v>1</v>
      </c>
      <c r="CE349" s="1">
        <v>1</v>
      </c>
      <c r="CF349" s="1">
        <v>3</v>
      </c>
      <c r="CG349" s="4">
        <v>43528.591082094907</v>
      </c>
      <c r="CH349" s="1" t="s">
        <v>112</v>
      </c>
      <c r="CI349" s="1" t="s">
        <v>1531</v>
      </c>
      <c r="CJ349" s="1" t="s">
        <v>157</v>
      </c>
    </row>
    <row r="350" spans="1:88" x14ac:dyDescent="0.35">
      <c r="A350" s="1">
        <v>5133</v>
      </c>
      <c r="B350" s="1" t="s">
        <v>5363</v>
      </c>
      <c r="C350" s="1" t="s">
        <v>601</v>
      </c>
      <c r="D350" s="1" t="s">
        <v>229</v>
      </c>
      <c r="E350" s="1" t="s">
        <v>3073</v>
      </c>
      <c r="F350" s="1" t="s">
        <v>1473</v>
      </c>
      <c r="G350" s="1">
        <v>1</v>
      </c>
      <c r="H350" s="3">
        <v>34231</v>
      </c>
      <c r="I350" s="1">
        <v>1</v>
      </c>
      <c r="J350" s="1" t="s">
        <v>162</v>
      </c>
      <c r="K350" s="1" t="s">
        <v>921</v>
      </c>
      <c r="L350" s="2">
        <f>91-9979394901</f>
        <v>-9979394810</v>
      </c>
      <c r="M350" s="1" t="s">
        <v>150</v>
      </c>
      <c r="N350" s="1">
        <v>0</v>
      </c>
      <c r="O350" s="1">
        <v>0</v>
      </c>
      <c r="P350" s="1">
        <v>5.05</v>
      </c>
      <c r="Q350" s="1">
        <v>54</v>
      </c>
      <c r="R350" s="1" t="s">
        <v>1131</v>
      </c>
      <c r="S350" s="1" t="s">
        <v>97</v>
      </c>
      <c r="T350" s="1" t="s">
        <v>1430</v>
      </c>
      <c r="U350" s="1" t="s">
        <v>5364</v>
      </c>
      <c r="V350" s="1" t="s">
        <v>2540</v>
      </c>
      <c r="W350" s="1" t="s">
        <v>209</v>
      </c>
      <c r="X350" s="1" t="s">
        <v>170</v>
      </c>
      <c r="Y350" s="1" t="s">
        <v>101</v>
      </c>
      <c r="Z350" s="1" t="s">
        <v>5365</v>
      </c>
      <c r="AB350" s="1">
        <v>0</v>
      </c>
      <c r="AD350" s="1" t="s">
        <v>5366</v>
      </c>
      <c r="AE350" s="1">
        <f>91-8141999899</f>
        <v>-8141999808</v>
      </c>
      <c r="AF350" s="1" t="s">
        <v>143</v>
      </c>
      <c r="AG350" s="1" t="s">
        <v>5367</v>
      </c>
      <c r="AH350" s="1" t="s">
        <v>5368</v>
      </c>
      <c r="AI350" s="1" t="s">
        <v>5369</v>
      </c>
      <c r="AJ350" s="1" t="s">
        <v>109</v>
      </c>
      <c r="AK350" s="1" t="s">
        <v>5370</v>
      </c>
      <c r="AL350" s="1">
        <v>25</v>
      </c>
      <c r="AM350" s="1" t="s">
        <v>111</v>
      </c>
      <c r="AO350" s="1" t="s">
        <v>5371</v>
      </c>
      <c r="AP350" s="1">
        <f>91-9426140771</f>
        <v>-9426140680</v>
      </c>
      <c r="AR350" s="1">
        <v>1</v>
      </c>
      <c r="AS350" s="1">
        <v>1</v>
      </c>
      <c r="AW350" s="1" t="s">
        <v>142</v>
      </c>
      <c r="AX350" s="1" t="s">
        <v>1704</v>
      </c>
      <c r="AY350" s="1" t="s">
        <v>150</v>
      </c>
      <c r="AZ350" s="1">
        <v>4.05</v>
      </c>
      <c r="BA350" s="1">
        <v>6</v>
      </c>
      <c r="BB350" s="1" t="s">
        <v>151</v>
      </c>
      <c r="BC350" s="1" t="s">
        <v>304</v>
      </c>
      <c r="BD350" s="1" t="s">
        <v>1333</v>
      </c>
      <c r="BE350" s="1" t="s">
        <v>870</v>
      </c>
      <c r="BF350" s="1" t="s">
        <v>120</v>
      </c>
      <c r="BG350" s="1" t="s">
        <v>120</v>
      </c>
      <c r="BH350" s="1" t="s">
        <v>5372</v>
      </c>
      <c r="BJ350" s="1" t="s">
        <v>120</v>
      </c>
      <c r="BK350" s="1" t="s">
        <v>120</v>
      </c>
      <c r="BL350" s="1">
        <v>0</v>
      </c>
      <c r="BM350" s="1">
        <v>0</v>
      </c>
      <c r="BN350" s="1" t="s">
        <v>5373</v>
      </c>
      <c r="BO350" s="1">
        <v>1</v>
      </c>
      <c r="BP350" s="1" t="s">
        <v>921</v>
      </c>
      <c r="BQ350" s="1" t="s">
        <v>180</v>
      </c>
      <c r="BR350" s="1">
        <v>0</v>
      </c>
      <c r="BS350" s="1" t="s">
        <v>787</v>
      </c>
      <c r="BT350" s="1" t="s">
        <v>306</v>
      </c>
      <c r="BV350" s="1" t="s">
        <v>112</v>
      </c>
      <c r="BW350" s="1" t="s">
        <v>5374</v>
      </c>
      <c r="BX350" s="1" t="s">
        <v>5375</v>
      </c>
      <c r="BY350" s="1" t="s">
        <v>120</v>
      </c>
      <c r="BZ350" s="1">
        <v>1</v>
      </c>
      <c r="CA350" s="1">
        <v>1</v>
      </c>
      <c r="CB350" s="4">
        <v>43530.439339699071</v>
      </c>
      <c r="CC350" s="1">
        <v>1</v>
      </c>
      <c r="CD350" s="1">
        <v>1</v>
      </c>
      <c r="CE350" s="1">
        <v>1</v>
      </c>
      <c r="CF350" s="1">
        <v>1</v>
      </c>
      <c r="CG350" s="4">
        <v>43779.784933761577</v>
      </c>
      <c r="CH350" s="1" t="s">
        <v>112</v>
      </c>
      <c r="CI350" s="1" t="s">
        <v>2553</v>
      </c>
      <c r="CJ350" s="1" t="s">
        <v>157</v>
      </c>
    </row>
    <row r="351" spans="1:88" x14ac:dyDescent="0.35">
      <c r="A351" s="1">
        <v>5135</v>
      </c>
      <c r="B351" s="1" t="s">
        <v>5376</v>
      </c>
      <c r="C351" s="1" t="s">
        <v>5377</v>
      </c>
      <c r="D351" s="1" t="s">
        <v>132</v>
      </c>
      <c r="E351" s="1" t="s">
        <v>5378</v>
      </c>
      <c r="F351" s="1" t="s">
        <v>581</v>
      </c>
      <c r="G351" s="1">
        <v>1</v>
      </c>
      <c r="H351" s="3">
        <v>34873</v>
      </c>
      <c r="I351" s="1">
        <v>1</v>
      </c>
      <c r="J351" s="1" t="s">
        <v>162</v>
      </c>
      <c r="K351" s="1" t="s">
        <v>847</v>
      </c>
      <c r="L351" s="2">
        <f>91-9427211027</f>
        <v>-9427210936</v>
      </c>
      <c r="M351" s="1" t="s">
        <v>150</v>
      </c>
      <c r="N351" s="1">
        <v>0</v>
      </c>
      <c r="O351" s="1">
        <v>0</v>
      </c>
      <c r="P351" s="1">
        <v>5.05</v>
      </c>
      <c r="Q351" s="1">
        <v>43</v>
      </c>
      <c r="R351" s="1" t="s">
        <v>188</v>
      </c>
      <c r="S351" s="1" t="s">
        <v>233</v>
      </c>
      <c r="T351" s="1" t="s">
        <v>471</v>
      </c>
      <c r="U351" s="1" t="s">
        <v>2540</v>
      </c>
      <c r="V351" s="1" t="s">
        <v>2540</v>
      </c>
      <c r="X351" s="1" t="s">
        <v>296</v>
      </c>
      <c r="Y351" s="1" t="s">
        <v>111</v>
      </c>
      <c r="Z351" s="1" t="s">
        <v>1868</v>
      </c>
      <c r="AB351" s="1">
        <v>0</v>
      </c>
      <c r="AD351" s="1" t="s">
        <v>5379</v>
      </c>
      <c r="AE351" s="1">
        <f>91-9687550475</f>
        <v>-9687550384</v>
      </c>
      <c r="AF351" s="1" t="s">
        <v>2541</v>
      </c>
      <c r="AG351" s="1" t="s">
        <v>719</v>
      </c>
      <c r="AH351" s="1" t="s">
        <v>2338</v>
      </c>
      <c r="AI351" s="1" t="s">
        <v>3942</v>
      </c>
      <c r="AJ351" s="1" t="s">
        <v>109</v>
      </c>
      <c r="AK351" s="1" t="s">
        <v>5380</v>
      </c>
      <c r="AL351" s="1">
        <v>14</v>
      </c>
      <c r="AM351" s="1" t="s">
        <v>2541</v>
      </c>
      <c r="AP351" s="1">
        <f>91-9979253580</f>
        <v>-9979253489</v>
      </c>
      <c r="AR351" s="1">
        <v>0</v>
      </c>
      <c r="AS351" s="1">
        <v>0</v>
      </c>
      <c r="AW351" s="1" t="s">
        <v>142</v>
      </c>
      <c r="AX351" s="1" t="s">
        <v>1223</v>
      </c>
      <c r="AY351" s="1" t="s">
        <v>150</v>
      </c>
      <c r="AZ351" s="1">
        <v>4.05</v>
      </c>
      <c r="BA351" s="1">
        <v>4.05</v>
      </c>
      <c r="BB351" s="1" t="s">
        <v>151</v>
      </c>
      <c r="BC351" s="1" t="s">
        <v>152</v>
      </c>
      <c r="BD351" s="1" t="s">
        <v>1395</v>
      </c>
      <c r="BE351" s="1" t="s">
        <v>233</v>
      </c>
      <c r="BF351" s="1" t="s">
        <v>120</v>
      </c>
      <c r="BG351" s="1" t="s">
        <v>2541</v>
      </c>
      <c r="BH351" s="1" t="s">
        <v>2541</v>
      </c>
      <c r="BI351" s="1" t="s">
        <v>1868</v>
      </c>
      <c r="BL351" s="1">
        <v>0</v>
      </c>
      <c r="BM351" s="1">
        <v>0</v>
      </c>
      <c r="BN351" s="1" t="s">
        <v>5381</v>
      </c>
      <c r="BO351" s="1">
        <v>0</v>
      </c>
      <c r="BQ351" s="1" t="s">
        <v>180</v>
      </c>
      <c r="BR351" s="1">
        <v>0</v>
      </c>
      <c r="BS351" s="1" t="s">
        <v>596</v>
      </c>
      <c r="BT351" s="1" t="s">
        <v>120</v>
      </c>
      <c r="BV351" s="1" t="s">
        <v>112</v>
      </c>
      <c r="BW351" s="1" t="s">
        <v>5382</v>
      </c>
      <c r="BX351" s="1" t="s">
        <v>5383</v>
      </c>
      <c r="BY351" s="1" t="s">
        <v>120</v>
      </c>
      <c r="BZ351" s="1">
        <v>0</v>
      </c>
      <c r="CA351" s="1">
        <v>0</v>
      </c>
      <c r="CB351" s="4">
        <v>43534.209118252315</v>
      </c>
      <c r="CC351" s="1">
        <v>1</v>
      </c>
      <c r="CD351" s="1">
        <v>1</v>
      </c>
      <c r="CE351" s="1">
        <v>1</v>
      </c>
      <c r="CF351" s="1">
        <v>1</v>
      </c>
      <c r="CG351" s="4">
        <v>43865.455487037034</v>
      </c>
      <c r="CH351" s="1" t="s">
        <v>112</v>
      </c>
      <c r="CI351" s="1" t="s">
        <v>287</v>
      </c>
      <c r="CJ351" s="1" t="s">
        <v>157</v>
      </c>
    </row>
    <row r="352" spans="1:88" x14ac:dyDescent="0.35">
      <c r="A352" s="1">
        <v>5138</v>
      </c>
      <c r="B352" s="1" t="s">
        <v>5384</v>
      </c>
      <c r="C352" s="1" t="s">
        <v>5385</v>
      </c>
      <c r="D352" s="1" t="s">
        <v>312</v>
      </c>
      <c r="E352" s="1" t="s">
        <v>2994</v>
      </c>
      <c r="F352" s="1" t="s">
        <v>5034</v>
      </c>
      <c r="G352" s="1">
        <v>1</v>
      </c>
      <c r="H352" s="3">
        <v>32485</v>
      </c>
      <c r="I352" s="1">
        <v>1</v>
      </c>
      <c r="J352" s="1" t="s">
        <v>93</v>
      </c>
      <c r="K352" s="1" t="s">
        <v>94</v>
      </c>
      <c r="L352" s="2">
        <f>91-8446189195</f>
        <v>-8446189104</v>
      </c>
      <c r="M352" s="1" t="s">
        <v>95</v>
      </c>
      <c r="N352" s="1">
        <v>1</v>
      </c>
      <c r="O352" s="1">
        <v>2</v>
      </c>
      <c r="P352" s="1">
        <v>5.0599999999999996</v>
      </c>
      <c r="Q352" s="1">
        <v>51</v>
      </c>
      <c r="R352" s="1" t="s">
        <v>2053</v>
      </c>
      <c r="S352" s="1" t="s">
        <v>97</v>
      </c>
      <c r="T352" s="1" t="s">
        <v>341</v>
      </c>
      <c r="U352" s="1" t="s">
        <v>2540</v>
      </c>
      <c r="V352" s="1" t="s">
        <v>2540</v>
      </c>
      <c r="X352" s="1" t="s">
        <v>5386</v>
      </c>
      <c r="Y352" s="1" t="s">
        <v>210</v>
      </c>
      <c r="Z352" s="1" t="s">
        <v>5387</v>
      </c>
      <c r="AB352" s="1">
        <v>0</v>
      </c>
      <c r="AD352" s="1" t="s">
        <v>5388</v>
      </c>
      <c r="AE352" s="1">
        <f>91-8390615995</f>
        <v>-8390615904</v>
      </c>
      <c r="AF352" s="1" t="s">
        <v>2541</v>
      </c>
      <c r="AG352" s="1" t="s">
        <v>5389</v>
      </c>
      <c r="AH352" s="1" t="s">
        <v>5390</v>
      </c>
      <c r="AI352" s="1" t="s">
        <v>1503</v>
      </c>
      <c r="AJ352" s="1" t="s">
        <v>109</v>
      </c>
      <c r="AK352" s="1" t="s">
        <v>5391</v>
      </c>
      <c r="AL352" s="1">
        <v>4</v>
      </c>
      <c r="AM352" s="1" t="s">
        <v>2541</v>
      </c>
      <c r="AP352" s="1">
        <f>91-9323377842</f>
        <v>-9323377751</v>
      </c>
      <c r="AR352" s="1">
        <v>0</v>
      </c>
      <c r="AS352" s="1">
        <v>0</v>
      </c>
      <c r="AW352" s="1" t="s">
        <v>142</v>
      </c>
      <c r="AX352" s="1" t="s">
        <v>3095</v>
      </c>
      <c r="AY352" s="1" t="s">
        <v>1332</v>
      </c>
      <c r="AZ352" s="1">
        <v>5</v>
      </c>
      <c r="BA352" s="1">
        <v>5.0599999999999996</v>
      </c>
      <c r="BB352" s="1" t="s">
        <v>151</v>
      </c>
      <c r="BC352" s="1" t="s">
        <v>152</v>
      </c>
      <c r="BD352" s="1" t="s">
        <v>1395</v>
      </c>
      <c r="BE352" s="1" t="s">
        <v>2260</v>
      </c>
      <c r="BF352" s="1" t="s">
        <v>120</v>
      </c>
      <c r="BG352" s="1" t="s">
        <v>2541</v>
      </c>
      <c r="BH352" s="1" t="s">
        <v>2541</v>
      </c>
      <c r="BI352" s="1" t="s">
        <v>132</v>
      </c>
      <c r="BL352" s="1">
        <v>0</v>
      </c>
      <c r="BM352" s="1">
        <v>0</v>
      </c>
      <c r="BN352" s="1" t="s">
        <v>5392</v>
      </c>
      <c r="BO352" s="1">
        <v>0</v>
      </c>
      <c r="BQ352" s="1" t="s">
        <v>180</v>
      </c>
      <c r="BR352" s="1">
        <v>0</v>
      </c>
      <c r="BS352" s="1" t="s">
        <v>376</v>
      </c>
      <c r="BT352" s="1" t="s">
        <v>124</v>
      </c>
      <c r="BV352" s="1" t="s">
        <v>112</v>
      </c>
      <c r="BW352" s="1" t="s">
        <v>5393</v>
      </c>
      <c r="BX352" s="1" t="s">
        <v>5394</v>
      </c>
      <c r="BY352" s="1" t="s">
        <v>120</v>
      </c>
      <c r="BZ352" s="1">
        <v>0</v>
      </c>
      <c r="CA352" s="1">
        <v>0</v>
      </c>
      <c r="CB352" s="4">
        <v>43541.414260914353</v>
      </c>
      <c r="CC352" s="1">
        <v>1</v>
      </c>
      <c r="CD352" s="1">
        <v>1</v>
      </c>
      <c r="CE352" s="1">
        <v>1</v>
      </c>
      <c r="CF352" s="1">
        <v>1</v>
      </c>
      <c r="CG352" s="4">
        <v>43541.414260914353</v>
      </c>
      <c r="CH352" s="1" t="s">
        <v>112</v>
      </c>
      <c r="CI352" s="1" t="s">
        <v>5395</v>
      </c>
      <c r="CJ352" s="1" t="s">
        <v>157</v>
      </c>
    </row>
    <row r="353" spans="1:88" x14ac:dyDescent="0.35">
      <c r="A353" s="1">
        <v>5143</v>
      </c>
      <c r="B353" s="1" t="s">
        <v>5396</v>
      </c>
      <c r="C353" s="1" t="s">
        <v>5397</v>
      </c>
      <c r="D353" s="1" t="s">
        <v>90</v>
      </c>
      <c r="E353" s="1" t="s">
        <v>5398</v>
      </c>
      <c r="F353" s="1" t="s">
        <v>581</v>
      </c>
      <c r="G353" s="1">
        <v>1</v>
      </c>
      <c r="H353" s="3">
        <v>34385</v>
      </c>
      <c r="I353" s="1">
        <v>1</v>
      </c>
      <c r="J353" s="1" t="s">
        <v>93</v>
      </c>
      <c r="K353" s="1" t="s">
        <v>5399</v>
      </c>
      <c r="L353" s="2">
        <f>91-8625020088</f>
        <v>-8625019997</v>
      </c>
      <c r="M353" s="1" t="s">
        <v>150</v>
      </c>
      <c r="N353" s="1">
        <v>0</v>
      </c>
      <c r="O353" s="1">
        <v>0</v>
      </c>
      <c r="P353" s="1">
        <v>5.07</v>
      </c>
      <c r="Q353" s="1">
        <v>43</v>
      </c>
      <c r="R353" s="1" t="s">
        <v>188</v>
      </c>
      <c r="S353" s="1" t="s">
        <v>97</v>
      </c>
      <c r="T353" s="1" t="s">
        <v>137</v>
      </c>
      <c r="U353" s="1" t="s">
        <v>2540</v>
      </c>
      <c r="V353" s="1" t="s">
        <v>2540</v>
      </c>
      <c r="X353" s="1" t="s">
        <v>3269</v>
      </c>
      <c r="Y353" s="1" t="s">
        <v>111</v>
      </c>
      <c r="Z353" s="1" t="s">
        <v>5400</v>
      </c>
      <c r="AB353" s="1">
        <v>0</v>
      </c>
      <c r="AD353" s="1" t="s">
        <v>5401</v>
      </c>
      <c r="AE353" s="1" t="s">
        <v>142</v>
      </c>
      <c r="AF353" s="1" t="s">
        <v>129</v>
      </c>
      <c r="AG353" s="1" t="s">
        <v>1717</v>
      </c>
      <c r="AH353" s="1" t="s">
        <v>5402</v>
      </c>
      <c r="AI353" s="1" t="s">
        <v>5403</v>
      </c>
      <c r="AJ353" s="1" t="s">
        <v>109</v>
      </c>
      <c r="AK353" s="1" t="s">
        <v>5404</v>
      </c>
      <c r="AL353" s="1">
        <v>3</v>
      </c>
      <c r="AM353" s="1" t="s">
        <v>129</v>
      </c>
      <c r="AP353" s="1">
        <f>91-9420674716</f>
        <v>-9420674625</v>
      </c>
      <c r="AR353" s="1">
        <v>1</v>
      </c>
      <c r="AS353" s="1">
        <v>1</v>
      </c>
      <c r="AW353" s="1" t="s">
        <v>142</v>
      </c>
      <c r="AX353" s="1" t="s">
        <v>414</v>
      </c>
      <c r="AY353" s="1" t="s">
        <v>150</v>
      </c>
      <c r="AZ353" s="1">
        <v>4</v>
      </c>
      <c r="BA353" s="1">
        <v>5.07</v>
      </c>
      <c r="BB353" s="1" t="s">
        <v>151</v>
      </c>
      <c r="BC353" s="1" t="s">
        <v>152</v>
      </c>
      <c r="BD353" s="1" t="s">
        <v>1395</v>
      </c>
      <c r="BE353" s="1" t="s">
        <v>120</v>
      </c>
      <c r="BF353" s="1" t="s">
        <v>120</v>
      </c>
      <c r="BG353" s="1" t="s">
        <v>2541</v>
      </c>
      <c r="BH353" s="1" t="s">
        <v>2541</v>
      </c>
      <c r="BI353" s="1" t="s">
        <v>132</v>
      </c>
      <c r="BL353" s="1">
        <v>0</v>
      </c>
      <c r="BM353" s="1">
        <v>0</v>
      </c>
      <c r="BN353" s="1" t="s">
        <v>5405</v>
      </c>
      <c r="BO353" s="1">
        <v>0</v>
      </c>
      <c r="BQ353" s="1" t="s">
        <v>180</v>
      </c>
      <c r="BR353" s="1">
        <v>0</v>
      </c>
      <c r="BS353" s="1" t="s">
        <v>334</v>
      </c>
      <c r="BT353" s="1" t="s">
        <v>306</v>
      </c>
      <c r="BV353" s="1" t="s">
        <v>112</v>
      </c>
      <c r="BY353" s="1" t="s">
        <v>120</v>
      </c>
      <c r="BZ353" s="1">
        <v>1</v>
      </c>
      <c r="CA353" s="1">
        <v>1</v>
      </c>
      <c r="CB353" s="4">
        <v>43553.382067013888</v>
      </c>
      <c r="CC353" s="1">
        <v>1</v>
      </c>
      <c r="CD353" s="1">
        <v>1</v>
      </c>
      <c r="CE353" s="1">
        <v>0</v>
      </c>
      <c r="CF353" s="1">
        <v>0</v>
      </c>
      <c r="CG353" s="4">
        <v>43557.258947685186</v>
      </c>
      <c r="CH353" s="1" t="s">
        <v>112</v>
      </c>
      <c r="CI353" s="1" t="s">
        <v>2856</v>
      </c>
      <c r="CJ353" s="1" t="s">
        <v>157</v>
      </c>
    </row>
    <row r="354" spans="1:88" x14ac:dyDescent="0.35">
      <c r="A354" s="1">
        <v>5144</v>
      </c>
      <c r="B354" s="1" t="s">
        <v>5406</v>
      </c>
      <c r="C354" s="1" t="s">
        <v>5407</v>
      </c>
      <c r="D354" s="1" t="s">
        <v>312</v>
      </c>
      <c r="E354" s="1" t="s">
        <v>382</v>
      </c>
      <c r="F354" s="1" t="s">
        <v>134</v>
      </c>
      <c r="G354" s="1">
        <v>1</v>
      </c>
      <c r="H354" s="3">
        <v>33340</v>
      </c>
      <c r="I354" s="1">
        <v>1</v>
      </c>
      <c r="J354" s="1" t="s">
        <v>186</v>
      </c>
      <c r="K354" s="1" t="s">
        <v>933</v>
      </c>
      <c r="L354" s="2">
        <f>91-9098022132</f>
        <v>-9098022041</v>
      </c>
      <c r="M354" s="1" t="s">
        <v>150</v>
      </c>
      <c r="N354" s="1">
        <v>0</v>
      </c>
      <c r="O354" s="1">
        <v>0</v>
      </c>
      <c r="P354" s="1">
        <v>5.0999999999999996</v>
      </c>
      <c r="Q354" s="1">
        <v>40</v>
      </c>
      <c r="S354" s="1" t="s">
        <v>97</v>
      </c>
      <c r="T354" s="1" t="s">
        <v>427</v>
      </c>
      <c r="U354" s="1" t="s">
        <v>3513</v>
      </c>
      <c r="V354" s="1" t="s">
        <v>5408</v>
      </c>
      <c r="W354" s="1" t="s">
        <v>198</v>
      </c>
      <c r="X354" s="1" t="s">
        <v>100</v>
      </c>
      <c r="Y354" s="1" t="s">
        <v>111</v>
      </c>
      <c r="Z354" s="1" t="s">
        <v>450</v>
      </c>
      <c r="AA354" s="1" t="s">
        <v>5409</v>
      </c>
      <c r="AB354" s="1">
        <v>0</v>
      </c>
      <c r="AD354" s="1" t="s">
        <v>5410</v>
      </c>
      <c r="AE354" s="1">
        <f>91-9424706546</f>
        <v>-9424706455</v>
      </c>
      <c r="AF354" s="1" t="s">
        <v>143</v>
      </c>
      <c r="AG354" s="1" t="s">
        <v>5411</v>
      </c>
      <c r="AH354" s="1" t="s">
        <v>5412</v>
      </c>
      <c r="AI354" s="1" t="s">
        <v>5413</v>
      </c>
      <c r="AJ354" s="1" t="s">
        <v>109</v>
      </c>
      <c r="AK354" s="1" t="s">
        <v>5414</v>
      </c>
      <c r="AL354" s="1">
        <v>40</v>
      </c>
      <c r="AM354" s="1" t="s">
        <v>111</v>
      </c>
      <c r="AO354" s="1" t="s">
        <v>5415</v>
      </c>
      <c r="AP354" s="1">
        <f>91-9424706546</f>
        <v>-9424706455</v>
      </c>
      <c r="AR354" s="1">
        <v>0</v>
      </c>
      <c r="AS354" s="1">
        <v>0</v>
      </c>
      <c r="AW354" s="1" t="s">
        <v>142</v>
      </c>
      <c r="AX354" s="1" t="s">
        <v>1120</v>
      </c>
      <c r="AY354" s="1" t="s">
        <v>150</v>
      </c>
      <c r="AZ354" s="1">
        <v>5.04</v>
      </c>
      <c r="BA354" s="1">
        <v>5.07</v>
      </c>
      <c r="BE354" s="1" t="s">
        <v>97</v>
      </c>
      <c r="BG354" s="1" t="s">
        <v>120</v>
      </c>
      <c r="BH354" s="1" t="s">
        <v>120</v>
      </c>
      <c r="BJ354" s="1" t="s">
        <v>120</v>
      </c>
      <c r="BK354" s="1" t="s">
        <v>120</v>
      </c>
      <c r="BL354" s="1">
        <v>0</v>
      </c>
      <c r="BM354" s="1">
        <v>0</v>
      </c>
      <c r="BN354" s="1" t="s">
        <v>5416</v>
      </c>
      <c r="BO354" s="1">
        <v>1</v>
      </c>
      <c r="BP354" s="1" t="s">
        <v>5417</v>
      </c>
      <c r="BQ354" s="1" t="s">
        <v>112</v>
      </c>
      <c r="BR354" s="1">
        <v>0</v>
      </c>
      <c r="BS354" s="1" t="s">
        <v>399</v>
      </c>
      <c r="BT354" s="1" t="s">
        <v>124</v>
      </c>
      <c r="BU354" s="1" t="s">
        <v>5418</v>
      </c>
      <c r="BV354" s="1" t="s">
        <v>112</v>
      </c>
      <c r="BW354" s="1" t="s">
        <v>5419</v>
      </c>
      <c r="BX354" s="1" t="s">
        <v>5420</v>
      </c>
      <c r="BY354" s="1" t="s">
        <v>127</v>
      </c>
      <c r="BZ354" s="1">
        <v>2</v>
      </c>
      <c r="CA354" s="1">
        <v>2</v>
      </c>
      <c r="CB354" s="4">
        <v>43554.116966631947</v>
      </c>
      <c r="CC354" s="1">
        <v>1</v>
      </c>
      <c r="CD354" s="1">
        <v>1</v>
      </c>
      <c r="CE354" s="1">
        <v>1</v>
      </c>
      <c r="CF354" s="1">
        <v>1</v>
      </c>
      <c r="CG354" s="4">
        <v>43557.23866091435</v>
      </c>
      <c r="CH354" s="1" t="s">
        <v>112</v>
      </c>
      <c r="CI354" s="1" t="s">
        <v>5421</v>
      </c>
      <c r="CJ354" s="1" t="s">
        <v>129</v>
      </c>
    </row>
    <row r="355" spans="1:88" x14ac:dyDescent="0.35">
      <c r="A355" s="1">
        <v>5155</v>
      </c>
      <c r="B355" s="1" t="s">
        <v>5422</v>
      </c>
      <c r="C355" s="1" t="s">
        <v>5423</v>
      </c>
      <c r="D355" s="1" t="s">
        <v>90</v>
      </c>
      <c r="E355" s="1" t="s">
        <v>5424</v>
      </c>
      <c r="F355" s="1" t="s">
        <v>534</v>
      </c>
      <c r="G355" s="1">
        <v>1</v>
      </c>
      <c r="H355" s="3">
        <v>29052</v>
      </c>
      <c r="I355" s="1">
        <v>1</v>
      </c>
      <c r="J355" s="1" t="s">
        <v>93</v>
      </c>
      <c r="K355" s="1" t="s">
        <v>1913</v>
      </c>
      <c r="L355" s="2">
        <f>91-9970130100</f>
        <v>-9970130009</v>
      </c>
      <c r="M355" s="1" t="s">
        <v>95</v>
      </c>
      <c r="N355" s="1">
        <v>1</v>
      </c>
      <c r="O355" s="1">
        <v>0</v>
      </c>
      <c r="P355" s="1">
        <v>5.09</v>
      </c>
      <c r="Q355" s="1">
        <v>16</v>
      </c>
      <c r="R355" s="1" t="s">
        <v>535</v>
      </c>
      <c r="S355" s="1" t="s">
        <v>97</v>
      </c>
      <c r="T355" s="1" t="s">
        <v>137</v>
      </c>
      <c r="U355" s="1" t="s">
        <v>3753</v>
      </c>
      <c r="V355" s="1" t="s">
        <v>5425</v>
      </c>
      <c r="X355" s="1" t="s">
        <v>100</v>
      </c>
      <c r="Y355" s="1" t="s">
        <v>111</v>
      </c>
      <c r="Z355" s="1" t="s">
        <v>192</v>
      </c>
      <c r="AA355" s="1" t="s">
        <v>5426</v>
      </c>
      <c r="AB355" s="1">
        <v>0</v>
      </c>
      <c r="AD355" s="1" t="s">
        <v>5427</v>
      </c>
      <c r="AE355" s="1">
        <f>91-9850269770</f>
        <v>-9850269679</v>
      </c>
      <c r="AF355" s="1" t="s">
        <v>105</v>
      </c>
      <c r="AG355" s="1" t="s">
        <v>5428</v>
      </c>
      <c r="AH355" s="1" t="s">
        <v>5429</v>
      </c>
      <c r="AI355" s="1" t="s">
        <v>5430</v>
      </c>
      <c r="AJ355" s="1" t="s">
        <v>109</v>
      </c>
      <c r="AK355" s="1" t="s">
        <v>5431</v>
      </c>
      <c r="AL355" s="1">
        <v>60</v>
      </c>
      <c r="AM355" s="1" t="s">
        <v>111</v>
      </c>
      <c r="AP355" s="1">
        <f>91-9850269770</f>
        <v>-9850269679</v>
      </c>
      <c r="AR355" s="1">
        <v>0</v>
      </c>
      <c r="AS355" s="1">
        <v>0</v>
      </c>
      <c r="AT355" s="1" t="s">
        <v>5432</v>
      </c>
      <c r="AU355" s="1" t="s">
        <v>5433</v>
      </c>
      <c r="AV355" s="1" t="s">
        <v>5434</v>
      </c>
      <c r="AW355" s="1">
        <f>91-9423161747</f>
        <v>-9423161656</v>
      </c>
      <c r="AX355" s="1" t="s">
        <v>5435</v>
      </c>
      <c r="AY355" s="1" t="s">
        <v>4141</v>
      </c>
      <c r="AZ355" s="1">
        <v>5.01</v>
      </c>
      <c r="BA355" s="1">
        <v>5.07</v>
      </c>
      <c r="BE355" s="1" t="s">
        <v>120</v>
      </c>
      <c r="BG355" s="1" t="s">
        <v>120</v>
      </c>
      <c r="BH355" s="1" t="s">
        <v>120</v>
      </c>
      <c r="BJ355" s="1" t="s">
        <v>154</v>
      </c>
      <c r="BK355" s="1" t="s">
        <v>120</v>
      </c>
      <c r="BL355" s="1">
        <v>0</v>
      </c>
      <c r="BM355" s="1">
        <v>0</v>
      </c>
      <c r="BN355" s="1" t="s">
        <v>5436</v>
      </c>
      <c r="BO355" s="1">
        <v>1</v>
      </c>
      <c r="BP355" s="1" t="s">
        <v>1913</v>
      </c>
      <c r="BQ355" s="1" t="s">
        <v>112</v>
      </c>
      <c r="BR355" s="1">
        <v>1</v>
      </c>
      <c r="BS355" s="1" t="s">
        <v>399</v>
      </c>
      <c r="BT355" s="1" t="s">
        <v>124</v>
      </c>
      <c r="BU355" s="1" t="s">
        <v>112</v>
      </c>
      <c r="BV355" s="1" t="s">
        <v>112</v>
      </c>
      <c r="BW355" s="1" t="s">
        <v>5437</v>
      </c>
      <c r="BX355" s="1" t="s">
        <v>5438</v>
      </c>
      <c r="BY355" s="1" t="s">
        <v>127</v>
      </c>
      <c r="BZ355" s="1">
        <v>3</v>
      </c>
      <c r="CA355" s="1">
        <v>3</v>
      </c>
      <c r="CB355" s="4">
        <v>43626.882571099537</v>
      </c>
      <c r="CC355" s="1">
        <v>1</v>
      </c>
      <c r="CD355" s="1">
        <v>1</v>
      </c>
      <c r="CE355" s="1">
        <v>1</v>
      </c>
      <c r="CF355" s="1">
        <v>1</v>
      </c>
      <c r="CG355" s="4">
        <v>43808.226063425929</v>
      </c>
      <c r="CH355" s="1" t="s">
        <v>112</v>
      </c>
      <c r="CI355" s="1" t="s">
        <v>1270</v>
      </c>
      <c r="CJ355" s="1" t="s">
        <v>129</v>
      </c>
    </row>
    <row r="356" spans="1:88" x14ac:dyDescent="0.35">
      <c r="A356" s="1">
        <v>5156</v>
      </c>
      <c r="B356" s="1" t="s">
        <v>5439</v>
      </c>
      <c r="C356" s="1">
        <v>7223082173</v>
      </c>
      <c r="D356" s="1" t="s">
        <v>90</v>
      </c>
      <c r="E356" s="1" t="s">
        <v>5440</v>
      </c>
      <c r="F356" s="1" t="s">
        <v>5034</v>
      </c>
      <c r="G356" s="1">
        <v>0</v>
      </c>
      <c r="H356" s="3">
        <v>35814</v>
      </c>
      <c r="I356" s="1">
        <v>1</v>
      </c>
      <c r="J356" s="1" t="s">
        <v>1553</v>
      </c>
      <c r="K356" s="1" t="s">
        <v>5441</v>
      </c>
      <c r="L356" s="2">
        <f>91-8770031122</f>
        <v>-8770031031</v>
      </c>
      <c r="M356" s="1" t="s">
        <v>150</v>
      </c>
      <c r="N356" s="1">
        <v>0</v>
      </c>
      <c r="O356" s="1">
        <v>0</v>
      </c>
      <c r="P356" s="1">
        <v>5.03</v>
      </c>
      <c r="Q356" s="1">
        <v>51</v>
      </c>
      <c r="R356" s="1" t="s">
        <v>5442</v>
      </c>
      <c r="S356" s="1" t="s">
        <v>492</v>
      </c>
      <c r="T356" s="1" t="s">
        <v>137</v>
      </c>
      <c r="U356" s="1" t="s">
        <v>209</v>
      </c>
      <c r="V356" s="1" t="s">
        <v>5443</v>
      </c>
      <c r="X356" s="1" t="s">
        <v>100</v>
      </c>
      <c r="Y356" s="1" t="s">
        <v>268</v>
      </c>
      <c r="Z356" s="1" t="s">
        <v>515</v>
      </c>
      <c r="AB356" s="1">
        <v>0</v>
      </c>
      <c r="AD356" s="1" t="s">
        <v>5444</v>
      </c>
      <c r="AE356" s="1" t="s">
        <v>142</v>
      </c>
      <c r="AF356" s="1" t="s">
        <v>143</v>
      </c>
      <c r="AG356" s="1" t="s">
        <v>5445</v>
      </c>
      <c r="AH356" s="1" t="s">
        <v>5446</v>
      </c>
      <c r="AI356" s="1" t="s">
        <v>5447</v>
      </c>
      <c r="AJ356" s="1" t="s">
        <v>109</v>
      </c>
      <c r="AK356" s="1" t="s">
        <v>5448</v>
      </c>
      <c r="AL356" s="1">
        <v>24</v>
      </c>
      <c r="AM356" s="1" t="s">
        <v>111</v>
      </c>
      <c r="AO356" s="1" t="s">
        <v>5449</v>
      </c>
      <c r="AP356" s="1">
        <f>91-9424114299</f>
        <v>-9424114208</v>
      </c>
      <c r="AR356" s="1">
        <v>2</v>
      </c>
      <c r="AS356" s="1">
        <v>0</v>
      </c>
      <c r="AT356" s="1" t="s">
        <v>5450</v>
      </c>
      <c r="AU356" s="1" t="s">
        <v>316</v>
      </c>
      <c r="AV356" s="1" t="s">
        <v>1783</v>
      </c>
      <c r="AW356" s="1">
        <f>91-9742092202</f>
        <v>-9742092111</v>
      </c>
      <c r="AX356" s="1" t="s">
        <v>396</v>
      </c>
      <c r="AY356" s="1" t="s">
        <v>150</v>
      </c>
      <c r="AZ356" s="1">
        <v>5.04</v>
      </c>
      <c r="BA356" s="1">
        <v>6</v>
      </c>
      <c r="BE356" s="1" t="s">
        <v>870</v>
      </c>
      <c r="BG356" s="1" t="s">
        <v>120</v>
      </c>
      <c r="BH356" s="1" t="s">
        <v>120</v>
      </c>
      <c r="BJ356" s="1" t="s">
        <v>154</v>
      </c>
      <c r="BK356" s="1" t="s">
        <v>120</v>
      </c>
      <c r="BL356" s="1">
        <v>0</v>
      </c>
      <c r="BM356" s="1">
        <v>0</v>
      </c>
      <c r="BN356" s="1" t="s">
        <v>5451</v>
      </c>
      <c r="BO356" s="1">
        <v>1</v>
      </c>
      <c r="BP356" s="1" t="s">
        <v>5452</v>
      </c>
      <c r="BQ356" s="1" t="s">
        <v>112</v>
      </c>
      <c r="BR356" s="1">
        <v>0</v>
      </c>
      <c r="BS356" s="1" t="s">
        <v>123</v>
      </c>
      <c r="BT356" s="1" t="s">
        <v>124</v>
      </c>
      <c r="BU356" s="1" t="s">
        <v>112</v>
      </c>
      <c r="BV356" s="1" t="s">
        <v>112</v>
      </c>
      <c r="BW356" s="1" t="s">
        <v>5453</v>
      </c>
      <c r="BX356" s="1" t="s">
        <v>5454</v>
      </c>
      <c r="BY356" s="1" t="s">
        <v>465</v>
      </c>
      <c r="BZ356" s="1">
        <v>2</v>
      </c>
      <c r="CA356" s="1">
        <v>0</v>
      </c>
      <c r="CB356" s="4">
        <v>43628.030185532407</v>
      </c>
      <c r="CC356" s="1">
        <v>1</v>
      </c>
      <c r="CD356" s="1">
        <v>1</v>
      </c>
      <c r="CE356" s="1">
        <v>1</v>
      </c>
      <c r="CF356" s="1">
        <v>1</v>
      </c>
      <c r="CG356" s="4">
        <v>43793.318668055559</v>
      </c>
      <c r="CH356" s="1" t="s">
        <v>112</v>
      </c>
      <c r="CI356" s="1" t="s">
        <v>5455</v>
      </c>
      <c r="CJ356" s="1" t="s">
        <v>129</v>
      </c>
    </row>
    <row r="357" spans="1:88" x14ac:dyDescent="0.35">
      <c r="A357" s="1">
        <v>5171</v>
      </c>
      <c r="B357" s="1" t="s">
        <v>5456</v>
      </c>
      <c r="C357" s="1" t="s">
        <v>5457</v>
      </c>
      <c r="D357" s="1" t="s">
        <v>90</v>
      </c>
      <c r="E357" s="1" t="s">
        <v>5458</v>
      </c>
      <c r="F357" s="1" t="s">
        <v>5459</v>
      </c>
      <c r="G357" s="1">
        <v>1</v>
      </c>
      <c r="H357" s="3">
        <v>34167</v>
      </c>
      <c r="I357" s="1">
        <v>1</v>
      </c>
      <c r="J357" s="1" t="s">
        <v>93</v>
      </c>
      <c r="K357" s="1" t="s">
        <v>5460</v>
      </c>
      <c r="L357" s="2">
        <f>91-9665310222</f>
        <v>-9665310131</v>
      </c>
      <c r="M357" s="1" t="s">
        <v>150</v>
      </c>
      <c r="N357" s="1">
        <v>0</v>
      </c>
      <c r="O357" s="1">
        <v>0</v>
      </c>
      <c r="P357" s="1">
        <v>5.07</v>
      </c>
      <c r="Q357" s="1">
        <v>52</v>
      </c>
      <c r="R357" s="1" t="s">
        <v>5461</v>
      </c>
      <c r="S357" s="1" t="s">
        <v>97</v>
      </c>
      <c r="T357" s="1" t="s">
        <v>137</v>
      </c>
      <c r="U357" s="1" t="s">
        <v>2540</v>
      </c>
      <c r="V357" s="1" t="s">
        <v>2540</v>
      </c>
      <c r="X357" s="1" t="s">
        <v>100</v>
      </c>
      <c r="Y357" s="1" t="s">
        <v>111</v>
      </c>
      <c r="Z357" s="1" t="s">
        <v>192</v>
      </c>
      <c r="AB357" s="1">
        <v>0</v>
      </c>
      <c r="AD357" s="1" t="s">
        <v>5462</v>
      </c>
      <c r="AE357" s="1">
        <f>91-942213458</f>
        <v>-942213367</v>
      </c>
      <c r="AF357" s="1" t="s">
        <v>2541</v>
      </c>
      <c r="AG357" s="1" t="s">
        <v>5463</v>
      </c>
      <c r="AH357" s="1" t="s">
        <v>5464</v>
      </c>
      <c r="AI357" s="1" t="s">
        <v>5465</v>
      </c>
      <c r="AJ357" s="1" t="s">
        <v>478</v>
      </c>
      <c r="AK357" s="1" t="s">
        <v>5466</v>
      </c>
      <c r="AL357" s="1">
        <v>28</v>
      </c>
      <c r="AM357" s="1" t="s">
        <v>2541</v>
      </c>
      <c r="AP357" s="1">
        <f>91-9422134762</f>
        <v>-9422134671</v>
      </c>
      <c r="AR357" s="1">
        <v>0</v>
      </c>
      <c r="AS357" s="1">
        <v>0</v>
      </c>
      <c r="AW357" s="1" t="s">
        <v>142</v>
      </c>
      <c r="AX357" s="1" t="s">
        <v>1704</v>
      </c>
      <c r="AY357" s="1" t="s">
        <v>150</v>
      </c>
      <c r="AZ357" s="1">
        <v>5.01</v>
      </c>
      <c r="BA357" s="1">
        <v>5.08</v>
      </c>
      <c r="BB357" s="1" t="s">
        <v>151</v>
      </c>
      <c r="BC357" s="1" t="s">
        <v>152</v>
      </c>
      <c r="BD357" s="1" t="s">
        <v>1395</v>
      </c>
      <c r="BE357" s="1" t="s">
        <v>120</v>
      </c>
      <c r="BF357" s="1" t="s">
        <v>120</v>
      </c>
      <c r="BG357" s="1" t="s">
        <v>2541</v>
      </c>
      <c r="BH357" s="1" t="s">
        <v>2541</v>
      </c>
      <c r="BI357" s="1" t="s">
        <v>192</v>
      </c>
      <c r="BL357" s="1">
        <v>0</v>
      </c>
      <c r="BM357" s="1">
        <v>0</v>
      </c>
      <c r="BN357" s="1" t="s">
        <v>5467</v>
      </c>
      <c r="BO357" s="1">
        <v>0</v>
      </c>
      <c r="BQ357" s="1" t="s">
        <v>180</v>
      </c>
      <c r="BR357" s="1">
        <v>0</v>
      </c>
      <c r="BS357" s="1" t="s">
        <v>334</v>
      </c>
      <c r="BT357" s="1" t="s">
        <v>124</v>
      </c>
      <c r="BV357" s="1" t="s">
        <v>112</v>
      </c>
      <c r="BX357" s="1" t="s">
        <v>5468</v>
      </c>
      <c r="BY357" s="1" t="s">
        <v>120</v>
      </c>
      <c r="BZ357" s="1">
        <v>0</v>
      </c>
      <c r="CA357" s="1">
        <v>0</v>
      </c>
      <c r="CB357" s="4">
        <v>43680.179901006944</v>
      </c>
      <c r="CC357" s="1">
        <v>1</v>
      </c>
      <c r="CD357" s="1">
        <v>1</v>
      </c>
      <c r="CE357" s="1">
        <v>1</v>
      </c>
      <c r="CF357" s="1">
        <v>1</v>
      </c>
      <c r="CG357" s="4">
        <v>43680.179901006944</v>
      </c>
      <c r="CH357" s="1" t="s">
        <v>112</v>
      </c>
      <c r="CI357" s="1" t="s">
        <v>5469</v>
      </c>
      <c r="CJ357" s="1" t="s">
        <v>157</v>
      </c>
    </row>
    <row r="358" spans="1:88" x14ac:dyDescent="0.35">
      <c r="A358" s="1">
        <v>5174</v>
      </c>
      <c r="B358" s="1" t="s">
        <v>5470</v>
      </c>
      <c r="C358" s="1" t="s">
        <v>5471</v>
      </c>
      <c r="D358" s="1" t="s">
        <v>229</v>
      </c>
      <c r="E358" s="1" t="s">
        <v>134</v>
      </c>
      <c r="F358" s="1" t="s">
        <v>5472</v>
      </c>
      <c r="G358" s="1">
        <v>1</v>
      </c>
      <c r="H358" s="3">
        <v>35227</v>
      </c>
      <c r="I358" s="1">
        <v>1</v>
      </c>
      <c r="J358" s="1" t="s">
        <v>162</v>
      </c>
      <c r="K358" s="1" t="s">
        <v>1986</v>
      </c>
      <c r="L358" s="2">
        <f>91-9904286174</f>
        <v>-9904286083</v>
      </c>
      <c r="M358" s="1" t="s">
        <v>150</v>
      </c>
      <c r="N358" s="1">
        <v>0</v>
      </c>
      <c r="O358" s="1">
        <v>0</v>
      </c>
      <c r="P358" s="1">
        <v>5.07</v>
      </c>
      <c r="Q358" s="1">
        <v>11</v>
      </c>
      <c r="R358" s="1" t="s">
        <v>340</v>
      </c>
      <c r="S358" s="1" t="s">
        <v>492</v>
      </c>
      <c r="T358" s="1" t="s">
        <v>137</v>
      </c>
      <c r="U358" s="1" t="s">
        <v>5473</v>
      </c>
      <c r="V358" s="1" t="s">
        <v>5474</v>
      </c>
      <c r="X358" s="1" t="s">
        <v>296</v>
      </c>
      <c r="Y358" s="1" t="s">
        <v>111</v>
      </c>
      <c r="Z358" s="1" t="s">
        <v>192</v>
      </c>
      <c r="AA358" s="1" t="s">
        <v>5475</v>
      </c>
      <c r="AB358" s="1">
        <v>1</v>
      </c>
      <c r="AC358" s="1" t="s">
        <v>5476</v>
      </c>
      <c r="AD358" s="1" t="s">
        <v>5477</v>
      </c>
      <c r="AE358" s="1">
        <f>91-9586342750</f>
        <v>-9586342659</v>
      </c>
      <c r="AF358" s="1" t="s">
        <v>105</v>
      </c>
      <c r="AG358" s="1" t="s">
        <v>5478</v>
      </c>
      <c r="AH358" s="1" t="s">
        <v>5479</v>
      </c>
      <c r="AI358" s="1" t="s">
        <v>5480</v>
      </c>
      <c r="AJ358" s="1" t="s">
        <v>109</v>
      </c>
      <c r="AK358" s="1" t="s">
        <v>5481</v>
      </c>
      <c r="AL358" s="1">
        <v>30</v>
      </c>
      <c r="AM358" s="1" t="s">
        <v>111</v>
      </c>
      <c r="AO358" s="1" t="s">
        <v>5482</v>
      </c>
      <c r="AP358" s="1">
        <f>91-9904286174</f>
        <v>-9904286083</v>
      </c>
      <c r="AQ358" s="1" t="s">
        <v>277</v>
      </c>
      <c r="AR358" s="1">
        <v>0</v>
      </c>
      <c r="AS358" s="1">
        <v>0</v>
      </c>
      <c r="AT358" s="1" t="s">
        <v>5483</v>
      </c>
      <c r="AU358" s="1" t="s">
        <v>5484</v>
      </c>
      <c r="AV358" s="1" t="s">
        <v>599</v>
      </c>
      <c r="AW358" s="1">
        <f>91-9879886741</f>
        <v>-9879886650</v>
      </c>
      <c r="AX358" s="1" t="s">
        <v>642</v>
      </c>
      <c r="AY358" s="1" t="s">
        <v>593</v>
      </c>
      <c r="AZ358" s="1">
        <v>4.04</v>
      </c>
      <c r="BA358" s="1">
        <v>5.07</v>
      </c>
      <c r="BE358" s="1" t="s">
        <v>120</v>
      </c>
      <c r="BG358" s="1" t="s">
        <v>120</v>
      </c>
      <c r="BH358" s="1" t="s">
        <v>114</v>
      </c>
      <c r="BJ358" s="1" t="s">
        <v>120</v>
      </c>
      <c r="BK358" s="1" t="s">
        <v>120</v>
      </c>
      <c r="BL358" s="1">
        <v>1</v>
      </c>
      <c r="BM358" s="1">
        <v>1</v>
      </c>
      <c r="BN358" s="1" t="s">
        <v>5485</v>
      </c>
      <c r="BO358" s="1">
        <v>1</v>
      </c>
      <c r="BP358" s="1" t="s">
        <v>5486</v>
      </c>
      <c r="BQ358" s="1" t="s">
        <v>112</v>
      </c>
      <c r="BR358" s="1">
        <v>1</v>
      </c>
      <c r="BS358" s="1" t="s">
        <v>596</v>
      </c>
      <c r="BT358" s="1" t="s">
        <v>1123</v>
      </c>
      <c r="BU358" s="1" t="s">
        <v>5487</v>
      </c>
      <c r="BV358" s="1" t="s">
        <v>112</v>
      </c>
      <c r="BW358" s="1" t="s">
        <v>5488</v>
      </c>
      <c r="BX358" s="1" t="s">
        <v>5489</v>
      </c>
      <c r="BY358" s="1" t="s">
        <v>127</v>
      </c>
      <c r="BZ358" s="1">
        <v>1</v>
      </c>
      <c r="CA358" s="1">
        <v>0</v>
      </c>
      <c r="CB358" s="4">
        <v>43691.014627696757</v>
      </c>
      <c r="CC358" s="1">
        <v>1</v>
      </c>
      <c r="CD358" s="1">
        <v>1</v>
      </c>
      <c r="CE358" s="1">
        <v>1</v>
      </c>
      <c r="CF358" s="1">
        <v>1</v>
      </c>
      <c r="CG358" s="4">
        <v>43716.427481053244</v>
      </c>
      <c r="CH358" s="1" t="s">
        <v>112</v>
      </c>
      <c r="CI358" s="1" t="s">
        <v>708</v>
      </c>
      <c r="CJ358" s="1" t="s">
        <v>129</v>
      </c>
    </row>
    <row r="359" spans="1:88" x14ac:dyDescent="0.35">
      <c r="A359" s="1">
        <v>5175</v>
      </c>
      <c r="B359" s="1" t="s">
        <v>5490</v>
      </c>
      <c r="C359" s="1" t="s">
        <v>5491</v>
      </c>
      <c r="D359" s="1" t="s">
        <v>90</v>
      </c>
      <c r="E359" s="1" t="s">
        <v>5492</v>
      </c>
      <c r="F359" s="1" t="s">
        <v>5493</v>
      </c>
      <c r="G359" s="1">
        <v>1</v>
      </c>
      <c r="H359" s="3">
        <v>30946</v>
      </c>
      <c r="I359" s="1">
        <v>1</v>
      </c>
      <c r="J359" s="1" t="s">
        <v>93</v>
      </c>
      <c r="K359" s="1" t="s">
        <v>1045</v>
      </c>
      <c r="L359" s="2">
        <f>91-9922808701</f>
        <v>-9922808610</v>
      </c>
      <c r="M359" s="1" t="s">
        <v>95</v>
      </c>
      <c r="N359" s="1">
        <v>0</v>
      </c>
      <c r="O359" s="1">
        <v>2</v>
      </c>
      <c r="P359" s="1">
        <v>5.03</v>
      </c>
      <c r="Q359" s="1">
        <v>25</v>
      </c>
      <c r="R359" s="1" t="s">
        <v>426</v>
      </c>
      <c r="S359" s="1" t="s">
        <v>293</v>
      </c>
      <c r="T359" s="1" t="s">
        <v>137</v>
      </c>
      <c r="U359" s="1" t="s">
        <v>124</v>
      </c>
      <c r="V359" s="1" t="s">
        <v>5494</v>
      </c>
      <c r="W359" s="1" t="s">
        <v>124</v>
      </c>
      <c r="X359" s="1" t="s">
        <v>170</v>
      </c>
      <c r="Y359" s="1" t="s">
        <v>111</v>
      </c>
      <c r="Z359" s="1" t="s">
        <v>192</v>
      </c>
      <c r="AA359" s="1" t="s">
        <v>5495</v>
      </c>
      <c r="AB359" s="1">
        <v>0</v>
      </c>
      <c r="AD359" s="1" t="s">
        <v>5496</v>
      </c>
      <c r="AE359" s="1">
        <f>91-9922808701</f>
        <v>-9922808610</v>
      </c>
      <c r="AF359" s="1" t="s">
        <v>105</v>
      </c>
      <c r="AG359" s="1" t="s">
        <v>5497</v>
      </c>
      <c r="AH359" s="1" t="s">
        <v>5498</v>
      </c>
      <c r="AI359" s="1" t="s">
        <v>5499</v>
      </c>
      <c r="AJ359" s="1" t="s">
        <v>109</v>
      </c>
      <c r="AK359" s="1" t="s">
        <v>5500</v>
      </c>
      <c r="AL359" s="1">
        <v>30</v>
      </c>
      <c r="AM359" s="1" t="s">
        <v>111</v>
      </c>
      <c r="AN359" s="1" t="s">
        <v>124</v>
      </c>
      <c r="AO359" s="1" t="s">
        <v>5501</v>
      </c>
      <c r="AP359" s="1">
        <f>91-9421111024</f>
        <v>-9421110933</v>
      </c>
      <c r="AQ359" s="1" t="s">
        <v>124</v>
      </c>
      <c r="AR359" s="1">
        <v>2</v>
      </c>
      <c r="AS359" s="1">
        <v>1</v>
      </c>
      <c r="AW359" s="1" t="s">
        <v>142</v>
      </c>
      <c r="AX359" s="1" t="s">
        <v>4986</v>
      </c>
      <c r="AY359" s="1" t="s">
        <v>2208</v>
      </c>
      <c r="AZ359" s="1">
        <v>5</v>
      </c>
      <c r="BA359" s="1">
        <v>5.03</v>
      </c>
      <c r="BB359" s="1" t="s">
        <v>151</v>
      </c>
      <c r="BC359" s="1" t="s">
        <v>304</v>
      </c>
      <c r="BD359" s="1" t="s">
        <v>1333</v>
      </c>
      <c r="BE359" s="1" t="s">
        <v>120</v>
      </c>
      <c r="BF359" s="1" t="s">
        <v>120</v>
      </c>
      <c r="BG359" s="1" t="s">
        <v>120</v>
      </c>
      <c r="BH359" s="1" t="s">
        <v>120</v>
      </c>
      <c r="BJ359" s="1" t="s">
        <v>154</v>
      </c>
      <c r="BK359" s="1" t="s">
        <v>120</v>
      </c>
      <c r="BL359" s="1">
        <v>0</v>
      </c>
      <c r="BM359" s="1">
        <v>0</v>
      </c>
      <c r="BN359" s="1" t="s">
        <v>5502</v>
      </c>
      <c r="BO359" s="1">
        <v>1</v>
      </c>
      <c r="BP359" s="1" t="s">
        <v>3900</v>
      </c>
      <c r="BQ359" s="1" t="s">
        <v>180</v>
      </c>
      <c r="BR359" s="1">
        <v>0</v>
      </c>
      <c r="BS359" s="1" t="s">
        <v>307</v>
      </c>
      <c r="BT359" s="1" t="s">
        <v>124</v>
      </c>
      <c r="BU359" s="1" t="s">
        <v>5503</v>
      </c>
      <c r="BV359" s="1" t="s">
        <v>112</v>
      </c>
      <c r="BW359" s="1" t="s">
        <v>5504</v>
      </c>
      <c r="BX359" s="1" t="s">
        <v>5505</v>
      </c>
      <c r="BY359" s="1" t="s">
        <v>120</v>
      </c>
      <c r="BZ359" s="1">
        <v>0</v>
      </c>
      <c r="CA359" s="1">
        <v>0</v>
      </c>
      <c r="CB359" s="4">
        <v>43697.409268483796</v>
      </c>
      <c r="CC359" s="1">
        <v>1</v>
      </c>
      <c r="CD359" s="1">
        <v>1</v>
      </c>
      <c r="CE359" s="1">
        <v>1</v>
      </c>
      <c r="CF359" s="1">
        <v>1</v>
      </c>
      <c r="CG359" s="4">
        <v>44077.417549456019</v>
      </c>
      <c r="CH359" s="1" t="s">
        <v>112</v>
      </c>
      <c r="CI359" s="1" t="s">
        <v>379</v>
      </c>
      <c r="CJ359" s="1" t="s">
        <v>157</v>
      </c>
    </row>
    <row r="360" spans="1:88" x14ac:dyDescent="0.35">
      <c r="A360" s="1">
        <v>5176</v>
      </c>
      <c r="B360" s="1" t="s">
        <v>5506</v>
      </c>
      <c r="C360" s="1" t="s">
        <v>5507</v>
      </c>
      <c r="D360" s="1" t="s">
        <v>90</v>
      </c>
      <c r="E360" s="1" t="s">
        <v>5508</v>
      </c>
      <c r="F360" s="1" t="s">
        <v>5509</v>
      </c>
      <c r="G360" s="1">
        <v>1</v>
      </c>
      <c r="H360" s="3">
        <v>31894</v>
      </c>
      <c r="I360" s="1">
        <v>1</v>
      </c>
      <c r="J360" s="1" t="s">
        <v>93</v>
      </c>
      <c r="K360" s="1" t="s">
        <v>1045</v>
      </c>
      <c r="L360" s="2">
        <f>91-8149818138</f>
        <v>-8149818047</v>
      </c>
      <c r="M360" s="1" t="s">
        <v>150</v>
      </c>
      <c r="N360" s="1">
        <v>0</v>
      </c>
      <c r="O360" s="1">
        <v>0</v>
      </c>
      <c r="P360" s="1">
        <v>5.05</v>
      </c>
      <c r="Q360" s="1">
        <v>36</v>
      </c>
      <c r="R360" s="1" t="s">
        <v>362</v>
      </c>
      <c r="S360" s="1" t="s">
        <v>293</v>
      </c>
      <c r="T360" s="1" t="s">
        <v>137</v>
      </c>
      <c r="U360" s="1" t="s">
        <v>5510</v>
      </c>
      <c r="V360" s="1" t="s">
        <v>5511</v>
      </c>
      <c r="W360" s="1" t="s">
        <v>5510</v>
      </c>
      <c r="X360" s="1" t="s">
        <v>924</v>
      </c>
      <c r="Y360" s="1" t="s">
        <v>111</v>
      </c>
      <c r="Z360" s="1" t="s">
        <v>192</v>
      </c>
      <c r="AA360" s="1" t="s">
        <v>5512</v>
      </c>
      <c r="AB360" s="1">
        <v>1</v>
      </c>
      <c r="AC360" s="1" t="s">
        <v>5513</v>
      </c>
      <c r="AD360" s="1" t="s">
        <v>5514</v>
      </c>
      <c r="AE360" s="1">
        <f>91-8149818138</f>
        <v>-8149818047</v>
      </c>
      <c r="AF360" s="1" t="s">
        <v>105</v>
      </c>
      <c r="AG360" s="1" t="s">
        <v>5515</v>
      </c>
      <c r="AH360" s="1" t="s">
        <v>5516</v>
      </c>
      <c r="AI360" s="1" t="s">
        <v>5517</v>
      </c>
      <c r="AJ360" s="1" t="s">
        <v>109</v>
      </c>
      <c r="AK360" s="1" t="s">
        <v>5518</v>
      </c>
      <c r="AL360" s="1">
        <v>15</v>
      </c>
      <c r="AM360" s="1" t="s">
        <v>210</v>
      </c>
      <c r="AN360" s="1" t="s">
        <v>5519</v>
      </c>
      <c r="AO360" s="1" t="s">
        <v>5518</v>
      </c>
      <c r="AP360" s="1">
        <f>91-9421111024</f>
        <v>-9421110933</v>
      </c>
      <c r="AQ360" s="1" t="s">
        <v>5520</v>
      </c>
      <c r="AR360" s="1">
        <v>2</v>
      </c>
      <c r="AS360" s="1">
        <v>1</v>
      </c>
      <c r="AW360" s="1" t="s">
        <v>142</v>
      </c>
      <c r="AX360" s="1" t="s">
        <v>2590</v>
      </c>
      <c r="AY360" s="1" t="s">
        <v>5521</v>
      </c>
      <c r="AZ360" s="1">
        <v>4.09</v>
      </c>
      <c r="BA360" s="1">
        <v>5.05</v>
      </c>
      <c r="BE360" s="1" t="s">
        <v>1334</v>
      </c>
      <c r="BG360" s="1" t="s">
        <v>5522</v>
      </c>
      <c r="BH360" s="1" t="s">
        <v>5523</v>
      </c>
      <c r="BJ360" s="1" t="s">
        <v>71</v>
      </c>
      <c r="BK360" s="1" t="s">
        <v>120</v>
      </c>
      <c r="BL360" s="1">
        <v>1</v>
      </c>
      <c r="BM360" s="1">
        <v>1</v>
      </c>
      <c r="BN360" s="1" t="s">
        <v>5524</v>
      </c>
      <c r="BO360" s="1">
        <v>1</v>
      </c>
      <c r="BP360" s="1" t="s">
        <v>5525</v>
      </c>
      <c r="BQ360" s="1" t="s">
        <v>112</v>
      </c>
      <c r="BR360" s="1">
        <v>0</v>
      </c>
      <c r="BS360" s="1" t="s">
        <v>596</v>
      </c>
      <c r="BT360" s="1" t="s">
        <v>306</v>
      </c>
      <c r="BU360" s="1" t="s">
        <v>5526</v>
      </c>
      <c r="BV360" s="1" t="s">
        <v>112</v>
      </c>
      <c r="BW360" s="1" t="s">
        <v>5527</v>
      </c>
      <c r="BX360" s="1" t="s">
        <v>5528</v>
      </c>
      <c r="BY360" s="1" t="s">
        <v>120</v>
      </c>
      <c r="BZ360" s="1">
        <v>0</v>
      </c>
      <c r="CA360" s="1">
        <v>0</v>
      </c>
      <c r="CB360" s="4">
        <v>43703.206484259259</v>
      </c>
      <c r="CC360" s="1">
        <v>1</v>
      </c>
      <c r="CD360" s="1">
        <v>1</v>
      </c>
      <c r="CE360" s="1">
        <v>1</v>
      </c>
      <c r="CF360" s="1">
        <v>1</v>
      </c>
      <c r="CG360" s="4">
        <v>43769.661309953706</v>
      </c>
      <c r="CH360" s="1" t="s">
        <v>112</v>
      </c>
      <c r="CI360" s="1" t="s">
        <v>379</v>
      </c>
      <c r="CJ360" s="1" t="s">
        <v>129</v>
      </c>
    </row>
    <row r="361" spans="1:88" x14ac:dyDescent="0.35">
      <c r="A361" s="1">
        <v>5179</v>
      </c>
      <c r="B361" s="1" t="s">
        <v>5529</v>
      </c>
      <c r="C361" s="1">
        <v>9406019080</v>
      </c>
      <c r="D361" s="1" t="s">
        <v>90</v>
      </c>
      <c r="E361" s="1" t="s">
        <v>794</v>
      </c>
      <c r="F361" s="1" t="s">
        <v>2704</v>
      </c>
      <c r="G361" s="1">
        <v>1</v>
      </c>
      <c r="H361" s="3">
        <v>33356</v>
      </c>
      <c r="I361" s="1">
        <v>1</v>
      </c>
      <c r="J361" s="1" t="s">
        <v>1553</v>
      </c>
      <c r="K361" s="1" t="s">
        <v>1554</v>
      </c>
      <c r="L361" s="2">
        <f>91-9406019080</f>
        <v>-9406018989</v>
      </c>
      <c r="M361" s="1" t="s">
        <v>150</v>
      </c>
      <c r="N361" s="1">
        <v>0</v>
      </c>
      <c r="O361" s="1">
        <v>0</v>
      </c>
      <c r="P361" s="1">
        <v>5.0999999999999996</v>
      </c>
      <c r="Q361" s="1">
        <v>42</v>
      </c>
      <c r="R361" s="1" t="s">
        <v>2028</v>
      </c>
      <c r="S361" s="1" t="s">
        <v>492</v>
      </c>
      <c r="T361" s="1" t="s">
        <v>1386</v>
      </c>
      <c r="U361" s="1" t="s">
        <v>2540</v>
      </c>
      <c r="V361" s="1" t="s">
        <v>2540</v>
      </c>
      <c r="X361" s="1" t="s">
        <v>924</v>
      </c>
      <c r="Y361" s="1" t="s">
        <v>111</v>
      </c>
      <c r="Z361" s="1" t="s">
        <v>5530</v>
      </c>
      <c r="AB361" s="1">
        <v>0</v>
      </c>
      <c r="AD361" s="1" t="s">
        <v>5531</v>
      </c>
      <c r="AE361" s="1">
        <f>91-9406019080</f>
        <v>-9406018989</v>
      </c>
      <c r="AF361" s="1" t="s">
        <v>2541</v>
      </c>
      <c r="AG361" s="1" t="s">
        <v>5532</v>
      </c>
      <c r="AH361" s="1" t="s">
        <v>5533</v>
      </c>
      <c r="AI361" s="1" t="s">
        <v>5534</v>
      </c>
      <c r="AJ361" s="1" t="s">
        <v>109</v>
      </c>
      <c r="AK361" s="1" t="s">
        <v>5535</v>
      </c>
      <c r="AL361" s="1">
        <v>2</v>
      </c>
      <c r="AM361" s="1" t="s">
        <v>2541</v>
      </c>
      <c r="AP361" s="1">
        <f>91-9425213206</f>
        <v>-9425213115</v>
      </c>
      <c r="AR361" s="1">
        <v>0</v>
      </c>
      <c r="AS361" s="1">
        <v>0</v>
      </c>
      <c r="AW361" s="1" t="s">
        <v>142</v>
      </c>
      <c r="AX361" s="1" t="s">
        <v>1120</v>
      </c>
      <c r="AY361" s="1" t="s">
        <v>150</v>
      </c>
      <c r="AZ361" s="1">
        <v>4.05</v>
      </c>
      <c r="BA361" s="1">
        <v>5.0999999999999996</v>
      </c>
      <c r="BB361" s="1" t="s">
        <v>151</v>
      </c>
      <c r="BC361" s="1" t="s">
        <v>152</v>
      </c>
      <c r="BD361" s="1" t="s">
        <v>1395</v>
      </c>
      <c r="BE361" s="1" t="s">
        <v>120</v>
      </c>
      <c r="BF361" s="1" t="s">
        <v>120</v>
      </c>
      <c r="BG361" s="1" t="s">
        <v>2541</v>
      </c>
      <c r="BH361" s="1" t="s">
        <v>2541</v>
      </c>
      <c r="BI361" s="1" t="s">
        <v>132</v>
      </c>
      <c r="BL361" s="1">
        <v>0</v>
      </c>
      <c r="BM361" s="1">
        <v>0</v>
      </c>
      <c r="BN361" s="1" t="s">
        <v>4208</v>
      </c>
      <c r="BO361" s="1">
        <v>0</v>
      </c>
      <c r="BQ361" s="1" t="s">
        <v>180</v>
      </c>
      <c r="BR361" s="1">
        <v>0</v>
      </c>
      <c r="BS361" s="1" t="s">
        <v>787</v>
      </c>
      <c r="BT361" s="1" t="s">
        <v>306</v>
      </c>
      <c r="BV361" s="1" t="s">
        <v>112</v>
      </c>
      <c r="BY361" s="1" t="s">
        <v>120</v>
      </c>
      <c r="BZ361" s="1">
        <v>0</v>
      </c>
      <c r="CA361" s="1">
        <v>0</v>
      </c>
      <c r="CB361" s="4">
        <v>43716.911728206018</v>
      </c>
      <c r="CC361" s="1">
        <v>1</v>
      </c>
      <c r="CD361" s="1">
        <v>1</v>
      </c>
      <c r="CE361" s="1">
        <v>0</v>
      </c>
      <c r="CF361" s="1">
        <v>0</v>
      </c>
      <c r="CG361" s="4">
        <v>43724.691649155095</v>
      </c>
      <c r="CH361" s="1" t="s">
        <v>112</v>
      </c>
      <c r="CI361" s="1" t="s">
        <v>5536</v>
      </c>
      <c r="CJ361" s="1" t="s">
        <v>157</v>
      </c>
    </row>
    <row r="362" spans="1:88" x14ac:dyDescent="0.35">
      <c r="A362" s="1">
        <v>5180</v>
      </c>
      <c r="B362" s="1" t="s">
        <v>5537</v>
      </c>
      <c r="C362" s="1" t="s">
        <v>5538</v>
      </c>
      <c r="D362" s="1" t="s">
        <v>90</v>
      </c>
      <c r="E362" s="1" t="s">
        <v>5137</v>
      </c>
      <c r="F362" s="1" t="s">
        <v>5539</v>
      </c>
      <c r="G362" s="1">
        <v>1</v>
      </c>
      <c r="H362" s="3">
        <v>32529</v>
      </c>
      <c r="I362" s="1">
        <v>1</v>
      </c>
      <c r="J362" s="1" t="s">
        <v>162</v>
      </c>
      <c r="K362" s="1" t="s">
        <v>1986</v>
      </c>
      <c r="L362" s="2">
        <f>91-8141314298</f>
        <v>-8141314207</v>
      </c>
      <c r="M362" s="1" t="s">
        <v>95</v>
      </c>
      <c r="N362" s="1">
        <v>0</v>
      </c>
      <c r="O362" s="1">
        <v>1</v>
      </c>
      <c r="P362" s="1">
        <v>5.0199999999999996</v>
      </c>
      <c r="Q362" s="1">
        <v>34</v>
      </c>
      <c r="R362" s="1" t="s">
        <v>2625</v>
      </c>
      <c r="S362" s="1" t="s">
        <v>492</v>
      </c>
      <c r="T362" s="1" t="s">
        <v>341</v>
      </c>
      <c r="U362" s="1" t="s">
        <v>2540</v>
      </c>
      <c r="V362" s="1" t="s">
        <v>2540</v>
      </c>
      <c r="X362" s="1" t="s">
        <v>296</v>
      </c>
      <c r="Y362" s="1" t="s">
        <v>101</v>
      </c>
      <c r="Z362" s="1" t="s">
        <v>192</v>
      </c>
      <c r="AB362" s="1">
        <v>0</v>
      </c>
      <c r="AD362" s="1" t="s">
        <v>5540</v>
      </c>
      <c r="AE362" s="1">
        <f>91-9723015962</f>
        <v>-9723015871</v>
      </c>
      <c r="AF362" s="1" t="s">
        <v>2541</v>
      </c>
      <c r="AG362" s="1" t="s">
        <v>5541</v>
      </c>
      <c r="AH362" s="1" t="s">
        <v>5542</v>
      </c>
      <c r="AI362" s="1" t="s">
        <v>5543</v>
      </c>
      <c r="AJ362" s="1" t="s">
        <v>109</v>
      </c>
      <c r="AK362" s="1" t="s">
        <v>5544</v>
      </c>
      <c r="AL362" s="1">
        <v>20</v>
      </c>
      <c r="AM362" s="1" t="s">
        <v>2541</v>
      </c>
      <c r="AP362" s="1">
        <f>91-9712505452</f>
        <v>-9712505361</v>
      </c>
      <c r="AR362" s="1">
        <v>0</v>
      </c>
      <c r="AS362" s="1">
        <v>0</v>
      </c>
      <c r="AW362" s="1" t="s">
        <v>142</v>
      </c>
      <c r="AX362" s="1" t="s">
        <v>2401</v>
      </c>
      <c r="AY362" s="1" t="s">
        <v>119</v>
      </c>
      <c r="AZ362" s="1">
        <v>4.01</v>
      </c>
      <c r="BA362" s="1">
        <v>5.0199999999999996</v>
      </c>
      <c r="BB362" s="1" t="s">
        <v>151</v>
      </c>
      <c r="BC362" s="1" t="s">
        <v>152</v>
      </c>
      <c r="BD362" s="1" t="s">
        <v>1395</v>
      </c>
      <c r="BE362" s="1" t="s">
        <v>2260</v>
      </c>
      <c r="BF362" s="1" t="s">
        <v>120</v>
      </c>
      <c r="BG362" s="1" t="s">
        <v>2541</v>
      </c>
      <c r="BH362" s="1" t="s">
        <v>2541</v>
      </c>
      <c r="BI362" s="1" t="s">
        <v>192</v>
      </c>
      <c r="BL362" s="1">
        <v>0</v>
      </c>
      <c r="BM362" s="1">
        <v>0</v>
      </c>
      <c r="BN362" s="1" t="s">
        <v>5545</v>
      </c>
      <c r="BO362" s="1">
        <v>0</v>
      </c>
      <c r="BQ362" s="1" t="s">
        <v>180</v>
      </c>
      <c r="BR362" s="1">
        <v>0</v>
      </c>
      <c r="BS362" s="1" t="s">
        <v>252</v>
      </c>
      <c r="BT362" s="1" t="s">
        <v>124</v>
      </c>
      <c r="BV362" s="1" t="s">
        <v>112</v>
      </c>
      <c r="BW362" s="1" t="s">
        <v>5546</v>
      </c>
      <c r="BX362" s="1" t="s">
        <v>5547</v>
      </c>
      <c r="BY362" s="1" t="s">
        <v>120</v>
      </c>
      <c r="BZ362" s="1">
        <v>0</v>
      </c>
      <c r="CA362" s="1">
        <v>0</v>
      </c>
      <c r="CB362" s="4">
        <v>43721.197839004628</v>
      </c>
      <c r="CC362" s="1">
        <v>1</v>
      </c>
      <c r="CD362" s="1">
        <v>1</v>
      </c>
      <c r="CE362" s="1">
        <v>1</v>
      </c>
      <c r="CF362" s="1">
        <v>1</v>
      </c>
      <c r="CG362" s="4">
        <v>43721.526589351852</v>
      </c>
      <c r="CH362" s="1" t="s">
        <v>112</v>
      </c>
      <c r="CI362" s="1" t="s">
        <v>5548</v>
      </c>
      <c r="CJ362" s="1" t="s">
        <v>157</v>
      </c>
    </row>
    <row r="363" spans="1:88" x14ac:dyDescent="0.35">
      <c r="A363" s="1">
        <v>5181</v>
      </c>
      <c r="B363" s="1" t="s">
        <v>5549</v>
      </c>
      <c r="C363" s="1" t="s">
        <v>5550</v>
      </c>
      <c r="D363" s="1" t="s">
        <v>312</v>
      </c>
      <c r="E363" s="1" t="s">
        <v>2166</v>
      </c>
      <c r="F363" s="1" t="s">
        <v>134</v>
      </c>
      <c r="G363" s="1">
        <v>1</v>
      </c>
      <c r="H363" s="3">
        <v>34497</v>
      </c>
      <c r="I363" s="1">
        <v>1</v>
      </c>
      <c r="J363" s="1" t="s">
        <v>162</v>
      </c>
      <c r="K363" s="1" t="s">
        <v>1037</v>
      </c>
      <c r="L363" s="2">
        <f>91-9426522547</f>
        <v>-9426522456</v>
      </c>
      <c r="M363" s="1" t="s">
        <v>150</v>
      </c>
      <c r="N363" s="1">
        <v>0</v>
      </c>
      <c r="O363" s="1">
        <v>0</v>
      </c>
      <c r="P363" s="1">
        <v>5.05</v>
      </c>
      <c r="Q363" s="1">
        <v>27</v>
      </c>
      <c r="R363" s="1" t="s">
        <v>653</v>
      </c>
      <c r="S363" s="1" t="s">
        <v>136</v>
      </c>
      <c r="T363" s="1" t="s">
        <v>427</v>
      </c>
      <c r="U363" s="1" t="s">
        <v>2540</v>
      </c>
      <c r="V363" s="1" t="s">
        <v>2540</v>
      </c>
      <c r="X363" s="1" t="s">
        <v>100</v>
      </c>
      <c r="Y363" s="1" t="s">
        <v>111</v>
      </c>
      <c r="Z363" s="1" t="s">
        <v>5551</v>
      </c>
      <c r="AB363" s="1">
        <v>0</v>
      </c>
      <c r="AD363" s="1" t="s">
        <v>5552</v>
      </c>
      <c r="AE363" s="1">
        <f>91-8980534616</f>
        <v>-8980534525</v>
      </c>
      <c r="AF363" s="1" t="s">
        <v>129</v>
      </c>
      <c r="AG363" s="1" t="s">
        <v>5553</v>
      </c>
      <c r="AH363" s="1" t="s">
        <v>884</v>
      </c>
      <c r="AI363" s="1" t="s">
        <v>5554</v>
      </c>
      <c r="AJ363" s="1" t="s">
        <v>109</v>
      </c>
      <c r="AK363" s="1" t="s">
        <v>5555</v>
      </c>
      <c r="AL363" s="1">
        <v>18</v>
      </c>
      <c r="AM363" s="1" t="s">
        <v>129</v>
      </c>
      <c r="AP363" s="1">
        <f>91-9426522547</f>
        <v>-9426522456</v>
      </c>
      <c r="AR363" s="1">
        <v>0</v>
      </c>
      <c r="AS363" s="1">
        <v>0</v>
      </c>
      <c r="AT363" s="1" t="s">
        <v>5556</v>
      </c>
      <c r="AU363" s="1" t="s">
        <v>5557</v>
      </c>
      <c r="AV363" s="1" t="s">
        <v>5558</v>
      </c>
      <c r="AW363" s="1">
        <f>91-8249105322</f>
        <v>-8249105231</v>
      </c>
      <c r="AX363" s="1" t="s">
        <v>742</v>
      </c>
      <c r="AY363" s="1" t="s">
        <v>150</v>
      </c>
      <c r="AZ363" s="1">
        <v>4.0999999999999996</v>
      </c>
      <c r="BA363" s="1">
        <v>5.05</v>
      </c>
      <c r="BB363" s="1" t="s">
        <v>151</v>
      </c>
      <c r="BC363" s="1" t="s">
        <v>304</v>
      </c>
      <c r="BD363" s="1" t="s">
        <v>1333</v>
      </c>
      <c r="BE363" s="1" t="s">
        <v>219</v>
      </c>
      <c r="BF363" s="1" t="s">
        <v>120</v>
      </c>
      <c r="BG363" s="1" t="s">
        <v>120</v>
      </c>
      <c r="BH363" s="1" t="s">
        <v>5559</v>
      </c>
      <c r="BJ363" s="1" t="s">
        <v>120</v>
      </c>
      <c r="BK363" s="1" t="s">
        <v>120</v>
      </c>
      <c r="BL363" s="1">
        <v>0</v>
      </c>
      <c r="BM363" s="1">
        <v>0</v>
      </c>
      <c r="BN363" s="1" t="s">
        <v>5560</v>
      </c>
      <c r="BO363" s="1">
        <v>1</v>
      </c>
      <c r="BP363" s="1" t="s">
        <v>1037</v>
      </c>
      <c r="BQ363" s="1" t="s">
        <v>112</v>
      </c>
      <c r="BR363" s="1">
        <v>1</v>
      </c>
      <c r="BS363" s="1" t="s">
        <v>129</v>
      </c>
      <c r="BT363" s="1" t="s">
        <v>124</v>
      </c>
      <c r="BU363" s="1" t="s">
        <v>112</v>
      </c>
      <c r="BV363" s="1" t="s">
        <v>112</v>
      </c>
      <c r="BW363" s="1" t="s">
        <v>5561</v>
      </c>
      <c r="BX363" s="1" t="s">
        <v>112</v>
      </c>
      <c r="BY363" s="1" t="s">
        <v>127</v>
      </c>
      <c r="BZ363" s="1">
        <v>3</v>
      </c>
      <c r="CA363" s="1">
        <v>2</v>
      </c>
      <c r="CB363" s="4">
        <v>43721.834373530095</v>
      </c>
      <c r="CC363" s="1">
        <v>1</v>
      </c>
      <c r="CD363" s="1">
        <v>1</v>
      </c>
      <c r="CE363" s="1">
        <v>1</v>
      </c>
      <c r="CF363" s="1">
        <v>1</v>
      </c>
      <c r="CG363" s="4">
        <v>43725.283072372687</v>
      </c>
      <c r="CH363" s="1" t="s">
        <v>112</v>
      </c>
      <c r="CI363" s="1" t="s">
        <v>5562</v>
      </c>
      <c r="CJ363" s="1" t="s">
        <v>157</v>
      </c>
    </row>
    <row r="364" spans="1:88" x14ac:dyDescent="0.35">
      <c r="A364" s="1">
        <v>5185</v>
      </c>
      <c r="B364" s="1" t="s">
        <v>5563</v>
      </c>
      <c r="C364" s="1" t="s">
        <v>5564</v>
      </c>
      <c r="D364" s="1" t="s">
        <v>90</v>
      </c>
      <c r="E364" s="1" t="s">
        <v>5565</v>
      </c>
      <c r="F364" s="1" t="s">
        <v>2185</v>
      </c>
      <c r="G364" s="1">
        <v>1</v>
      </c>
      <c r="H364" s="3">
        <v>35873</v>
      </c>
      <c r="I364" s="1">
        <v>1</v>
      </c>
      <c r="J364" s="1" t="s">
        <v>315</v>
      </c>
      <c r="K364" s="1" t="s">
        <v>316</v>
      </c>
      <c r="L364" s="2">
        <f>91-9902153126</f>
        <v>-9902153035</v>
      </c>
      <c r="M364" s="1" t="s">
        <v>150</v>
      </c>
      <c r="N364" s="1">
        <v>0</v>
      </c>
      <c r="O364" s="1">
        <v>0</v>
      </c>
      <c r="P364" s="1">
        <v>5.0599999999999996</v>
      </c>
      <c r="Q364" s="1">
        <v>11</v>
      </c>
      <c r="R364" s="1" t="s">
        <v>340</v>
      </c>
      <c r="S364" s="1" t="s">
        <v>97</v>
      </c>
      <c r="T364" s="1" t="s">
        <v>166</v>
      </c>
      <c r="U364" s="1" t="s">
        <v>2540</v>
      </c>
      <c r="V364" s="1" t="s">
        <v>2540</v>
      </c>
      <c r="X364" s="1" t="s">
        <v>100</v>
      </c>
      <c r="Y364" s="1" t="s">
        <v>111</v>
      </c>
      <c r="Z364" s="1" t="s">
        <v>366</v>
      </c>
      <c r="AB364" s="1">
        <v>0</v>
      </c>
      <c r="AD364" s="1" t="s">
        <v>5566</v>
      </c>
      <c r="AE364" s="1">
        <f>91-9916815225</f>
        <v>-9916815134</v>
      </c>
      <c r="AF364" s="1" t="s">
        <v>2541</v>
      </c>
      <c r="AG364" s="1" t="s">
        <v>5565</v>
      </c>
      <c r="AH364" s="1" t="s">
        <v>2185</v>
      </c>
      <c r="AI364" s="1" t="s">
        <v>5567</v>
      </c>
      <c r="AJ364" s="1" t="s">
        <v>109</v>
      </c>
      <c r="AK364" s="1" t="s">
        <v>5568</v>
      </c>
      <c r="AL364" s="1">
        <v>15</v>
      </c>
      <c r="AM364" s="1" t="s">
        <v>2541</v>
      </c>
      <c r="AP364" s="1">
        <f>91-8904284270</f>
        <v>-8904284179</v>
      </c>
      <c r="AR364" s="1">
        <v>0</v>
      </c>
      <c r="AS364" s="1">
        <v>0</v>
      </c>
      <c r="AW364" s="1" t="s">
        <v>142</v>
      </c>
      <c r="AX364" s="1" t="s">
        <v>2043</v>
      </c>
      <c r="AY364" s="1" t="s">
        <v>150</v>
      </c>
      <c r="AZ364" s="1">
        <v>4.08</v>
      </c>
      <c r="BA364" s="1">
        <v>5.05</v>
      </c>
      <c r="BB364" s="1" t="s">
        <v>151</v>
      </c>
      <c r="BC364" s="1" t="s">
        <v>152</v>
      </c>
      <c r="BD364" s="1" t="s">
        <v>1395</v>
      </c>
      <c r="BE364" s="1" t="s">
        <v>2209</v>
      </c>
      <c r="BF364" s="1" t="s">
        <v>120</v>
      </c>
      <c r="BG364" s="1" t="s">
        <v>2541</v>
      </c>
      <c r="BH364" s="1" t="s">
        <v>2541</v>
      </c>
      <c r="BI364" s="1" t="s">
        <v>366</v>
      </c>
      <c r="BL364" s="1">
        <v>0</v>
      </c>
      <c r="BM364" s="1">
        <v>0</v>
      </c>
      <c r="BN364" s="1" t="s">
        <v>5569</v>
      </c>
      <c r="BO364" s="1">
        <v>0</v>
      </c>
      <c r="BQ364" s="1" t="s">
        <v>180</v>
      </c>
      <c r="BR364" s="1">
        <v>0</v>
      </c>
      <c r="BS364" s="1" t="s">
        <v>399</v>
      </c>
      <c r="BT364" s="1" t="s">
        <v>1123</v>
      </c>
      <c r="BV364" s="1" t="s">
        <v>112</v>
      </c>
      <c r="BY364" s="1" t="s">
        <v>120</v>
      </c>
      <c r="BZ364" s="1">
        <v>0</v>
      </c>
      <c r="CA364" s="1">
        <v>0</v>
      </c>
      <c r="CB364" s="4">
        <v>43736.385406134257</v>
      </c>
      <c r="CC364" s="1">
        <v>1</v>
      </c>
      <c r="CD364" s="1">
        <v>1</v>
      </c>
      <c r="CE364" s="1">
        <v>0</v>
      </c>
      <c r="CF364" s="1">
        <v>0</v>
      </c>
      <c r="CG364" s="4">
        <v>43751.569765509259</v>
      </c>
      <c r="CH364" s="1" t="s">
        <v>112</v>
      </c>
      <c r="CI364" s="1" t="s">
        <v>3805</v>
      </c>
      <c r="CJ364" s="1" t="s">
        <v>157</v>
      </c>
    </row>
    <row r="365" spans="1:88" x14ac:dyDescent="0.35">
      <c r="A365" s="1">
        <v>5186</v>
      </c>
      <c r="B365" s="1" t="s">
        <v>5570</v>
      </c>
      <c r="C365" s="1" t="s">
        <v>5571</v>
      </c>
      <c r="D365" s="1" t="s">
        <v>229</v>
      </c>
      <c r="E365" s="1" t="s">
        <v>5572</v>
      </c>
      <c r="F365" s="1" t="s">
        <v>603</v>
      </c>
      <c r="G365" s="1">
        <v>1</v>
      </c>
      <c r="H365" s="3">
        <v>30451</v>
      </c>
      <c r="I365" s="1">
        <v>1</v>
      </c>
      <c r="J365" s="1" t="s">
        <v>93</v>
      </c>
      <c r="K365" s="1" t="s">
        <v>1130</v>
      </c>
      <c r="L365" s="2">
        <f>91-9537548939</f>
        <v>-9537548848</v>
      </c>
      <c r="M365" s="1" t="s">
        <v>3734</v>
      </c>
      <c r="N365" s="1">
        <v>2</v>
      </c>
      <c r="O365" s="1">
        <v>0</v>
      </c>
      <c r="P365" s="1">
        <v>6.02</v>
      </c>
      <c r="Q365" s="1">
        <v>48</v>
      </c>
      <c r="R365" s="1" t="s">
        <v>385</v>
      </c>
      <c r="S365" s="1" t="s">
        <v>97</v>
      </c>
      <c r="T365" s="1" t="s">
        <v>137</v>
      </c>
      <c r="U365" s="1" t="s">
        <v>2540</v>
      </c>
      <c r="V365" s="1" t="s">
        <v>2540</v>
      </c>
      <c r="X365" s="1" t="s">
        <v>100</v>
      </c>
      <c r="Y365" s="1" t="s">
        <v>111</v>
      </c>
      <c r="Z365" s="1" t="s">
        <v>192</v>
      </c>
      <c r="AB365" s="1">
        <v>0</v>
      </c>
      <c r="AD365" s="1" t="s">
        <v>5573</v>
      </c>
      <c r="AE365" s="1">
        <f>91-9537548939</f>
        <v>-9537548848</v>
      </c>
      <c r="AF365" s="1" t="s">
        <v>2541</v>
      </c>
      <c r="AG365" s="1" t="s">
        <v>5574</v>
      </c>
      <c r="AH365" s="1" t="s">
        <v>5575</v>
      </c>
      <c r="AI365" s="1" t="s">
        <v>5576</v>
      </c>
      <c r="AJ365" s="1" t="s">
        <v>109</v>
      </c>
      <c r="AK365" s="1" t="s">
        <v>5577</v>
      </c>
      <c r="AL365" s="1">
        <v>16</v>
      </c>
      <c r="AM365" s="1" t="s">
        <v>2541</v>
      </c>
      <c r="AP365" s="1">
        <f>91-9823169922</f>
        <v>-9823169831</v>
      </c>
      <c r="AR365" s="1">
        <v>0</v>
      </c>
      <c r="AS365" s="1">
        <v>0</v>
      </c>
      <c r="AW365" s="1" t="s">
        <v>142</v>
      </c>
      <c r="AX365" s="1" t="s">
        <v>5578</v>
      </c>
      <c r="AY365" s="1" t="s">
        <v>4141</v>
      </c>
      <c r="AZ365" s="1">
        <v>5.0199999999999996</v>
      </c>
      <c r="BA365" s="1">
        <v>5.0599999999999996</v>
      </c>
      <c r="BB365" s="1" t="s">
        <v>151</v>
      </c>
      <c r="BC365" s="1" t="s">
        <v>152</v>
      </c>
      <c r="BD365" s="1" t="s">
        <v>1395</v>
      </c>
      <c r="BE365" s="1" t="s">
        <v>3800</v>
      </c>
      <c r="BF365" s="1" t="s">
        <v>120</v>
      </c>
      <c r="BG365" s="1" t="s">
        <v>2541</v>
      </c>
      <c r="BH365" s="1" t="s">
        <v>2541</v>
      </c>
      <c r="BI365" s="1" t="s">
        <v>192</v>
      </c>
      <c r="BL365" s="1">
        <v>0</v>
      </c>
      <c r="BM365" s="1">
        <v>0</v>
      </c>
      <c r="BN365" s="1" t="s">
        <v>5579</v>
      </c>
      <c r="BO365" s="1">
        <v>0</v>
      </c>
      <c r="BQ365" s="1" t="s">
        <v>180</v>
      </c>
      <c r="BR365" s="1">
        <v>0</v>
      </c>
      <c r="BS365" s="1" t="s">
        <v>334</v>
      </c>
      <c r="BT365" s="1" t="s">
        <v>124</v>
      </c>
      <c r="BU365" s="1" t="s">
        <v>5580</v>
      </c>
      <c r="BV365" s="1" t="s">
        <v>112</v>
      </c>
      <c r="BW365" s="1" t="s">
        <v>5581</v>
      </c>
      <c r="BX365" s="1" t="s">
        <v>5582</v>
      </c>
      <c r="BY365" s="1" t="s">
        <v>120</v>
      </c>
      <c r="BZ365" s="1">
        <v>0</v>
      </c>
      <c r="CA365" s="1">
        <v>0</v>
      </c>
      <c r="CB365" s="4">
        <v>43749.173769328707</v>
      </c>
      <c r="CC365" s="1">
        <v>1</v>
      </c>
      <c r="CD365" s="1">
        <v>1</v>
      </c>
      <c r="CE365" s="1">
        <v>1</v>
      </c>
      <c r="CF365" s="1">
        <v>1</v>
      </c>
      <c r="CG365" s="4">
        <v>43749.173769328707</v>
      </c>
      <c r="CH365" s="1" t="s">
        <v>112</v>
      </c>
      <c r="CI365" s="1" t="s">
        <v>829</v>
      </c>
      <c r="CJ365" s="1" t="s">
        <v>157</v>
      </c>
    </row>
    <row r="366" spans="1:88" x14ac:dyDescent="0.35">
      <c r="A366" s="1">
        <v>6193</v>
      </c>
      <c r="B366" s="1" t="s">
        <v>5583</v>
      </c>
      <c r="C366" s="1" t="s">
        <v>5584</v>
      </c>
      <c r="D366" s="1" t="s">
        <v>90</v>
      </c>
      <c r="E366" s="1" t="s">
        <v>134</v>
      </c>
      <c r="F366" s="1" t="s">
        <v>1494</v>
      </c>
      <c r="G366" s="1">
        <v>1</v>
      </c>
      <c r="H366" s="3">
        <v>35264</v>
      </c>
      <c r="I366" s="1">
        <v>1</v>
      </c>
      <c r="J366" s="1" t="s">
        <v>162</v>
      </c>
      <c r="K366" s="1" t="s">
        <v>291</v>
      </c>
      <c r="L366" s="2">
        <f>91-9429927185</f>
        <v>-9429927094</v>
      </c>
      <c r="M366" s="1" t="s">
        <v>150</v>
      </c>
      <c r="N366" s="1">
        <v>0</v>
      </c>
      <c r="O366" s="1">
        <v>0</v>
      </c>
      <c r="P366" s="1">
        <v>6.01</v>
      </c>
      <c r="Q366" s="1">
        <v>10</v>
      </c>
      <c r="S366" s="1" t="s">
        <v>165</v>
      </c>
      <c r="T366" s="1" t="s">
        <v>427</v>
      </c>
      <c r="U366" s="1" t="s">
        <v>2540</v>
      </c>
      <c r="V366" s="1" t="s">
        <v>2540</v>
      </c>
      <c r="X366" s="1" t="s">
        <v>296</v>
      </c>
      <c r="Y366" s="1" t="s">
        <v>111</v>
      </c>
      <c r="Z366" s="1" t="s">
        <v>5585</v>
      </c>
      <c r="AB366" s="1">
        <v>0</v>
      </c>
      <c r="AD366" s="1" t="s">
        <v>5586</v>
      </c>
      <c r="AE366" s="1" t="s">
        <v>142</v>
      </c>
      <c r="AF366" s="1" t="s">
        <v>2541</v>
      </c>
      <c r="AG366" s="1" t="s">
        <v>4909</v>
      </c>
      <c r="AH366" s="1" t="s">
        <v>4910</v>
      </c>
      <c r="AI366" s="1" t="s">
        <v>4186</v>
      </c>
      <c r="AJ366" s="1" t="s">
        <v>109</v>
      </c>
      <c r="AK366" s="1" t="s">
        <v>5587</v>
      </c>
      <c r="AL366" s="1">
        <v>10</v>
      </c>
      <c r="AM366" s="1" t="s">
        <v>2541</v>
      </c>
      <c r="AP366" s="1">
        <f>91-8490074340</f>
        <v>-8490074249</v>
      </c>
      <c r="AR366" s="1">
        <v>0</v>
      </c>
      <c r="AS366" s="1">
        <v>0</v>
      </c>
      <c r="AW366" s="1" t="s">
        <v>142</v>
      </c>
      <c r="AX366" s="1" t="s">
        <v>5588</v>
      </c>
      <c r="AY366" s="1" t="s">
        <v>150</v>
      </c>
      <c r="AZ366" s="1">
        <v>5</v>
      </c>
      <c r="BA366" s="1">
        <v>6</v>
      </c>
      <c r="BB366" s="1" t="s">
        <v>151</v>
      </c>
      <c r="BC366" s="1" t="s">
        <v>152</v>
      </c>
      <c r="BD366" s="1" t="s">
        <v>1395</v>
      </c>
      <c r="BE366" s="1" t="s">
        <v>293</v>
      </c>
      <c r="BF366" s="1" t="s">
        <v>120</v>
      </c>
      <c r="BG366" s="1" t="s">
        <v>2541</v>
      </c>
      <c r="BH366" s="1" t="s">
        <v>2541</v>
      </c>
      <c r="BI366" s="1" t="s">
        <v>132</v>
      </c>
      <c r="BL366" s="1">
        <v>0</v>
      </c>
      <c r="BM366" s="1">
        <v>0</v>
      </c>
      <c r="BN366" s="1" t="s">
        <v>5589</v>
      </c>
      <c r="BO366" s="1">
        <v>0</v>
      </c>
      <c r="BQ366" s="1" t="s">
        <v>180</v>
      </c>
      <c r="BR366" s="1">
        <v>0</v>
      </c>
      <c r="BS366" s="1" t="s">
        <v>1208</v>
      </c>
      <c r="BT366" s="1" t="s">
        <v>124</v>
      </c>
      <c r="BU366" s="1" t="s">
        <v>5590</v>
      </c>
      <c r="BV366" s="1" t="s">
        <v>112</v>
      </c>
      <c r="BW366" s="1" t="s">
        <v>5591</v>
      </c>
      <c r="BX366" s="1" t="s">
        <v>5592</v>
      </c>
      <c r="BY366" s="1" t="s">
        <v>120</v>
      </c>
      <c r="BZ366" s="1">
        <v>0</v>
      </c>
      <c r="CA366" s="1">
        <v>0</v>
      </c>
      <c r="CB366" s="4">
        <v>43835.236142974536</v>
      </c>
      <c r="CC366" s="1">
        <v>1</v>
      </c>
      <c r="CD366" s="1">
        <v>1</v>
      </c>
      <c r="CE366" s="1">
        <v>1</v>
      </c>
      <c r="CF366" s="1">
        <v>1</v>
      </c>
      <c r="CG366" s="4">
        <v>43835.544494212962</v>
      </c>
      <c r="CH366" s="1" t="s">
        <v>112</v>
      </c>
      <c r="CI366" s="1" t="s">
        <v>5593</v>
      </c>
      <c r="CJ366" s="1" t="s">
        <v>157</v>
      </c>
    </row>
    <row r="367" spans="1:88" x14ac:dyDescent="0.35">
      <c r="A367" s="1">
        <v>6198</v>
      </c>
      <c r="B367" s="1" t="s">
        <v>5594</v>
      </c>
      <c r="C367" s="1" t="s">
        <v>5595</v>
      </c>
      <c r="D367" s="1" t="s">
        <v>90</v>
      </c>
      <c r="E367" s="1" t="s">
        <v>5596</v>
      </c>
      <c r="F367" s="1" t="s">
        <v>5597</v>
      </c>
      <c r="G367" s="1">
        <v>1</v>
      </c>
      <c r="H367" s="3">
        <v>29541</v>
      </c>
      <c r="I367" s="1">
        <v>1</v>
      </c>
      <c r="J367" s="1" t="s">
        <v>231</v>
      </c>
      <c r="K367" s="1" t="s">
        <v>896</v>
      </c>
      <c r="L367" s="2">
        <f>91-7977145877</f>
        <v>-7977145786</v>
      </c>
      <c r="M367" s="1" t="s">
        <v>95</v>
      </c>
      <c r="N367" s="1">
        <v>0</v>
      </c>
      <c r="O367" s="1">
        <v>0</v>
      </c>
      <c r="P367" s="1">
        <v>5.09</v>
      </c>
      <c r="Q367" s="1">
        <v>12</v>
      </c>
      <c r="R367" s="1" t="s">
        <v>470</v>
      </c>
      <c r="S367" s="1" t="s">
        <v>97</v>
      </c>
      <c r="T367" s="1" t="s">
        <v>1915</v>
      </c>
      <c r="U367" s="1" t="s">
        <v>5598</v>
      </c>
      <c r="V367" s="1" t="s">
        <v>5599</v>
      </c>
      <c r="W367" s="1" t="s">
        <v>5600</v>
      </c>
      <c r="X367" s="1" t="s">
        <v>170</v>
      </c>
      <c r="Y367" s="1" t="s">
        <v>111</v>
      </c>
      <c r="Z367" s="1" t="s">
        <v>5601</v>
      </c>
      <c r="AB367" s="1">
        <v>0</v>
      </c>
      <c r="AD367" s="1" t="s">
        <v>5602</v>
      </c>
      <c r="AE367" s="1">
        <f>91-9930403599</f>
        <v>-9930403508</v>
      </c>
      <c r="AF367" s="1" t="s">
        <v>2541</v>
      </c>
      <c r="AG367" s="1" t="s">
        <v>5603</v>
      </c>
      <c r="AH367" s="1" t="s">
        <v>5604</v>
      </c>
      <c r="AI367" s="1" t="s">
        <v>5605</v>
      </c>
      <c r="AJ367" s="1" t="s">
        <v>1238</v>
      </c>
      <c r="AK367" s="1" t="s">
        <v>5606</v>
      </c>
      <c r="AL367" s="1">
        <v>28</v>
      </c>
      <c r="AM367" s="1" t="s">
        <v>2541</v>
      </c>
      <c r="AP367" s="1">
        <f>91-9016084804</f>
        <v>-9016084713</v>
      </c>
      <c r="AR367" s="1">
        <v>0</v>
      </c>
      <c r="AS367" s="1">
        <v>0</v>
      </c>
      <c r="AW367" s="1" t="s">
        <v>142</v>
      </c>
      <c r="AX367" s="1" t="s">
        <v>5607</v>
      </c>
      <c r="AY367" s="1" t="s">
        <v>119</v>
      </c>
      <c r="AZ367" s="1">
        <v>5</v>
      </c>
      <c r="BA367" s="1">
        <v>5.09</v>
      </c>
      <c r="BB367" s="1" t="s">
        <v>151</v>
      </c>
      <c r="BC367" s="1" t="s">
        <v>152</v>
      </c>
      <c r="BD367" s="1" t="s">
        <v>1395</v>
      </c>
      <c r="BE367" s="1" t="s">
        <v>870</v>
      </c>
      <c r="BF367" s="1" t="s">
        <v>120</v>
      </c>
      <c r="BG367" s="1" t="s">
        <v>2541</v>
      </c>
      <c r="BH367" s="1" t="s">
        <v>2541</v>
      </c>
      <c r="BI367" s="1" t="s">
        <v>192</v>
      </c>
      <c r="BL367" s="1">
        <v>0</v>
      </c>
      <c r="BM367" s="1">
        <v>0</v>
      </c>
      <c r="BN367" s="1" t="s">
        <v>5608</v>
      </c>
      <c r="BO367" s="1">
        <v>0</v>
      </c>
      <c r="BQ367" s="1" t="s">
        <v>180</v>
      </c>
      <c r="BR367" s="1">
        <v>0</v>
      </c>
      <c r="BS367" s="1" t="s">
        <v>1668</v>
      </c>
      <c r="BT367" s="1" t="s">
        <v>124</v>
      </c>
      <c r="BV367" s="1" t="s">
        <v>112</v>
      </c>
      <c r="BX367" s="1" t="s">
        <v>5609</v>
      </c>
      <c r="BY367" s="1" t="s">
        <v>120</v>
      </c>
      <c r="BZ367" s="1">
        <v>0</v>
      </c>
      <c r="CA367" s="1">
        <v>0</v>
      </c>
      <c r="CB367" s="4">
        <v>43860.907929317131</v>
      </c>
      <c r="CC367" s="1">
        <v>1</v>
      </c>
      <c r="CD367" s="1">
        <v>1</v>
      </c>
      <c r="CE367" s="1">
        <v>1</v>
      </c>
      <c r="CF367" s="1">
        <v>3</v>
      </c>
      <c r="CG367" s="4">
        <v>44069.873061886574</v>
      </c>
      <c r="CH367" s="1" t="s">
        <v>112</v>
      </c>
      <c r="CI367" s="1" t="s">
        <v>5610</v>
      </c>
      <c r="CJ367" s="1" t="s">
        <v>157</v>
      </c>
    </row>
    <row r="368" spans="1:88" x14ac:dyDescent="0.35">
      <c r="A368" s="1">
        <v>6203</v>
      </c>
      <c r="B368" s="1" t="s">
        <v>5611</v>
      </c>
      <c r="C368" s="1" t="s">
        <v>5612</v>
      </c>
      <c r="D368" s="1" t="s">
        <v>90</v>
      </c>
      <c r="E368" s="1" t="s">
        <v>5613</v>
      </c>
      <c r="F368" s="1" t="s">
        <v>2349</v>
      </c>
      <c r="G368" s="1">
        <v>0</v>
      </c>
      <c r="H368" s="3">
        <v>34576</v>
      </c>
      <c r="I368" s="1">
        <v>1</v>
      </c>
      <c r="J368" s="1" t="s">
        <v>162</v>
      </c>
      <c r="K368" s="1" t="s">
        <v>163</v>
      </c>
      <c r="L368" s="2">
        <f>91-9574188188</f>
        <v>-9574188097</v>
      </c>
      <c r="M368" s="1" t="s">
        <v>150</v>
      </c>
      <c r="N368" s="1">
        <v>0</v>
      </c>
      <c r="O368" s="1">
        <v>0</v>
      </c>
      <c r="P368" s="1">
        <v>5.03</v>
      </c>
      <c r="Q368" s="1">
        <v>5</v>
      </c>
      <c r="R368" s="1" t="s">
        <v>263</v>
      </c>
      <c r="S368" s="1" t="s">
        <v>97</v>
      </c>
      <c r="T368" s="1" t="s">
        <v>427</v>
      </c>
      <c r="U368" s="1" t="s">
        <v>2540</v>
      </c>
      <c r="V368" s="1" t="s">
        <v>2540</v>
      </c>
      <c r="X368" s="1" t="s">
        <v>100</v>
      </c>
      <c r="Y368" s="1" t="s">
        <v>210</v>
      </c>
      <c r="Z368" s="1" t="s">
        <v>171</v>
      </c>
      <c r="AB368" s="1">
        <v>0</v>
      </c>
      <c r="AD368" s="1" t="s">
        <v>5614</v>
      </c>
      <c r="AE368" s="1">
        <f>91-9033537646</f>
        <v>-9033537555</v>
      </c>
      <c r="AF368" s="1" t="s">
        <v>129</v>
      </c>
      <c r="AG368" s="1" t="s">
        <v>5615</v>
      </c>
      <c r="AH368" s="1" t="s">
        <v>5616</v>
      </c>
      <c r="AI368" s="1" t="s">
        <v>5617</v>
      </c>
      <c r="AJ368" s="1" t="s">
        <v>109</v>
      </c>
      <c r="AK368" s="1" t="s">
        <v>5618</v>
      </c>
      <c r="AL368" s="1">
        <v>30</v>
      </c>
      <c r="AM368" s="1" t="s">
        <v>129</v>
      </c>
      <c r="AP368" s="1">
        <f>91-9574188188</f>
        <v>-9574188097</v>
      </c>
      <c r="AR368" s="1">
        <v>2</v>
      </c>
      <c r="AS368" s="1">
        <v>1</v>
      </c>
      <c r="AW368" s="1" t="s">
        <v>142</v>
      </c>
      <c r="AX368" s="1" t="s">
        <v>2561</v>
      </c>
      <c r="AY368" s="1" t="s">
        <v>150</v>
      </c>
      <c r="AZ368" s="1">
        <v>5.0599999999999996</v>
      </c>
      <c r="BA368" s="1">
        <v>6.01</v>
      </c>
      <c r="BB368" s="1" t="s">
        <v>151</v>
      </c>
      <c r="BC368" s="1" t="s">
        <v>152</v>
      </c>
      <c r="BD368" s="1" t="s">
        <v>1395</v>
      </c>
      <c r="BE368" s="1" t="s">
        <v>120</v>
      </c>
      <c r="BF368" s="1" t="s">
        <v>120</v>
      </c>
      <c r="BG368" s="1" t="s">
        <v>2541</v>
      </c>
      <c r="BH368" s="1" t="s">
        <v>2541</v>
      </c>
      <c r="BI368" s="1" t="s">
        <v>171</v>
      </c>
      <c r="BL368" s="1">
        <v>0</v>
      </c>
      <c r="BM368" s="1">
        <v>0</v>
      </c>
      <c r="BN368" s="1" t="s">
        <v>482</v>
      </c>
      <c r="BO368" s="1">
        <v>1</v>
      </c>
      <c r="BP368" s="1" t="s">
        <v>163</v>
      </c>
      <c r="BQ368" s="1" t="s">
        <v>180</v>
      </c>
      <c r="BR368" s="1">
        <v>1</v>
      </c>
      <c r="BS368" s="1" t="s">
        <v>334</v>
      </c>
      <c r="BT368" s="1" t="s">
        <v>120</v>
      </c>
      <c r="BV368" s="1" t="s">
        <v>112</v>
      </c>
      <c r="BW368" s="1" t="s">
        <v>5619</v>
      </c>
      <c r="BX368" s="1" t="s">
        <v>5620</v>
      </c>
      <c r="BY368" s="1" t="s">
        <v>465</v>
      </c>
      <c r="BZ368" s="1">
        <v>0</v>
      </c>
      <c r="CA368" s="1">
        <v>0</v>
      </c>
      <c r="CB368" s="4">
        <v>43876.065220138888</v>
      </c>
      <c r="CC368" s="1">
        <v>1</v>
      </c>
      <c r="CD368" s="1">
        <v>1</v>
      </c>
      <c r="CE368" s="1">
        <v>1</v>
      </c>
      <c r="CF368" s="1">
        <v>3</v>
      </c>
      <c r="CG368" s="4">
        <v>43927.181198530096</v>
      </c>
      <c r="CH368" s="1" t="s">
        <v>112</v>
      </c>
      <c r="CI368" s="1" t="s">
        <v>5621</v>
      </c>
      <c r="CJ368" s="1" t="s">
        <v>157</v>
      </c>
    </row>
    <row r="369" spans="1:88" x14ac:dyDescent="0.35">
      <c r="A369" s="1">
        <v>6204</v>
      </c>
      <c r="B369" s="1" t="s">
        <v>5622</v>
      </c>
      <c r="C369" s="1" t="s">
        <v>5623</v>
      </c>
      <c r="D369" s="1" t="s">
        <v>90</v>
      </c>
      <c r="E369" s="1" t="s">
        <v>5624</v>
      </c>
      <c r="F369" s="1" t="s">
        <v>996</v>
      </c>
      <c r="G369" s="1">
        <v>1</v>
      </c>
      <c r="H369" s="3">
        <v>34961</v>
      </c>
      <c r="I369" s="1">
        <v>1</v>
      </c>
      <c r="J369" s="1" t="s">
        <v>162</v>
      </c>
      <c r="K369" s="1" t="s">
        <v>163</v>
      </c>
      <c r="L369" s="2">
        <f>91-9574188188</f>
        <v>-9574188097</v>
      </c>
      <c r="M369" s="1" t="s">
        <v>150</v>
      </c>
      <c r="N369" s="1">
        <v>0</v>
      </c>
      <c r="O369" s="1">
        <v>0</v>
      </c>
      <c r="P369" s="1">
        <v>5.08</v>
      </c>
      <c r="Q369" s="1">
        <v>5</v>
      </c>
      <c r="R369" s="1" t="s">
        <v>5625</v>
      </c>
      <c r="S369" s="1" t="s">
        <v>97</v>
      </c>
      <c r="T369" s="1" t="s">
        <v>427</v>
      </c>
      <c r="U369" s="1" t="s">
        <v>2432</v>
      </c>
      <c r="V369" s="1" t="s">
        <v>5626</v>
      </c>
      <c r="X369" s="1" t="s">
        <v>100</v>
      </c>
      <c r="Y369" s="1" t="s">
        <v>101</v>
      </c>
      <c r="Z369" s="1" t="s">
        <v>979</v>
      </c>
      <c r="AA369" s="1" t="s">
        <v>5627</v>
      </c>
      <c r="AB369" s="1">
        <v>0</v>
      </c>
      <c r="AD369" s="1" t="s">
        <v>3258</v>
      </c>
      <c r="AE369" s="1">
        <f>91-9033537646</f>
        <v>-9033537555</v>
      </c>
      <c r="AF369" s="1" t="s">
        <v>105</v>
      </c>
      <c r="AG369" s="1" t="s">
        <v>5615</v>
      </c>
      <c r="AH369" s="1" t="s">
        <v>5616</v>
      </c>
      <c r="AI369" s="1" t="s">
        <v>5617</v>
      </c>
      <c r="AJ369" s="1" t="s">
        <v>109</v>
      </c>
      <c r="AK369" s="1" t="s">
        <v>5628</v>
      </c>
      <c r="AL369" s="1">
        <v>30</v>
      </c>
      <c r="AM369" s="1" t="s">
        <v>148</v>
      </c>
      <c r="AP369" s="1">
        <f>91-9574188188</f>
        <v>-9574188097</v>
      </c>
      <c r="AR369" s="1">
        <v>1</v>
      </c>
      <c r="AS369" s="1">
        <v>1</v>
      </c>
      <c r="AT369" s="1" t="s">
        <v>5629</v>
      </c>
      <c r="AU369" s="1" t="s">
        <v>5630</v>
      </c>
      <c r="AV369" s="1" t="s">
        <v>2954</v>
      </c>
      <c r="AW369" s="1">
        <f>91-9408411377</f>
        <v>-9408411286</v>
      </c>
      <c r="AX369" s="1" t="s">
        <v>742</v>
      </c>
      <c r="AY369" s="1" t="s">
        <v>150</v>
      </c>
      <c r="AZ369" s="1">
        <v>5.0199999999999996</v>
      </c>
      <c r="BA369" s="1">
        <v>5.07</v>
      </c>
      <c r="BE369" s="1" t="s">
        <v>120</v>
      </c>
      <c r="BG369" s="1" t="s">
        <v>120</v>
      </c>
      <c r="BH369" s="1" t="s">
        <v>120</v>
      </c>
      <c r="BJ369" s="1" t="s">
        <v>120</v>
      </c>
      <c r="BK369" s="1" t="s">
        <v>120</v>
      </c>
      <c r="BL369" s="1">
        <v>0</v>
      </c>
      <c r="BM369" s="1">
        <v>1</v>
      </c>
      <c r="BN369" s="1" t="s">
        <v>482</v>
      </c>
      <c r="BO369" s="1">
        <v>1</v>
      </c>
      <c r="BP369" s="1" t="s">
        <v>1037</v>
      </c>
      <c r="BQ369" s="1" t="s">
        <v>112</v>
      </c>
      <c r="BR369" s="1">
        <v>1</v>
      </c>
      <c r="BS369" s="1" t="s">
        <v>307</v>
      </c>
      <c r="BT369" s="1" t="s">
        <v>306</v>
      </c>
      <c r="BU369" s="1" t="s">
        <v>112</v>
      </c>
      <c r="BV369" s="1" t="s">
        <v>112</v>
      </c>
      <c r="BW369" s="1" t="s">
        <v>5631</v>
      </c>
      <c r="BX369" s="1" t="s">
        <v>5632</v>
      </c>
      <c r="BY369" s="1" t="s">
        <v>465</v>
      </c>
      <c r="BZ369" s="1">
        <v>1</v>
      </c>
      <c r="CA369" s="1">
        <v>0</v>
      </c>
      <c r="CB369" s="4">
        <v>43876.074713969909</v>
      </c>
      <c r="CC369" s="1">
        <v>1</v>
      </c>
      <c r="CD369" s="1">
        <v>1</v>
      </c>
      <c r="CE369" s="1">
        <v>1</v>
      </c>
      <c r="CF369" s="1">
        <v>3</v>
      </c>
      <c r="CG369" s="4">
        <v>43876.412544826388</v>
      </c>
      <c r="CH369" s="1" t="s">
        <v>112</v>
      </c>
      <c r="CI369" s="1" t="s">
        <v>5621</v>
      </c>
      <c r="CJ369" s="1" t="s">
        <v>129</v>
      </c>
    </row>
    <row r="370" spans="1:88" x14ac:dyDescent="0.35">
      <c r="A370" s="1">
        <v>6207</v>
      </c>
      <c r="B370" s="1" t="s">
        <v>5633</v>
      </c>
      <c r="C370" s="1" t="s">
        <v>5634</v>
      </c>
      <c r="D370" s="1" t="s">
        <v>312</v>
      </c>
      <c r="E370" s="1" t="s">
        <v>2505</v>
      </c>
      <c r="F370" s="1" t="s">
        <v>2539</v>
      </c>
      <c r="G370" s="1">
        <v>1</v>
      </c>
      <c r="H370" s="3">
        <v>35092</v>
      </c>
      <c r="I370" s="1">
        <v>38</v>
      </c>
      <c r="J370" s="1" t="s">
        <v>5635</v>
      </c>
      <c r="K370" s="1" t="s">
        <v>5636</v>
      </c>
      <c r="L370" s="2">
        <f>91-7014876109</f>
        <v>-7014876018</v>
      </c>
      <c r="M370" s="1" t="s">
        <v>150</v>
      </c>
      <c r="N370" s="1">
        <v>0</v>
      </c>
      <c r="O370" s="1">
        <v>0</v>
      </c>
      <c r="P370" s="1">
        <v>5.05</v>
      </c>
      <c r="Q370" s="1">
        <v>43</v>
      </c>
      <c r="R370" s="1" t="s">
        <v>188</v>
      </c>
      <c r="S370" s="1" t="s">
        <v>97</v>
      </c>
      <c r="T370" s="1" t="s">
        <v>234</v>
      </c>
      <c r="U370" s="1" t="s">
        <v>2540</v>
      </c>
      <c r="V370" s="1" t="s">
        <v>2540</v>
      </c>
      <c r="X370" s="1" t="s">
        <v>100</v>
      </c>
      <c r="Y370" s="1" t="s">
        <v>210</v>
      </c>
      <c r="Z370" s="1" t="s">
        <v>733</v>
      </c>
      <c r="AB370" s="1">
        <v>0</v>
      </c>
      <c r="AD370" s="1" t="s">
        <v>5637</v>
      </c>
      <c r="AE370" s="1">
        <f>91-9829763604</f>
        <v>-9829763513</v>
      </c>
      <c r="AF370" s="1" t="s">
        <v>2541</v>
      </c>
      <c r="AG370" s="1" t="s">
        <v>5638</v>
      </c>
      <c r="AH370" s="1" t="s">
        <v>5639</v>
      </c>
      <c r="AI370" s="1" t="s">
        <v>5640</v>
      </c>
      <c r="AJ370" s="1" t="s">
        <v>478</v>
      </c>
      <c r="AK370" s="1" t="s">
        <v>5641</v>
      </c>
      <c r="AL370" s="1">
        <v>30</v>
      </c>
      <c r="AM370" s="1" t="s">
        <v>2541</v>
      </c>
      <c r="AP370" s="1">
        <f>91-7014876109</f>
        <v>-7014876018</v>
      </c>
      <c r="AR370" s="1">
        <v>0</v>
      </c>
      <c r="AS370" s="1">
        <v>0</v>
      </c>
      <c r="AW370" s="1" t="s">
        <v>142</v>
      </c>
      <c r="AX370" s="1" t="s">
        <v>1032</v>
      </c>
      <c r="AY370" s="1" t="s">
        <v>150</v>
      </c>
      <c r="AZ370" s="1">
        <v>4.05</v>
      </c>
      <c r="BA370" s="1">
        <v>6.05</v>
      </c>
      <c r="BB370" s="1" t="s">
        <v>151</v>
      </c>
      <c r="BC370" s="1" t="s">
        <v>304</v>
      </c>
      <c r="BD370" s="1" t="s">
        <v>1333</v>
      </c>
      <c r="BE370" s="1" t="s">
        <v>97</v>
      </c>
      <c r="BF370" s="1" t="s">
        <v>120</v>
      </c>
      <c r="BG370" s="1" t="s">
        <v>120</v>
      </c>
      <c r="BH370" s="1" t="s">
        <v>120</v>
      </c>
      <c r="BJ370" s="1" t="s">
        <v>120</v>
      </c>
      <c r="BK370" s="1" t="s">
        <v>120</v>
      </c>
      <c r="BL370" s="1">
        <v>0</v>
      </c>
      <c r="BM370" s="1">
        <v>0</v>
      </c>
      <c r="BN370" s="1" t="s">
        <v>5642</v>
      </c>
      <c r="BO370" s="1">
        <v>1</v>
      </c>
      <c r="BP370" s="1" t="s">
        <v>5643</v>
      </c>
      <c r="BQ370" s="1" t="s">
        <v>112</v>
      </c>
      <c r="BR370" s="1">
        <v>1</v>
      </c>
      <c r="BS370" s="1" t="s">
        <v>596</v>
      </c>
      <c r="BT370" s="1" t="s">
        <v>124</v>
      </c>
      <c r="BU370" s="1" t="s">
        <v>112</v>
      </c>
      <c r="BV370" s="1" t="s">
        <v>112</v>
      </c>
      <c r="BW370" s="1" t="s">
        <v>5644</v>
      </c>
      <c r="BX370" s="1" t="s">
        <v>5645</v>
      </c>
      <c r="BY370" s="1" t="s">
        <v>120</v>
      </c>
      <c r="BZ370" s="1">
        <v>0</v>
      </c>
      <c r="CA370" s="1">
        <v>0</v>
      </c>
      <c r="CB370" s="4">
        <v>43877.275780671298</v>
      </c>
      <c r="CC370" s="1">
        <v>1</v>
      </c>
      <c r="CD370" s="1">
        <v>1</v>
      </c>
      <c r="CE370" s="1">
        <v>1</v>
      </c>
      <c r="CF370" s="1">
        <v>3</v>
      </c>
      <c r="CG370" s="4">
        <v>43892.572441932869</v>
      </c>
      <c r="CH370" s="1" t="s">
        <v>112</v>
      </c>
      <c r="CI370" s="1" t="s">
        <v>5646</v>
      </c>
      <c r="CJ370" s="1" t="s">
        <v>157</v>
      </c>
    </row>
    <row r="371" spans="1:88" x14ac:dyDescent="0.35">
      <c r="A371" s="1">
        <v>6212</v>
      </c>
      <c r="B371" s="1" t="s">
        <v>5647</v>
      </c>
      <c r="C371" s="1" t="s">
        <v>3408</v>
      </c>
      <c r="D371" s="1" t="s">
        <v>90</v>
      </c>
      <c r="E371" s="1" t="s">
        <v>5648</v>
      </c>
      <c r="F371" s="1" t="s">
        <v>5649</v>
      </c>
      <c r="G371" s="1">
        <v>1</v>
      </c>
      <c r="H371" s="3">
        <v>34426</v>
      </c>
      <c r="I371" s="1">
        <v>1</v>
      </c>
      <c r="J371" s="1" t="s">
        <v>93</v>
      </c>
      <c r="K371" s="1" t="s">
        <v>262</v>
      </c>
      <c r="L371" s="2">
        <f>91-9730691686</f>
        <v>-9730691595</v>
      </c>
      <c r="M371" s="1" t="s">
        <v>150</v>
      </c>
      <c r="N371" s="1">
        <v>0</v>
      </c>
      <c r="O371" s="1">
        <v>0</v>
      </c>
      <c r="P371" s="1">
        <v>5.0999999999999996</v>
      </c>
      <c r="Q371" s="1">
        <v>27</v>
      </c>
      <c r="R371" s="1" t="s">
        <v>653</v>
      </c>
      <c r="S371" s="1" t="s">
        <v>492</v>
      </c>
      <c r="T371" s="1" t="s">
        <v>137</v>
      </c>
      <c r="U371" s="1" t="s">
        <v>2540</v>
      </c>
      <c r="V371" s="1" t="s">
        <v>2540</v>
      </c>
      <c r="X371" s="1" t="s">
        <v>236</v>
      </c>
      <c r="Y371" s="1" t="s">
        <v>111</v>
      </c>
      <c r="Z371" s="1" t="s">
        <v>192</v>
      </c>
      <c r="AB371" s="1">
        <v>0</v>
      </c>
      <c r="AD371" s="1" t="s">
        <v>5650</v>
      </c>
      <c r="AE371" s="1">
        <f>91-9730691686</f>
        <v>-9730691595</v>
      </c>
      <c r="AF371" s="1" t="s">
        <v>129</v>
      </c>
      <c r="AG371" s="1" t="s">
        <v>5651</v>
      </c>
      <c r="AH371" s="1" t="s">
        <v>5652</v>
      </c>
      <c r="AI371" s="1" t="s">
        <v>3008</v>
      </c>
      <c r="AJ371" s="1" t="s">
        <v>109</v>
      </c>
      <c r="AK371" s="1" t="s">
        <v>5653</v>
      </c>
      <c r="AL371" s="1">
        <v>45</v>
      </c>
      <c r="AM371" s="1" t="s">
        <v>129</v>
      </c>
      <c r="AP371" s="1">
        <f>91-9730691686</f>
        <v>-9730691595</v>
      </c>
      <c r="AR371" s="1">
        <v>2</v>
      </c>
      <c r="AS371" s="1">
        <v>1</v>
      </c>
      <c r="AW371" s="1" t="s">
        <v>142</v>
      </c>
      <c r="AX371" s="1" t="s">
        <v>3592</v>
      </c>
      <c r="AY371" s="1" t="s">
        <v>150</v>
      </c>
      <c r="AZ371" s="1">
        <v>4.09</v>
      </c>
      <c r="BA371" s="1">
        <v>5.07</v>
      </c>
      <c r="BB371" s="1" t="s">
        <v>151</v>
      </c>
      <c r="BC371" s="1" t="s">
        <v>304</v>
      </c>
      <c r="BD371" s="1" t="s">
        <v>1333</v>
      </c>
      <c r="BE371" s="1" t="s">
        <v>120</v>
      </c>
      <c r="BF371" s="1" t="s">
        <v>120</v>
      </c>
      <c r="BG371" s="1" t="s">
        <v>120</v>
      </c>
      <c r="BH371" s="1" t="s">
        <v>120</v>
      </c>
      <c r="BJ371" s="1" t="s">
        <v>120</v>
      </c>
      <c r="BK371" s="1" t="s">
        <v>120</v>
      </c>
      <c r="BL371" s="1">
        <v>0</v>
      </c>
      <c r="BM371" s="1">
        <v>1</v>
      </c>
      <c r="BN371" s="1" t="s">
        <v>4208</v>
      </c>
      <c r="BO371" s="1">
        <v>0</v>
      </c>
      <c r="BP371" s="1" t="s">
        <v>5654</v>
      </c>
      <c r="BQ371" s="1" t="s">
        <v>180</v>
      </c>
      <c r="BR371" s="1">
        <v>0</v>
      </c>
      <c r="BS371" s="1" t="s">
        <v>1208</v>
      </c>
      <c r="BT371" s="1" t="s">
        <v>120</v>
      </c>
      <c r="BV371" s="1" t="s">
        <v>112</v>
      </c>
      <c r="BW371" s="1" t="s">
        <v>5655</v>
      </c>
      <c r="BX371" s="1" t="s">
        <v>5656</v>
      </c>
      <c r="BY371" s="1" t="s">
        <v>120</v>
      </c>
      <c r="BZ371" s="1">
        <v>1</v>
      </c>
      <c r="CA371" s="1">
        <v>1</v>
      </c>
      <c r="CB371" s="4">
        <v>43884.999056863424</v>
      </c>
      <c r="CC371" s="1">
        <v>1</v>
      </c>
      <c r="CD371" s="1">
        <v>1</v>
      </c>
      <c r="CE371" s="1">
        <v>1</v>
      </c>
      <c r="CF371" s="1">
        <v>1</v>
      </c>
      <c r="CG371" s="4">
        <v>43885.41395952546</v>
      </c>
      <c r="CH371" s="1" t="s">
        <v>112</v>
      </c>
      <c r="CI371" s="1" t="s">
        <v>2425</v>
      </c>
      <c r="CJ371" s="1" t="s">
        <v>157</v>
      </c>
    </row>
    <row r="372" spans="1:88" x14ac:dyDescent="0.35">
      <c r="A372" s="1">
        <v>6213</v>
      </c>
      <c r="B372" s="1" t="s">
        <v>5657</v>
      </c>
      <c r="C372" s="1" t="s">
        <v>5658</v>
      </c>
      <c r="D372" s="1" t="s">
        <v>90</v>
      </c>
      <c r="E372" s="1" t="s">
        <v>5659</v>
      </c>
      <c r="F372" s="1" t="s">
        <v>1926</v>
      </c>
      <c r="G372" s="1">
        <v>1</v>
      </c>
      <c r="H372" s="3">
        <v>33014</v>
      </c>
      <c r="I372" s="1">
        <v>1</v>
      </c>
      <c r="J372" s="1" t="s">
        <v>162</v>
      </c>
      <c r="K372" s="1" t="s">
        <v>1037</v>
      </c>
      <c r="L372" s="2">
        <f>91-9429759591</f>
        <v>-9429759500</v>
      </c>
      <c r="M372" s="1" t="s">
        <v>150</v>
      </c>
      <c r="N372" s="1">
        <v>0</v>
      </c>
      <c r="O372" s="1">
        <v>0</v>
      </c>
      <c r="P372" s="1">
        <v>5.0999999999999996</v>
      </c>
      <c r="Q372" s="1">
        <v>38</v>
      </c>
      <c r="R372" s="1" t="s">
        <v>317</v>
      </c>
      <c r="S372" s="1" t="s">
        <v>97</v>
      </c>
      <c r="T372" s="1" t="s">
        <v>341</v>
      </c>
      <c r="U372" s="1" t="s">
        <v>2540</v>
      </c>
      <c r="V372" s="1" t="s">
        <v>2540</v>
      </c>
      <c r="X372" s="1" t="s">
        <v>296</v>
      </c>
      <c r="Y372" s="1" t="s">
        <v>111</v>
      </c>
      <c r="Z372" s="1" t="s">
        <v>2483</v>
      </c>
      <c r="AB372" s="1">
        <v>0</v>
      </c>
      <c r="AD372" s="1" t="s">
        <v>1758</v>
      </c>
      <c r="AE372" s="1">
        <f>91-9106214031</f>
        <v>-9106213940</v>
      </c>
      <c r="AF372" s="1" t="s">
        <v>2541</v>
      </c>
      <c r="AG372" s="1" t="s">
        <v>5660</v>
      </c>
      <c r="AH372" s="1" t="s">
        <v>5661</v>
      </c>
      <c r="AI372" s="1" t="s">
        <v>5662</v>
      </c>
      <c r="AJ372" s="1" t="s">
        <v>109</v>
      </c>
      <c r="AK372" s="1" t="s">
        <v>5663</v>
      </c>
      <c r="AL372" s="1">
        <v>30</v>
      </c>
      <c r="AM372" s="1" t="s">
        <v>2541</v>
      </c>
      <c r="AP372" s="1">
        <f>91-9426891146</f>
        <v>-9426891055</v>
      </c>
      <c r="AR372" s="1">
        <v>0</v>
      </c>
      <c r="AS372" s="1">
        <v>0</v>
      </c>
      <c r="AW372" s="1" t="s">
        <v>142</v>
      </c>
      <c r="AX372" s="1" t="s">
        <v>5664</v>
      </c>
      <c r="AY372" s="1" t="s">
        <v>150</v>
      </c>
      <c r="AZ372" s="1">
        <v>4</v>
      </c>
      <c r="BA372" s="1">
        <v>6</v>
      </c>
      <c r="BB372" s="1" t="s">
        <v>151</v>
      </c>
      <c r="BC372" s="1" t="s">
        <v>152</v>
      </c>
      <c r="BD372" s="1" t="s">
        <v>1395</v>
      </c>
      <c r="BE372" s="1" t="s">
        <v>120</v>
      </c>
      <c r="BF372" s="1" t="s">
        <v>120</v>
      </c>
      <c r="BG372" s="1" t="s">
        <v>2541</v>
      </c>
      <c r="BH372" s="1" t="s">
        <v>2541</v>
      </c>
      <c r="BI372" s="1" t="s">
        <v>2483</v>
      </c>
      <c r="BL372" s="1">
        <v>0</v>
      </c>
      <c r="BM372" s="1">
        <v>0</v>
      </c>
      <c r="BN372" s="1" t="s">
        <v>2515</v>
      </c>
      <c r="BO372" s="1">
        <v>0</v>
      </c>
      <c r="BQ372" s="1" t="s">
        <v>180</v>
      </c>
      <c r="BR372" s="1">
        <v>0</v>
      </c>
      <c r="BS372" s="1" t="s">
        <v>399</v>
      </c>
      <c r="BT372" s="1" t="s">
        <v>124</v>
      </c>
      <c r="BV372" s="1" t="s">
        <v>112</v>
      </c>
      <c r="BW372" s="1" t="s">
        <v>5665</v>
      </c>
      <c r="BX372" s="1" t="s">
        <v>5666</v>
      </c>
      <c r="BY372" s="1" t="s">
        <v>120</v>
      </c>
      <c r="BZ372" s="1">
        <v>0</v>
      </c>
      <c r="CA372" s="1">
        <v>0</v>
      </c>
      <c r="CB372" s="4">
        <v>43888.296390046293</v>
      </c>
      <c r="CC372" s="1">
        <v>1</v>
      </c>
      <c r="CD372" s="1">
        <v>1</v>
      </c>
      <c r="CE372" s="1">
        <v>1</v>
      </c>
      <c r="CF372" s="1">
        <v>1</v>
      </c>
      <c r="CG372" s="4">
        <v>43890.577513310185</v>
      </c>
      <c r="CH372" s="1" t="s">
        <v>112</v>
      </c>
      <c r="CI372" s="1" t="s">
        <v>280</v>
      </c>
      <c r="CJ372" s="1" t="s">
        <v>157</v>
      </c>
    </row>
    <row r="373" spans="1:88" x14ac:dyDescent="0.35">
      <c r="A373" s="1">
        <v>6215</v>
      </c>
      <c r="B373" s="1" t="s">
        <v>5667</v>
      </c>
      <c r="C373" s="1" t="s">
        <v>5668</v>
      </c>
      <c r="D373" s="1" t="s">
        <v>90</v>
      </c>
      <c r="E373" s="1" t="s">
        <v>5669</v>
      </c>
      <c r="F373" s="1" t="s">
        <v>134</v>
      </c>
      <c r="G373" s="1">
        <v>1</v>
      </c>
      <c r="H373" s="3">
        <v>33141</v>
      </c>
      <c r="I373" s="1">
        <v>1</v>
      </c>
      <c r="J373" s="1" t="s">
        <v>93</v>
      </c>
      <c r="K373" s="1" t="s">
        <v>1130</v>
      </c>
      <c r="L373" s="2">
        <f>91-9975784234</f>
        <v>-9975784143</v>
      </c>
      <c r="M373" s="1" t="s">
        <v>150</v>
      </c>
      <c r="N373" s="1">
        <v>0</v>
      </c>
      <c r="O373" s="1">
        <v>0</v>
      </c>
      <c r="P373" s="1">
        <v>5.1100000000000003</v>
      </c>
      <c r="Q373" s="1">
        <v>10</v>
      </c>
      <c r="S373" s="1" t="s">
        <v>97</v>
      </c>
      <c r="T373" s="1" t="s">
        <v>137</v>
      </c>
      <c r="U373" s="1" t="s">
        <v>2540</v>
      </c>
      <c r="V373" s="1" t="s">
        <v>2540</v>
      </c>
      <c r="X373" s="1" t="s">
        <v>100</v>
      </c>
      <c r="Y373" s="1" t="s">
        <v>111</v>
      </c>
      <c r="Z373" s="1" t="s">
        <v>192</v>
      </c>
      <c r="AB373" s="1">
        <v>0</v>
      </c>
      <c r="AD373" s="1" t="s">
        <v>5670</v>
      </c>
      <c r="AE373" s="1">
        <f>91-9325777623</f>
        <v>-9325777532</v>
      </c>
      <c r="AF373" s="1" t="s">
        <v>2541</v>
      </c>
      <c r="AG373" s="1" t="s">
        <v>5671</v>
      </c>
      <c r="AH373" s="1" t="s">
        <v>5672</v>
      </c>
      <c r="AI373" s="1" t="s">
        <v>5673</v>
      </c>
      <c r="AJ373" s="1" t="s">
        <v>109</v>
      </c>
      <c r="AK373" s="1" t="s">
        <v>5674</v>
      </c>
      <c r="AL373" s="1">
        <v>50</v>
      </c>
      <c r="AM373" s="1" t="s">
        <v>2541</v>
      </c>
      <c r="AP373" s="1">
        <f>91-9420083988</f>
        <v>-9420083897</v>
      </c>
      <c r="AR373" s="1">
        <v>0</v>
      </c>
      <c r="AS373" s="1">
        <v>0</v>
      </c>
      <c r="AW373" s="1" t="s">
        <v>142</v>
      </c>
      <c r="AX373" s="1" t="s">
        <v>526</v>
      </c>
      <c r="AY373" s="1" t="s">
        <v>150</v>
      </c>
      <c r="AZ373" s="1">
        <v>4.1100000000000003</v>
      </c>
      <c r="BA373" s="1">
        <v>5.1100000000000003</v>
      </c>
      <c r="BB373" s="1" t="s">
        <v>151</v>
      </c>
      <c r="BC373" s="1" t="s">
        <v>152</v>
      </c>
      <c r="BD373" s="1" t="s">
        <v>1395</v>
      </c>
      <c r="BE373" s="1" t="s">
        <v>120</v>
      </c>
      <c r="BF373" s="1" t="s">
        <v>120</v>
      </c>
      <c r="BG373" s="1" t="s">
        <v>2541</v>
      </c>
      <c r="BH373" s="1" t="s">
        <v>2541</v>
      </c>
      <c r="BI373" s="1" t="s">
        <v>192</v>
      </c>
      <c r="BL373" s="1">
        <v>0</v>
      </c>
      <c r="BM373" s="1">
        <v>0</v>
      </c>
      <c r="BN373" s="1" t="s">
        <v>1121</v>
      </c>
      <c r="BO373" s="1">
        <v>0</v>
      </c>
      <c r="BQ373" s="1" t="s">
        <v>180</v>
      </c>
      <c r="BR373" s="1">
        <v>0</v>
      </c>
      <c r="BS373" s="1" t="s">
        <v>376</v>
      </c>
      <c r="BT373" s="1" t="s">
        <v>124</v>
      </c>
      <c r="BV373" s="1" t="s">
        <v>112</v>
      </c>
      <c r="BW373" s="1" t="s">
        <v>5675</v>
      </c>
      <c r="BX373" s="1" t="s">
        <v>5676</v>
      </c>
      <c r="BY373" s="1" t="s">
        <v>120</v>
      </c>
      <c r="BZ373" s="1">
        <v>0</v>
      </c>
      <c r="CA373" s="1">
        <v>0</v>
      </c>
      <c r="CB373" s="4">
        <v>43931.303424965277</v>
      </c>
      <c r="CC373" s="1">
        <v>1</v>
      </c>
      <c r="CD373" s="1">
        <v>1</v>
      </c>
      <c r="CE373" s="1">
        <v>1</v>
      </c>
      <c r="CF373" s="1">
        <v>1</v>
      </c>
      <c r="CG373" s="4">
        <v>44043.706731215279</v>
      </c>
      <c r="CH373" s="1" t="s">
        <v>112</v>
      </c>
      <c r="CI373" s="1" t="s">
        <v>3916</v>
      </c>
      <c r="CJ373" s="1" t="s">
        <v>157</v>
      </c>
    </row>
    <row r="374" spans="1:88" x14ac:dyDescent="0.35">
      <c r="A374" s="1">
        <v>6216</v>
      </c>
      <c r="B374" s="1" t="s">
        <v>5677</v>
      </c>
      <c r="C374" s="1" t="s">
        <v>5678</v>
      </c>
      <c r="D374" s="1" t="s">
        <v>90</v>
      </c>
      <c r="E374" s="1" t="s">
        <v>5679</v>
      </c>
      <c r="F374" s="1" t="s">
        <v>1231</v>
      </c>
      <c r="G374" s="1">
        <v>1</v>
      </c>
      <c r="H374" s="3">
        <v>35611</v>
      </c>
      <c r="I374" s="1">
        <v>1</v>
      </c>
      <c r="J374" s="1" t="s">
        <v>162</v>
      </c>
      <c r="K374" s="1" t="s">
        <v>1406</v>
      </c>
      <c r="L374" s="2">
        <f>91-9879949212</f>
        <v>-9879949121</v>
      </c>
      <c r="M374" s="1" t="s">
        <v>150</v>
      </c>
      <c r="N374" s="1">
        <v>0</v>
      </c>
      <c r="O374" s="1">
        <v>0</v>
      </c>
      <c r="P374" s="1">
        <v>5.08</v>
      </c>
      <c r="Q374" s="1">
        <v>16</v>
      </c>
      <c r="R374" s="1" t="s">
        <v>535</v>
      </c>
      <c r="S374" s="1" t="s">
        <v>97</v>
      </c>
      <c r="T374" s="1" t="s">
        <v>427</v>
      </c>
      <c r="U374" s="1" t="s">
        <v>2540</v>
      </c>
      <c r="V374" s="1" t="s">
        <v>2540</v>
      </c>
      <c r="X374" s="1" t="s">
        <v>170</v>
      </c>
      <c r="Y374" s="1" t="s">
        <v>210</v>
      </c>
      <c r="Z374" s="1" t="s">
        <v>1557</v>
      </c>
      <c r="AB374" s="1">
        <v>0</v>
      </c>
      <c r="AD374" s="1" t="s">
        <v>5680</v>
      </c>
      <c r="AE374" s="1">
        <f>91-7359132712</f>
        <v>-7359132621</v>
      </c>
      <c r="AF374" s="1" t="s">
        <v>2541</v>
      </c>
      <c r="AG374" s="1" t="s">
        <v>5681</v>
      </c>
      <c r="AH374" s="1" t="s">
        <v>5682</v>
      </c>
      <c r="AI374" s="1" t="s">
        <v>5683</v>
      </c>
      <c r="AJ374" s="1" t="s">
        <v>109</v>
      </c>
      <c r="AK374" s="1" t="s">
        <v>5684</v>
      </c>
      <c r="AL374" s="1">
        <v>33</v>
      </c>
      <c r="AM374" s="1" t="s">
        <v>2541</v>
      </c>
      <c r="AP374" s="1">
        <f>91-9879949212</f>
        <v>-9879949121</v>
      </c>
      <c r="AR374" s="1">
        <v>0</v>
      </c>
      <c r="AS374" s="1">
        <v>0</v>
      </c>
      <c r="AW374" s="1" t="s">
        <v>142</v>
      </c>
      <c r="AX374" s="1" t="s">
        <v>569</v>
      </c>
      <c r="AY374" s="1" t="s">
        <v>150</v>
      </c>
      <c r="AZ374" s="1">
        <v>5</v>
      </c>
      <c r="BA374" s="1">
        <v>6</v>
      </c>
      <c r="BB374" s="1" t="s">
        <v>151</v>
      </c>
      <c r="BC374" s="1" t="s">
        <v>152</v>
      </c>
      <c r="BD374" s="1" t="s">
        <v>1395</v>
      </c>
      <c r="BE374" s="1" t="s">
        <v>870</v>
      </c>
      <c r="BF374" s="1" t="s">
        <v>120</v>
      </c>
      <c r="BG374" s="1" t="s">
        <v>2541</v>
      </c>
      <c r="BH374" s="1" t="s">
        <v>2541</v>
      </c>
      <c r="BI374" s="1" t="s">
        <v>1557</v>
      </c>
      <c r="BL374" s="1">
        <v>0</v>
      </c>
      <c r="BM374" s="1">
        <v>1</v>
      </c>
      <c r="BN374" s="1" t="e">
        <f>-One who matches with family easily - Expect to be treated with kindness, love, Loyal and respect. -who is enough capable to handle and manage toughest situations with ease -Have a good sense of humor.</f>
        <v>#NAME?</v>
      </c>
      <c r="BO374" s="1">
        <v>0</v>
      </c>
      <c r="BQ374" s="1" t="s">
        <v>180</v>
      </c>
      <c r="BR374" s="1">
        <v>0</v>
      </c>
      <c r="BS374" s="1" t="s">
        <v>596</v>
      </c>
      <c r="BT374" s="1" t="s">
        <v>124</v>
      </c>
      <c r="BU374" s="1" t="s">
        <v>5685</v>
      </c>
      <c r="BV374" s="1" t="s">
        <v>112</v>
      </c>
      <c r="BW374" s="1" t="s">
        <v>5686</v>
      </c>
      <c r="BX374" s="1" t="s">
        <v>5687</v>
      </c>
      <c r="BY374" s="1" t="s">
        <v>120</v>
      </c>
      <c r="BZ374" s="1">
        <v>0</v>
      </c>
      <c r="CA374" s="1">
        <v>0</v>
      </c>
      <c r="CB374" s="4">
        <v>43931.956738738423</v>
      </c>
      <c r="CC374" s="1">
        <v>1</v>
      </c>
      <c r="CD374" s="1">
        <v>1</v>
      </c>
      <c r="CE374" s="1">
        <v>1</v>
      </c>
      <c r="CF374" s="1">
        <v>1</v>
      </c>
      <c r="CG374" s="4">
        <v>43932.286458298608</v>
      </c>
      <c r="CH374" s="1" t="s">
        <v>112</v>
      </c>
      <c r="CI374" s="1" t="s">
        <v>5688</v>
      </c>
      <c r="CJ374" s="1" t="s">
        <v>157</v>
      </c>
    </row>
    <row r="375" spans="1:88" x14ac:dyDescent="0.35">
      <c r="A375" s="1">
        <v>6218</v>
      </c>
      <c r="B375" s="1" t="s">
        <v>5689</v>
      </c>
      <c r="C375" s="1" t="s">
        <v>5690</v>
      </c>
      <c r="D375" s="1" t="s">
        <v>259</v>
      </c>
      <c r="E375" s="1" t="s">
        <v>3713</v>
      </c>
      <c r="F375" s="1" t="s">
        <v>2704</v>
      </c>
      <c r="G375" s="1">
        <v>0</v>
      </c>
      <c r="H375" s="3">
        <v>34036</v>
      </c>
      <c r="I375" s="1">
        <v>1</v>
      </c>
      <c r="J375" s="1" t="s">
        <v>162</v>
      </c>
      <c r="K375" s="1" t="s">
        <v>163</v>
      </c>
      <c r="L375" s="2">
        <f>91-7575899767</f>
        <v>-7575899676</v>
      </c>
      <c r="M375" s="1" t="s">
        <v>112</v>
      </c>
      <c r="N375" s="1" t="s">
        <v>112</v>
      </c>
      <c r="O375" s="1" t="s">
        <v>112</v>
      </c>
      <c r="P375" s="1" t="s">
        <v>112</v>
      </c>
      <c r="Q375" s="1" t="s">
        <v>112</v>
      </c>
      <c r="R375" s="1" t="s">
        <v>112</v>
      </c>
      <c r="S375" s="1" t="s">
        <v>112</v>
      </c>
      <c r="T375" s="1" t="s">
        <v>112</v>
      </c>
      <c r="U375" s="1" t="s">
        <v>112</v>
      </c>
      <c r="V375" s="1" t="s">
        <v>112</v>
      </c>
      <c r="W375" s="1" t="s">
        <v>112</v>
      </c>
      <c r="X375" s="1" t="s">
        <v>112</v>
      </c>
      <c r="Y375" s="1" t="s">
        <v>112</v>
      </c>
      <c r="Z375" s="1" t="s">
        <v>112</v>
      </c>
      <c r="AA375" s="1" t="s">
        <v>112</v>
      </c>
      <c r="AB375" s="1" t="s">
        <v>112</v>
      </c>
      <c r="AC375" s="1" t="s">
        <v>112</v>
      </c>
      <c r="AD375" s="1" t="s">
        <v>112</v>
      </c>
      <c r="AE375" s="1" t="s">
        <v>112</v>
      </c>
      <c r="AF375" s="1" t="s">
        <v>112</v>
      </c>
      <c r="AG375" s="1" t="s">
        <v>112</v>
      </c>
      <c r="AH375" s="1" t="s">
        <v>112</v>
      </c>
      <c r="AI375" s="1" t="s">
        <v>112</v>
      </c>
      <c r="AJ375" s="1" t="s">
        <v>112</v>
      </c>
      <c r="AK375" s="1" t="s">
        <v>112</v>
      </c>
      <c r="AL375" s="1" t="s">
        <v>112</v>
      </c>
      <c r="AM375" s="1" t="s">
        <v>112</v>
      </c>
      <c r="AN375" s="1" t="s">
        <v>112</v>
      </c>
      <c r="AO375" s="1" t="s">
        <v>112</v>
      </c>
      <c r="AP375" s="1" t="s">
        <v>112</v>
      </c>
      <c r="AQ375" s="1" t="s">
        <v>112</v>
      </c>
      <c r="AR375" s="1" t="s">
        <v>112</v>
      </c>
      <c r="AS375" s="1" t="s">
        <v>112</v>
      </c>
      <c r="AT375" s="1" t="s">
        <v>112</v>
      </c>
      <c r="AU375" s="1" t="s">
        <v>112</v>
      </c>
      <c r="AV375" s="1" t="s">
        <v>112</v>
      </c>
      <c r="AW375" s="1" t="s">
        <v>112</v>
      </c>
      <c r="AX375" s="1" t="s">
        <v>112</v>
      </c>
      <c r="AY375" s="1" t="s">
        <v>112</v>
      </c>
      <c r="AZ375" s="1" t="s">
        <v>112</v>
      </c>
      <c r="BA375" s="1" t="s">
        <v>112</v>
      </c>
      <c r="BB375" s="1" t="s">
        <v>112</v>
      </c>
      <c r="BC375" s="1" t="s">
        <v>112</v>
      </c>
      <c r="BD375" s="1" t="s">
        <v>112</v>
      </c>
      <c r="BE375" s="1" t="s">
        <v>112</v>
      </c>
      <c r="BF375" s="1" t="s">
        <v>112</v>
      </c>
      <c r="BG375" s="1" t="s">
        <v>112</v>
      </c>
      <c r="BH375" s="1" t="s">
        <v>112</v>
      </c>
      <c r="BI375" s="1" t="s">
        <v>112</v>
      </c>
      <c r="BJ375" s="1" t="s">
        <v>112</v>
      </c>
      <c r="BK375" s="1" t="s">
        <v>112</v>
      </c>
      <c r="BL375" s="1" t="s">
        <v>112</v>
      </c>
      <c r="BM375" s="1" t="s">
        <v>112</v>
      </c>
      <c r="BN375" s="1" t="s">
        <v>112</v>
      </c>
      <c r="BO375" s="1" t="s">
        <v>112</v>
      </c>
      <c r="BP375" s="1" t="s">
        <v>112</v>
      </c>
      <c r="BQ375" s="1" t="s">
        <v>112</v>
      </c>
      <c r="BR375" s="1" t="s">
        <v>112</v>
      </c>
      <c r="BS375" s="1" t="s">
        <v>112</v>
      </c>
      <c r="BT375" s="1" t="s">
        <v>112</v>
      </c>
      <c r="BU375" s="1" t="s">
        <v>112</v>
      </c>
      <c r="BV375" s="1" t="s">
        <v>112</v>
      </c>
      <c r="BW375" s="1" t="s">
        <v>112</v>
      </c>
      <c r="BX375" s="1" t="s">
        <v>112</v>
      </c>
      <c r="BY375" s="1" t="s">
        <v>112</v>
      </c>
      <c r="BZ375" s="1" t="s">
        <v>112</v>
      </c>
      <c r="CA375" s="1" t="s">
        <v>112</v>
      </c>
      <c r="CB375" s="4">
        <v>43943.222072951387</v>
      </c>
      <c r="CC375" s="1">
        <v>1</v>
      </c>
      <c r="CD375" s="1">
        <v>1</v>
      </c>
      <c r="CE375" s="1">
        <v>1</v>
      </c>
      <c r="CF375" s="1">
        <v>3</v>
      </c>
      <c r="CG375" s="4">
        <v>43943.222072951387</v>
      </c>
      <c r="CH375" s="1" t="s">
        <v>112</v>
      </c>
      <c r="CI375" s="1" t="s">
        <v>112</v>
      </c>
      <c r="CJ375" s="1" t="s">
        <v>112</v>
      </c>
    </row>
    <row r="376" spans="1:88" x14ac:dyDescent="0.35">
      <c r="A376" s="1">
        <v>6219</v>
      </c>
      <c r="B376" s="1" t="s">
        <v>5691</v>
      </c>
      <c r="C376" s="1" t="s">
        <v>5690</v>
      </c>
      <c r="D376" s="1" t="s">
        <v>259</v>
      </c>
      <c r="E376" s="1" t="s">
        <v>3713</v>
      </c>
      <c r="F376" s="1" t="s">
        <v>2704</v>
      </c>
      <c r="G376" s="1">
        <v>0</v>
      </c>
      <c r="H376" s="3">
        <v>34036</v>
      </c>
      <c r="I376" s="1">
        <v>1</v>
      </c>
      <c r="J376" s="1" t="s">
        <v>162</v>
      </c>
      <c r="K376" s="1" t="s">
        <v>163</v>
      </c>
      <c r="L376" s="2">
        <f>91-7575899767</f>
        <v>-7575899676</v>
      </c>
      <c r="M376" s="1" t="s">
        <v>150</v>
      </c>
      <c r="N376" s="1">
        <v>0</v>
      </c>
      <c r="O376" s="1">
        <v>0</v>
      </c>
      <c r="P376" s="1">
        <v>5.07</v>
      </c>
      <c r="Q376" s="1">
        <v>46</v>
      </c>
      <c r="R376" s="1" t="s">
        <v>292</v>
      </c>
      <c r="S376" s="1" t="s">
        <v>136</v>
      </c>
      <c r="T376" s="1" t="s">
        <v>1915</v>
      </c>
      <c r="U376" s="1" t="s">
        <v>3715</v>
      </c>
      <c r="V376" s="1" t="s">
        <v>364</v>
      </c>
      <c r="X376" s="1" t="s">
        <v>100</v>
      </c>
      <c r="Y376" s="1" t="s">
        <v>268</v>
      </c>
      <c r="Z376" s="1" t="s">
        <v>3050</v>
      </c>
      <c r="AB376" s="1">
        <v>0</v>
      </c>
      <c r="AD376" s="1" t="s">
        <v>5692</v>
      </c>
      <c r="AE376" s="1">
        <f>91-9979778986</f>
        <v>-9979778895</v>
      </c>
      <c r="AF376" s="1" t="s">
        <v>129</v>
      </c>
      <c r="AG376" s="1" t="s">
        <v>927</v>
      </c>
      <c r="AH376" s="1" t="s">
        <v>5693</v>
      </c>
      <c r="AI376" s="1" t="s">
        <v>5694</v>
      </c>
      <c r="AJ376" s="1" t="s">
        <v>109</v>
      </c>
      <c r="AK376" s="1" t="s">
        <v>5695</v>
      </c>
      <c r="AL376" s="1">
        <v>30</v>
      </c>
      <c r="AM376" s="1" t="s">
        <v>210</v>
      </c>
      <c r="AP376" s="1">
        <f>91-7575899767</f>
        <v>-7575899676</v>
      </c>
      <c r="AR376" s="1">
        <v>1</v>
      </c>
      <c r="AS376" s="1">
        <v>0</v>
      </c>
      <c r="AW376" s="1" t="s">
        <v>142</v>
      </c>
      <c r="AX376" s="1" t="s">
        <v>5696</v>
      </c>
      <c r="AY376" s="1" t="s">
        <v>150</v>
      </c>
      <c r="AZ376" s="1">
        <v>5.08</v>
      </c>
      <c r="BA376" s="1">
        <v>6.02</v>
      </c>
      <c r="BB376" s="1" t="s">
        <v>151</v>
      </c>
      <c r="BC376" s="1" t="s">
        <v>304</v>
      </c>
      <c r="BD376" s="1" t="s">
        <v>1333</v>
      </c>
      <c r="BE376" s="1" t="s">
        <v>1953</v>
      </c>
      <c r="BF376" s="1" t="s">
        <v>120</v>
      </c>
      <c r="BG376" s="1" t="s">
        <v>100</v>
      </c>
      <c r="BH376" s="1" t="s">
        <v>101</v>
      </c>
      <c r="BJ376" s="1" t="s">
        <v>120</v>
      </c>
      <c r="BK376" s="1" t="s">
        <v>120</v>
      </c>
      <c r="BL376" s="1">
        <v>0</v>
      </c>
      <c r="BM376" s="1">
        <v>1</v>
      </c>
      <c r="BN376" s="1" t="s">
        <v>5697</v>
      </c>
      <c r="BO376" s="1">
        <v>1</v>
      </c>
      <c r="BP376" s="1" t="s">
        <v>163</v>
      </c>
      <c r="BQ376" s="1" t="s">
        <v>180</v>
      </c>
      <c r="BR376" s="1">
        <v>1</v>
      </c>
      <c r="BS376" s="1" t="s">
        <v>354</v>
      </c>
      <c r="BT376" s="1" t="s">
        <v>124</v>
      </c>
      <c r="BV376" s="1" t="s">
        <v>112</v>
      </c>
      <c r="BW376" s="1" t="s">
        <v>5698</v>
      </c>
      <c r="BX376" s="1" t="s">
        <v>5699</v>
      </c>
      <c r="BY376" s="1" t="s">
        <v>465</v>
      </c>
      <c r="BZ376" s="1">
        <v>0</v>
      </c>
      <c r="CA376" s="1">
        <v>0</v>
      </c>
      <c r="CB376" s="4">
        <v>43943.22246863426</v>
      </c>
      <c r="CC376" s="1">
        <v>1</v>
      </c>
      <c r="CD376" s="1">
        <v>1</v>
      </c>
      <c r="CE376" s="1">
        <v>1</v>
      </c>
      <c r="CF376" s="1">
        <v>1</v>
      </c>
      <c r="CG376" s="4">
        <v>43954.309626192131</v>
      </c>
      <c r="CH376" s="1" t="s">
        <v>112</v>
      </c>
      <c r="CI376" s="1" t="s">
        <v>3724</v>
      </c>
      <c r="CJ376" s="1" t="s">
        <v>157</v>
      </c>
    </row>
    <row r="377" spans="1:88" x14ac:dyDescent="0.35">
      <c r="A377" s="1">
        <v>6222</v>
      </c>
      <c r="B377" s="1" t="s">
        <v>5700</v>
      </c>
      <c r="C377" s="1" t="s">
        <v>5701</v>
      </c>
      <c r="D377" s="1" t="s">
        <v>90</v>
      </c>
      <c r="E377" s="1" t="s">
        <v>5702</v>
      </c>
      <c r="F377" s="1" t="s">
        <v>5703</v>
      </c>
      <c r="G377" s="1">
        <v>1</v>
      </c>
      <c r="H377" s="3">
        <v>34772</v>
      </c>
      <c r="I377" s="1">
        <v>16</v>
      </c>
      <c r="J377" s="1" t="s">
        <v>5704</v>
      </c>
      <c r="K377" s="1" t="s">
        <v>5705</v>
      </c>
      <c r="L377" s="2">
        <f>61-4520243453</f>
        <v>-4520243392</v>
      </c>
      <c r="M377" s="1" t="s">
        <v>150</v>
      </c>
      <c r="N377" s="1">
        <v>0</v>
      </c>
      <c r="O377" s="1">
        <v>0</v>
      </c>
      <c r="P377" s="1">
        <v>5.0999999999999996</v>
      </c>
      <c r="Q377" s="1">
        <v>16</v>
      </c>
      <c r="R377" s="1" t="s">
        <v>535</v>
      </c>
      <c r="S377" s="1" t="s">
        <v>136</v>
      </c>
      <c r="T377" s="1" t="s">
        <v>427</v>
      </c>
      <c r="U377" s="1" t="s">
        <v>2540</v>
      </c>
      <c r="V377" s="1" t="s">
        <v>2540</v>
      </c>
      <c r="X377" s="1" t="s">
        <v>100</v>
      </c>
      <c r="Y377" s="1" t="s">
        <v>268</v>
      </c>
      <c r="Z377" s="1" t="s">
        <v>1557</v>
      </c>
      <c r="AB377" s="1">
        <v>0</v>
      </c>
      <c r="AD377" s="1" t="s">
        <v>5706</v>
      </c>
      <c r="AE377" s="1">
        <f>91-9824774353</f>
        <v>-9824774262</v>
      </c>
      <c r="AF377" s="1" t="s">
        <v>2541</v>
      </c>
      <c r="AG377" s="1" t="s">
        <v>3184</v>
      </c>
      <c r="AH377" s="1" t="s">
        <v>370</v>
      </c>
      <c r="AI377" s="1" t="s">
        <v>2800</v>
      </c>
      <c r="AJ377" s="1" t="s">
        <v>109</v>
      </c>
      <c r="AK377" s="1" t="s">
        <v>5707</v>
      </c>
      <c r="AL377" s="1">
        <v>5</v>
      </c>
      <c r="AM377" s="1" t="s">
        <v>2541</v>
      </c>
      <c r="AP377" s="1">
        <f>91-9825261832</f>
        <v>-9825261741</v>
      </c>
      <c r="AR377" s="1">
        <v>0</v>
      </c>
      <c r="AS377" s="1">
        <v>0</v>
      </c>
      <c r="AW377" s="1" t="s">
        <v>142</v>
      </c>
      <c r="AX377" s="1" t="s">
        <v>504</v>
      </c>
      <c r="AY377" s="1" t="s">
        <v>150</v>
      </c>
      <c r="AZ377" s="1">
        <v>4.1100000000000003</v>
      </c>
      <c r="BA377" s="1">
        <v>5.0999999999999996</v>
      </c>
      <c r="BB377" s="1" t="s">
        <v>151</v>
      </c>
      <c r="BC377" s="1" t="s">
        <v>152</v>
      </c>
      <c r="BD377" s="1" t="s">
        <v>1395</v>
      </c>
      <c r="BE377" s="1" t="s">
        <v>120</v>
      </c>
      <c r="BF377" s="1" t="s">
        <v>120</v>
      </c>
      <c r="BG377" s="1" t="s">
        <v>2541</v>
      </c>
      <c r="BH377" s="1" t="s">
        <v>2541</v>
      </c>
      <c r="BI377" s="1" t="s">
        <v>1557</v>
      </c>
      <c r="BL377" s="1">
        <v>0</v>
      </c>
      <c r="BM377" s="1">
        <v>0</v>
      </c>
      <c r="BN377" s="1" t="s">
        <v>5708</v>
      </c>
      <c r="BO377" s="1">
        <v>0</v>
      </c>
      <c r="BQ377" s="1" t="s">
        <v>180</v>
      </c>
      <c r="BR377" s="1">
        <v>0</v>
      </c>
      <c r="BS377" s="1" t="s">
        <v>307</v>
      </c>
      <c r="BT377" s="1" t="s">
        <v>124</v>
      </c>
      <c r="BV377" s="1" t="s">
        <v>112</v>
      </c>
      <c r="BW377" s="1" t="s">
        <v>5709</v>
      </c>
      <c r="BX377" s="1" t="s">
        <v>5710</v>
      </c>
      <c r="BY377" s="1" t="s">
        <v>120</v>
      </c>
      <c r="BZ377" s="1">
        <v>0</v>
      </c>
      <c r="CA377" s="1">
        <v>0</v>
      </c>
      <c r="CB377" s="4">
        <v>43957.336500034726</v>
      </c>
      <c r="CC377" s="1">
        <v>1</v>
      </c>
      <c r="CD377" s="1">
        <v>1</v>
      </c>
      <c r="CE377" s="1">
        <v>1</v>
      </c>
      <c r="CF377" s="1">
        <v>1</v>
      </c>
      <c r="CG377" s="4">
        <v>43980.328894444443</v>
      </c>
      <c r="CH377" s="1" t="s">
        <v>112</v>
      </c>
      <c r="CI377" s="1" t="s">
        <v>1119</v>
      </c>
      <c r="CJ377" s="1" t="s">
        <v>157</v>
      </c>
    </row>
    <row r="378" spans="1:88" x14ac:dyDescent="0.35">
      <c r="A378" s="1">
        <v>6228</v>
      </c>
      <c r="B378" s="1" t="s">
        <v>5711</v>
      </c>
      <c r="C378" s="1" t="s">
        <v>5712</v>
      </c>
      <c r="D378" s="1" t="s">
        <v>90</v>
      </c>
      <c r="E378" s="1" t="s">
        <v>5713</v>
      </c>
      <c r="F378" s="1" t="s">
        <v>5055</v>
      </c>
      <c r="G378" s="1">
        <v>1</v>
      </c>
      <c r="H378" s="3">
        <v>33304</v>
      </c>
      <c r="I378" s="1">
        <v>1</v>
      </c>
      <c r="J378" s="1" t="s">
        <v>93</v>
      </c>
      <c r="K378" s="1" t="s">
        <v>94</v>
      </c>
      <c r="L378" s="2">
        <f>91-7977401832</f>
        <v>-7977401741</v>
      </c>
      <c r="M378" s="1" t="s">
        <v>150</v>
      </c>
      <c r="N378" s="1">
        <v>0</v>
      </c>
      <c r="O378" s="1">
        <v>0</v>
      </c>
      <c r="P378" s="1">
        <v>5.05</v>
      </c>
      <c r="Q378" s="1">
        <v>49</v>
      </c>
      <c r="R378" s="1" t="s">
        <v>135</v>
      </c>
      <c r="S378" s="1" t="s">
        <v>233</v>
      </c>
      <c r="T378" s="1" t="s">
        <v>471</v>
      </c>
      <c r="U378" s="1" t="s">
        <v>2540</v>
      </c>
      <c r="V378" s="1" t="s">
        <v>2540</v>
      </c>
      <c r="X378" s="1" t="s">
        <v>296</v>
      </c>
      <c r="Y378" s="1" t="s">
        <v>210</v>
      </c>
      <c r="Z378" s="1" t="s">
        <v>3849</v>
      </c>
      <c r="AB378" s="1">
        <v>0</v>
      </c>
      <c r="AD378" s="1" t="s">
        <v>1758</v>
      </c>
      <c r="AE378" s="1" t="s">
        <v>142</v>
      </c>
      <c r="AF378" s="1" t="s">
        <v>2541</v>
      </c>
      <c r="AG378" s="1" t="s">
        <v>5714</v>
      </c>
      <c r="AH378" s="1" t="s">
        <v>5715</v>
      </c>
      <c r="AI378" s="1" t="s">
        <v>5716</v>
      </c>
      <c r="AJ378" s="1" t="s">
        <v>109</v>
      </c>
      <c r="AK378" s="1" t="s">
        <v>5717</v>
      </c>
      <c r="AL378" s="1">
        <v>5</v>
      </c>
      <c r="AM378" s="1" t="s">
        <v>2541</v>
      </c>
      <c r="AP378" s="1">
        <f>91-8484977566</f>
        <v>-8484977475</v>
      </c>
      <c r="AR378" s="1">
        <v>0</v>
      </c>
      <c r="AS378" s="1">
        <v>0</v>
      </c>
      <c r="AW378" s="1" t="s">
        <v>142</v>
      </c>
      <c r="AX378" s="1" t="s">
        <v>303</v>
      </c>
      <c r="AY378" s="1" t="s">
        <v>150</v>
      </c>
      <c r="AZ378" s="1">
        <v>5</v>
      </c>
      <c r="BA378" s="1">
        <v>5</v>
      </c>
      <c r="BB378" s="1" t="s">
        <v>151</v>
      </c>
      <c r="BC378" s="1" t="s">
        <v>152</v>
      </c>
      <c r="BD378" s="1" t="s">
        <v>1395</v>
      </c>
      <c r="BE378" s="1" t="s">
        <v>233</v>
      </c>
      <c r="BF378" s="1" t="s">
        <v>120</v>
      </c>
      <c r="BG378" s="1" t="s">
        <v>2541</v>
      </c>
      <c r="BH378" s="1" t="s">
        <v>2541</v>
      </c>
      <c r="BI378" s="1" t="s">
        <v>132</v>
      </c>
      <c r="BL378" s="1">
        <v>0</v>
      </c>
      <c r="BM378" s="1">
        <v>0</v>
      </c>
      <c r="BN378" s="1" t="s">
        <v>5718</v>
      </c>
      <c r="BO378" s="1">
        <v>0</v>
      </c>
      <c r="BQ378" s="1" t="s">
        <v>180</v>
      </c>
      <c r="BR378" s="1">
        <v>0</v>
      </c>
      <c r="BS378" s="1" t="s">
        <v>376</v>
      </c>
      <c r="BT378" s="1" t="s">
        <v>124</v>
      </c>
      <c r="BU378" s="1" t="s">
        <v>5719</v>
      </c>
      <c r="BV378" s="1" t="s">
        <v>112</v>
      </c>
      <c r="BW378" s="1" t="s">
        <v>5720</v>
      </c>
      <c r="BX378" s="1" t="s">
        <v>5721</v>
      </c>
      <c r="BY378" s="1" t="s">
        <v>120</v>
      </c>
      <c r="BZ378" s="1">
        <v>0</v>
      </c>
      <c r="CA378" s="1">
        <v>0</v>
      </c>
      <c r="CB378" s="4">
        <v>43975.994889965281</v>
      </c>
      <c r="CC378" s="1">
        <v>1</v>
      </c>
      <c r="CD378" s="1">
        <v>1</v>
      </c>
      <c r="CE378" s="1">
        <v>1</v>
      </c>
      <c r="CF378" s="1">
        <v>1</v>
      </c>
      <c r="CG378" s="4">
        <v>43976.356584062501</v>
      </c>
      <c r="CH378" s="1" t="s">
        <v>112</v>
      </c>
      <c r="CI378" s="1" t="s">
        <v>1010</v>
      </c>
      <c r="CJ378" s="1" t="s">
        <v>157</v>
      </c>
    </row>
    <row r="379" spans="1:88" x14ac:dyDescent="0.35">
      <c r="A379" s="1">
        <v>6229</v>
      </c>
      <c r="B379" s="1" t="s">
        <v>5722</v>
      </c>
      <c r="C379" s="1" t="s">
        <v>5723</v>
      </c>
      <c r="D379" s="1" t="s">
        <v>90</v>
      </c>
      <c r="E379" s="1" t="s">
        <v>5724</v>
      </c>
      <c r="F379" s="1" t="s">
        <v>5725</v>
      </c>
      <c r="G379" s="1">
        <v>1</v>
      </c>
      <c r="H379" s="3">
        <v>34395</v>
      </c>
      <c r="I379" s="1">
        <v>1</v>
      </c>
      <c r="J379" s="1" t="s">
        <v>162</v>
      </c>
      <c r="K379" s="1" t="s">
        <v>4132</v>
      </c>
      <c r="L379" s="2">
        <f>91-9173143044</f>
        <v>-9173142953</v>
      </c>
      <c r="M379" s="1" t="s">
        <v>95</v>
      </c>
      <c r="N379" s="1">
        <v>0</v>
      </c>
      <c r="O379" s="1">
        <v>0</v>
      </c>
      <c r="P379" s="1">
        <v>5.0599999999999996</v>
      </c>
      <c r="Q379" s="1">
        <v>34</v>
      </c>
      <c r="R379" s="1" t="s">
        <v>2625</v>
      </c>
      <c r="S379" s="1" t="s">
        <v>492</v>
      </c>
      <c r="T379" s="1" t="s">
        <v>5726</v>
      </c>
      <c r="U379" s="1" t="s">
        <v>2540</v>
      </c>
      <c r="V379" s="1" t="s">
        <v>2540</v>
      </c>
      <c r="X379" s="1" t="s">
        <v>296</v>
      </c>
      <c r="Y379" s="1" t="s">
        <v>111</v>
      </c>
      <c r="Z379" s="1" t="s">
        <v>192</v>
      </c>
      <c r="AB379" s="1">
        <v>0</v>
      </c>
      <c r="AD379" s="1" t="s">
        <v>5727</v>
      </c>
      <c r="AE379" s="1" t="s">
        <v>142</v>
      </c>
      <c r="AF379" s="1" t="s">
        <v>2541</v>
      </c>
      <c r="AG379" s="1" t="s">
        <v>5725</v>
      </c>
      <c r="AH379" s="1" t="s">
        <v>5728</v>
      </c>
      <c r="AI379" s="1" t="s">
        <v>5729</v>
      </c>
      <c r="AJ379" s="1" t="s">
        <v>478</v>
      </c>
      <c r="AK379" s="1" t="s">
        <v>5730</v>
      </c>
      <c r="AL379" s="1">
        <v>1</v>
      </c>
      <c r="AM379" s="1" t="s">
        <v>2541</v>
      </c>
      <c r="AP379" s="1">
        <f>91-9428726831</f>
        <v>-9428726740</v>
      </c>
      <c r="AR379" s="1">
        <v>0</v>
      </c>
      <c r="AS379" s="1">
        <v>0</v>
      </c>
      <c r="AW379" s="1" t="s">
        <v>142</v>
      </c>
      <c r="AX379" s="1" t="s">
        <v>460</v>
      </c>
      <c r="AY379" s="1" t="s">
        <v>95</v>
      </c>
      <c r="AZ379" s="1">
        <v>4.0999999999999996</v>
      </c>
      <c r="BA379" s="1">
        <v>5.07</v>
      </c>
      <c r="BB379" s="1" t="s">
        <v>151</v>
      </c>
      <c r="BC379" s="1" t="s">
        <v>152</v>
      </c>
      <c r="BD379" s="1" t="s">
        <v>1395</v>
      </c>
      <c r="BE379" s="1" t="s">
        <v>120</v>
      </c>
      <c r="BF379" s="1" t="s">
        <v>120</v>
      </c>
      <c r="BG379" s="1" t="s">
        <v>2541</v>
      </c>
      <c r="BH379" s="1" t="s">
        <v>2541</v>
      </c>
      <c r="BI379" s="1" t="s">
        <v>192</v>
      </c>
      <c r="BL379" s="1">
        <v>0</v>
      </c>
      <c r="BM379" s="1">
        <v>0</v>
      </c>
      <c r="BN379" s="1" t="s">
        <v>5731</v>
      </c>
      <c r="BO379" s="1">
        <v>1</v>
      </c>
      <c r="BP379" s="1" t="s">
        <v>5732</v>
      </c>
      <c r="BQ379" s="1" t="s">
        <v>112</v>
      </c>
      <c r="BR379" s="1">
        <v>0</v>
      </c>
      <c r="BS379" s="1" t="s">
        <v>129</v>
      </c>
      <c r="BT379" s="1" t="s">
        <v>124</v>
      </c>
      <c r="BU379" s="1" t="s">
        <v>112</v>
      </c>
      <c r="BV379" s="1" t="s">
        <v>112</v>
      </c>
      <c r="BW379" s="1" t="s">
        <v>5733</v>
      </c>
      <c r="BX379" s="1" t="s">
        <v>112</v>
      </c>
      <c r="BY379" s="1" t="s">
        <v>120</v>
      </c>
      <c r="BZ379" s="1">
        <v>0</v>
      </c>
      <c r="CA379" s="1">
        <v>0</v>
      </c>
      <c r="CB379" s="4">
        <v>43977.977888576388</v>
      </c>
      <c r="CC379" s="1">
        <v>0</v>
      </c>
      <c r="CD379" s="1">
        <v>0</v>
      </c>
      <c r="CE379" s="1">
        <v>0</v>
      </c>
      <c r="CF379" s="1">
        <v>0</v>
      </c>
      <c r="CG379" s="4">
        <v>43995.450256944445</v>
      </c>
      <c r="CH379" s="1" t="s">
        <v>112</v>
      </c>
      <c r="CI379" s="1" t="s">
        <v>5734</v>
      </c>
      <c r="CJ379" s="1" t="s">
        <v>157</v>
      </c>
    </row>
    <row r="380" spans="1:88" x14ac:dyDescent="0.35">
      <c r="A380" s="1">
        <v>6230</v>
      </c>
      <c r="B380" s="1" t="s">
        <v>5735</v>
      </c>
      <c r="C380" s="1" t="s">
        <v>5736</v>
      </c>
      <c r="D380" s="1" t="s">
        <v>90</v>
      </c>
      <c r="E380" s="1" t="s">
        <v>1450</v>
      </c>
      <c r="F380" s="1" t="s">
        <v>5737</v>
      </c>
      <c r="G380" s="1">
        <v>1</v>
      </c>
      <c r="H380" s="3">
        <v>33915</v>
      </c>
      <c r="I380" s="1">
        <v>1</v>
      </c>
      <c r="J380" s="1" t="s">
        <v>162</v>
      </c>
      <c r="K380" s="1" t="s">
        <v>4872</v>
      </c>
      <c r="L380" s="2">
        <f>91-9537016878</f>
        <v>-9537016787</v>
      </c>
      <c r="M380" s="1" t="s">
        <v>95</v>
      </c>
      <c r="N380" s="1">
        <v>0</v>
      </c>
      <c r="O380" s="1">
        <v>0</v>
      </c>
      <c r="P380" s="1">
        <v>5.04</v>
      </c>
      <c r="Q380" s="1">
        <v>19</v>
      </c>
      <c r="R380" s="1" t="s">
        <v>714</v>
      </c>
      <c r="S380" s="1" t="s">
        <v>97</v>
      </c>
      <c r="T380" s="1" t="s">
        <v>427</v>
      </c>
      <c r="U380" s="1" t="s">
        <v>2540</v>
      </c>
      <c r="V380" s="1" t="s">
        <v>2540</v>
      </c>
      <c r="X380" s="1" t="s">
        <v>170</v>
      </c>
      <c r="Y380" s="1" t="s">
        <v>210</v>
      </c>
      <c r="Z380" s="1" t="s">
        <v>1557</v>
      </c>
      <c r="AB380" s="1">
        <v>0</v>
      </c>
      <c r="AD380" s="1" t="s">
        <v>5738</v>
      </c>
      <c r="AE380" s="1" t="s">
        <v>142</v>
      </c>
      <c r="AF380" s="1" t="s">
        <v>112</v>
      </c>
      <c r="AG380" s="1" t="s">
        <v>112</v>
      </c>
      <c r="AH380" s="1" t="s">
        <v>112</v>
      </c>
      <c r="AI380" s="1" t="s">
        <v>112</v>
      </c>
      <c r="AJ380" s="1" t="s">
        <v>112</v>
      </c>
      <c r="AK380" s="1" t="s">
        <v>112</v>
      </c>
      <c r="AL380" s="1" t="s">
        <v>112</v>
      </c>
      <c r="AM380" s="1" t="s">
        <v>112</v>
      </c>
      <c r="AN380" s="1" t="s">
        <v>112</v>
      </c>
      <c r="AO380" s="1" t="s">
        <v>112</v>
      </c>
      <c r="AP380" s="1" t="s">
        <v>112</v>
      </c>
      <c r="AQ380" s="1" t="s">
        <v>112</v>
      </c>
      <c r="AR380" s="1" t="s">
        <v>112</v>
      </c>
      <c r="AS380" s="1" t="s">
        <v>112</v>
      </c>
      <c r="AT380" s="1" t="s">
        <v>112</v>
      </c>
      <c r="AU380" s="1" t="s">
        <v>112</v>
      </c>
      <c r="AV380" s="1" t="s">
        <v>112</v>
      </c>
      <c r="AW380" s="1" t="s">
        <v>112</v>
      </c>
      <c r="AX380" s="1" t="s">
        <v>112</v>
      </c>
      <c r="AY380" s="1" t="s">
        <v>112</v>
      </c>
      <c r="AZ380" s="1" t="s">
        <v>112</v>
      </c>
      <c r="BA380" s="1" t="s">
        <v>112</v>
      </c>
      <c r="BB380" s="1" t="s">
        <v>112</v>
      </c>
      <c r="BC380" s="1" t="s">
        <v>112</v>
      </c>
      <c r="BD380" s="1" t="s">
        <v>112</v>
      </c>
      <c r="BE380" s="1" t="s">
        <v>112</v>
      </c>
      <c r="BF380" s="1" t="s">
        <v>112</v>
      </c>
      <c r="BG380" s="1" t="s">
        <v>112</v>
      </c>
      <c r="BH380" s="1" t="s">
        <v>112</v>
      </c>
      <c r="BI380" s="1" t="s">
        <v>112</v>
      </c>
      <c r="BJ380" s="1" t="s">
        <v>112</v>
      </c>
      <c r="BK380" s="1" t="s">
        <v>112</v>
      </c>
      <c r="BL380" s="1" t="s">
        <v>112</v>
      </c>
      <c r="BM380" s="1" t="s">
        <v>112</v>
      </c>
      <c r="BN380" s="1" t="s">
        <v>112</v>
      </c>
      <c r="BO380" s="1" t="s">
        <v>112</v>
      </c>
      <c r="BP380" s="1" t="s">
        <v>112</v>
      </c>
      <c r="BQ380" s="1" t="s">
        <v>112</v>
      </c>
      <c r="BR380" s="1" t="s">
        <v>112</v>
      </c>
      <c r="BS380" s="1" t="s">
        <v>112</v>
      </c>
      <c r="BT380" s="1" t="s">
        <v>112</v>
      </c>
      <c r="BU380" s="1" t="s">
        <v>112</v>
      </c>
      <c r="BV380" s="1" t="s">
        <v>112</v>
      </c>
      <c r="BW380" s="1" t="s">
        <v>112</v>
      </c>
      <c r="BX380" s="1" t="s">
        <v>112</v>
      </c>
      <c r="BY380" s="1" t="s">
        <v>112</v>
      </c>
      <c r="BZ380" s="1" t="s">
        <v>112</v>
      </c>
      <c r="CA380" s="1" t="s">
        <v>112</v>
      </c>
      <c r="CB380" s="4">
        <v>43980.19809027778</v>
      </c>
      <c r="CC380" s="1">
        <v>0</v>
      </c>
      <c r="CD380" s="1">
        <v>0</v>
      </c>
      <c r="CE380" s="1">
        <v>0</v>
      </c>
      <c r="CF380" s="1">
        <v>0</v>
      </c>
      <c r="CG380" s="4">
        <v>43980.19809027778</v>
      </c>
      <c r="CH380" s="1" t="s">
        <v>112</v>
      </c>
      <c r="CI380" s="1" t="s">
        <v>112</v>
      </c>
      <c r="CJ380" s="1" t="s">
        <v>112</v>
      </c>
    </row>
    <row r="381" spans="1:88" x14ac:dyDescent="0.35">
      <c r="A381" s="1">
        <v>6231</v>
      </c>
      <c r="B381" s="1" t="s">
        <v>5739</v>
      </c>
      <c r="C381" s="1" t="s">
        <v>5740</v>
      </c>
      <c r="D381" s="1" t="s">
        <v>90</v>
      </c>
      <c r="E381" s="1" t="s">
        <v>5741</v>
      </c>
      <c r="F381" s="1" t="s">
        <v>3527</v>
      </c>
      <c r="G381" s="1">
        <v>1</v>
      </c>
      <c r="H381" s="3">
        <v>34522</v>
      </c>
      <c r="I381" s="1">
        <v>1</v>
      </c>
      <c r="J381" s="1" t="s">
        <v>162</v>
      </c>
      <c r="K381" s="1" t="s">
        <v>163</v>
      </c>
      <c r="L381" s="2">
        <f>91-9558798898</f>
        <v>-9558798807</v>
      </c>
      <c r="M381" s="1" t="s">
        <v>150</v>
      </c>
      <c r="N381" s="1">
        <v>0</v>
      </c>
      <c r="O381" s="1">
        <v>0</v>
      </c>
      <c r="P381" s="1">
        <v>5.09</v>
      </c>
      <c r="Q381" s="1">
        <v>46</v>
      </c>
      <c r="R381" s="1" t="s">
        <v>292</v>
      </c>
      <c r="S381" s="1" t="s">
        <v>97</v>
      </c>
      <c r="T381" s="1" t="s">
        <v>137</v>
      </c>
      <c r="U381" s="1" t="s">
        <v>2540</v>
      </c>
      <c r="V381" s="1" t="s">
        <v>2540</v>
      </c>
      <c r="X381" s="1" t="s">
        <v>170</v>
      </c>
      <c r="Y381" s="1" t="s">
        <v>101</v>
      </c>
      <c r="Z381" s="1" t="s">
        <v>1193</v>
      </c>
      <c r="AA381" s="1" t="s">
        <v>5742</v>
      </c>
      <c r="AB381" s="1">
        <v>0</v>
      </c>
      <c r="AD381" s="1" t="s">
        <v>5743</v>
      </c>
      <c r="AE381" s="1" t="s">
        <v>142</v>
      </c>
      <c r="AF381" s="1" t="s">
        <v>105</v>
      </c>
      <c r="AG381" s="1" t="s">
        <v>5744</v>
      </c>
      <c r="AH381" s="1" t="s">
        <v>5745</v>
      </c>
      <c r="AI381" s="1" t="s">
        <v>5746</v>
      </c>
      <c r="AJ381" s="1" t="s">
        <v>109</v>
      </c>
      <c r="AK381" s="1" t="s">
        <v>5747</v>
      </c>
      <c r="AL381" s="1">
        <v>5</v>
      </c>
      <c r="AM381" s="1" t="s">
        <v>111</v>
      </c>
      <c r="AO381" s="1" t="s">
        <v>5748</v>
      </c>
      <c r="AP381" s="1">
        <f>91-8155012171</f>
        <v>-8155012080</v>
      </c>
      <c r="AR381" s="1">
        <v>1</v>
      </c>
      <c r="AS381" s="1">
        <v>0</v>
      </c>
      <c r="AW381" s="1" t="s">
        <v>142</v>
      </c>
      <c r="AX381" s="1" t="s">
        <v>149</v>
      </c>
      <c r="AY381" s="1" t="s">
        <v>150</v>
      </c>
      <c r="AZ381" s="1">
        <v>5</v>
      </c>
      <c r="BA381" s="1">
        <v>5.0599999999999996</v>
      </c>
      <c r="BB381" s="1" t="s">
        <v>151</v>
      </c>
      <c r="BC381" s="1" t="s">
        <v>304</v>
      </c>
      <c r="BD381" s="1" t="s">
        <v>1333</v>
      </c>
      <c r="BE381" s="1" t="s">
        <v>219</v>
      </c>
      <c r="BF381" s="1" t="s">
        <v>120</v>
      </c>
      <c r="BG381" s="1" t="s">
        <v>120</v>
      </c>
      <c r="BH381" s="1" t="s">
        <v>120</v>
      </c>
      <c r="BI381" s="1" t="s">
        <v>1193</v>
      </c>
      <c r="BJ381" s="1" t="s">
        <v>120</v>
      </c>
      <c r="BK381" s="1" t="s">
        <v>120</v>
      </c>
      <c r="BL381" s="1">
        <v>0</v>
      </c>
      <c r="BM381" s="1">
        <v>0</v>
      </c>
      <c r="BN381" s="1" t="s">
        <v>5749</v>
      </c>
      <c r="BO381" s="1">
        <v>1</v>
      </c>
      <c r="BP381" s="1" t="s">
        <v>5750</v>
      </c>
      <c r="BQ381" s="1" t="s">
        <v>112</v>
      </c>
      <c r="BR381" s="1">
        <v>1</v>
      </c>
      <c r="BS381" s="1" t="s">
        <v>252</v>
      </c>
      <c r="BT381" s="1" t="s">
        <v>124</v>
      </c>
      <c r="BU381" s="1" t="s">
        <v>5751</v>
      </c>
      <c r="BV381" s="1" t="s">
        <v>112</v>
      </c>
      <c r="BW381" s="1" t="s">
        <v>5752</v>
      </c>
      <c r="BX381" s="1" t="s">
        <v>5753</v>
      </c>
      <c r="BY381" s="1" t="s">
        <v>120</v>
      </c>
      <c r="BZ381" s="1">
        <v>1</v>
      </c>
      <c r="CA381" s="1">
        <v>0</v>
      </c>
      <c r="CB381" s="4">
        <v>43982.062255787037</v>
      </c>
      <c r="CC381" s="1">
        <v>1</v>
      </c>
      <c r="CD381" s="1">
        <v>1</v>
      </c>
      <c r="CE381" s="1">
        <v>1</v>
      </c>
      <c r="CF381" s="1">
        <v>1</v>
      </c>
      <c r="CG381" s="4">
        <v>44058.500691898145</v>
      </c>
      <c r="CH381" s="1" t="s">
        <v>112</v>
      </c>
      <c r="CI381" s="1" t="s">
        <v>5750</v>
      </c>
      <c r="CJ381" s="1" t="s">
        <v>157</v>
      </c>
    </row>
    <row r="382" spans="1:88" x14ac:dyDescent="0.35">
      <c r="A382" s="1">
        <v>6232</v>
      </c>
      <c r="B382" s="1" t="s">
        <v>5754</v>
      </c>
      <c r="C382" s="1" t="s">
        <v>5755</v>
      </c>
      <c r="D382" s="1" t="s">
        <v>229</v>
      </c>
      <c r="E382" s="1" t="s">
        <v>5756</v>
      </c>
      <c r="F382" s="1" t="s">
        <v>185</v>
      </c>
      <c r="G382" s="1">
        <v>1</v>
      </c>
      <c r="H382" s="3">
        <v>34374</v>
      </c>
      <c r="I382" s="1">
        <v>1</v>
      </c>
      <c r="J382" s="1" t="s">
        <v>162</v>
      </c>
      <c r="K382" s="1" t="s">
        <v>1037</v>
      </c>
      <c r="L382" s="2">
        <f>91-8849899355</f>
        <v>-8849899264</v>
      </c>
      <c r="M382" s="1" t="s">
        <v>150</v>
      </c>
      <c r="N382" s="1">
        <v>0</v>
      </c>
      <c r="O382" s="1">
        <v>0</v>
      </c>
      <c r="P382" s="1">
        <v>5.09</v>
      </c>
      <c r="Q382" s="1">
        <v>14</v>
      </c>
      <c r="R382" s="1" t="s">
        <v>164</v>
      </c>
      <c r="S382" s="1" t="s">
        <v>136</v>
      </c>
      <c r="T382" s="1" t="s">
        <v>137</v>
      </c>
      <c r="U382" s="1" t="s">
        <v>2540</v>
      </c>
      <c r="V382" s="1" t="s">
        <v>2540</v>
      </c>
      <c r="X382" s="1" t="s">
        <v>296</v>
      </c>
      <c r="Y382" s="1" t="s">
        <v>210</v>
      </c>
      <c r="Z382" s="1" t="s">
        <v>556</v>
      </c>
      <c r="AB382" s="1">
        <v>0</v>
      </c>
      <c r="AD382" s="1" t="s">
        <v>5757</v>
      </c>
      <c r="AE382" s="1">
        <f>91-8849899355</f>
        <v>-8849899264</v>
      </c>
      <c r="AF382" s="1" t="s">
        <v>2541</v>
      </c>
      <c r="AG382" s="1" t="s">
        <v>5758</v>
      </c>
      <c r="AH382" s="1" t="s">
        <v>5759</v>
      </c>
      <c r="AI382" s="1" t="s">
        <v>5760</v>
      </c>
      <c r="AJ382" s="1" t="s">
        <v>109</v>
      </c>
      <c r="AK382" s="1" t="s">
        <v>5761</v>
      </c>
      <c r="AL382" s="1">
        <v>1</v>
      </c>
      <c r="AM382" s="1" t="s">
        <v>2541</v>
      </c>
      <c r="AP382" s="1">
        <f>91-8849899355</f>
        <v>-8849899264</v>
      </c>
      <c r="AR382" s="1">
        <v>0</v>
      </c>
      <c r="AS382" s="1">
        <v>0</v>
      </c>
      <c r="AW382" s="1" t="s">
        <v>142</v>
      </c>
      <c r="AX382" s="1" t="s">
        <v>763</v>
      </c>
      <c r="AY382" s="1" t="s">
        <v>1332</v>
      </c>
      <c r="AZ382" s="1">
        <v>4</v>
      </c>
      <c r="BA382" s="1">
        <v>6.05</v>
      </c>
      <c r="BB382" s="1" t="s">
        <v>151</v>
      </c>
      <c r="BC382" s="1" t="s">
        <v>152</v>
      </c>
      <c r="BD382" s="1" t="s">
        <v>1395</v>
      </c>
      <c r="BE382" s="1" t="s">
        <v>120</v>
      </c>
      <c r="BF382" s="1" t="s">
        <v>120</v>
      </c>
      <c r="BG382" s="1" t="s">
        <v>2541</v>
      </c>
      <c r="BH382" s="1" t="s">
        <v>2541</v>
      </c>
      <c r="BI382" s="1" t="s">
        <v>556</v>
      </c>
      <c r="BL382" s="1">
        <v>0</v>
      </c>
      <c r="BM382" s="1">
        <v>0</v>
      </c>
      <c r="BN382" s="1" t="s">
        <v>5762</v>
      </c>
      <c r="BO382" s="1" t="s">
        <v>112</v>
      </c>
      <c r="BP382" s="1" t="s">
        <v>112</v>
      </c>
      <c r="BQ382" s="1" t="s">
        <v>112</v>
      </c>
      <c r="BR382" s="1" t="s">
        <v>112</v>
      </c>
      <c r="BS382" s="1" t="s">
        <v>112</v>
      </c>
      <c r="BT382" s="1" t="s">
        <v>112</v>
      </c>
      <c r="BU382" s="1" t="s">
        <v>112</v>
      </c>
      <c r="BV382" s="1" t="s">
        <v>112</v>
      </c>
      <c r="BW382" s="1" t="s">
        <v>112</v>
      </c>
      <c r="BX382" s="1" t="s">
        <v>112</v>
      </c>
      <c r="BY382" s="1" t="s">
        <v>120</v>
      </c>
      <c r="BZ382" s="1">
        <v>0</v>
      </c>
      <c r="CA382" s="1">
        <v>0</v>
      </c>
      <c r="CB382" s="4">
        <v>43990.04639679398</v>
      </c>
      <c r="CC382" s="1">
        <v>0</v>
      </c>
      <c r="CD382" s="1">
        <v>0</v>
      </c>
      <c r="CE382" s="1">
        <v>0</v>
      </c>
      <c r="CF382" s="1">
        <v>0</v>
      </c>
      <c r="CG382" s="4">
        <v>43990.04639679398</v>
      </c>
      <c r="CH382" s="1" t="s">
        <v>112</v>
      </c>
      <c r="CI382" s="1" t="s">
        <v>5763</v>
      </c>
      <c r="CJ382" s="1" t="s">
        <v>157</v>
      </c>
    </row>
    <row r="383" spans="1:88" x14ac:dyDescent="0.35">
      <c r="A383" s="1">
        <v>6233</v>
      </c>
      <c r="B383" s="1" t="s">
        <v>5764</v>
      </c>
      <c r="C383" s="1" t="s">
        <v>5765</v>
      </c>
      <c r="D383" s="1" t="s">
        <v>90</v>
      </c>
      <c r="E383" s="1" t="s">
        <v>5766</v>
      </c>
      <c r="F383" s="1" t="s">
        <v>581</v>
      </c>
      <c r="G383" s="1">
        <v>1</v>
      </c>
      <c r="H383" s="3">
        <v>34526</v>
      </c>
      <c r="I383" s="1">
        <v>1</v>
      </c>
      <c r="J383" s="1" t="s">
        <v>162</v>
      </c>
      <c r="K383" s="1" t="s">
        <v>163</v>
      </c>
      <c r="L383" s="2">
        <f>91-9662761699</f>
        <v>-9662761608</v>
      </c>
      <c r="M383" s="1" t="s">
        <v>150</v>
      </c>
      <c r="N383" s="1">
        <v>0</v>
      </c>
      <c r="O383" s="1">
        <v>0</v>
      </c>
      <c r="P383" s="1">
        <v>5.0999999999999996</v>
      </c>
      <c r="Q383" s="1">
        <v>43</v>
      </c>
      <c r="R383" s="1" t="s">
        <v>2650</v>
      </c>
      <c r="S383" s="1" t="s">
        <v>136</v>
      </c>
      <c r="T383" s="1" t="s">
        <v>137</v>
      </c>
      <c r="U383" s="1" t="s">
        <v>5767</v>
      </c>
      <c r="X383" s="1" t="s">
        <v>170</v>
      </c>
      <c r="Y383" s="1" t="s">
        <v>111</v>
      </c>
      <c r="Z383" s="1" t="s">
        <v>192</v>
      </c>
      <c r="AB383" s="1">
        <v>0</v>
      </c>
      <c r="AE383" s="1" t="s">
        <v>142</v>
      </c>
      <c r="AF383" s="1" t="s">
        <v>112</v>
      </c>
      <c r="AG383" s="1" t="s">
        <v>112</v>
      </c>
      <c r="AH383" s="1" t="s">
        <v>112</v>
      </c>
      <c r="AI383" s="1" t="s">
        <v>112</v>
      </c>
      <c r="AJ383" s="1" t="s">
        <v>112</v>
      </c>
      <c r="AK383" s="1" t="s">
        <v>112</v>
      </c>
      <c r="AL383" s="1" t="s">
        <v>112</v>
      </c>
      <c r="AM383" s="1" t="s">
        <v>112</v>
      </c>
      <c r="AN383" s="1" t="s">
        <v>112</v>
      </c>
      <c r="AO383" s="1" t="s">
        <v>112</v>
      </c>
      <c r="AP383" s="1" t="s">
        <v>112</v>
      </c>
      <c r="AQ383" s="1" t="s">
        <v>112</v>
      </c>
      <c r="AR383" s="1" t="s">
        <v>112</v>
      </c>
      <c r="AS383" s="1" t="s">
        <v>112</v>
      </c>
      <c r="AT383" s="1" t="s">
        <v>112</v>
      </c>
      <c r="AU383" s="1" t="s">
        <v>112</v>
      </c>
      <c r="AV383" s="1" t="s">
        <v>112</v>
      </c>
      <c r="AW383" s="1" t="s">
        <v>112</v>
      </c>
      <c r="AX383" s="1" t="s">
        <v>112</v>
      </c>
      <c r="AY383" s="1" t="s">
        <v>112</v>
      </c>
      <c r="AZ383" s="1" t="s">
        <v>112</v>
      </c>
      <c r="BA383" s="1" t="s">
        <v>112</v>
      </c>
      <c r="BB383" s="1" t="s">
        <v>112</v>
      </c>
      <c r="BC383" s="1" t="s">
        <v>112</v>
      </c>
      <c r="BD383" s="1" t="s">
        <v>112</v>
      </c>
      <c r="BE383" s="1" t="s">
        <v>112</v>
      </c>
      <c r="BF383" s="1" t="s">
        <v>112</v>
      </c>
      <c r="BG383" s="1" t="s">
        <v>112</v>
      </c>
      <c r="BH383" s="1" t="s">
        <v>112</v>
      </c>
      <c r="BI383" s="1" t="s">
        <v>112</v>
      </c>
      <c r="BJ383" s="1" t="s">
        <v>112</v>
      </c>
      <c r="BK383" s="1" t="s">
        <v>112</v>
      </c>
      <c r="BL383" s="1" t="s">
        <v>112</v>
      </c>
      <c r="BM383" s="1" t="s">
        <v>112</v>
      </c>
      <c r="BN383" s="1" t="s">
        <v>112</v>
      </c>
      <c r="BO383" s="1">
        <v>1</v>
      </c>
      <c r="BQ383" s="1" t="s">
        <v>112</v>
      </c>
      <c r="BR383" s="1">
        <v>0</v>
      </c>
      <c r="BS383" s="1" t="s">
        <v>129</v>
      </c>
      <c r="BT383" s="1" t="s">
        <v>124</v>
      </c>
      <c r="BU383" s="1" t="s">
        <v>112</v>
      </c>
      <c r="BV383" s="1" t="s">
        <v>112</v>
      </c>
      <c r="BW383" s="1" t="s">
        <v>112</v>
      </c>
      <c r="BX383" s="1" t="s">
        <v>112</v>
      </c>
      <c r="BY383" s="1" t="s">
        <v>112</v>
      </c>
      <c r="BZ383" s="1" t="s">
        <v>112</v>
      </c>
      <c r="CA383" s="1" t="s">
        <v>112</v>
      </c>
      <c r="CB383" s="4">
        <v>43990.072588113428</v>
      </c>
      <c r="CC383" s="1">
        <v>0</v>
      </c>
      <c r="CD383" s="1">
        <v>0</v>
      </c>
      <c r="CE383" s="1">
        <v>0</v>
      </c>
      <c r="CF383" s="1">
        <v>0</v>
      </c>
      <c r="CG383" s="4">
        <v>44041.655274456018</v>
      </c>
      <c r="CH383" s="1" t="s">
        <v>112</v>
      </c>
      <c r="CI383" s="1" t="s">
        <v>112</v>
      </c>
      <c r="CJ383" s="1" t="s">
        <v>112</v>
      </c>
    </row>
    <row r="384" spans="1:88" x14ac:dyDescent="0.35">
      <c r="A384" s="1">
        <v>6234</v>
      </c>
      <c r="B384" s="1" t="s">
        <v>5768</v>
      </c>
      <c r="C384" s="1" t="s">
        <v>5769</v>
      </c>
      <c r="D384" s="1" t="s">
        <v>259</v>
      </c>
      <c r="E384" s="1" t="s">
        <v>4121</v>
      </c>
      <c r="F384" s="1" t="s">
        <v>134</v>
      </c>
      <c r="G384" s="1">
        <v>0</v>
      </c>
      <c r="H384" s="3">
        <v>34247</v>
      </c>
      <c r="I384" s="1">
        <v>1</v>
      </c>
      <c r="J384" s="1" t="s">
        <v>162</v>
      </c>
      <c r="K384" s="1" t="s">
        <v>232</v>
      </c>
      <c r="L384" s="2">
        <f>91-9830049555</f>
        <v>-9830049464</v>
      </c>
      <c r="M384" s="1" t="s">
        <v>95</v>
      </c>
      <c r="N384" s="1">
        <v>0</v>
      </c>
      <c r="O384" s="1">
        <v>0</v>
      </c>
      <c r="P384" s="1">
        <v>5.05</v>
      </c>
      <c r="Q384" s="1">
        <v>5</v>
      </c>
      <c r="R384" s="1" t="s">
        <v>5625</v>
      </c>
      <c r="S384" s="1" t="s">
        <v>165</v>
      </c>
      <c r="T384" s="1" t="s">
        <v>471</v>
      </c>
      <c r="U384" s="1" t="s">
        <v>2510</v>
      </c>
      <c r="V384" s="1" t="s">
        <v>5770</v>
      </c>
      <c r="W384" s="1" t="s">
        <v>887</v>
      </c>
      <c r="X384" s="1" t="s">
        <v>100</v>
      </c>
      <c r="Y384" s="1" t="s">
        <v>114</v>
      </c>
      <c r="Z384" s="1" t="s">
        <v>1064</v>
      </c>
      <c r="AA384" s="1" t="s">
        <v>887</v>
      </c>
      <c r="AB384" s="1">
        <v>0</v>
      </c>
      <c r="AD384" s="1" t="s">
        <v>5771</v>
      </c>
      <c r="AE384" s="1">
        <f>91-9925559469</f>
        <v>-9925559378</v>
      </c>
      <c r="AF384" s="1" t="s">
        <v>143</v>
      </c>
      <c r="AG384" s="1" t="s">
        <v>1605</v>
      </c>
      <c r="AH384" s="1" t="s">
        <v>3731</v>
      </c>
      <c r="AI384" s="1" t="s">
        <v>5772</v>
      </c>
      <c r="AJ384" s="1" t="s">
        <v>109</v>
      </c>
      <c r="AK384" s="1" t="s">
        <v>5773</v>
      </c>
      <c r="AL384" s="1">
        <v>3</v>
      </c>
      <c r="AM384" s="1" t="s">
        <v>111</v>
      </c>
      <c r="AN384" s="1" t="s">
        <v>1261</v>
      </c>
      <c r="AO384" s="1" t="s">
        <v>5774</v>
      </c>
      <c r="AP384" s="1">
        <f>91-9925559469</f>
        <v>-9925559378</v>
      </c>
      <c r="AQ384" s="1" t="s">
        <v>887</v>
      </c>
      <c r="AR384" s="1">
        <v>1</v>
      </c>
      <c r="AS384" s="1">
        <v>1</v>
      </c>
      <c r="AT384" s="1" t="s">
        <v>5775</v>
      </c>
      <c r="AU384" s="1" t="s">
        <v>5776</v>
      </c>
      <c r="AV384" s="1" t="s">
        <v>5777</v>
      </c>
      <c r="AW384" s="1">
        <f>91-9898485834</f>
        <v>-9898485743</v>
      </c>
      <c r="AX384" s="1" t="s">
        <v>704</v>
      </c>
      <c r="AY384" s="1" t="s">
        <v>150</v>
      </c>
      <c r="AZ384" s="1">
        <v>5.0599999999999996</v>
      </c>
      <c r="BA384" s="1">
        <v>6</v>
      </c>
      <c r="BE384" s="1" t="s">
        <v>120</v>
      </c>
      <c r="BG384" s="1" t="s">
        <v>120</v>
      </c>
      <c r="BH384" s="1" t="s">
        <v>120</v>
      </c>
      <c r="BJ384" s="1" t="s">
        <v>154</v>
      </c>
      <c r="BK384" s="1" t="s">
        <v>120</v>
      </c>
      <c r="BL384" s="1">
        <v>0</v>
      </c>
      <c r="BM384" s="1">
        <v>0</v>
      </c>
      <c r="BN384" s="1" t="s">
        <v>5778</v>
      </c>
      <c r="BO384" s="1">
        <v>1</v>
      </c>
      <c r="BP384" s="1" t="s">
        <v>3636</v>
      </c>
      <c r="BQ384" s="1" t="s">
        <v>112</v>
      </c>
      <c r="BR384" s="1">
        <v>1</v>
      </c>
      <c r="BS384" s="1" t="s">
        <v>334</v>
      </c>
      <c r="BT384" s="1" t="s">
        <v>124</v>
      </c>
      <c r="BU384" s="1" t="s">
        <v>5779</v>
      </c>
      <c r="BV384" s="1" t="s">
        <v>112</v>
      </c>
      <c r="BW384" s="1" t="s">
        <v>5780</v>
      </c>
      <c r="BX384" s="1" t="s">
        <v>5781</v>
      </c>
      <c r="BY384" s="1" t="s">
        <v>465</v>
      </c>
      <c r="BZ384" s="1">
        <v>2</v>
      </c>
      <c r="CA384" s="1">
        <v>2</v>
      </c>
      <c r="CB384" s="4">
        <v>44000.403475543979</v>
      </c>
      <c r="CC384" s="1">
        <v>1</v>
      </c>
      <c r="CD384" s="1">
        <v>1</v>
      </c>
      <c r="CE384" s="1">
        <v>1</v>
      </c>
      <c r="CF384" s="1">
        <v>1</v>
      </c>
      <c r="CG384" s="4">
        <v>44103.351480555553</v>
      </c>
      <c r="CH384" s="1" t="s">
        <v>112</v>
      </c>
      <c r="CI384" s="1" t="s">
        <v>287</v>
      </c>
      <c r="CJ384" s="1" t="s">
        <v>129</v>
      </c>
    </row>
    <row r="385" spans="1:88" x14ac:dyDescent="0.35">
      <c r="A385" s="1">
        <v>6235</v>
      </c>
      <c r="B385" s="1" t="s">
        <v>5782</v>
      </c>
      <c r="C385" s="1" t="s">
        <v>5783</v>
      </c>
      <c r="D385" s="1" t="s">
        <v>90</v>
      </c>
      <c r="E385" s="1" t="s">
        <v>185</v>
      </c>
      <c r="F385" s="1" t="s">
        <v>5784</v>
      </c>
      <c r="G385" s="1">
        <v>1</v>
      </c>
      <c r="H385" s="3">
        <v>35030</v>
      </c>
      <c r="I385" s="1">
        <v>1</v>
      </c>
      <c r="J385" s="1" t="s">
        <v>162</v>
      </c>
      <c r="K385" s="1" t="s">
        <v>163</v>
      </c>
      <c r="L385" s="2">
        <f>91-8469351042</f>
        <v>-8469350951</v>
      </c>
      <c r="M385" s="1" t="s">
        <v>112</v>
      </c>
      <c r="N385" s="1" t="s">
        <v>112</v>
      </c>
      <c r="O385" s="1" t="s">
        <v>112</v>
      </c>
      <c r="P385" s="1" t="s">
        <v>112</v>
      </c>
      <c r="Q385" s="1" t="s">
        <v>112</v>
      </c>
      <c r="R385" s="1" t="s">
        <v>112</v>
      </c>
      <c r="S385" s="1" t="s">
        <v>112</v>
      </c>
      <c r="T385" s="1" t="s">
        <v>112</v>
      </c>
      <c r="U385" s="1" t="s">
        <v>112</v>
      </c>
      <c r="V385" s="1" t="s">
        <v>112</v>
      </c>
      <c r="W385" s="1" t="s">
        <v>112</v>
      </c>
      <c r="X385" s="1" t="s">
        <v>112</v>
      </c>
      <c r="Y385" s="1" t="s">
        <v>112</v>
      </c>
      <c r="Z385" s="1" t="s">
        <v>112</v>
      </c>
      <c r="AA385" s="1" t="s">
        <v>112</v>
      </c>
      <c r="AB385" s="1" t="s">
        <v>112</v>
      </c>
      <c r="AC385" s="1" t="s">
        <v>112</v>
      </c>
      <c r="AD385" s="1" t="s">
        <v>112</v>
      </c>
      <c r="AE385" s="1" t="s">
        <v>112</v>
      </c>
      <c r="AF385" s="1" t="s">
        <v>112</v>
      </c>
      <c r="AG385" s="1" t="s">
        <v>112</v>
      </c>
      <c r="AH385" s="1" t="s">
        <v>112</v>
      </c>
      <c r="AI385" s="1" t="s">
        <v>112</v>
      </c>
      <c r="AJ385" s="1" t="s">
        <v>112</v>
      </c>
      <c r="AK385" s="1" t="s">
        <v>112</v>
      </c>
      <c r="AL385" s="1" t="s">
        <v>112</v>
      </c>
      <c r="AM385" s="1" t="s">
        <v>112</v>
      </c>
      <c r="AN385" s="1" t="s">
        <v>112</v>
      </c>
      <c r="AO385" s="1" t="s">
        <v>112</v>
      </c>
      <c r="AP385" s="1" t="s">
        <v>112</v>
      </c>
      <c r="AQ385" s="1" t="s">
        <v>112</v>
      </c>
      <c r="AR385" s="1" t="s">
        <v>112</v>
      </c>
      <c r="AS385" s="1" t="s">
        <v>112</v>
      </c>
      <c r="AT385" s="1" t="s">
        <v>112</v>
      </c>
      <c r="AU385" s="1" t="s">
        <v>112</v>
      </c>
      <c r="AV385" s="1" t="s">
        <v>112</v>
      </c>
      <c r="AW385" s="1" t="s">
        <v>112</v>
      </c>
      <c r="AX385" s="1" t="s">
        <v>112</v>
      </c>
      <c r="AY385" s="1" t="s">
        <v>112</v>
      </c>
      <c r="AZ385" s="1" t="s">
        <v>112</v>
      </c>
      <c r="BA385" s="1" t="s">
        <v>112</v>
      </c>
      <c r="BB385" s="1" t="s">
        <v>112</v>
      </c>
      <c r="BC385" s="1" t="s">
        <v>112</v>
      </c>
      <c r="BD385" s="1" t="s">
        <v>112</v>
      </c>
      <c r="BE385" s="1" t="s">
        <v>112</v>
      </c>
      <c r="BF385" s="1" t="s">
        <v>112</v>
      </c>
      <c r="BG385" s="1" t="s">
        <v>112</v>
      </c>
      <c r="BH385" s="1" t="s">
        <v>112</v>
      </c>
      <c r="BI385" s="1" t="s">
        <v>112</v>
      </c>
      <c r="BJ385" s="1" t="s">
        <v>112</v>
      </c>
      <c r="BK385" s="1" t="s">
        <v>112</v>
      </c>
      <c r="BL385" s="1" t="s">
        <v>112</v>
      </c>
      <c r="BM385" s="1" t="s">
        <v>112</v>
      </c>
      <c r="BN385" s="1" t="s">
        <v>112</v>
      </c>
      <c r="BO385" s="1" t="s">
        <v>112</v>
      </c>
      <c r="BP385" s="1" t="s">
        <v>112</v>
      </c>
      <c r="BQ385" s="1" t="s">
        <v>112</v>
      </c>
      <c r="BR385" s="1" t="s">
        <v>112</v>
      </c>
      <c r="BS385" s="1" t="s">
        <v>112</v>
      </c>
      <c r="BT385" s="1" t="s">
        <v>112</v>
      </c>
      <c r="BU385" s="1" t="s">
        <v>112</v>
      </c>
      <c r="BV385" s="1" t="s">
        <v>112</v>
      </c>
      <c r="BW385" s="1" t="s">
        <v>112</v>
      </c>
      <c r="BX385" s="1" t="s">
        <v>112</v>
      </c>
      <c r="BY385" s="1" t="s">
        <v>112</v>
      </c>
      <c r="BZ385" s="1" t="s">
        <v>112</v>
      </c>
      <c r="CA385" s="1" t="s">
        <v>112</v>
      </c>
      <c r="CB385" s="4">
        <v>44002.890222766204</v>
      </c>
      <c r="CC385" s="1">
        <v>0</v>
      </c>
      <c r="CD385" s="1">
        <v>0</v>
      </c>
      <c r="CE385" s="1">
        <v>0</v>
      </c>
      <c r="CF385" s="1">
        <v>0</v>
      </c>
      <c r="CG385" s="4">
        <v>44002.890222766204</v>
      </c>
      <c r="CH385" s="1" t="s">
        <v>112</v>
      </c>
      <c r="CI385" s="1" t="s">
        <v>112</v>
      </c>
      <c r="CJ385" s="1" t="s">
        <v>112</v>
      </c>
    </row>
    <row r="386" spans="1:88" x14ac:dyDescent="0.35">
      <c r="A386" s="1">
        <v>6236</v>
      </c>
      <c r="B386" s="1" t="s">
        <v>5785</v>
      </c>
      <c r="C386" s="1" t="s">
        <v>5786</v>
      </c>
      <c r="D386" s="1" t="s">
        <v>90</v>
      </c>
      <c r="E386" s="1" t="s">
        <v>5787</v>
      </c>
      <c r="F386" s="1" t="s">
        <v>134</v>
      </c>
      <c r="G386" s="1">
        <v>1</v>
      </c>
      <c r="H386" s="3">
        <v>33462</v>
      </c>
      <c r="I386" s="1">
        <v>1</v>
      </c>
      <c r="J386" s="1" t="s">
        <v>162</v>
      </c>
      <c r="K386" s="1" t="s">
        <v>163</v>
      </c>
      <c r="L386" s="2">
        <f>91-8469997539</f>
        <v>-8469997448</v>
      </c>
      <c r="M386" s="1" t="s">
        <v>112</v>
      </c>
      <c r="N386" s="1" t="s">
        <v>112</v>
      </c>
      <c r="O386" s="1" t="s">
        <v>112</v>
      </c>
      <c r="P386" s="1" t="s">
        <v>112</v>
      </c>
      <c r="Q386" s="1" t="s">
        <v>112</v>
      </c>
      <c r="R386" s="1" t="s">
        <v>112</v>
      </c>
      <c r="S386" s="1" t="s">
        <v>112</v>
      </c>
      <c r="T386" s="1" t="s">
        <v>112</v>
      </c>
      <c r="U386" s="1" t="s">
        <v>112</v>
      </c>
      <c r="V386" s="1" t="s">
        <v>112</v>
      </c>
      <c r="W386" s="1" t="s">
        <v>112</v>
      </c>
      <c r="X386" s="1" t="s">
        <v>112</v>
      </c>
      <c r="Y386" s="1" t="s">
        <v>112</v>
      </c>
      <c r="Z386" s="1" t="s">
        <v>112</v>
      </c>
      <c r="AA386" s="1" t="s">
        <v>112</v>
      </c>
      <c r="AB386" s="1" t="s">
        <v>112</v>
      </c>
      <c r="AC386" s="1" t="s">
        <v>112</v>
      </c>
      <c r="AD386" s="1" t="s">
        <v>112</v>
      </c>
      <c r="AE386" s="1" t="s">
        <v>112</v>
      </c>
      <c r="AF386" s="1" t="s">
        <v>112</v>
      </c>
      <c r="AG386" s="1" t="s">
        <v>112</v>
      </c>
      <c r="AH386" s="1" t="s">
        <v>112</v>
      </c>
      <c r="AI386" s="1" t="s">
        <v>112</v>
      </c>
      <c r="AJ386" s="1" t="s">
        <v>112</v>
      </c>
      <c r="AK386" s="1" t="s">
        <v>112</v>
      </c>
      <c r="AL386" s="1" t="s">
        <v>112</v>
      </c>
      <c r="AM386" s="1" t="s">
        <v>112</v>
      </c>
      <c r="AN386" s="1" t="s">
        <v>112</v>
      </c>
      <c r="AO386" s="1" t="s">
        <v>112</v>
      </c>
      <c r="AP386" s="1" t="s">
        <v>112</v>
      </c>
      <c r="AQ386" s="1" t="s">
        <v>112</v>
      </c>
      <c r="AR386" s="1" t="s">
        <v>112</v>
      </c>
      <c r="AS386" s="1" t="s">
        <v>112</v>
      </c>
      <c r="AT386" s="1" t="s">
        <v>112</v>
      </c>
      <c r="AU386" s="1" t="s">
        <v>112</v>
      </c>
      <c r="AV386" s="1" t="s">
        <v>112</v>
      </c>
      <c r="AW386" s="1" t="s">
        <v>112</v>
      </c>
      <c r="AX386" s="1" t="s">
        <v>112</v>
      </c>
      <c r="AY386" s="1" t="s">
        <v>112</v>
      </c>
      <c r="AZ386" s="1" t="s">
        <v>112</v>
      </c>
      <c r="BA386" s="1" t="s">
        <v>112</v>
      </c>
      <c r="BB386" s="1" t="s">
        <v>112</v>
      </c>
      <c r="BC386" s="1" t="s">
        <v>112</v>
      </c>
      <c r="BD386" s="1" t="s">
        <v>112</v>
      </c>
      <c r="BE386" s="1" t="s">
        <v>112</v>
      </c>
      <c r="BF386" s="1" t="s">
        <v>112</v>
      </c>
      <c r="BG386" s="1" t="s">
        <v>112</v>
      </c>
      <c r="BH386" s="1" t="s">
        <v>112</v>
      </c>
      <c r="BI386" s="1" t="s">
        <v>112</v>
      </c>
      <c r="BJ386" s="1" t="s">
        <v>112</v>
      </c>
      <c r="BK386" s="1" t="s">
        <v>112</v>
      </c>
      <c r="BL386" s="1" t="s">
        <v>112</v>
      </c>
      <c r="BM386" s="1" t="s">
        <v>112</v>
      </c>
      <c r="BN386" s="1" t="s">
        <v>112</v>
      </c>
      <c r="BO386" s="1" t="s">
        <v>112</v>
      </c>
      <c r="BP386" s="1" t="s">
        <v>112</v>
      </c>
      <c r="BQ386" s="1" t="s">
        <v>112</v>
      </c>
      <c r="BR386" s="1" t="s">
        <v>112</v>
      </c>
      <c r="BS386" s="1" t="s">
        <v>112</v>
      </c>
      <c r="BT386" s="1" t="s">
        <v>112</v>
      </c>
      <c r="BU386" s="1" t="s">
        <v>112</v>
      </c>
      <c r="BV386" s="1" t="s">
        <v>112</v>
      </c>
      <c r="BW386" s="1" t="s">
        <v>112</v>
      </c>
      <c r="BX386" s="1" t="s">
        <v>112</v>
      </c>
      <c r="BY386" s="1" t="s">
        <v>112</v>
      </c>
      <c r="BZ386" s="1" t="s">
        <v>112</v>
      </c>
      <c r="CA386" s="1" t="s">
        <v>112</v>
      </c>
      <c r="CB386" s="4">
        <v>44005.053230937498</v>
      </c>
      <c r="CC386" s="1">
        <v>0</v>
      </c>
      <c r="CD386" s="1">
        <v>0</v>
      </c>
      <c r="CE386" s="1">
        <v>0</v>
      </c>
      <c r="CF386" s="1">
        <v>0</v>
      </c>
      <c r="CG386" s="4">
        <v>44005.053230937498</v>
      </c>
      <c r="CH386" s="1" t="s">
        <v>112</v>
      </c>
      <c r="CI386" s="1" t="s">
        <v>112</v>
      </c>
      <c r="CJ386" s="1" t="s">
        <v>112</v>
      </c>
    </row>
    <row r="387" spans="1:88" x14ac:dyDescent="0.35">
      <c r="A387" s="1">
        <v>6237</v>
      </c>
      <c r="B387" s="1" t="s">
        <v>5788</v>
      </c>
      <c r="C387" s="1" t="s">
        <v>5789</v>
      </c>
      <c r="D387" s="1" t="s">
        <v>312</v>
      </c>
      <c r="E387" s="1" t="s">
        <v>5790</v>
      </c>
      <c r="F387" s="1" t="s">
        <v>5791</v>
      </c>
      <c r="G387" s="1">
        <v>1</v>
      </c>
      <c r="H387" s="3">
        <v>36651</v>
      </c>
      <c r="I387" s="1">
        <v>1</v>
      </c>
      <c r="J387" s="1" t="s">
        <v>3229</v>
      </c>
      <c r="K387" s="1" t="s">
        <v>5792</v>
      </c>
      <c r="L387" s="2">
        <f>91-727278272</f>
        <v>-727278181</v>
      </c>
      <c r="M387" s="1" t="s">
        <v>95</v>
      </c>
      <c r="N387" s="1">
        <v>2</v>
      </c>
      <c r="O387" s="1">
        <v>3</v>
      </c>
      <c r="P387" s="1">
        <v>4.05</v>
      </c>
      <c r="Q387" s="1">
        <v>7</v>
      </c>
      <c r="R387" s="1" t="s">
        <v>5793</v>
      </c>
      <c r="S387" s="1" t="s">
        <v>97</v>
      </c>
      <c r="T387" s="1" t="s">
        <v>137</v>
      </c>
      <c r="U387" s="1" t="s">
        <v>2540</v>
      </c>
      <c r="V387" s="1" t="s">
        <v>2540</v>
      </c>
      <c r="X387" s="1" t="s">
        <v>170</v>
      </c>
      <c r="Y387" s="1" t="s">
        <v>111</v>
      </c>
      <c r="Z387" s="1" t="s">
        <v>556</v>
      </c>
      <c r="AB387" s="1">
        <v>0</v>
      </c>
      <c r="AD387" s="1" t="s">
        <v>5794</v>
      </c>
      <c r="AE387" s="1" t="s">
        <v>142</v>
      </c>
      <c r="AF387" s="1" t="s">
        <v>2541</v>
      </c>
      <c r="AG387" s="1" t="s">
        <v>5790</v>
      </c>
      <c r="AH387" s="1" t="s">
        <v>5795</v>
      </c>
      <c r="AI387" s="1" t="s">
        <v>5796</v>
      </c>
      <c r="AJ387" s="1" t="s">
        <v>478</v>
      </c>
      <c r="AK387" s="1" t="s">
        <v>5797</v>
      </c>
      <c r="AL387" s="1">
        <v>5</v>
      </c>
      <c r="AM387" s="1" t="s">
        <v>2541</v>
      </c>
      <c r="AP387" s="1">
        <f>91-82828288282</f>
        <v>-82828288191</v>
      </c>
      <c r="AR387" s="1">
        <v>0</v>
      </c>
      <c r="AS387" s="1">
        <v>0</v>
      </c>
      <c r="AW387" s="1" t="s">
        <v>142</v>
      </c>
      <c r="AX387" s="1" t="s">
        <v>664</v>
      </c>
      <c r="AY387" s="1" t="s">
        <v>95</v>
      </c>
      <c r="AZ387" s="1">
        <v>4.04</v>
      </c>
      <c r="BA387" s="1">
        <v>4.0999999999999996</v>
      </c>
      <c r="BB387" s="1" t="s">
        <v>151</v>
      </c>
      <c r="BC387" s="1" t="s">
        <v>152</v>
      </c>
      <c r="BD387" s="1" t="s">
        <v>1395</v>
      </c>
      <c r="BE387" s="1" t="s">
        <v>3288</v>
      </c>
      <c r="BF387" s="1" t="s">
        <v>120</v>
      </c>
      <c r="BG387" s="1" t="s">
        <v>2541</v>
      </c>
      <c r="BH387" s="1" t="s">
        <v>2541</v>
      </c>
      <c r="BI387" s="1" t="s">
        <v>556</v>
      </c>
      <c r="BL387" s="1">
        <v>0</v>
      </c>
      <c r="BM387" s="1">
        <v>0</v>
      </c>
      <c r="BN387" s="1" t="s">
        <v>5798</v>
      </c>
      <c r="BO387" s="1" t="s">
        <v>112</v>
      </c>
      <c r="BP387" s="1" t="s">
        <v>112</v>
      </c>
      <c r="BQ387" s="1" t="s">
        <v>112</v>
      </c>
      <c r="BR387" s="1" t="s">
        <v>112</v>
      </c>
      <c r="BS387" s="1" t="s">
        <v>112</v>
      </c>
      <c r="BT387" s="1" t="s">
        <v>112</v>
      </c>
      <c r="BU387" s="1" t="s">
        <v>112</v>
      </c>
      <c r="BV387" s="1" t="s">
        <v>112</v>
      </c>
      <c r="BW387" s="1" t="s">
        <v>112</v>
      </c>
      <c r="BX387" s="1" t="s">
        <v>112</v>
      </c>
      <c r="BY387" s="1" t="s">
        <v>120</v>
      </c>
      <c r="BZ387" s="1">
        <v>0</v>
      </c>
      <c r="CA387" s="1">
        <v>0</v>
      </c>
      <c r="CB387" s="4">
        <v>44015.763105555554</v>
      </c>
      <c r="CC387" s="1">
        <v>0</v>
      </c>
      <c r="CD387" s="1">
        <v>0</v>
      </c>
      <c r="CE387" s="1">
        <v>0</v>
      </c>
      <c r="CF387" s="1">
        <v>0</v>
      </c>
      <c r="CG387" s="4">
        <v>44016.057889930555</v>
      </c>
      <c r="CH387" s="1" t="s">
        <v>112</v>
      </c>
      <c r="CI387" s="1" t="s">
        <v>5799</v>
      </c>
      <c r="CJ387" s="1" t="s">
        <v>157</v>
      </c>
    </row>
    <row r="388" spans="1:88" x14ac:dyDescent="0.35">
      <c r="A388" s="1">
        <v>6238</v>
      </c>
      <c r="B388" s="1" t="s">
        <v>5800</v>
      </c>
      <c r="C388" s="1" t="s">
        <v>5801</v>
      </c>
      <c r="D388" s="1" t="s">
        <v>312</v>
      </c>
      <c r="E388" s="1" t="s">
        <v>2509</v>
      </c>
      <c r="F388" s="1" t="s">
        <v>134</v>
      </c>
      <c r="G388" s="1">
        <v>1</v>
      </c>
      <c r="H388" s="3">
        <v>34634</v>
      </c>
      <c r="I388" s="1">
        <v>1</v>
      </c>
      <c r="J388" s="1" t="s">
        <v>93</v>
      </c>
      <c r="K388" s="1" t="s">
        <v>5802</v>
      </c>
      <c r="L388" s="2">
        <f>91-8329330165</f>
        <v>-8329330074</v>
      </c>
      <c r="M388" s="1" t="s">
        <v>150</v>
      </c>
      <c r="N388" s="1">
        <v>0</v>
      </c>
      <c r="O388" s="1">
        <v>0</v>
      </c>
      <c r="P388" s="1">
        <v>5.09</v>
      </c>
      <c r="Q388" s="1">
        <v>3</v>
      </c>
      <c r="R388" s="1" t="s">
        <v>3728</v>
      </c>
      <c r="S388" s="1" t="s">
        <v>97</v>
      </c>
      <c r="T388" s="1" t="s">
        <v>427</v>
      </c>
      <c r="U388" s="1" t="s">
        <v>5803</v>
      </c>
      <c r="V388" s="1" t="s">
        <v>5804</v>
      </c>
      <c r="X388" s="1" t="s">
        <v>100</v>
      </c>
      <c r="Y388" s="1" t="s">
        <v>111</v>
      </c>
      <c r="Z388" s="1" t="s">
        <v>1387</v>
      </c>
      <c r="AB388" s="1">
        <v>0</v>
      </c>
      <c r="AD388" s="1" t="s">
        <v>5805</v>
      </c>
      <c r="AE388" s="1">
        <f>91-8329330165</f>
        <v>-8329330074</v>
      </c>
      <c r="AF388" s="1" t="s">
        <v>143</v>
      </c>
      <c r="AG388" s="1" t="s">
        <v>3687</v>
      </c>
      <c r="AH388" s="1" t="s">
        <v>5806</v>
      </c>
      <c r="AI388" s="1" t="s">
        <v>5807</v>
      </c>
      <c r="AJ388" s="1" t="s">
        <v>109</v>
      </c>
      <c r="AK388" s="1" t="s">
        <v>5808</v>
      </c>
      <c r="AL388" s="1">
        <v>30</v>
      </c>
      <c r="AM388" s="1" t="s">
        <v>111</v>
      </c>
      <c r="AP388" s="1">
        <f>91-8329330165</f>
        <v>-8329330074</v>
      </c>
      <c r="AR388" s="1">
        <v>1</v>
      </c>
      <c r="AS388" s="1">
        <v>0</v>
      </c>
      <c r="AT388" s="1" t="s">
        <v>5809</v>
      </c>
      <c r="AU388" s="1" t="s">
        <v>5810</v>
      </c>
      <c r="AV388" s="1" t="s">
        <v>1119</v>
      </c>
      <c r="AW388" s="1">
        <f>91-7820909689</f>
        <v>-7820909598</v>
      </c>
      <c r="AX388" s="1" t="s">
        <v>1053</v>
      </c>
      <c r="AY388" s="1" t="s">
        <v>150</v>
      </c>
      <c r="AZ388" s="1">
        <v>5</v>
      </c>
      <c r="BA388" s="1">
        <v>5.0599999999999996</v>
      </c>
      <c r="BB388" s="1" t="s">
        <v>151</v>
      </c>
      <c r="BC388" s="1" t="s">
        <v>304</v>
      </c>
      <c r="BD388" s="1" t="s">
        <v>1333</v>
      </c>
      <c r="BE388" s="1" t="s">
        <v>97</v>
      </c>
      <c r="BF388" s="1" t="s">
        <v>120</v>
      </c>
      <c r="BG388" s="1" t="s">
        <v>120</v>
      </c>
      <c r="BH388" s="1" t="s">
        <v>114</v>
      </c>
      <c r="BJ388" s="1" t="s">
        <v>154</v>
      </c>
      <c r="BK388" s="1" t="s">
        <v>120</v>
      </c>
      <c r="BL388" s="1">
        <v>0</v>
      </c>
      <c r="BM388" s="1">
        <v>0</v>
      </c>
      <c r="BN388" s="1" t="s">
        <v>5811</v>
      </c>
      <c r="BO388" s="1">
        <v>1</v>
      </c>
      <c r="BP388" s="1" t="s">
        <v>5802</v>
      </c>
      <c r="BQ388" s="1" t="s">
        <v>112</v>
      </c>
      <c r="BR388" s="1">
        <v>1</v>
      </c>
      <c r="BS388" s="1" t="s">
        <v>307</v>
      </c>
      <c r="BT388" s="1" t="s">
        <v>124</v>
      </c>
      <c r="BU388" s="1" t="s">
        <v>112</v>
      </c>
      <c r="BV388" s="1" t="s">
        <v>112</v>
      </c>
      <c r="BW388" s="1" t="s">
        <v>5812</v>
      </c>
      <c r="BX388" s="1" t="s">
        <v>5813</v>
      </c>
      <c r="BY388" s="1" t="s">
        <v>465</v>
      </c>
      <c r="BZ388" s="1">
        <v>0</v>
      </c>
      <c r="CA388" s="1">
        <v>0</v>
      </c>
      <c r="CB388" s="4">
        <v>44022.172416631947</v>
      </c>
      <c r="CC388" s="1">
        <v>1</v>
      </c>
      <c r="CD388" s="1">
        <v>1</v>
      </c>
      <c r="CE388" s="1">
        <v>1</v>
      </c>
      <c r="CF388" s="1">
        <v>1</v>
      </c>
      <c r="CG388" s="4">
        <v>44023.161214085645</v>
      </c>
      <c r="CH388" s="1" t="s">
        <v>112</v>
      </c>
      <c r="CI388" s="1" t="s">
        <v>5814</v>
      </c>
      <c r="CJ388" s="1" t="s">
        <v>157</v>
      </c>
    </row>
    <row r="389" spans="1:88" x14ac:dyDescent="0.35">
      <c r="A389" s="1">
        <v>6239</v>
      </c>
      <c r="B389" s="1" t="s">
        <v>5815</v>
      </c>
      <c r="C389" s="1" t="s">
        <v>5816</v>
      </c>
      <c r="D389" s="1" t="s">
        <v>229</v>
      </c>
      <c r="E389" s="1" t="s">
        <v>5817</v>
      </c>
      <c r="F389" s="1" t="s">
        <v>208</v>
      </c>
      <c r="G389" s="1">
        <v>1</v>
      </c>
      <c r="H389" s="3">
        <v>30860</v>
      </c>
      <c r="I389" s="1">
        <v>1</v>
      </c>
      <c r="J389" s="1" t="s">
        <v>315</v>
      </c>
      <c r="K389" s="1" t="s">
        <v>316</v>
      </c>
      <c r="L389" s="2">
        <f>91-8951167086</f>
        <v>-8951166995</v>
      </c>
      <c r="M389" s="1" t="s">
        <v>3734</v>
      </c>
      <c r="N389" s="1">
        <v>1</v>
      </c>
      <c r="O389" s="1">
        <v>0</v>
      </c>
      <c r="P389" s="1">
        <v>5.0999999999999996</v>
      </c>
      <c r="Q389" s="1">
        <v>10</v>
      </c>
      <c r="S389" s="1" t="s">
        <v>136</v>
      </c>
      <c r="T389" s="1" t="s">
        <v>137</v>
      </c>
      <c r="U389" s="1" t="s">
        <v>694</v>
      </c>
      <c r="V389" s="1" t="s">
        <v>2540</v>
      </c>
      <c r="X389" s="1" t="s">
        <v>100</v>
      </c>
      <c r="Y389" s="1" t="s">
        <v>111</v>
      </c>
      <c r="Z389" s="1" t="s">
        <v>192</v>
      </c>
      <c r="AB389" s="1">
        <v>0</v>
      </c>
      <c r="AD389" s="1" t="s">
        <v>5818</v>
      </c>
      <c r="AE389" s="1">
        <f>91-9886683131</f>
        <v>-9886683040</v>
      </c>
      <c r="AF389" s="1" t="s">
        <v>143</v>
      </c>
      <c r="AG389" s="1" t="s">
        <v>5819</v>
      </c>
      <c r="AH389" s="1" t="s">
        <v>5820</v>
      </c>
      <c r="AI389" s="1" t="s">
        <v>5821</v>
      </c>
      <c r="AJ389" s="1" t="s">
        <v>109</v>
      </c>
      <c r="AK389" s="1" t="s">
        <v>5822</v>
      </c>
      <c r="AL389" s="1">
        <v>30</v>
      </c>
      <c r="AM389" s="1" t="s">
        <v>148</v>
      </c>
      <c r="AP389" s="1">
        <f>91-9886681890</f>
        <v>-9886681799</v>
      </c>
      <c r="AR389" s="1">
        <v>1</v>
      </c>
      <c r="AS389" s="1">
        <v>1</v>
      </c>
      <c r="AW389" s="1" t="s">
        <v>142</v>
      </c>
      <c r="AX389" s="1" t="s">
        <v>5823</v>
      </c>
      <c r="AY389" s="1" t="s">
        <v>351</v>
      </c>
      <c r="AZ389" s="1">
        <v>4.08</v>
      </c>
      <c r="BA389" s="1">
        <v>5.1100000000000003</v>
      </c>
      <c r="BB389" s="1" t="s">
        <v>151</v>
      </c>
      <c r="BC389" s="1" t="s">
        <v>304</v>
      </c>
      <c r="BD389" s="1" t="s">
        <v>1333</v>
      </c>
      <c r="BE389" s="1" t="s">
        <v>120</v>
      </c>
      <c r="BF389" s="1" t="s">
        <v>120</v>
      </c>
      <c r="BG389" s="1" t="s">
        <v>5824</v>
      </c>
      <c r="BH389" s="1" t="s">
        <v>120</v>
      </c>
      <c r="BJ389" s="1" t="s">
        <v>154</v>
      </c>
      <c r="BK389" s="1" t="s">
        <v>120</v>
      </c>
      <c r="BL389" s="1">
        <v>0</v>
      </c>
      <c r="BM389" s="1">
        <v>0</v>
      </c>
      <c r="BN389" s="1" t="s">
        <v>5825</v>
      </c>
      <c r="BO389" s="1">
        <v>1</v>
      </c>
      <c r="BP389" s="1" t="s">
        <v>5826</v>
      </c>
      <c r="BQ389" s="1" t="s">
        <v>112</v>
      </c>
      <c r="BR389" s="1">
        <v>1</v>
      </c>
      <c r="BS389" s="1" t="s">
        <v>334</v>
      </c>
      <c r="BT389" s="1" t="s">
        <v>124</v>
      </c>
      <c r="BU389" s="1" t="s">
        <v>5827</v>
      </c>
      <c r="BV389" s="1" t="s">
        <v>112</v>
      </c>
      <c r="BW389" s="1" t="s">
        <v>5828</v>
      </c>
      <c r="BX389" s="1" t="s">
        <v>5829</v>
      </c>
      <c r="BY389" s="1" t="s">
        <v>120</v>
      </c>
      <c r="BZ389" s="1">
        <v>3</v>
      </c>
      <c r="CA389" s="1">
        <v>3</v>
      </c>
      <c r="CB389" s="4">
        <v>44024.271785532408</v>
      </c>
      <c r="CC389" s="1">
        <v>1</v>
      </c>
      <c r="CD389" s="1">
        <v>1</v>
      </c>
      <c r="CE389" s="1">
        <v>1</v>
      </c>
      <c r="CF389" s="1">
        <v>3</v>
      </c>
      <c r="CG389" s="4">
        <v>44051.258151504633</v>
      </c>
      <c r="CH389" s="1" t="s">
        <v>112</v>
      </c>
      <c r="CI389" s="1" t="s">
        <v>5830</v>
      </c>
      <c r="CJ389" s="1" t="s">
        <v>157</v>
      </c>
    </row>
    <row r="390" spans="1:88" x14ac:dyDescent="0.35">
      <c r="A390" s="1">
        <v>6240</v>
      </c>
      <c r="B390" s="1" t="s">
        <v>5831</v>
      </c>
      <c r="C390" s="1" t="s">
        <v>5832</v>
      </c>
      <c r="D390" s="1" t="s">
        <v>132</v>
      </c>
      <c r="E390" s="1" t="s">
        <v>5833</v>
      </c>
      <c r="F390" s="1" t="s">
        <v>5834</v>
      </c>
      <c r="G390" s="1">
        <v>1</v>
      </c>
      <c r="H390" s="3">
        <v>33820</v>
      </c>
      <c r="I390" s="1">
        <v>1</v>
      </c>
      <c r="J390" s="1" t="s">
        <v>2624</v>
      </c>
      <c r="K390" s="1" t="s">
        <v>5835</v>
      </c>
      <c r="L390" s="2">
        <f>91-8105777994</f>
        <v>-8105777903</v>
      </c>
      <c r="M390" s="1" t="s">
        <v>112</v>
      </c>
      <c r="N390" s="1" t="s">
        <v>112</v>
      </c>
      <c r="O390" s="1" t="s">
        <v>112</v>
      </c>
      <c r="P390" s="1" t="s">
        <v>112</v>
      </c>
      <c r="Q390" s="1" t="s">
        <v>112</v>
      </c>
      <c r="R390" s="1" t="s">
        <v>112</v>
      </c>
      <c r="S390" s="1" t="s">
        <v>112</v>
      </c>
      <c r="T390" s="1" t="s">
        <v>112</v>
      </c>
      <c r="U390" s="1" t="s">
        <v>112</v>
      </c>
      <c r="V390" s="1" t="s">
        <v>112</v>
      </c>
      <c r="W390" s="1" t="s">
        <v>112</v>
      </c>
      <c r="X390" s="1" t="s">
        <v>112</v>
      </c>
      <c r="Y390" s="1" t="s">
        <v>112</v>
      </c>
      <c r="Z390" s="1" t="s">
        <v>112</v>
      </c>
      <c r="AA390" s="1" t="s">
        <v>112</v>
      </c>
      <c r="AB390" s="1" t="s">
        <v>112</v>
      </c>
      <c r="AC390" s="1" t="s">
        <v>112</v>
      </c>
      <c r="AD390" s="1" t="s">
        <v>112</v>
      </c>
      <c r="AE390" s="1" t="s">
        <v>112</v>
      </c>
      <c r="AF390" s="1" t="s">
        <v>112</v>
      </c>
      <c r="AG390" s="1" t="s">
        <v>112</v>
      </c>
      <c r="AH390" s="1" t="s">
        <v>112</v>
      </c>
      <c r="AI390" s="1" t="s">
        <v>112</v>
      </c>
      <c r="AJ390" s="1" t="s">
        <v>112</v>
      </c>
      <c r="AK390" s="1" t="s">
        <v>112</v>
      </c>
      <c r="AL390" s="1" t="s">
        <v>112</v>
      </c>
      <c r="AM390" s="1" t="s">
        <v>112</v>
      </c>
      <c r="AN390" s="1" t="s">
        <v>112</v>
      </c>
      <c r="AO390" s="1" t="s">
        <v>112</v>
      </c>
      <c r="AP390" s="1" t="s">
        <v>112</v>
      </c>
      <c r="AQ390" s="1" t="s">
        <v>112</v>
      </c>
      <c r="AR390" s="1" t="s">
        <v>112</v>
      </c>
      <c r="AS390" s="1" t="s">
        <v>112</v>
      </c>
      <c r="AT390" s="1" t="s">
        <v>112</v>
      </c>
      <c r="AU390" s="1" t="s">
        <v>112</v>
      </c>
      <c r="AV390" s="1" t="s">
        <v>112</v>
      </c>
      <c r="AW390" s="1" t="s">
        <v>112</v>
      </c>
      <c r="AX390" s="1" t="s">
        <v>112</v>
      </c>
      <c r="AY390" s="1" t="s">
        <v>112</v>
      </c>
      <c r="AZ390" s="1" t="s">
        <v>112</v>
      </c>
      <c r="BA390" s="1" t="s">
        <v>112</v>
      </c>
      <c r="BB390" s="1" t="s">
        <v>112</v>
      </c>
      <c r="BC390" s="1" t="s">
        <v>112</v>
      </c>
      <c r="BD390" s="1" t="s">
        <v>112</v>
      </c>
      <c r="BE390" s="1" t="s">
        <v>112</v>
      </c>
      <c r="BF390" s="1" t="s">
        <v>112</v>
      </c>
      <c r="BG390" s="1" t="s">
        <v>112</v>
      </c>
      <c r="BH390" s="1" t="s">
        <v>112</v>
      </c>
      <c r="BI390" s="1" t="s">
        <v>112</v>
      </c>
      <c r="BJ390" s="1" t="s">
        <v>112</v>
      </c>
      <c r="BK390" s="1" t="s">
        <v>112</v>
      </c>
      <c r="BL390" s="1" t="s">
        <v>112</v>
      </c>
      <c r="BM390" s="1" t="s">
        <v>112</v>
      </c>
      <c r="BN390" s="1" t="s">
        <v>112</v>
      </c>
      <c r="BO390" s="1" t="s">
        <v>112</v>
      </c>
      <c r="BP390" s="1" t="s">
        <v>112</v>
      </c>
      <c r="BQ390" s="1" t="s">
        <v>112</v>
      </c>
      <c r="BR390" s="1" t="s">
        <v>112</v>
      </c>
      <c r="BS390" s="1" t="s">
        <v>112</v>
      </c>
      <c r="BT390" s="1" t="s">
        <v>112</v>
      </c>
      <c r="BU390" s="1" t="s">
        <v>112</v>
      </c>
      <c r="BV390" s="1" t="s">
        <v>112</v>
      </c>
      <c r="BW390" s="1" t="s">
        <v>112</v>
      </c>
      <c r="BX390" s="1" t="s">
        <v>112</v>
      </c>
      <c r="BY390" s="1" t="s">
        <v>112</v>
      </c>
      <c r="BZ390" s="1" t="s">
        <v>112</v>
      </c>
      <c r="CA390" s="1" t="s">
        <v>112</v>
      </c>
      <c r="CB390" s="4">
        <v>44025.952140590278</v>
      </c>
      <c r="CC390" s="1">
        <v>0</v>
      </c>
      <c r="CD390" s="1">
        <v>0</v>
      </c>
      <c r="CE390" s="1">
        <v>0</v>
      </c>
      <c r="CF390" s="1">
        <v>0</v>
      </c>
      <c r="CG390" s="4">
        <v>44025.952140590278</v>
      </c>
      <c r="CH390" s="1" t="s">
        <v>112</v>
      </c>
      <c r="CI390" s="1" t="s">
        <v>112</v>
      </c>
      <c r="CJ390" s="1" t="s">
        <v>112</v>
      </c>
    </row>
    <row r="391" spans="1:88" x14ac:dyDescent="0.35">
      <c r="A391" s="1">
        <v>6241</v>
      </c>
      <c r="B391" s="1" t="s">
        <v>5836</v>
      </c>
      <c r="C391" s="1" t="s">
        <v>5832</v>
      </c>
      <c r="D391" s="1" t="s">
        <v>132</v>
      </c>
      <c r="E391" s="1" t="s">
        <v>5837</v>
      </c>
      <c r="F391" s="1" t="s">
        <v>5834</v>
      </c>
      <c r="G391" s="1">
        <v>1</v>
      </c>
      <c r="H391" s="3">
        <v>33820</v>
      </c>
      <c r="I391" s="1">
        <v>1</v>
      </c>
      <c r="J391" s="1" t="s">
        <v>2624</v>
      </c>
      <c r="K391" s="1" t="s">
        <v>5835</v>
      </c>
      <c r="L391" s="2">
        <f>91-8105777994</f>
        <v>-8105777903</v>
      </c>
      <c r="M391" s="1" t="s">
        <v>150</v>
      </c>
      <c r="N391" s="1">
        <v>0</v>
      </c>
      <c r="O391" s="1">
        <v>0</v>
      </c>
      <c r="P391" s="1">
        <v>5.1100000000000003</v>
      </c>
      <c r="Q391" s="1">
        <v>16</v>
      </c>
      <c r="R391" s="1" t="s">
        <v>535</v>
      </c>
      <c r="S391" s="1" t="s">
        <v>136</v>
      </c>
      <c r="T391" s="1" t="s">
        <v>427</v>
      </c>
      <c r="U391" s="1" t="s">
        <v>2540</v>
      </c>
      <c r="V391" s="1" t="s">
        <v>2540</v>
      </c>
      <c r="X391" s="1" t="s">
        <v>100</v>
      </c>
      <c r="Y391" s="1" t="s">
        <v>111</v>
      </c>
      <c r="Z391" s="1" t="s">
        <v>1387</v>
      </c>
      <c r="AB391" s="1">
        <v>0</v>
      </c>
      <c r="AD391" s="1" t="s">
        <v>5838</v>
      </c>
      <c r="AE391" s="1">
        <f>91-8555940491</f>
        <v>-8555940400</v>
      </c>
      <c r="AF391" s="1" t="s">
        <v>129</v>
      </c>
      <c r="AG391" s="1" t="s">
        <v>5839</v>
      </c>
      <c r="AH391" s="1" t="s">
        <v>5840</v>
      </c>
      <c r="AI391" s="1" t="s">
        <v>5841</v>
      </c>
      <c r="AJ391" s="1" t="s">
        <v>109</v>
      </c>
      <c r="AK391" s="1" t="s">
        <v>5842</v>
      </c>
      <c r="AL391" s="1">
        <v>26</v>
      </c>
      <c r="AM391" s="1" t="s">
        <v>129</v>
      </c>
      <c r="AP391" s="1">
        <f>91-9908099262</f>
        <v>-9908099171</v>
      </c>
      <c r="AR391" s="1">
        <v>0</v>
      </c>
      <c r="AS391" s="1">
        <v>0</v>
      </c>
      <c r="AW391" s="1" t="s">
        <v>142</v>
      </c>
      <c r="AX391" s="1" t="s">
        <v>3606</v>
      </c>
      <c r="AY391" s="1" t="s">
        <v>150</v>
      </c>
      <c r="AZ391" s="1">
        <v>4.05</v>
      </c>
      <c r="BA391" s="1">
        <v>5.0999999999999996</v>
      </c>
      <c r="BB391" s="1" t="s">
        <v>151</v>
      </c>
      <c r="BC391" s="1" t="s">
        <v>304</v>
      </c>
      <c r="BD391" s="1" t="s">
        <v>1333</v>
      </c>
      <c r="BE391" s="1" t="s">
        <v>120</v>
      </c>
      <c r="BF391" s="1" t="s">
        <v>120</v>
      </c>
      <c r="BG391" s="1" t="s">
        <v>120</v>
      </c>
      <c r="BH391" s="1" t="s">
        <v>120</v>
      </c>
      <c r="BJ391" s="1" t="s">
        <v>120</v>
      </c>
      <c r="BK391" s="1" t="s">
        <v>120</v>
      </c>
      <c r="BL391" s="1">
        <v>0</v>
      </c>
      <c r="BM391" s="1">
        <v>0</v>
      </c>
      <c r="BN391" s="1" t="s">
        <v>5843</v>
      </c>
      <c r="BO391" s="1">
        <v>0</v>
      </c>
      <c r="BQ391" s="1" t="s">
        <v>180</v>
      </c>
      <c r="BR391" s="1">
        <v>0</v>
      </c>
      <c r="BS391" s="1" t="s">
        <v>787</v>
      </c>
      <c r="BT391" s="1" t="s">
        <v>124</v>
      </c>
      <c r="BV391" s="1" t="s">
        <v>112</v>
      </c>
      <c r="BW391" s="1" t="s">
        <v>5844</v>
      </c>
      <c r="BX391" s="1" t="s">
        <v>5845</v>
      </c>
      <c r="BY391" s="1" t="s">
        <v>120</v>
      </c>
      <c r="BZ391" s="1">
        <v>0</v>
      </c>
      <c r="CA391" s="1">
        <v>0</v>
      </c>
      <c r="CB391" s="4">
        <v>44025.956653587964</v>
      </c>
      <c r="CC391" s="1">
        <v>1</v>
      </c>
      <c r="CD391" s="1">
        <v>1</v>
      </c>
      <c r="CE391" s="1">
        <v>1</v>
      </c>
      <c r="CF391" s="1">
        <v>3</v>
      </c>
      <c r="CG391" s="4">
        <v>44038.504031979166</v>
      </c>
      <c r="CH391" s="1" t="s">
        <v>112</v>
      </c>
      <c r="CI391" s="1" t="s">
        <v>2737</v>
      </c>
      <c r="CJ391" s="1" t="s">
        <v>157</v>
      </c>
    </row>
    <row r="392" spans="1:88" x14ac:dyDescent="0.35">
      <c r="A392" s="1">
        <v>6242</v>
      </c>
      <c r="B392" s="1" t="s">
        <v>5846</v>
      </c>
      <c r="C392" s="1" t="s">
        <v>5847</v>
      </c>
      <c r="D392" s="1" t="s">
        <v>90</v>
      </c>
      <c r="E392" s="1" t="s">
        <v>4629</v>
      </c>
      <c r="F392" s="1" t="s">
        <v>3727</v>
      </c>
      <c r="G392" s="1">
        <v>1</v>
      </c>
      <c r="H392" s="3">
        <v>32939</v>
      </c>
      <c r="I392" s="1">
        <v>1</v>
      </c>
      <c r="J392" s="1" t="s">
        <v>93</v>
      </c>
      <c r="K392" s="1" t="s">
        <v>94</v>
      </c>
      <c r="L392" s="2">
        <f>91-9664660045</f>
        <v>-9664659954</v>
      </c>
      <c r="M392" s="1" t="s">
        <v>150</v>
      </c>
      <c r="N392" s="1">
        <v>0</v>
      </c>
      <c r="O392" s="1">
        <v>0</v>
      </c>
      <c r="P392" s="1">
        <v>4.1100000000000003</v>
      </c>
      <c r="Q392" s="1">
        <v>3</v>
      </c>
      <c r="R392" s="1" t="s">
        <v>3728</v>
      </c>
      <c r="S392" s="1" t="s">
        <v>233</v>
      </c>
      <c r="T392" s="1" t="s">
        <v>5848</v>
      </c>
      <c r="U392" s="1" t="s">
        <v>2540</v>
      </c>
      <c r="V392" s="1" t="s">
        <v>2540</v>
      </c>
      <c r="X392" s="1" t="s">
        <v>296</v>
      </c>
      <c r="Y392" s="1" t="s">
        <v>210</v>
      </c>
      <c r="Z392" s="1" t="s">
        <v>584</v>
      </c>
      <c r="AB392" s="1">
        <v>0</v>
      </c>
      <c r="AD392" s="1" t="s">
        <v>5849</v>
      </c>
      <c r="AE392" s="1">
        <f>91-9221226497</f>
        <v>-9221226406</v>
      </c>
      <c r="AF392" s="1" t="s">
        <v>2541</v>
      </c>
      <c r="AG392" s="1" t="s">
        <v>5850</v>
      </c>
      <c r="AH392" s="1" t="s">
        <v>2131</v>
      </c>
      <c r="AI392" s="1" t="s">
        <v>4851</v>
      </c>
      <c r="AJ392" s="1" t="s">
        <v>109</v>
      </c>
      <c r="AK392" s="1" t="s">
        <v>5851</v>
      </c>
      <c r="AL392" s="1">
        <v>1</v>
      </c>
      <c r="AM392" s="1" t="s">
        <v>2541</v>
      </c>
      <c r="AP392" s="1">
        <f>91-9221226497</f>
        <v>-9221226406</v>
      </c>
      <c r="AR392" s="1">
        <v>0</v>
      </c>
      <c r="AS392" s="1">
        <v>0</v>
      </c>
      <c r="AW392" s="1" t="s">
        <v>142</v>
      </c>
      <c r="AX392" s="1" t="s">
        <v>5852</v>
      </c>
      <c r="AY392" s="1" t="s">
        <v>249</v>
      </c>
      <c r="AZ392" s="1">
        <v>4</v>
      </c>
      <c r="BA392" s="1">
        <v>4.1100000000000003</v>
      </c>
      <c r="BB392" s="1" t="s">
        <v>151</v>
      </c>
      <c r="BC392" s="1" t="s">
        <v>152</v>
      </c>
      <c r="BD392" s="1" t="s">
        <v>1395</v>
      </c>
      <c r="BE392" s="1" t="s">
        <v>120</v>
      </c>
      <c r="BF392" s="1" t="s">
        <v>120</v>
      </c>
      <c r="BG392" s="1" t="s">
        <v>2541</v>
      </c>
      <c r="BH392" s="1" t="s">
        <v>2541</v>
      </c>
      <c r="BI392" s="1" t="s">
        <v>584</v>
      </c>
      <c r="BL392" s="1">
        <v>0</v>
      </c>
      <c r="BM392" s="1">
        <v>0</v>
      </c>
      <c r="BN392" s="1" t="s">
        <v>5853</v>
      </c>
      <c r="BO392" s="1" t="s">
        <v>112</v>
      </c>
      <c r="BP392" s="1" t="s">
        <v>112</v>
      </c>
      <c r="BQ392" s="1" t="s">
        <v>112</v>
      </c>
      <c r="BR392" s="1" t="s">
        <v>112</v>
      </c>
      <c r="BS392" s="1" t="s">
        <v>112</v>
      </c>
      <c r="BT392" s="1" t="s">
        <v>112</v>
      </c>
      <c r="BU392" s="1" t="s">
        <v>112</v>
      </c>
      <c r="BV392" s="1" t="s">
        <v>112</v>
      </c>
      <c r="BW392" s="1" t="s">
        <v>112</v>
      </c>
      <c r="BX392" s="1" t="s">
        <v>112</v>
      </c>
      <c r="BY392" s="1" t="s">
        <v>120</v>
      </c>
      <c r="BZ392" s="1">
        <v>0</v>
      </c>
      <c r="CA392" s="1">
        <v>0</v>
      </c>
      <c r="CB392" s="4">
        <v>44029.291308067128</v>
      </c>
      <c r="CC392" s="1">
        <v>0</v>
      </c>
      <c r="CD392" s="1">
        <v>0</v>
      </c>
      <c r="CE392" s="1">
        <v>0</v>
      </c>
      <c r="CF392" s="1">
        <v>0</v>
      </c>
      <c r="CG392" s="4">
        <v>44029.291308067128</v>
      </c>
      <c r="CH392" s="1" t="s">
        <v>112</v>
      </c>
      <c r="CI392" s="1" t="s">
        <v>1509</v>
      </c>
      <c r="CJ392" s="1" t="s">
        <v>157</v>
      </c>
    </row>
    <row r="393" spans="1:88" x14ac:dyDescent="0.35">
      <c r="A393" s="1">
        <v>6243</v>
      </c>
      <c r="B393" s="1" t="s">
        <v>5854</v>
      </c>
      <c r="C393" s="1" t="s">
        <v>5855</v>
      </c>
      <c r="D393" s="1" t="s">
        <v>312</v>
      </c>
      <c r="E393" s="1" t="s">
        <v>5856</v>
      </c>
      <c r="F393" s="1" t="s">
        <v>134</v>
      </c>
      <c r="G393" s="1">
        <v>1</v>
      </c>
      <c r="H393" s="3">
        <v>34492</v>
      </c>
      <c r="I393" s="1">
        <v>1</v>
      </c>
      <c r="J393" s="1" t="s">
        <v>162</v>
      </c>
      <c r="K393" s="1" t="s">
        <v>163</v>
      </c>
      <c r="L393" s="2">
        <f>91-9925212238</f>
        <v>-9925212147</v>
      </c>
      <c r="M393" s="1" t="s">
        <v>112</v>
      </c>
      <c r="N393" s="1" t="s">
        <v>112</v>
      </c>
      <c r="O393" s="1" t="s">
        <v>112</v>
      </c>
      <c r="P393" s="1" t="s">
        <v>112</v>
      </c>
      <c r="Q393" s="1" t="s">
        <v>112</v>
      </c>
      <c r="R393" s="1" t="s">
        <v>112</v>
      </c>
      <c r="S393" s="1" t="s">
        <v>112</v>
      </c>
      <c r="T393" s="1" t="s">
        <v>112</v>
      </c>
      <c r="U393" s="1" t="s">
        <v>112</v>
      </c>
      <c r="V393" s="1" t="s">
        <v>112</v>
      </c>
      <c r="W393" s="1" t="s">
        <v>112</v>
      </c>
      <c r="X393" s="1" t="s">
        <v>112</v>
      </c>
      <c r="Y393" s="1" t="s">
        <v>112</v>
      </c>
      <c r="Z393" s="1" t="s">
        <v>112</v>
      </c>
      <c r="AA393" s="1" t="s">
        <v>112</v>
      </c>
      <c r="AB393" s="1" t="s">
        <v>112</v>
      </c>
      <c r="AC393" s="1" t="s">
        <v>112</v>
      </c>
      <c r="AD393" s="1" t="s">
        <v>112</v>
      </c>
      <c r="AE393" s="1" t="s">
        <v>112</v>
      </c>
      <c r="AF393" s="1" t="s">
        <v>112</v>
      </c>
      <c r="AG393" s="1" t="s">
        <v>112</v>
      </c>
      <c r="AH393" s="1" t="s">
        <v>112</v>
      </c>
      <c r="AI393" s="1" t="s">
        <v>112</v>
      </c>
      <c r="AJ393" s="1" t="s">
        <v>112</v>
      </c>
      <c r="AK393" s="1" t="s">
        <v>112</v>
      </c>
      <c r="AL393" s="1" t="s">
        <v>112</v>
      </c>
      <c r="AM393" s="1" t="s">
        <v>112</v>
      </c>
      <c r="AN393" s="1" t="s">
        <v>112</v>
      </c>
      <c r="AO393" s="1" t="s">
        <v>112</v>
      </c>
      <c r="AP393" s="1" t="s">
        <v>112</v>
      </c>
      <c r="AQ393" s="1" t="s">
        <v>112</v>
      </c>
      <c r="AR393" s="1" t="s">
        <v>112</v>
      </c>
      <c r="AS393" s="1" t="s">
        <v>112</v>
      </c>
      <c r="AT393" s="1" t="s">
        <v>112</v>
      </c>
      <c r="AU393" s="1" t="s">
        <v>112</v>
      </c>
      <c r="AV393" s="1" t="s">
        <v>112</v>
      </c>
      <c r="AW393" s="1" t="s">
        <v>112</v>
      </c>
      <c r="AX393" s="1" t="s">
        <v>112</v>
      </c>
      <c r="AY393" s="1" t="s">
        <v>112</v>
      </c>
      <c r="AZ393" s="1" t="s">
        <v>112</v>
      </c>
      <c r="BA393" s="1" t="s">
        <v>112</v>
      </c>
      <c r="BB393" s="1" t="s">
        <v>112</v>
      </c>
      <c r="BC393" s="1" t="s">
        <v>112</v>
      </c>
      <c r="BD393" s="1" t="s">
        <v>112</v>
      </c>
      <c r="BE393" s="1" t="s">
        <v>112</v>
      </c>
      <c r="BF393" s="1" t="s">
        <v>112</v>
      </c>
      <c r="BG393" s="1" t="s">
        <v>112</v>
      </c>
      <c r="BH393" s="1" t="s">
        <v>112</v>
      </c>
      <c r="BI393" s="1" t="s">
        <v>112</v>
      </c>
      <c r="BJ393" s="1" t="s">
        <v>112</v>
      </c>
      <c r="BK393" s="1" t="s">
        <v>112</v>
      </c>
      <c r="BL393" s="1" t="s">
        <v>112</v>
      </c>
      <c r="BM393" s="1" t="s">
        <v>112</v>
      </c>
      <c r="BN393" s="1" t="s">
        <v>112</v>
      </c>
      <c r="BO393" s="1" t="s">
        <v>112</v>
      </c>
      <c r="BP393" s="1" t="s">
        <v>112</v>
      </c>
      <c r="BQ393" s="1" t="s">
        <v>112</v>
      </c>
      <c r="BR393" s="1" t="s">
        <v>112</v>
      </c>
      <c r="BS393" s="1" t="s">
        <v>112</v>
      </c>
      <c r="BT393" s="1" t="s">
        <v>112</v>
      </c>
      <c r="BU393" s="1" t="s">
        <v>112</v>
      </c>
      <c r="BV393" s="1" t="s">
        <v>112</v>
      </c>
      <c r="BW393" s="1" t="s">
        <v>112</v>
      </c>
      <c r="BX393" s="1" t="s">
        <v>112</v>
      </c>
      <c r="BY393" s="1" t="s">
        <v>112</v>
      </c>
      <c r="BZ393" s="1" t="s">
        <v>112</v>
      </c>
      <c r="CA393" s="1" t="s">
        <v>112</v>
      </c>
      <c r="CB393" s="4">
        <v>44029.792184606478</v>
      </c>
      <c r="CC393" s="1">
        <v>0</v>
      </c>
      <c r="CD393" s="1">
        <v>0</v>
      </c>
      <c r="CE393" s="1">
        <v>0</v>
      </c>
      <c r="CF393" s="1">
        <v>0</v>
      </c>
      <c r="CG393" s="4">
        <v>44030.084528356485</v>
      </c>
      <c r="CH393" s="1" t="s">
        <v>112</v>
      </c>
      <c r="CI393" s="1" t="s">
        <v>112</v>
      </c>
      <c r="CJ393" s="1" t="s">
        <v>112</v>
      </c>
    </row>
    <row r="394" spans="1:88" x14ac:dyDescent="0.35">
      <c r="A394" s="1">
        <v>6244</v>
      </c>
      <c r="B394" s="1" t="s">
        <v>5857</v>
      </c>
      <c r="C394" s="1" t="s">
        <v>5858</v>
      </c>
      <c r="D394" s="1" t="s">
        <v>312</v>
      </c>
      <c r="E394" s="1" t="s">
        <v>5859</v>
      </c>
      <c r="F394" s="1" t="s">
        <v>2539</v>
      </c>
      <c r="G394" s="1">
        <v>1</v>
      </c>
      <c r="H394" s="3">
        <v>34582</v>
      </c>
      <c r="I394" s="1">
        <v>1</v>
      </c>
      <c r="J394" s="1" t="s">
        <v>2624</v>
      </c>
      <c r="K394" s="1" t="s">
        <v>5860</v>
      </c>
      <c r="L394" s="2">
        <f>91-9848441118</f>
        <v>-9848441027</v>
      </c>
      <c r="M394" s="1" t="s">
        <v>150</v>
      </c>
      <c r="N394" s="1">
        <v>0</v>
      </c>
      <c r="O394" s="1">
        <v>0</v>
      </c>
      <c r="P394" s="1">
        <v>5.1100000000000003</v>
      </c>
      <c r="Q394" s="1">
        <v>43</v>
      </c>
      <c r="R394" s="1" t="s">
        <v>188</v>
      </c>
      <c r="S394" s="1" t="s">
        <v>492</v>
      </c>
      <c r="T394" s="1" t="s">
        <v>137</v>
      </c>
      <c r="U394" s="1" t="s">
        <v>2540</v>
      </c>
      <c r="V394" s="1" t="s">
        <v>2540</v>
      </c>
      <c r="X394" s="1" t="s">
        <v>100</v>
      </c>
      <c r="Y394" s="1" t="s">
        <v>111</v>
      </c>
      <c r="Z394" s="1" t="s">
        <v>192</v>
      </c>
      <c r="AA394" s="1" t="s">
        <v>5861</v>
      </c>
      <c r="AB394" s="1">
        <v>0</v>
      </c>
      <c r="AD394" s="1" t="s">
        <v>5862</v>
      </c>
      <c r="AE394" s="1">
        <f>91-8919179797</f>
        <v>-8919179706</v>
      </c>
      <c r="AF394" s="1" t="s">
        <v>129</v>
      </c>
      <c r="AG394" s="1" t="s">
        <v>5863</v>
      </c>
      <c r="AH394" s="1" t="s">
        <v>5864</v>
      </c>
      <c r="AI394" s="1" t="s">
        <v>5865</v>
      </c>
      <c r="AJ394" s="1" t="s">
        <v>109</v>
      </c>
      <c r="AK394" s="1" t="s">
        <v>5866</v>
      </c>
      <c r="AL394" s="1">
        <v>60</v>
      </c>
      <c r="AM394" s="1" t="s">
        <v>111</v>
      </c>
      <c r="AN394" s="1" t="s">
        <v>5867</v>
      </c>
      <c r="AO394" s="1" t="s">
        <v>5868</v>
      </c>
      <c r="AP394" s="1">
        <f>91-8919179797</f>
        <v>-8919179706</v>
      </c>
      <c r="AQ394" s="1" t="s">
        <v>565</v>
      </c>
      <c r="AR394" s="1">
        <v>1</v>
      </c>
      <c r="AS394" s="1">
        <v>1</v>
      </c>
      <c r="AW394" s="1" t="s">
        <v>142</v>
      </c>
      <c r="AX394" s="1" t="s">
        <v>414</v>
      </c>
      <c r="AY394" s="1" t="s">
        <v>150</v>
      </c>
      <c r="AZ394" s="1">
        <v>5.0199999999999996</v>
      </c>
      <c r="BA394" s="1">
        <v>5.0999999999999996</v>
      </c>
      <c r="BB394" s="1" t="s">
        <v>151</v>
      </c>
      <c r="BC394" s="1" t="s">
        <v>304</v>
      </c>
      <c r="BD394" s="1" t="s">
        <v>1333</v>
      </c>
      <c r="BE394" s="1" t="s">
        <v>120</v>
      </c>
      <c r="BF394" s="1" t="s">
        <v>120</v>
      </c>
      <c r="BG394" s="1" t="s">
        <v>120</v>
      </c>
      <c r="BH394" s="1" t="s">
        <v>120</v>
      </c>
      <c r="BJ394" s="1" t="s">
        <v>154</v>
      </c>
      <c r="BK394" s="1" t="s">
        <v>120</v>
      </c>
      <c r="BL394" s="1">
        <v>0</v>
      </c>
      <c r="BM394" s="1">
        <v>0</v>
      </c>
      <c r="BN394" s="1" t="s">
        <v>5869</v>
      </c>
      <c r="BO394" s="1">
        <v>1</v>
      </c>
      <c r="BP394" s="1" t="s">
        <v>5870</v>
      </c>
      <c r="BQ394" s="1" t="s">
        <v>112</v>
      </c>
      <c r="BR394" s="1">
        <v>1</v>
      </c>
      <c r="BS394" s="1" t="s">
        <v>354</v>
      </c>
      <c r="BT394" s="1" t="s">
        <v>124</v>
      </c>
      <c r="BU394" s="1" t="s">
        <v>112</v>
      </c>
      <c r="BV394" s="1" t="s">
        <v>112</v>
      </c>
      <c r="BW394" s="1" t="s">
        <v>112</v>
      </c>
      <c r="BX394" s="1" t="s">
        <v>112</v>
      </c>
      <c r="BY394" s="1" t="s">
        <v>465</v>
      </c>
      <c r="BZ394" s="1">
        <v>0</v>
      </c>
      <c r="CA394" s="1">
        <v>0</v>
      </c>
      <c r="CB394" s="4">
        <v>44031.155186886572</v>
      </c>
      <c r="CC394" s="1">
        <v>0</v>
      </c>
      <c r="CD394" s="1">
        <v>0</v>
      </c>
      <c r="CE394" s="1">
        <v>0</v>
      </c>
      <c r="CF394" s="1">
        <v>0</v>
      </c>
      <c r="CG394" s="4">
        <v>44063.405022453706</v>
      </c>
      <c r="CH394" s="1" t="s">
        <v>112</v>
      </c>
      <c r="CI394" s="1" t="s">
        <v>5871</v>
      </c>
      <c r="CJ394" s="1" t="s">
        <v>157</v>
      </c>
    </row>
    <row r="395" spans="1:88" x14ac:dyDescent="0.35">
      <c r="A395" s="1">
        <v>6245</v>
      </c>
      <c r="B395" s="1" t="s">
        <v>5872</v>
      </c>
      <c r="C395" s="1" t="s">
        <v>5873</v>
      </c>
      <c r="D395" s="1" t="s">
        <v>90</v>
      </c>
      <c r="E395" s="1" t="s">
        <v>2505</v>
      </c>
      <c r="F395" s="1" t="s">
        <v>5874</v>
      </c>
      <c r="G395" s="1">
        <v>1</v>
      </c>
      <c r="H395" s="3">
        <v>33427</v>
      </c>
      <c r="I395" s="1">
        <v>1</v>
      </c>
      <c r="J395" s="1" t="s">
        <v>93</v>
      </c>
      <c r="K395" s="1" t="s">
        <v>94</v>
      </c>
      <c r="L395" s="2">
        <f>91-8108863903</f>
        <v>-8108863812</v>
      </c>
      <c r="M395" s="1" t="s">
        <v>150</v>
      </c>
      <c r="N395" s="1">
        <v>0</v>
      </c>
      <c r="O395" s="1">
        <v>0</v>
      </c>
      <c r="P395" s="1">
        <v>5.03</v>
      </c>
      <c r="Q395" s="1">
        <v>14</v>
      </c>
      <c r="R395" s="1" t="s">
        <v>164</v>
      </c>
      <c r="S395" s="1" t="s">
        <v>293</v>
      </c>
      <c r="T395" s="1" t="s">
        <v>5875</v>
      </c>
      <c r="U395" s="1" t="s">
        <v>2540</v>
      </c>
      <c r="V395" s="1" t="s">
        <v>2540</v>
      </c>
      <c r="X395" s="1" t="s">
        <v>296</v>
      </c>
      <c r="Y395" s="1" t="s">
        <v>111</v>
      </c>
      <c r="Z395" s="1" t="s">
        <v>5876</v>
      </c>
      <c r="AB395" s="1">
        <v>0</v>
      </c>
      <c r="AD395" s="1" t="s">
        <v>5877</v>
      </c>
      <c r="AE395" s="1">
        <f>91-7977818839</f>
        <v>-7977818748</v>
      </c>
      <c r="AF395" s="1" t="s">
        <v>2541</v>
      </c>
      <c r="AG395" s="1" t="s">
        <v>5878</v>
      </c>
      <c r="AH395" s="1" t="s">
        <v>5879</v>
      </c>
      <c r="AI395" s="1" t="s">
        <v>2675</v>
      </c>
      <c r="AJ395" s="1" t="s">
        <v>109</v>
      </c>
      <c r="AK395" s="1" t="s">
        <v>5880</v>
      </c>
      <c r="AL395" s="1">
        <v>5</v>
      </c>
      <c r="AM395" s="1" t="s">
        <v>2541</v>
      </c>
      <c r="AP395" s="1">
        <f>91-9712034470</f>
        <v>-9712034379</v>
      </c>
      <c r="AR395" s="1">
        <v>0</v>
      </c>
      <c r="AS395" s="1">
        <v>0</v>
      </c>
      <c r="AW395" s="1" t="s">
        <v>142</v>
      </c>
      <c r="AX395" s="1" t="s">
        <v>526</v>
      </c>
      <c r="AY395" s="1" t="s">
        <v>1332</v>
      </c>
      <c r="AZ395" s="1">
        <v>4.1100000000000003</v>
      </c>
      <c r="BA395" s="1">
        <v>5.0599999999999996</v>
      </c>
      <c r="BB395" s="1" t="s">
        <v>151</v>
      </c>
      <c r="BC395" s="1" t="s">
        <v>152</v>
      </c>
      <c r="BD395" s="1" t="s">
        <v>1395</v>
      </c>
      <c r="BE395" s="1" t="s">
        <v>4987</v>
      </c>
      <c r="BF395" s="1" t="s">
        <v>120</v>
      </c>
      <c r="BG395" s="1" t="s">
        <v>2541</v>
      </c>
      <c r="BH395" s="1" t="s">
        <v>2541</v>
      </c>
      <c r="BI395" s="1" t="s">
        <v>132</v>
      </c>
      <c r="BL395" s="1">
        <v>0</v>
      </c>
      <c r="BM395" s="1">
        <v>0</v>
      </c>
      <c r="BN395" s="1" t="s">
        <v>5881</v>
      </c>
      <c r="BO395" s="1">
        <v>0</v>
      </c>
      <c r="BQ395" s="1" t="s">
        <v>180</v>
      </c>
      <c r="BR395" s="1">
        <v>0</v>
      </c>
      <c r="BS395" s="1" t="s">
        <v>596</v>
      </c>
      <c r="BT395" s="1" t="s">
        <v>124</v>
      </c>
      <c r="BU395" s="1" t="s">
        <v>5882</v>
      </c>
      <c r="BV395" s="1" t="s">
        <v>112</v>
      </c>
      <c r="BW395" s="1" t="s">
        <v>5883</v>
      </c>
      <c r="BX395" s="1" t="s">
        <v>5884</v>
      </c>
      <c r="BY395" s="1" t="s">
        <v>120</v>
      </c>
      <c r="BZ395" s="1">
        <v>0</v>
      </c>
      <c r="CA395" s="1">
        <v>0</v>
      </c>
      <c r="CB395" s="4">
        <v>44034.05526134259</v>
      </c>
      <c r="CC395" s="1">
        <v>1</v>
      </c>
      <c r="CD395" s="1">
        <v>1</v>
      </c>
      <c r="CE395" s="1">
        <v>1</v>
      </c>
      <c r="CF395" s="1">
        <v>1</v>
      </c>
      <c r="CG395" s="4">
        <v>44043.54451226852</v>
      </c>
      <c r="CH395" s="1" t="s">
        <v>112</v>
      </c>
      <c r="CI395" s="1" t="s">
        <v>5885</v>
      </c>
      <c r="CJ395" s="1" t="s">
        <v>157</v>
      </c>
    </row>
    <row r="396" spans="1:88" x14ac:dyDescent="0.35">
      <c r="A396" s="1">
        <v>6246</v>
      </c>
      <c r="B396" s="1" t="s">
        <v>5886</v>
      </c>
      <c r="C396" s="1" t="s">
        <v>5887</v>
      </c>
      <c r="D396" s="1" t="s">
        <v>259</v>
      </c>
      <c r="E396" s="1" t="s">
        <v>5888</v>
      </c>
      <c r="F396" s="1" t="s">
        <v>5889</v>
      </c>
      <c r="G396" s="1">
        <v>0</v>
      </c>
      <c r="H396" s="3">
        <v>35197</v>
      </c>
      <c r="I396" s="1">
        <v>1</v>
      </c>
      <c r="J396" s="1" t="s">
        <v>162</v>
      </c>
      <c r="K396" s="1" t="s">
        <v>163</v>
      </c>
      <c r="L396" s="2">
        <f>91-9427953533</f>
        <v>-9427953442</v>
      </c>
      <c r="M396" s="1" t="s">
        <v>112</v>
      </c>
      <c r="N396" s="1" t="s">
        <v>112</v>
      </c>
      <c r="O396" s="1" t="s">
        <v>112</v>
      </c>
      <c r="P396" s="1" t="s">
        <v>112</v>
      </c>
      <c r="Q396" s="1" t="s">
        <v>112</v>
      </c>
      <c r="R396" s="1" t="s">
        <v>112</v>
      </c>
      <c r="S396" s="1" t="s">
        <v>112</v>
      </c>
      <c r="T396" s="1" t="s">
        <v>112</v>
      </c>
      <c r="U396" s="1" t="s">
        <v>112</v>
      </c>
      <c r="V396" s="1" t="s">
        <v>112</v>
      </c>
      <c r="W396" s="1" t="s">
        <v>112</v>
      </c>
      <c r="X396" s="1" t="s">
        <v>112</v>
      </c>
      <c r="Y396" s="1" t="s">
        <v>112</v>
      </c>
      <c r="Z396" s="1" t="s">
        <v>112</v>
      </c>
      <c r="AA396" s="1" t="s">
        <v>112</v>
      </c>
      <c r="AB396" s="1" t="s">
        <v>112</v>
      </c>
      <c r="AC396" s="1" t="s">
        <v>112</v>
      </c>
      <c r="AD396" s="1" t="s">
        <v>112</v>
      </c>
      <c r="AE396" s="1" t="s">
        <v>112</v>
      </c>
      <c r="AF396" s="1" t="s">
        <v>112</v>
      </c>
      <c r="AG396" s="1" t="s">
        <v>112</v>
      </c>
      <c r="AH396" s="1" t="s">
        <v>112</v>
      </c>
      <c r="AI396" s="1" t="s">
        <v>112</v>
      </c>
      <c r="AJ396" s="1" t="s">
        <v>112</v>
      </c>
      <c r="AK396" s="1" t="s">
        <v>112</v>
      </c>
      <c r="AL396" s="1" t="s">
        <v>112</v>
      </c>
      <c r="AM396" s="1" t="s">
        <v>112</v>
      </c>
      <c r="AN396" s="1" t="s">
        <v>112</v>
      </c>
      <c r="AO396" s="1" t="s">
        <v>112</v>
      </c>
      <c r="AP396" s="1" t="s">
        <v>112</v>
      </c>
      <c r="AQ396" s="1" t="s">
        <v>112</v>
      </c>
      <c r="AR396" s="1" t="s">
        <v>112</v>
      </c>
      <c r="AS396" s="1" t="s">
        <v>112</v>
      </c>
      <c r="AT396" s="1" t="s">
        <v>112</v>
      </c>
      <c r="AU396" s="1" t="s">
        <v>112</v>
      </c>
      <c r="AV396" s="1" t="s">
        <v>112</v>
      </c>
      <c r="AW396" s="1" t="s">
        <v>112</v>
      </c>
      <c r="AX396" s="1" t="s">
        <v>112</v>
      </c>
      <c r="AY396" s="1" t="s">
        <v>112</v>
      </c>
      <c r="AZ396" s="1" t="s">
        <v>112</v>
      </c>
      <c r="BA396" s="1" t="s">
        <v>112</v>
      </c>
      <c r="BB396" s="1" t="s">
        <v>112</v>
      </c>
      <c r="BC396" s="1" t="s">
        <v>112</v>
      </c>
      <c r="BD396" s="1" t="s">
        <v>112</v>
      </c>
      <c r="BE396" s="1" t="s">
        <v>112</v>
      </c>
      <c r="BF396" s="1" t="s">
        <v>112</v>
      </c>
      <c r="BG396" s="1" t="s">
        <v>112</v>
      </c>
      <c r="BH396" s="1" t="s">
        <v>112</v>
      </c>
      <c r="BI396" s="1" t="s">
        <v>112</v>
      </c>
      <c r="BJ396" s="1" t="s">
        <v>112</v>
      </c>
      <c r="BK396" s="1" t="s">
        <v>112</v>
      </c>
      <c r="BL396" s="1" t="s">
        <v>112</v>
      </c>
      <c r="BM396" s="1" t="s">
        <v>112</v>
      </c>
      <c r="BN396" s="1" t="s">
        <v>112</v>
      </c>
      <c r="BO396" s="1" t="s">
        <v>112</v>
      </c>
      <c r="BP396" s="1" t="s">
        <v>112</v>
      </c>
      <c r="BQ396" s="1" t="s">
        <v>112</v>
      </c>
      <c r="BR396" s="1" t="s">
        <v>112</v>
      </c>
      <c r="BS396" s="1" t="s">
        <v>112</v>
      </c>
      <c r="BT396" s="1" t="s">
        <v>112</v>
      </c>
      <c r="BU396" s="1" t="s">
        <v>112</v>
      </c>
      <c r="BV396" s="1" t="s">
        <v>112</v>
      </c>
      <c r="BW396" s="1" t="s">
        <v>112</v>
      </c>
      <c r="BX396" s="1" t="s">
        <v>112</v>
      </c>
      <c r="BY396" s="1" t="s">
        <v>112</v>
      </c>
      <c r="BZ396" s="1" t="s">
        <v>112</v>
      </c>
      <c r="CA396" s="1" t="s">
        <v>112</v>
      </c>
      <c r="CB396" s="4">
        <v>44035.204651157408</v>
      </c>
      <c r="CC396" s="1">
        <v>0</v>
      </c>
      <c r="CD396" s="1">
        <v>0</v>
      </c>
      <c r="CE396" s="1">
        <v>0</v>
      </c>
      <c r="CF396" s="1">
        <v>0</v>
      </c>
      <c r="CG396" s="4">
        <v>44035.204651157408</v>
      </c>
      <c r="CH396" s="1" t="s">
        <v>112</v>
      </c>
      <c r="CI396" s="1" t="s">
        <v>112</v>
      </c>
      <c r="CJ396" s="1" t="s">
        <v>112</v>
      </c>
    </row>
    <row r="397" spans="1:88" x14ac:dyDescent="0.35">
      <c r="A397" s="1">
        <v>6247</v>
      </c>
      <c r="B397" s="1" t="s">
        <v>5890</v>
      </c>
      <c r="C397" s="1" t="s">
        <v>5891</v>
      </c>
      <c r="D397" s="1" t="s">
        <v>90</v>
      </c>
      <c r="E397" s="1" t="s">
        <v>940</v>
      </c>
      <c r="F397" s="1" t="s">
        <v>1451</v>
      </c>
      <c r="G397" s="1">
        <v>0</v>
      </c>
      <c r="H397" s="3">
        <v>32342</v>
      </c>
      <c r="I397" s="1">
        <v>1</v>
      </c>
      <c r="J397" s="1" t="s">
        <v>186</v>
      </c>
      <c r="K397" s="1" t="s">
        <v>407</v>
      </c>
      <c r="L397" s="2">
        <f>91-8120119040</f>
        <v>-8120118949</v>
      </c>
      <c r="M397" s="1" t="s">
        <v>150</v>
      </c>
      <c r="N397" s="1">
        <v>0</v>
      </c>
      <c r="O397" s="1">
        <v>0</v>
      </c>
      <c r="P397" s="1">
        <v>5.03</v>
      </c>
      <c r="Q397" s="1">
        <v>18</v>
      </c>
      <c r="R397" s="1" t="s">
        <v>5892</v>
      </c>
      <c r="S397" s="1" t="s">
        <v>136</v>
      </c>
      <c r="T397" s="1" t="s">
        <v>341</v>
      </c>
      <c r="U397" s="1" t="s">
        <v>2540</v>
      </c>
      <c r="V397" s="1" t="s">
        <v>2540</v>
      </c>
      <c r="X397" s="1" t="s">
        <v>924</v>
      </c>
      <c r="Y397" s="1" t="s">
        <v>210</v>
      </c>
      <c r="Z397" s="1" t="s">
        <v>5893</v>
      </c>
      <c r="AB397" s="1">
        <v>0</v>
      </c>
      <c r="AD397" s="1" t="s">
        <v>5894</v>
      </c>
      <c r="AE397" s="1" t="s">
        <v>142</v>
      </c>
      <c r="AF397" s="1" t="s">
        <v>112</v>
      </c>
      <c r="AG397" s="1" t="s">
        <v>112</v>
      </c>
      <c r="AH397" s="1" t="s">
        <v>112</v>
      </c>
      <c r="AI397" s="1" t="s">
        <v>112</v>
      </c>
      <c r="AJ397" s="1" t="s">
        <v>112</v>
      </c>
      <c r="AK397" s="1" t="s">
        <v>112</v>
      </c>
      <c r="AL397" s="1" t="s">
        <v>112</v>
      </c>
      <c r="AM397" s="1" t="s">
        <v>112</v>
      </c>
      <c r="AN397" s="1" t="s">
        <v>112</v>
      </c>
      <c r="AO397" s="1" t="s">
        <v>112</v>
      </c>
      <c r="AP397" s="1" t="s">
        <v>112</v>
      </c>
      <c r="AQ397" s="1" t="s">
        <v>112</v>
      </c>
      <c r="AR397" s="1" t="s">
        <v>112</v>
      </c>
      <c r="AS397" s="1" t="s">
        <v>112</v>
      </c>
      <c r="AT397" s="1" t="s">
        <v>112</v>
      </c>
      <c r="AU397" s="1" t="s">
        <v>112</v>
      </c>
      <c r="AV397" s="1" t="s">
        <v>112</v>
      </c>
      <c r="AW397" s="1" t="s">
        <v>112</v>
      </c>
      <c r="AX397" s="1" t="s">
        <v>112</v>
      </c>
      <c r="AY397" s="1" t="s">
        <v>112</v>
      </c>
      <c r="AZ397" s="1" t="s">
        <v>112</v>
      </c>
      <c r="BA397" s="1" t="s">
        <v>112</v>
      </c>
      <c r="BB397" s="1" t="s">
        <v>112</v>
      </c>
      <c r="BC397" s="1" t="s">
        <v>112</v>
      </c>
      <c r="BD397" s="1" t="s">
        <v>112</v>
      </c>
      <c r="BE397" s="1" t="s">
        <v>112</v>
      </c>
      <c r="BF397" s="1" t="s">
        <v>112</v>
      </c>
      <c r="BG397" s="1" t="s">
        <v>112</v>
      </c>
      <c r="BH397" s="1" t="s">
        <v>112</v>
      </c>
      <c r="BI397" s="1" t="s">
        <v>112</v>
      </c>
      <c r="BJ397" s="1" t="s">
        <v>112</v>
      </c>
      <c r="BK397" s="1" t="s">
        <v>112</v>
      </c>
      <c r="BL397" s="1" t="s">
        <v>112</v>
      </c>
      <c r="BM397" s="1" t="s">
        <v>112</v>
      </c>
      <c r="BN397" s="1" t="s">
        <v>112</v>
      </c>
      <c r="BO397" s="1" t="s">
        <v>112</v>
      </c>
      <c r="BP397" s="1" t="s">
        <v>112</v>
      </c>
      <c r="BQ397" s="1" t="s">
        <v>112</v>
      </c>
      <c r="BR397" s="1" t="s">
        <v>112</v>
      </c>
      <c r="BS397" s="1" t="s">
        <v>112</v>
      </c>
      <c r="BT397" s="1" t="s">
        <v>112</v>
      </c>
      <c r="BU397" s="1" t="s">
        <v>112</v>
      </c>
      <c r="BV397" s="1" t="s">
        <v>112</v>
      </c>
      <c r="BW397" s="1" t="s">
        <v>112</v>
      </c>
      <c r="BX397" s="1" t="s">
        <v>112</v>
      </c>
      <c r="BY397" s="1" t="s">
        <v>112</v>
      </c>
      <c r="BZ397" s="1" t="s">
        <v>112</v>
      </c>
      <c r="CA397" s="1" t="s">
        <v>112</v>
      </c>
      <c r="CB397" s="4">
        <v>44035.367070717592</v>
      </c>
      <c r="CC397" s="1">
        <v>0</v>
      </c>
      <c r="CD397" s="1">
        <v>0</v>
      </c>
      <c r="CE397" s="1">
        <v>0</v>
      </c>
      <c r="CF397" s="1">
        <v>0</v>
      </c>
      <c r="CG397" s="4">
        <v>44035.664041435186</v>
      </c>
      <c r="CH397" s="1" t="s">
        <v>112</v>
      </c>
      <c r="CI397" s="1" t="s">
        <v>112</v>
      </c>
      <c r="CJ397" s="1" t="s">
        <v>112</v>
      </c>
    </row>
    <row r="398" spans="1:88" x14ac:dyDescent="0.35">
      <c r="A398" s="1">
        <v>6248</v>
      </c>
      <c r="B398" s="1" t="s">
        <v>5895</v>
      </c>
      <c r="C398" s="1" t="s">
        <v>5896</v>
      </c>
      <c r="D398" s="1" t="s">
        <v>229</v>
      </c>
      <c r="E398" s="1" t="s">
        <v>5897</v>
      </c>
      <c r="F398" s="1" t="s">
        <v>5898</v>
      </c>
      <c r="G398" s="1">
        <v>1</v>
      </c>
      <c r="H398" s="3">
        <v>32469</v>
      </c>
      <c r="I398" s="1">
        <v>1</v>
      </c>
      <c r="J398" s="1" t="s">
        <v>162</v>
      </c>
      <c r="K398" s="1" t="s">
        <v>847</v>
      </c>
      <c r="L398" s="2">
        <f>91-9265548910</f>
        <v>-9265548819</v>
      </c>
      <c r="M398" s="1" t="s">
        <v>112</v>
      </c>
      <c r="N398" s="1" t="s">
        <v>112</v>
      </c>
      <c r="O398" s="1" t="s">
        <v>112</v>
      </c>
      <c r="P398" s="1" t="s">
        <v>112</v>
      </c>
      <c r="Q398" s="1" t="s">
        <v>112</v>
      </c>
      <c r="R398" s="1" t="s">
        <v>112</v>
      </c>
      <c r="S398" s="1" t="s">
        <v>112</v>
      </c>
      <c r="T398" s="1" t="s">
        <v>112</v>
      </c>
      <c r="U398" s="1" t="s">
        <v>112</v>
      </c>
      <c r="V398" s="1" t="s">
        <v>112</v>
      </c>
      <c r="W398" s="1" t="s">
        <v>112</v>
      </c>
      <c r="X398" s="1" t="s">
        <v>112</v>
      </c>
      <c r="Y398" s="1" t="s">
        <v>112</v>
      </c>
      <c r="Z398" s="1" t="s">
        <v>112</v>
      </c>
      <c r="AA398" s="1" t="s">
        <v>112</v>
      </c>
      <c r="AB398" s="1" t="s">
        <v>112</v>
      </c>
      <c r="AC398" s="1" t="s">
        <v>112</v>
      </c>
      <c r="AD398" s="1" t="s">
        <v>112</v>
      </c>
      <c r="AE398" s="1" t="s">
        <v>112</v>
      </c>
      <c r="AF398" s="1" t="s">
        <v>112</v>
      </c>
      <c r="AG398" s="1" t="s">
        <v>112</v>
      </c>
      <c r="AH398" s="1" t="s">
        <v>112</v>
      </c>
      <c r="AI398" s="1" t="s">
        <v>112</v>
      </c>
      <c r="AJ398" s="1" t="s">
        <v>112</v>
      </c>
      <c r="AK398" s="1" t="s">
        <v>112</v>
      </c>
      <c r="AL398" s="1" t="s">
        <v>112</v>
      </c>
      <c r="AM398" s="1" t="s">
        <v>112</v>
      </c>
      <c r="AN398" s="1" t="s">
        <v>112</v>
      </c>
      <c r="AO398" s="1" t="s">
        <v>112</v>
      </c>
      <c r="AP398" s="1" t="s">
        <v>112</v>
      </c>
      <c r="AQ398" s="1" t="s">
        <v>112</v>
      </c>
      <c r="AR398" s="1" t="s">
        <v>112</v>
      </c>
      <c r="AS398" s="1" t="s">
        <v>112</v>
      </c>
      <c r="AT398" s="1" t="s">
        <v>112</v>
      </c>
      <c r="AU398" s="1" t="s">
        <v>112</v>
      </c>
      <c r="AV398" s="1" t="s">
        <v>112</v>
      </c>
      <c r="AW398" s="1" t="s">
        <v>112</v>
      </c>
      <c r="AX398" s="1" t="s">
        <v>112</v>
      </c>
      <c r="AY398" s="1" t="s">
        <v>112</v>
      </c>
      <c r="AZ398" s="1" t="s">
        <v>112</v>
      </c>
      <c r="BA398" s="1" t="s">
        <v>112</v>
      </c>
      <c r="BB398" s="1" t="s">
        <v>112</v>
      </c>
      <c r="BC398" s="1" t="s">
        <v>112</v>
      </c>
      <c r="BD398" s="1" t="s">
        <v>112</v>
      </c>
      <c r="BE398" s="1" t="s">
        <v>112</v>
      </c>
      <c r="BF398" s="1" t="s">
        <v>112</v>
      </c>
      <c r="BG398" s="1" t="s">
        <v>112</v>
      </c>
      <c r="BH398" s="1" t="s">
        <v>112</v>
      </c>
      <c r="BI398" s="1" t="s">
        <v>112</v>
      </c>
      <c r="BJ398" s="1" t="s">
        <v>112</v>
      </c>
      <c r="BK398" s="1" t="s">
        <v>112</v>
      </c>
      <c r="BL398" s="1" t="s">
        <v>112</v>
      </c>
      <c r="BM398" s="1" t="s">
        <v>112</v>
      </c>
      <c r="BN398" s="1" t="s">
        <v>112</v>
      </c>
      <c r="BO398" s="1" t="s">
        <v>112</v>
      </c>
      <c r="BP398" s="1" t="s">
        <v>112</v>
      </c>
      <c r="BQ398" s="1" t="s">
        <v>112</v>
      </c>
      <c r="BR398" s="1" t="s">
        <v>112</v>
      </c>
      <c r="BS398" s="1" t="s">
        <v>112</v>
      </c>
      <c r="BT398" s="1" t="s">
        <v>112</v>
      </c>
      <c r="BU398" s="1" t="s">
        <v>112</v>
      </c>
      <c r="BV398" s="1" t="s">
        <v>112</v>
      </c>
      <c r="BW398" s="1" t="s">
        <v>112</v>
      </c>
      <c r="BX398" s="1" t="s">
        <v>112</v>
      </c>
      <c r="BY398" s="1" t="s">
        <v>112</v>
      </c>
      <c r="BZ398" s="1" t="s">
        <v>112</v>
      </c>
      <c r="CA398" s="1" t="s">
        <v>112</v>
      </c>
      <c r="CB398" s="4">
        <v>44035.442770949077</v>
      </c>
      <c r="CC398" s="1">
        <v>0</v>
      </c>
      <c r="CD398" s="1">
        <v>0</v>
      </c>
      <c r="CE398" s="1">
        <v>0</v>
      </c>
      <c r="CF398" s="1">
        <v>0</v>
      </c>
      <c r="CG398" s="4">
        <v>44035.442770949077</v>
      </c>
      <c r="CH398" s="1" t="s">
        <v>112</v>
      </c>
      <c r="CI398" s="1" t="s">
        <v>112</v>
      </c>
      <c r="CJ398" s="1" t="s">
        <v>112</v>
      </c>
    </row>
    <row r="399" spans="1:88" x14ac:dyDescent="0.35">
      <c r="A399" s="1">
        <v>6249</v>
      </c>
      <c r="B399" s="1" t="s">
        <v>5899</v>
      </c>
      <c r="C399" s="1" t="s">
        <v>5900</v>
      </c>
      <c r="D399" s="1" t="s">
        <v>229</v>
      </c>
      <c r="E399" s="1" t="s">
        <v>5901</v>
      </c>
      <c r="F399" s="1" t="s">
        <v>534</v>
      </c>
      <c r="G399" s="1">
        <v>1</v>
      </c>
      <c r="H399" s="3">
        <v>34185</v>
      </c>
      <c r="I399" s="1">
        <v>1</v>
      </c>
      <c r="J399" s="1" t="s">
        <v>2624</v>
      </c>
      <c r="K399" s="1" t="s">
        <v>5902</v>
      </c>
      <c r="L399" s="2">
        <f>91-7838290664</f>
        <v>-7838290573</v>
      </c>
      <c r="M399" s="1" t="s">
        <v>150</v>
      </c>
      <c r="N399" s="1">
        <v>0</v>
      </c>
      <c r="O399" s="1">
        <v>0</v>
      </c>
      <c r="P399" s="1">
        <v>5.1100000000000003</v>
      </c>
      <c r="Q399" s="1">
        <v>16</v>
      </c>
      <c r="R399" s="1" t="s">
        <v>535</v>
      </c>
      <c r="S399" s="1" t="s">
        <v>136</v>
      </c>
      <c r="T399" s="1" t="s">
        <v>427</v>
      </c>
      <c r="U399" s="1" t="s">
        <v>2430</v>
      </c>
      <c r="V399" s="1" t="s">
        <v>5903</v>
      </c>
      <c r="X399" s="1" t="s">
        <v>100</v>
      </c>
      <c r="Y399" s="1" t="s">
        <v>111</v>
      </c>
      <c r="Z399" s="1" t="s">
        <v>1387</v>
      </c>
      <c r="AA399" s="1" t="s">
        <v>5904</v>
      </c>
      <c r="AB399" s="1">
        <v>0</v>
      </c>
      <c r="AD399" s="1" t="s">
        <v>5905</v>
      </c>
      <c r="AE399" s="1">
        <f>91-8555940491</f>
        <v>-8555940400</v>
      </c>
      <c r="AF399" s="1" t="s">
        <v>105</v>
      </c>
      <c r="AG399" s="1" t="s">
        <v>5839</v>
      </c>
      <c r="AH399" s="1" t="s">
        <v>5906</v>
      </c>
      <c r="AI399" s="1" t="s">
        <v>5841</v>
      </c>
      <c r="AJ399" s="1" t="s">
        <v>109</v>
      </c>
      <c r="AK399" s="1" t="s">
        <v>5907</v>
      </c>
      <c r="AL399" s="1">
        <v>45</v>
      </c>
      <c r="AM399" s="1" t="s">
        <v>111</v>
      </c>
      <c r="AN399" s="1" t="s">
        <v>5908</v>
      </c>
      <c r="AO399" s="1" t="s">
        <v>5909</v>
      </c>
      <c r="AP399" s="1">
        <f>91-9908099262</f>
        <v>-9908099171</v>
      </c>
      <c r="AQ399" s="1" t="s">
        <v>5910</v>
      </c>
      <c r="AR399" s="1">
        <v>0</v>
      </c>
      <c r="AS399" s="1">
        <v>0</v>
      </c>
      <c r="AT399" s="1" t="s">
        <v>5911</v>
      </c>
      <c r="AU399" s="1" t="s">
        <v>5912</v>
      </c>
      <c r="AV399" s="1" t="s">
        <v>599</v>
      </c>
      <c r="AW399" s="1">
        <f>91-9290609040</f>
        <v>-9290608949</v>
      </c>
      <c r="AX399" s="1" t="s">
        <v>5913</v>
      </c>
      <c r="AY399" s="1" t="s">
        <v>150</v>
      </c>
      <c r="AZ399" s="1">
        <v>5</v>
      </c>
      <c r="BA399" s="1">
        <v>5</v>
      </c>
      <c r="BB399" s="1" t="s">
        <v>151</v>
      </c>
      <c r="BC399" s="1" t="s">
        <v>304</v>
      </c>
      <c r="BD399" s="1" t="s">
        <v>1333</v>
      </c>
      <c r="BE399" s="1" t="s">
        <v>120</v>
      </c>
      <c r="BF399" s="1" t="s">
        <v>120</v>
      </c>
      <c r="BG399" s="1" t="s">
        <v>120</v>
      </c>
      <c r="BH399" s="1" t="s">
        <v>120</v>
      </c>
      <c r="BJ399" s="1" t="s">
        <v>154</v>
      </c>
      <c r="BK399" s="1" t="s">
        <v>120</v>
      </c>
      <c r="BL399" s="1">
        <v>0</v>
      </c>
      <c r="BM399" s="1">
        <v>0</v>
      </c>
      <c r="BN399" s="1" t="s">
        <v>5914</v>
      </c>
      <c r="BO399" s="1">
        <v>1</v>
      </c>
      <c r="BP399" s="1" t="s">
        <v>5915</v>
      </c>
      <c r="BQ399" s="1" t="s">
        <v>112</v>
      </c>
      <c r="BR399" s="1">
        <v>0</v>
      </c>
      <c r="BS399" s="1" t="s">
        <v>787</v>
      </c>
      <c r="BT399" s="1" t="s">
        <v>124</v>
      </c>
      <c r="BU399" s="1" t="s">
        <v>112</v>
      </c>
      <c r="BV399" s="1" t="s">
        <v>112</v>
      </c>
      <c r="BW399" s="1" t="s">
        <v>5916</v>
      </c>
      <c r="BX399" s="1" t="s">
        <v>5917</v>
      </c>
      <c r="BY399" s="1" t="s">
        <v>465</v>
      </c>
      <c r="BZ399" s="1">
        <v>2</v>
      </c>
      <c r="CA399" s="1">
        <v>2</v>
      </c>
      <c r="CB399" s="4">
        <v>44036.994840856481</v>
      </c>
      <c r="CC399" s="1">
        <v>1</v>
      </c>
      <c r="CD399" s="1">
        <v>1</v>
      </c>
      <c r="CE399" s="1">
        <v>1</v>
      </c>
      <c r="CF399" s="1">
        <v>1</v>
      </c>
      <c r="CG399" s="4">
        <v>44071.287451585646</v>
      </c>
      <c r="CH399" s="1" t="s">
        <v>112</v>
      </c>
      <c r="CI399" s="1" t="s">
        <v>2737</v>
      </c>
      <c r="CJ399" s="1" t="s">
        <v>157</v>
      </c>
    </row>
    <row r="400" spans="1:88" x14ac:dyDescent="0.35">
      <c r="A400" s="1">
        <v>6250</v>
      </c>
      <c r="B400" s="1" t="s">
        <v>5918</v>
      </c>
      <c r="C400" s="1" t="s">
        <v>5919</v>
      </c>
      <c r="D400" s="1" t="s">
        <v>229</v>
      </c>
      <c r="E400" s="1" t="s">
        <v>2505</v>
      </c>
      <c r="F400" s="1" t="s">
        <v>5920</v>
      </c>
      <c r="G400" s="1">
        <v>1</v>
      </c>
      <c r="H400" s="3">
        <v>33261</v>
      </c>
      <c r="I400" s="1">
        <v>1</v>
      </c>
      <c r="J400" s="1" t="s">
        <v>1553</v>
      </c>
      <c r="K400" s="1" t="s">
        <v>1554</v>
      </c>
      <c r="L400" s="2">
        <f>91-7000871023</f>
        <v>-7000870932</v>
      </c>
      <c r="M400" s="1" t="s">
        <v>150</v>
      </c>
      <c r="N400" s="1">
        <v>0</v>
      </c>
      <c r="O400" s="1">
        <v>0</v>
      </c>
      <c r="P400" s="1">
        <v>5.1100000000000003</v>
      </c>
      <c r="Q400" s="1">
        <v>27</v>
      </c>
      <c r="R400" s="1" t="s">
        <v>653</v>
      </c>
      <c r="S400" s="1" t="s">
        <v>97</v>
      </c>
      <c r="T400" s="1" t="s">
        <v>166</v>
      </c>
      <c r="U400" s="1" t="s">
        <v>2540</v>
      </c>
      <c r="V400" s="1" t="s">
        <v>2540</v>
      </c>
      <c r="X400" s="1" t="s">
        <v>100</v>
      </c>
      <c r="Y400" s="1" t="s">
        <v>111</v>
      </c>
      <c r="Z400" s="1" t="s">
        <v>5921</v>
      </c>
      <c r="AB400" s="1">
        <v>0</v>
      </c>
      <c r="AD400" s="1" t="s">
        <v>5922</v>
      </c>
      <c r="AE400" s="1">
        <f>91-8962844491</f>
        <v>-8962844400</v>
      </c>
      <c r="AF400" s="1" t="s">
        <v>2541</v>
      </c>
      <c r="AG400" s="1" t="s">
        <v>1481</v>
      </c>
      <c r="AH400" s="1" t="s">
        <v>884</v>
      </c>
      <c r="AI400" s="1" t="s">
        <v>4649</v>
      </c>
      <c r="AJ400" s="1" t="s">
        <v>109</v>
      </c>
      <c r="AK400" s="1" t="s">
        <v>5923</v>
      </c>
      <c r="AL400" s="1">
        <v>6</v>
      </c>
      <c r="AM400" s="1" t="s">
        <v>2541</v>
      </c>
      <c r="AP400" s="1">
        <f>91-7999633899</f>
        <v>-7999633808</v>
      </c>
      <c r="AR400" s="1">
        <v>0</v>
      </c>
      <c r="AS400" s="1">
        <v>0</v>
      </c>
      <c r="AW400" s="1" t="s">
        <v>142</v>
      </c>
      <c r="AX400" s="1" t="s">
        <v>2340</v>
      </c>
      <c r="AY400" s="1" t="s">
        <v>150</v>
      </c>
      <c r="AZ400" s="1">
        <v>5.05</v>
      </c>
      <c r="BA400" s="1">
        <v>5.08</v>
      </c>
      <c r="BB400" s="1" t="s">
        <v>151</v>
      </c>
      <c r="BC400" s="1" t="s">
        <v>152</v>
      </c>
      <c r="BD400" s="1" t="s">
        <v>1395</v>
      </c>
      <c r="BE400" s="1" t="s">
        <v>120</v>
      </c>
      <c r="BF400" s="1" t="s">
        <v>120</v>
      </c>
      <c r="BG400" s="1" t="s">
        <v>2541</v>
      </c>
      <c r="BH400" s="1" t="s">
        <v>2541</v>
      </c>
      <c r="BI400" s="1" t="s">
        <v>132</v>
      </c>
      <c r="BL400" s="1">
        <v>0</v>
      </c>
      <c r="BM400" s="1">
        <v>0</v>
      </c>
      <c r="BN400" s="1" t="s">
        <v>1646</v>
      </c>
      <c r="BO400" s="1">
        <v>0</v>
      </c>
      <c r="BQ400" s="1" t="s">
        <v>180</v>
      </c>
      <c r="BR400" s="1">
        <v>0</v>
      </c>
      <c r="BS400" s="1" t="s">
        <v>596</v>
      </c>
      <c r="BT400" s="1" t="s">
        <v>124</v>
      </c>
      <c r="BV400" s="1" t="s">
        <v>112</v>
      </c>
      <c r="BW400" s="1" t="s">
        <v>5924</v>
      </c>
      <c r="BX400" s="1" t="s">
        <v>5925</v>
      </c>
      <c r="BY400" s="1" t="s">
        <v>120</v>
      </c>
      <c r="BZ400" s="1">
        <v>0</v>
      </c>
      <c r="CA400" s="1">
        <v>0</v>
      </c>
      <c r="CB400" s="4">
        <v>44037.273462037039</v>
      </c>
      <c r="CC400" s="1">
        <v>1</v>
      </c>
      <c r="CD400" s="1">
        <v>1</v>
      </c>
      <c r="CE400" s="1">
        <v>1</v>
      </c>
      <c r="CF400" s="1">
        <v>1</v>
      </c>
      <c r="CG400" s="4">
        <v>44037.273462037039</v>
      </c>
      <c r="CH400" s="1" t="s">
        <v>112</v>
      </c>
      <c r="CI400" s="1" t="s">
        <v>280</v>
      </c>
      <c r="CJ400" s="1" t="s">
        <v>157</v>
      </c>
    </row>
    <row r="401" spans="1:88" x14ac:dyDescent="0.35">
      <c r="A401" s="1">
        <v>6251</v>
      </c>
      <c r="B401" s="1" t="s">
        <v>5926</v>
      </c>
      <c r="C401" s="1" t="s">
        <v>5927</v>
      </c>
      <c r="D401" s="1" t="s">
        <v>259</v>
      </c>
      <c r="E401" s="1" t="s">
        <v>5928</v>
      </c>
      <c r="F401" s="1" t="s">
        <v>5929</v>
      </c>
      <c r="G401" s="1">
        <v>0</v>
      </c>
      <c r="H401" s="3">
        <v>35197</v>
      </c>
      <c r="I401" s="1">
        <v>1</v>
      </c>
      <c r="J401" s="1" t="s">
        <v>162</v>
      </c>
      <c r="K401" s="1" t="s">
        <v>163</v>
      </c>
      <c r="L401" s="2">
        <f>91-9427953533</f>
        <v>-9427953442</v>
      </c>
      <c r="M401" s="1" t="s">
        <v>150</v>
      </c>
      <c r="N401" s="1">
        <v>0</v>
      </c>
      <c r="O401" s="1">
        <v>0</v>
      </c>
      <c r="P401" s="1">
        <v>5.03</v>
      </c>
      <c r="Q401" s="1">
        <v>14</v>
      </c>
      <c r="R401" s="1" t="s">
        <v>164</v>
      </c>
      <c r="S401" s="1" t="s">
        <v>136</v>
      </c>
      <c r="T401" s="1" t="s">
        <v>5930</v>
      </c>
      <c r="U401" s="1" t="s">
        <v>2540</v>
      </c>
      <c r="V401" s="1" t="s">
        <v>2540</v>
      </c>
      <c r="X401" s="1" t="s">
        <v>170</v>
      </c>
      <c r="Y401" s="1" t="s">
        <v>210</v>
      </c>
      <c r="Z401" s="1" t="s">
        <v>2483</v>
      </c>
      <c r="AB401" s="1">
        <v>0</v>
      </c>
      <c r="AD401" s="1" t="s">
        <v>5931</v>
      </c>
      <c r="AE401" s="1">
        <f>91-9537242002</f>
        <v>-9537241911</v>
      </c>
      <c r="AF401" s="1" t="s">
        <v>2541</v>
      </c>
      <c r="AG401" s="1" t="s">
        <v>5932</v>
      </c>
      <c r="AH401" s="1" t="s">
        <v>5933</v>
      </c>
      <c r="AI401" s="1" t="s">
        <v>5934</v>
      </c>
      <c r="AJ401" s="1" t="s">
        <v>109</v>
      </c>
      <c r="AK401" s="1" t="s">
        <v>5935</v>
      </c>
      <c r="AL401" s="1">
        <v>26</v>
      </c>
      <c r="AM401" s="1" t="s">
        <v>2541</v>
      </c>
      <c r="AP401" s="1">
        <f>91-9427953533</f>
        <v>-9427953442</v>
      </c>
      <c r="AR401" s="1">
        <v>0</v>
      </c>
      <c r="AS401" s="1">
        <v>0</v>
      </c>
      <c r="AW401" s="1" t="s">
        <v>142</v>
      </c>
      <c r="AX401" s="1" t="s">
        <v>2531</v>
      </c>
      <c r="AY401" s="1" t="s">
        <v>150</v>
      </c>
      <c r="AZ401" s="1">
        <v>5.04</v>
      </c>
      <c r="BA401" s="1">
        <v>5.07</v>
      </c>
      <c r="BB401" s="1" t="s">
        <v>151</v>
      </c>
      <c r="BC401" s="1" t="s">
        <v>152</v>
      </c>
      <c r="BD401" s="1" t="s">
        <v>1395</v>
      </c>
      <c r="BE401" s="1" t="s">
        <v>97</v>
      </c>
      <c r="BF401" s="1" t="s">
        <v>120</v>
      </c>
      <c r="BG401" s="1" t="s">
        <v>2541</v>
      </c>
      <c r="BH401" s="1" t="s">
        <v>2541</v>
      </c>
      <c r="BI401" s="1" t="s">
        <v>2483</v>
      </c>
      <c r="BL401" s="1">
        <v>0</v>
      </c>
      <c r="BM401" s="1">
        <v>1</v>
      </c>
      <c r="BN401" s="1" t="s">
        <v>5936</v>
      </c>
      <c r="BO401" s="1" t="s">
        <v>112</v>
      </c>
      <c r="BP401" s="1" t="s">
        <v>112</v>
      </c>
      <c r="BQ401" s="1" t="s">
        <v>112</v>
      </c>
      <c r="BR401" s="1" t="s">
        <v>112</v>
      </c>
      <c r="BS401" s="1" t="s">
        <v>112</v>
      </c>
      <c r="BT401" s="1" t="s">
        <v>112</v>
      </c>
      <c r="BU401" s="1" t="s">
        <v>112</v>
      </c>
      <c r="BV401" s="1" t="s">
        <v>112</v>
      </c>
      <c r="BW401" s="1" t="s">
        <v>112</v>
      </c>
      <c r="BX401" s="1" t="s">
        <v>112</v>
      </c>
      <c r="BY401" s="1" t="s">
        <v>120</v>
      </c>
      <c r="BZ401" s="1">
        <v>0</v>
      </c>
      <c r="CA401" s="1">
        <v>0</v>
      </c>
      <c r="CB401" s="4">
        <v>44039.126351539351</v>
      </c>
      <c r="CC401" s="1">
        <v>0</v>
      </c>
      <c r="CD401" s="1">
        <v>0</v>
      </c>
      <c r="CE401" s="1">
        <v>0</v>
      </c>
      <c r="CF401" s="1">
        <v>0</v>
      </c>
      <c r="CG401" s="4">
        <v>44039.432749155094</v>
      </c>
      <c r="CH401" s="1" t="s">
        <v>112</v>
      </c>
      <c r="CI401" s="1" t="s">
        <v>1204</v>
      </c>
      <c r="CJ401" s="1" t="s">
        <v>157</v>
      </c>
    </row>
    <row r="402" spans="1:88" x14ac:dyDescent="0.35">
      <c r="A402" s="1">
        <v>6252</v>
      </c>
      <c r="B402" s="1" t="s">
        <v>5937</v>
      </c>
      <c r="C402" s="1" t="s">
        <v>5938</v>
      </c>
      <c r="D402" s="1" t="s">
        <v>312</v>
      </c>
      <c r="E402" s="1" t="s">
        <v>91</v>
      </c>
      <c r="F402" s="1" t="s">
        <v>208</v>
      </c>
      <c r="G402" s="1">
        <v>1</v>
      </c>
      <c r="H402" s="3">
        <v>34838</v>
      </c>
      <c r="I402" s="1">
        <v>1</v>
      </c>
      <c r="J402" s="1" t="s">
        <v>93</v>
      </c>
      <c r="K402" s="1" t="s">
        <v>5939</v>
      </c>
      <c r="L402" s="2">
        <f>91-9421744844</f>
        <v>-9421744753</v>
      </c>
      <c r="M402" s="1" t="s">
        <v>150</v>
      </c>
      <c r="N402" s="1">
        <v>0</v>
      </c>
      <c r="O402" s="1">
        <v>0</v>
      </c>
      <c r="P402" s="1">
        <v>5.0999999999999996</v>
      </c>
      <c r="Q402" s="1">
        <v>10</v>
      </c>
      <c r="S402" s="1" t="s">
        <v>492</v>
      </c>
      <c r="T402" s="1" t="s">
        <v>137</v>
      </c>
      <c r="U402" s="1" t="s">
        <v>2540</v>
      </c>
      <c r="V402" s="1" t="s">
        <v>2540</v>
      </c>
      <c r="X402" s="1" t="s">
        <v>236</v>
      </c>
      <c r="Y402" s="1" t="s">
        <v>111</v>
      </c>
      <c r="Z402" s="1" t="s">
        <v>192</v>
      </c>
      <c r="AA402" s="1" t="s">
        <v>5940</v>
      </c>
      <c r="AB402" s="1">
        <v>0</v>
      </c>
      <c r="AD402" s="1" t="s">
        <v>5941</v>
      </c>
      <c r="AE402" s="1">
        <f>91-7020278441</f>
        <v>-7020278350</v>
      </c>
      <c r="AF402" s="1" t="s">
        <v>105</v>
      </c>
      <c r="AG402" s="1" t="s">
        <v>2909</v>
      </c>
      <c r="AH402" s="1" t="s">
        <v>5942</v>
      </c>
      <c r="AI402" s="1" t="s">
        <v>3186</v>
      </c>
      <c r="AJ402" s="1" t="s">
        <v>109</v>
      </c>
      <c r="AK402" s="1" t="s">
        <v>5943</v>
      </c>
      <c r="AL402" s="1">
        <v>60</v>
      </c>
      <c r="AM402" s="1" t="s">
        <v>111</v>
      </c>
      <c r="AN402" s="1" t="s">
        <v>1261</v>
      </c>
      <c r="AO402" s="1" t="s">
        <v>5944</v>
      </c>
      <c r="AP402" s="1">
        <f>91-9421744844</f>
        <v>-9421744753</v>
      </c>
      <c r="AR402" s="1">
        <v>1</v>
      </c>
      <c r="AS402" s="1">
        <v>0</v>
      </c>
      <c r="AW402" s="1" t="s">
        <v>142</v>
      </c>
      <c r="AX402" s="1" t="s">
        <v>742</v>
      </c>
      <c r="AY402" s="1" t="s">
        <v>150</v>
      </c>
      <c r="AZ402" s="1">
        <v>4.08</v>
      </c>
      <c r="BA402" s="1">
        <v>5.0999999999999996</v>
      </c>
      <c r="BB402" s="1" t="s">
        <v>151</v>
      </c>
      <c r="BC402" s="1" t="s">
        <v>304</v>
      </c>
      <c r="BD402" s="1" t="s">
        <v>1333</v>
      </c>
      <c r="BE402" s="1" t="s">
        <v>120</v>
      </c>
      <c r="BF402" s="1" t="s">
        <v>120</v>
      </c>
      <c r="BG402" s="1" t="s">
        <v>1420</v>
      </c>
      <c r="BH402" s="1" t="s">
        <v>120</v>
      </c>
      <c r="BJ402" s="1" t="s">
        <v>154</v>
      </c>
      <c r="BK402" s="1" t="s">
        <v>120</v>
      </c>
      <c r="BL402" s="1">
        <v>0</v>
      </c>
      <c r="BM402" s="1">
        <v>0</v>
      </c>
      <c r="BN402" s="1" t="s">
        <v>5945</v>
      </c>
      <c r="BO402" s="1">
        <v>1</v>
      </c>
      <c r="BP402" s="1" t="s">
        <v>5946</v>
      </c>
      <c r="BQ402" s="1" t="s">
        <v>112</v>
      </c>
      <c r="BR402" s="1">
        <v>0</v>
      </c>
      <c r="BS402" s="1" t="s">
        <v>123</v>
      </c>
      <c r="BT402" s="1" t="s">
        <v>124</v>
      </c>
      <c r="BU402" s="1" t="s">
        <v>112</v>
      </c>
      <c r="BV402" s="1" t="s">
        <v>112</v>
      </c>
      <c r="BW402" s="1" t="s">
        <v>5947</v>
      </c>
      <c r="BX402" s="1" t="s">
        <v>5948</v>
      </c>
      <c r="BY402" s="1" t="s">
        <v>127</v>
      </c>
      <c r="BZ402" s="1">
        <v>2</v>
      </c>
      <c r="CA402" s="1">
        <v>2</v>
      </c>
      <c r="CB402" s="4">
        <v>44039.348249456016</v>
      </c>
      <c r="CC402" s="1">
        <v>0</v>
      </c>
      <c r="CD402" s="1">
        <v>0</v>
      </c>
      <c r="CE402" s="1">
        <v>0</v>
      </c>
      <c r="CF402" s="1">
        <v>0</v>
      </c>
      <c r="CG402" s="4">
        <v>44097.60438287037</v>
      </c>
      <c r="CH402" s="1" t="s">
        <v>112</v>
      </c>
      <c r="CI402" s="1" t="s">
        <v>5949</v>
      </c>
      <c r="CJ402" s="1" t="s">
        <v>157</v>
      </c>
    </row>
    <row r="403" spans="1:88" x14ac:dyDescent="0.35">
      <c r="A403" s="1">
        <v>6253</v>
      </c>
      <c r="B403" s="1" t="s">
        <v>5950</v>
      </c>
      <c r="C403" s="1" t="s">
        <v>5951</v>
      </c>
      <c r="D403" s="1" t="s">
        <v>90</v>
      </c>
      <c r="E403" s="1" t="s">
        <v>5952</v>
      </c>
      <c r="F403" s="1" t="s">
        <v>5953</v>
      </c>
      <c r="G403" s="1">
        <v>0</v>
      </c>
      <c r="H403" s="3">
        <v>34257</v>
      </c>
      <c r="I403" s="1">
        <v>1</v>
      </c>
      <c r="J403" s="1" t="s">
        <v>186</v>
      </c>
      <c r="K403" s="1" t="s">
        <v>5954</v>
      </c>
      <c r="L403" s="2">
        <f>91-9926494957</f>
        <v>-9926494866</v>
      </c>
      <c r="M403" s="1" t="s">
        <v>150</v>
      </c>
      <c r="N403" s="1">
        <v>0</v>
      </c>
      <c r="O403" s="1">
        <v>0</v>
      </c>
      <c r="P403" s="1">
        <v>5.04</v>
      </c>
      <c r="Q403" s="1">
        <v>26</v>
      </c>
      <c r="R403" s="1" t="s">
        <v>5955</v>
      </c>
      <c r="S403" s="1" t="s">
        <v>492</v>
      </c>
      <c r="T403" s="1" t="s">
        <v>1915</v>
      </c>
      <c r="U403" s="1" t="s">
        <v>1916</v>
      </c>
      <c r="V403" s="1" t="s">
        <v>5956</v>
      </c>
      <c r="X403" s="1" t="s">
        <v>236</v>
      </c>
      <c r="Y403" s="1" t="s">
        <v>268</v>
      </c>
      <c r="Z403" s="1" t="s">
        <v>1917</v>
      </c>
      <c r="AB403" s="1">
        <v>0</v>
      </c>
      <c r="AD403" s="1" t="s">
        <v>5957</v>
      </c>
      <c r="AE403" s="1" t="s">
        <v>142</v>
      </c>
      <c r="AF403" s="1" t="s">
        <v>105</v>
      </c>
      <c r="AG403" s="1" t="s">
        <v>5958</v>
      </c>
      <c r="AH403" s="1" t="s">
        <v>5959</v>
      </c>
      <c r="AI403" s="1" t="s">
        <v>5960</v>
      </c>
      <c r="AJ403" s="1" t="s">
        <v>478</v>
      </c>
      <c r="AK403" s="1" t="s">
        <v>5961</v>
      </c>
      <c r="AL403" s="1">
        <v>26</v>
      </c>
      <c r="AM403" s="1" t="s">
        <v>132</v>
      </c>
      <c r="AN403" s="1" t="s">
        <v>2439</v>
      </c>
      <c r="AP403" s="1">
        <f>91-9926494957</f>
        <v>-9926494866</v>
      </c>
      <c r="AR403" s="1">
        <v>1</v>
      </c>
      <c r="AS403" s="1">
        <v>1</v>
      </c>
      <c r="AT403" s="1" t="s">
        <v>5962</v>
      </c>
      <c r="AU403" s="1" t="s">
        <v>5963</v>
      </c>
      <c r="AV403" s="1" t="s">
        <v>5963</v>
      </c>
      <c r="AW403" s="1">
        <f>91-9926494957</f>
        <v>-9926494866</v>
      </c>
      <c r="AX403" s="1" t="s">
        <v>3115</v>
      </c>
      <c r="AY403" s="1" t="s">
        <v>150</v>
      </c>
      <c r="AZ403" s="1">
        <v>5.05</v>
      </c>
      <c r="BA403" s="1">
        <v>5.0999999999999996</v>
      </c>
      <c r="BE403" s="1" t="s">
        <v>1953</v>
      </c>
      <c r="BG403" s="1" t="s">
        <v>120</v>
      </c>
      <c r="BH403" s="1" t="s">
        <v>1784</v>
      </c>
      <c r="BJ403" s="1" t="s">
        <v>154</v>
      </c>
      <c r="BK403" s="1" t="s">
        <v>105</v>
      </c>
      <c r="BL403" s="1">
        <v>0</v>
      </c>
      <c r="BM403" s="1">
        <v>0</v>
      </c>
      <c r="BN403" s="1" t="s">
        <v>5957</v>
      </c>
      <c r="BO403" s="1">
        <v>1</v>
      </c>
      <c r="BP403" s="1" t="s">
        <v>5964</v>
      </c>
      <c r="BQ403" s="1" t="s">
        <v>112</v>
      </c>
      <c r="BR403" s="1">
        <v>1</v>
      </c>
      <c r="BS403" s="1" t="s">
        <v>129</v>
      </c>
      <c r="BT403" s="1" t="s">
        <v>124</v>
      </c>
      <c r="BU403" s="1" t="s">
        <v>112</v>
      </c>
      <c r="BV403" s="1" t="s">
        <v>112</v>
      </c>
      <c r="BW403" s="1" t="s">
        <v>5965</v>
      </c>
      <c r="BX403" s="1" t="s">
        <v>5966</v>
      </c>
      <c r="BY403" s="1" t="s">
        <v>465</v>
      </c>
      <c r="BZ403" s="1">
        <v>0</v>
      </c>
      <c r="CA403" s="1">
        <v>0</v>
      </c>
      <c r="CB403" s="4">
        <v>44047.209616435182</v>
      </c>
      <c r="CC403" s="1">
        <v>1</v>
      </c>
      <c r="CD403" s="1">
        <v>1</v>
      </c>
      <c r="CE403" s="1">
        <v>1</v>
      </c>
      <c r="CF403" s="1">
        <v>1</v>
      </c>
      <c r="CG403" s="4">
        <v>44049.499201388891</v>
      </c>
      <c r="CH403" s="1" t="s">
        <v>112</v>
      </c>
      <c r="CI403" s="1" t="s">
        <v>5967</v>
      </c>
      <c r="CJ403" s="1" t="s">
        <v>129</v>
      </c>
    </row>
    <row r="404" spans="1:88" x14ac:dyDescent="0.35">
      <c r="A404" s="1">
        <v>6254</v>
      </c>
      <c r="B404" s="1" t="s">
        <v>5968</v>
      </c>
      <c r="C404" s="1" t="s">
        <v>5969</v>
      </c>
      <c r="D404" s="1" t="s">
        <v>90</v>
      </c>
      <c r="E404" s="1" t="s">
        <v>5766</v>
      </c>
      <c r="F404" s="1" t="s">
        <v>134</v>
      </c>
      <c r="G404" s="1">
        <v>1</v>
      </c>
      <c r="H404" s="3">
        <v>35450</v>
      </c>
      <c r="I404" s="1">
        <v>1</v>
      </c>
      <c r="J404" s="1" t="s">
        <v>162</v>
      </c>
      <c r="K404" s="1" t="s">
        <v>163</v>
      </c>
      <c r="L404" s="2">
        <f>91-9825331172</f>
        <v>-9825331081</v>
      </c>
      <c r="M404" s="1" t="s">
        <v>112</v>
      </c>
      <c r="N404" s="1" t="s">
        <v>112</v>
      </c>
      <c r="O404" s="1" t="s">
        <v>112</v>
      </c>
      <c r="P404" s="1" t="s">
        <v>112</v>
      </c>
      <c r="Q404" s="1" t="s">
        <v>112</v>
      </c>
      <c r="R404" s="1" t="s">
        <v>112</v>
      </c>
      <c r="S404" s="1" t="s">
        <v>112</v>
      </c>
      <c r="T404" s="1" t="s">
        <v>112</v>
      </c>
      <c r="U404" s="1" t="s">
        <v>112</v>
      </c>
      <c r="V404" s="1" t="s">
        <v>112</v>
      </c>
      <c r="W404" s="1" t="s">
        <v>112</v>
      </c>
      <c r="X404" s="1" t="s">
        <v>112</v>
      </c>
      <c r="Y404" s="1" t="s">
        <v>112</v>
      </c>
      <c r="Z404" s="1" t="s">
        <v>112</v>
      </c>
      <c r="AA404" s="1" t="s">
        <v>112</v>
      </c>
      <c r="AB404" s="1" t="s">
        <v>112</v>
      </c>
      <c r="AC404" s="1" t="s">
        <v>112</v>
      </c>
      <c r="AD404" s="1" t="s">
        <v>112</v>
      </c>
      <c r="AE404" s="1" t="s">
        <v>112</v>
      </c>
      <c r="AF404" s="1" t="s">
        <v>112</v>
      </c>
      <c r="AG404" s="1" t="s">
        <v>112</v>
      </c>
      <c r="AH404" s="1" t="s">
        <v>112</v>
      </c>
      <c r="AI404" s="1" t="s">
        <v>112</v>
      </c>
      <c r="AJ404" s="1" t="s">
        <v>112</v>
      </c>
      <c r="AK404" s="1" t="s">
        <v>112</v>
      </c>
      <c r="AL404" s="1" t="s">
        <v>112</v>
      </c>
      <c r="AM404" s="1" t="s">
        <v>112</v>
      </c>
      <c r="AN404" s="1" t="s">
        <v>112</v>
      </c>
      <c r="AO404" s="1" t="s">
        <v>112</v>
      </c>
      <c r="AP404" s="1" t="s">
        <v>112</v>
      </c>
      <c r="AQ404" s="1" t="s">
        <v>112</v>
      </c>
      <c r="AR404" s="1" t="s">
        <v>112</v>
      </c>
      <c r="AS404" s="1" t="s">
        <v>112</v>
      </c>
      <c r="AT404" s="1" t="s">
        <v>112</v>
      </c>
      <c r="AU404" s="1" t="s">
        <v>112</v>
      </c>
      <c r="AV404" s="1" t="s">
        <v>112</v>
      </c>
      <c r="AW404" s="1" t="s">
        <v>112</v>
      </c>
      <c r="AX404" s="1" t="s">
        <v>112</v>
      </c>
      <c r="AY404" s="1" t="s">
        <v>112</v>
      </c>
      <c r="AZ404" s="1" t="s">
        <v>112</v>
      </c>
      <c r="BA404" s="1" t="s">
        <v>112</v>
      </c>
      <c r="BB404" s="1" t="s">
        <v>112</v>
      </c>
      <c r="BC404" s="1" t="s">
        <v>112</v>
      </c>
      <c r="BD404" s="1" t="s">
        <v>112</v>
      </c>
      <c r="BE404" s="1" t="s">
        <v>112</v>
      </c>
      <c r="BF404" s="1" t="s">
        <v>112</v>
      </c>
      <c r="BG404" s="1" t="s">
        <v>112</v>
      </c>
      <c r="BH404" s="1" t="s">
        <v>112</v>
      </c>
      <c r="BI404" s="1" t="s">
        <v>112</v>
      </c>
      <c r="BJ404" s="1" t="s">
        <v>112</v>
      </c>
      <c r="BK404" s="1" t="s">
        <v>112</v>
      </c>
      <c r="BL404" s="1" t="s">
        <v>112</v>
      </c>
      <c r="BM404" s="1" t="s">
        <v>112</v>
      </c>
      <c r="BN404" s="1" t="s">
        <v>112</v>
      </c>
      <c r="BO404" s="1" t="s">
        <v>112</v>
      </c>
      <c r="BP404" s="1" t="s">
        <v>112</v>
      </c>
      <c r="BQ404" s="1" t="s">
        <v>112</v>
      </c>
      <c r="BR404" s="1" t="s">
        <v>112</v>
      </c>
      <c r="BS404" s="1" t="s">
        <v>112</v>
      </c>
      <c r="BT404" s="1" t="s">
        <v>112</v>
      </c>
      <c r="BU404" s="1" t="s">
        <v>112</v>
      </c>
      <c r="BV404" s="1" t="s">
        <v>112</v>
      </c>
      <c r="BW404" s="1" t="s">
        <v>112</v>
      </c>
      <c r="BX404" s="1" t="s">
        <v>112</v>
      </c>
      <c r="BY404" s="1" t="s">
        <v>112</v>
      </c>
      <c r="BZ404" s="1" t="s">
        <v>112</v>
      </c>
      <c r="CA404" s="1" t="s">
        <v>112</v>
      </c>
      <c r="CB404" s="4">
        <v>44048.130322106481</v>
      </c>
      <c r="CC404" s="1">
        <v>0</v>
      </c>
      <c r="CD404" s="1">
        <v>0</v>
      </c>
      <c r="CE404" s="1">
        <v>0</v>
      </c>
      <c r="CF404" s="1">
        <v>0</v>
      </c>
      <c r="CG404" s="4">
        <v>44048.130322106481</v>
      </c>
      <c r="CH404" s="1" t="s">
        <v>112</v>
      </c>
      <c r="CI404" s="1" t="s">
        <v>112</v>
      </c>
      <c r="CJ404" s="1" t="s">
        <v>112</v>
      </c>
    </row>
    <row r="405" spans="1:88" x14ac:dyDescent="0.35">
      <c r="A405" s="1">
        <v>6255</v>
      </c>
      <c r="B405" s="1" t="s">
        <v>5970</v>
      </c>
      <c r="C405" s="1">
        <v>8120791679</v>
      </c>
      <c r="D405" s="1" t="s">
        <v>229</v>
      </c>
      <c r="E405" s="1" t="s">
        <v>5971</v>
      </c>
      <c r="F405" s="1" t="s">
        <v>1451</v>
      </c>
      <c r="G405" s="1">
        <v>1</v>
      </c>
      <c r="H405" s="3">
        <v>34491</v>
      </c>
      <c r="I405" s="1">
        <v>1</v>
      </c>
      <c r="J405" s="1" t="s">
        <v>186</v>
      </c>
      <c r="K405" s="1" t="s">
        <v>5972</v>
      </c>
      <c r="L405" s="2">
        <f>91-8120004945</f>
        <v>-8120004854</v>
      </c>
      <c r="M405" s="1" t="s">
        <v>112</v>
      </c>
      <c r="N405" s="1" t="s">
        <v>112</v>
      </c>
      <c r="O405" s="1" t="s">
        <v>112</v>
      </c>
      <c r="P405" s="1" t="s">
        <v>112</v>
      </c>
      <c r="Q405" s="1" t="s">
        <v>112</v>
      </c>
      <c r="R405" s="1" t="s">
        <v>112</v>
      </c>
      <c r="S405" s="1" t="s">
        <v>112</v>
      </c>
      <c r="T405" s="1" t="s">
        <v>112</v>
      </c>
      <c r="U405" s="1" t="s">
        <v>112</v>
      </c>
      <c r="V405" s="1" t="s">
        <v>112</v>
      </c>
      <c r="W405" s="1" t="s">
        <v>112</v>
      </c>
      <c r="X405" s="1" t="s">
        <v>112</v>
      </c>
      <c r="Y405" s="1" t="s">
        <v>112</v>
      </c>
      <c r="Z405" s="1" t="s">
        <v>112</v>
      </c>
      <c r="AA405" s="1" t="s">
        <v>112</v>
      </c>
      <c r="AB405" s="1" t="s">
        <v>112</v>
      </c>
      <c r="AC405" s="1" t="s">
        <v>112</v>
      </c>
      <c r="AD405" s="1" t="s">
        <v>112</v>
      </c>
      <c r="AE405" s="1" t="s">
        <v>112</v>
      </c>
      <c r="AF405" s="1" t="s">
        <v>112</v>
      </c>
      <c r="AG405" s="1" t="s">
        <v>112</v>
      </c>
      <c r="AH405" s="1" t="s">
        <v>112</v>
      </c>
      <c r="AI405" s="1" t="s">
        <v>112</v>
      </c>
      <c r="AJ405" s="1" t="s">
        <v>112</v>
      </c>
      <c r="AK405" s="1" t="s">
        <v>112</v>
      </c>
      <c r="AL405" s="1" t="s">
        <v>112</v>
      </c>
      <c r="AM405" s="1" t="s">
        <v>112</v>
      </c>
      <c r="AN405" s="1" t="s">
        <v>112</v>
      </c>
      <c r="AO405" s="1" t="s">
        <v>112</v>
      </c>
      <c r="AP405" s="1" t="s">
        <v>112</v>
      </c>
      <c r="AQ405" s="1" t="s">
        <v>112</v>
      </c>
      <c r="AR405" s="1" t="s">
        <v>112</v>
      </c>
      <c r="AS405" s="1" t="s">
        <v>112</v>
      </c>
      <c r="AT405" s="1" t="s">
        <v>112</v>
      </c>
      <c r="AU405" s="1" t="s">
        <v>112</v>
      </c>
      <c r="AV405" s="1" t="s">
        <v>112</v>
      </c>
      <c r="AW405" s="1" t="s">
        <v>112</v>
      </c>
      <c r="AX405" s="1" t="s">
        <v>112</v>
      </c>
      <c r="AY405" s="1" t="s">
        <v>112</v>
      </c>
      <c r="AZ405" s="1" t="s">
        <v>112</v>
      </c>
      <c r="BA405" s="1" t="s">
        <v>112</v>
      </c>
      <c r="BB405" s="1" t="s">
        <v>112</v>
      </c>
      <c r="BC405" s="1" t="s">
        <v>112</v>
      </c>
      <c r="BD405" s="1" t="s">
        <v>112</v>
      </c>
      <c r="BE405" s="1" t="s">
        <v>112</v>
      </c>
      <c r="BF405" s="1" t="s">
        <v>112</v>
      </c>
      <c r="BG405" s="1" t="s">
        <v>112</v>
      </c>
      <c r="BH405" s="1" t="s">
        <v>112</v>
      </c>
      <c r="BI405" s="1" t="s">
        <v>112</v>
      </c>
      <c r="BJ405" s="1" t="s">
        <v>112</v>
      </c>
      <c r="BK405" s="1" t="s">
        <v>112</v>
      </c>
      <c r="BL405" s="1" t="s">
        <v>112</v>
      </c>
      <c r="BM405" s="1" t="s">
        <v>112</v>
      </c>
      <c r="BN405" s="1" t="s">
        <v>112</v>
      </c>
      <c r="BO405" s="1" t="s">
        <v>112</v>
      </c>
      <c r="BP405" s="1" t="s">
        <v>112</v>
      </c>
      <c r="BQ405" s="1" t="s">
        <v>112</v>
      </c>
      <c r="BR405" s="1" t="s">
        <v>112</v>
      </c>
      <c r="BS405" s="1" t="s">
        <v>112</v>
      </c>
      <c r="BT405" s="1" t="s">
        <v>112</v>
      </c>
      <c r="BU405" s="1" t="s">
        <v>112</v>
      </c>
      <c r="BV405" s="1" t="s">
        <v>112</v>
      </c>
      <c r="BW405" s="1" t="s">
        <v>112</v>
      </c>
      <c r="BX405" s="1" t="s">
        <v>112</v>
      </c>
      <c r="BY405" s="1" t="s">
        <v>112</v>
      </c>
      <c r="BZ405" s="1" t="s">
        <v>112</v>
      </c>
      <c r="CA405" s="1" t="s">
        <v>112</v>
      </c>
      <c r="CB405" s="4">
        <v>44051.289725694442</v>
      </c>
      <c r="CC405" s="1">
        <v>0</v>
      </c>
      <c r="CD405" s="1">
        <v>0</v>
      </c>
      <c r="CE405" s="1">
        <v>0</v>
      </c>
      <c r="CF405" s="1">
        <v>0</v>
      </c>
      <c r="CG405" s="4">
        <v>44051.289725694442</v>
      </c>
      <c r="CH405" s="1" t="s">
        <v>112</v>
      </c>
      <c r="CI405" s="1" t="s">
        <v>112</v>
      </c>
      <c r="CJ405" s="1" t="s">
        <v>112</v>
      </c>
    </row>
    <row r="406" spans="1:88" x14ac:dyDescent="0.35">
      <c r="A406" s="1">
        <v>6256</v>
      </c>
      <c r="B406" s="1" t="s">
        <v>5973</v>
      </c>
      <c r="C406" s="1" t="s">
        <v>5974</v>
      </c>
      <c r="D406" s="1" t="s">
        <v>90</v>
      </c>
      <c r="E406" s="1" t="s">
        <v>5975</v>
      </c>
      <c r="F406" s="1" t="s">
        <v>134</v>
      </c>
      <c r="G406" s="1">
        <v>1</v>
      </c>
      <c r="H406" s="3">
        <v>22129</v>
      </c>
      <c r="I406" s="1">
        <v>1</v>
      </c>
      <c r="J406" s="1" t="s">
        <v>162</v>
      </c>
      <c r="K406" s="1" t="s">
        <v>1986</v>
      </c>
      <c r="L406" s="2">
        <f>91-9870657101</f>
        <v>-9870657010</v>
      </c>
      <c r="M406" s="1" t="s">
        <v>3734</v>
      </c>
      <c r="N406" s="1">
        <v>2</v>
      </c>
      <c r="O406" s="1">
        <v>1</v>
      </c>
      <c r="P406" s="1">
        <v>5.07</v>
      </c>
      <c r="Q406" s="1">
        <v>12</v>
      </c>
      <c r="R406" s="1" t="s">
        <v>470</v>
      </c>
      <c r="S406" s="1" t="s">
        <v>233</v>
      </c>
      <c r="T406" s="1" t="s">
        <v>137</v>
      </c>
      <c r="U406" s="1" t="s">
        <v>2540</v>
      </c>
      <c r="V406" s="1" t="s">
        <v>2540</v>
      </c>
      <c r="X406" s="1" t="s">
        <v>296</v>
      </c>
      <c r="Y406" s="1" t="s">
        <v>111</v>
      </c>
      <c r="Z406" s="1" t="s">
        <v>450</v>
      </c>
      <c r="AB406" s="1">
        <v>0</v>
      </c>
      <c r="AD406" s="1" t="s">
        <v>5976</v>
      </c>
      <c r="AE406" s="1">
        <f>91-9714629444</f>
        <v>-9714629353</v>
      </c>
      <c r="AF406" s="1" t="s">
        <v>129</v>
      </c>
      <c r="AG406" s="1" t="s">
        <v>5977</v>
      </c>
      <c r="AH406" s="1" t="s">
        <v>5978</v>
      </c>
      <c r="AI406" s="1" t="s">
        <v>2800</v>
      </c>
      <c r="AJ406" s="1" t="s">
        <v>1238</v>
      </c>
      <c r="AK406" s="1" t="s">
        <v>5979</v>
      </c>
      <c r="AL406" s="1">
        <v>5</v>
      </c>
      <c r="AM406" s="1" t="s">
        <v>129</v>
      </c>
      <c r="AP406" s="1">
        <f>91-9879657101</f>
        <v>-9879657010</v>
      </c>
      <c r="AR406" s="1">
        <v>4</v>
      </c>
      <c r="AS406" s="1">
        <v>4</v>
      </c>
      <c r="AW406" s="1" t="s">
        <v>142</v>
      </c>
      <c r="AX406" s="1" t="s">
        <v>5980</v>
      </c>
      <c r="AY406" s="1" t="s">
        <v>5521</v>
      </c>
      <c r="AZ406" s="1">
        <v>4.0999999999999996</v>
      </c>
      <c r="BA406" s="1">
        <v>5.0599999999999996</v>
      </c>
      <c r="BB406" s="1" t="s">
        <v>151</v>
      </c>
      <c r="BC406" s="1" t="s">
        <v>152</v>
      </c>
      <c r="BD406" s="1" t="s">
        <v>1395</v>
      </c>
      <c r="BE406" s="1" t="s">
        <v>2260</v>
      </c>
      <c r="BF406" s="1" t="s">
        <v>120</v>
      </c>
      <c r="BG406" s="1" t="s">
        <v>2541</v>
      </c>
      <c r="BH406" s="1" t="s">
        <v>2541</v>
      </c>
      <c r="BI406" s="1" t="s">
        <v>132</v>
      </c>
      <c r="BL406" s="1">
        <v>0</v>
      </c>
      <c r="BM406" s="1">
        <v>0</v>
      </c>
      <c r="BN406" s="1" t="s">
        <v>5981</v>
      </c>
      <c r="BO406" s="1">
        <v>1</v>
      </c>
      <c r="BP406" s="1" t="s">
        <v>5982</v>
      </c>
      <c r="BQ406" s="1" t="s">
        <v>112</v>
      </c>
      <c r="BR406" s="1">
        <v>0</v>
      </c>
      <c r="BS406" s="1" t="s">
        <v>399</v>
      </c>
      <c r="BT406" s="1" t="s">
        <v>1123</v>
      </c>
      <c r="BU406" s="1" t="s">
        <v>112</v>
      </c>
      <c r="BV406" s="1" t="s">
        <v>112</v>
      </c>
      <c r="BW406" s="1" t="s">
        <v>112</v>
      </c>
      <c r="BX406" s="1" t="s">
        <v>112</v>
      </c>
      <c r="BY406" s="1" t="s">
        <v>127</v>
      </c>
      <c r="BZ406" s="1">
        <v>1</v>
      </c>
      <c r="CA406" s="1">
        <v>1</v>
      </c>
      <c r="CB406" s="4">
        <v>44054.270212071759</v>
      </c>
      <c r="CC406" s="1">
        <v>0</v>
      </c>
      <c r="CD406" s="1">
        <v>0</v>
      </c>
      <c r="CE406" s="1">
        <v>0</v>
      </c>
      <c r="CF406" s="1">
        <v>0</v>
      </c>
      <c r="CG406" s="4">
        <v>44055.590001076387</v>
      </c>
      <c r="CH406" s="1" t="s">
        <v>112</v>
      </c>
      <c r="CI406" s="1" t="s">
        <v>2269</v>
      </c>
      <c r="CJ406" s="1" t="s">
        <v>157</v>
      </c>
    </row>
    <row r="407" spans="1:88" x14ac:dyDescent="0.35">
      <c r="A407" s="1">
        <v>6257</v>
      </c>
      <c r="B407" s="1" t="s">
        <v>5983</v>
      </c>
      <c r="C407" s="1" t="s">
        <v>601</v>
      </c>
      <c r="D407" s="1" t="s">
        <v>259</v>
      </c>
      <c r="E407" s="1" t="s">
        <v>5984</v>
      </c>
      <c r="F407" s="1" t="s">
        <v>208</v>
      </c>
      <c r="G407" s="1">
        <v>0</v>
      </c>
      <c r="H407" s="3">
        <v>35099</v>
      </c>
      <c r="I407" s="1">
        <v>1</v>
      </c>
      <c r="J407" s="1" t="s">
        <v>93</v>
      </c>
      <c r="K407" s="1" t="s">
        <v>1913</v>
      </c>
      <c r="L407" s="2">
        <f>91-8888772161</f>
        <v>-8888772070</v>
      </c>
      <c r="M407" s="1" t="s">
        <v>150</v>
      </c>
      <c r="N407" s="1">
        <v>0</v>
      </c>
      <c r="O407" s="1">
        <v>0</v>
      </c>
      <c r="P407" s="1">
        <v>5.03</v>
      </c>
      <c r="Q407" s="1">
        <v>10</v>
      </c>
      <c r="S407" s="1" t="s">
        <v>97</v>
      </c>
      <c r="T407" s="1" t="s">
        <v>1915</v>
      </c>
      <c r="U407" s="1" t="s">
        <v>2540</v>
      </c>
      <c r="V407" s="1" t="s">
        <v>2540</v>
      </c>
      <c r="X407" s="1" t="s">
        <v>100</v>
      </c>
      <c r="Y407" s="1" t="s">
        <v>210</v>
      </c>
      <c r="Z407" s="1" t="s">
        <v>1917</v>
      </c>
      <c r="AB407" s="1">
        <v>0</v>
      </c>
      <c r="AD407" s="1" t="s">
        <v>5985</v>
      </c>
      <c r="AE407" s="1">
        <f>91-9226988068</f>
        <v>-9226987977</v>
      </c>
      <c r="AF407" s="1" t="s">
        <v>2541</v>
      </c>
      <c r="AG407" s="1" t="s">
        <v>5986</v>
      </c>
      <c r="AH407" s="1" t="s">
        <v>5987</v>
      </c>
      <c r="AI407" s="1" t="s">
        <v>5988</v>
      </c>
      <c r="AJ407" s="1" t="s">
        <v>109</v>
      </c>
      <c r="AK407" s="1" t="s">
        <v>5989</v>
      </c>
      <c r="AL407" s="1">
        <v>15</v>
      </c>
      <c r="AM407" s="1" t="s">
        <v>2541</v>
      </c>
      <c r="AP407" s="1">
        <f>91-9225110166</f>
        <v>-9225110075</v>
      </c>
      <c r="AR407" s="1">
        <v>0</v>
      </c>
      <c r="AS407" s="1">
        <v>0</v>
      </c>
      <c r="AW407" s="1" t="s">
        <v>142</v>
      </c>
      <c r="AX407" s="1" t="s">
        <v>1120</v>
      </c>
      <c r="AY407" s="1" t="s">
        <v>150</v>
      </c>
      <c r="AZ407" s="1">
        <v>5.03</v>
      </c>
      <c r="BA407" s="1">
        <v>5.09</v>
      </c>
      <c r="BB407" s="1" t="s">
        <v>151</v>
      </c>
      <c r="BC407" s="1" t="s">
        <v>152</v>
      </c>
      <c r="BD407" s="1" t="s">
        <v>1395</v>
      </c>
      <c r="BE407" s="1" t="s">
        <v>1953</v>
      </c>
      <c r="BF407" s="1" t="s">
        <v>120</v>
      </c>
      <c r="BG407" s="1" t="s">
        <v>2541</v>
      </c>
      <c r="BH407" s="1" t="s">
        <v>2541</v>
      </c>
      <c r="BI407" s="1" t="s">
        <v>1917</v>
      </c>
      <c r="BL407" s="1">
        <v>0</v>
      </c>
      <c r="BM407" s="1">
        <v>1</v>
      </c>
      <c r="BN407" s="1" t="s">
        <v>5990</v>
      </c>
      <c r="BO407" s="1">
        <v>0</v>
      </c>
      <c r="BQ407" s="1" t="s">
        <v>180</v>
      </c>
      <c r="BR407" s="1">
        <v>0</v>
      </c>
      <c r="BS407" s="1" t="s">
        <v>307</v>
      </c>
      <c r="BT407" s="1" t="s">
        <v>124</v>
      </c>
      <c r="BV407" s="1" t="s">
        <v>112</v>
      </c>
      <c r="BW407" s="1" t="s">
        <v>5991</v>
      </c>
      <c r="BX407" s="1" t="s">
        <v>5992</v>
      </c>
      <c r="BY407" s="1" t="s">
        <v>120</v>
      </c>
      <c r="BZ407" s="1">
        <v>0</v>
      </c>
      <c r="CA407" s="1">
        <v>0</v>
      </c>
      <c r="CB407" s="4">
        <v>44057.346962962962</v>
      </c>
      <c r="CC407" s="1">
        <v>1</v>
      </c>
      <c r="CD407" s="1">
        <v>1</v>
      </c>
      <c r="CE407" s="1">
        <v>1</v>
      </c>
      <c r="CF407" s="1">
        <v>1</v>
      </c>
      <c r="CG407" s="4">
        <v>44057.346962962962</v>
      </c>
      <c r="CH407" s="1" t="s">
        <v>112</v>
      </c>
      <c r="CI407" s="1" t="s">
        <v>5993</v>
      </c>
      <c r="CJ407" s="1" t="s">
        <v>157</v>
      </c>
    </row>
    <row r="408" spans="1:88" x14ac:dyDescent="0.35">
      <c r="A408" s="1">
        <v>6258</v>
      </c>
      <c r="B408" s="1" t="s">
        <v>5994</v>
      </c>
      <c r="C408" s="1" t="s">
        <v>5995</v>
      </c>
      <c r="D408" s="1" t="s">
        <v>90</v>
      </c>
      <c r="E408" s="1" t="s">
        <v>5996</v>
      </c>
      <c r="F408" s="1" t="s">
        <v>4574</v>
      </c>
      <c r="G408" s="1">
        <v>1</v>
      </c>
      <c r="H408" s="3">
        <v>36015</v>
      </c>
      <c r="I408" s="1">
        <v>1</v>
      </c>
      <c r="J408" s="1" t="s">
        <v>162</v>
      </c>
      <c r="K408" s="1" t="s">
        <v>4872</v>
      </c>
      <c r="L408" s="2">
        <f>91-8200498159</f>
        <v>-8200498068</v>
      </c>
      <c r="M408" s="1" t="s">
        <v>150</v>
      </c>
      <c r="N408" s="1">
        <v>0</v>
      </c>
      <c r="O408" s="1">
        <v>0</v>
      </c>
      <c r="P408" s="1">
        <v>4.01</v>
      </c>
      <c r="Q408" s="1">
        <v>3</v>
      </c>
      <c r="R408" s="1" t="s">
        <v>3728</v>
      </c>
      <c r="S408" s="1" t="s">
        <v>293</v>
      </c>
      <c r="T408" s="1" t="s">
        <v>4846</v>
      </c>
      <c r="U408" s="1" t="s">
        <v>2540</v>
      </c>
      <c r="V408" s="1" t="s">
        <v>2540</v>
      </c>
      <c r="X408" s="1" t="s">
        <v>100</v>
      </c>
      <c r="Y408" s="1" t="s">
        <v>210</v>
      </c>
      <c r="Z408" s="1" t="s">
        <v>2483</v>
      </c>
      <c r="AB408" s="1">
        <v>1</v>
      </c>
      <c r="AC408" s="1" t="s">
        <v>5997</v>
      </c>
      <c r="AD408" s="1" t="s">
        <v>5998</v>
      </c>
      <c r="AE408" s="1">
        <f>91-8200498159</f>
        <v>-8200498068</v>
      </c>
      <c r="AF408" s="1" t="s">
        <v>112</v>
      </c>
      <c r="AG408" s="1" t="s">
        <v>112</v>
      </c>
      <c r="AH408" s="1" t="s">
        <v>112</v>
      </c>
      <c r="AI408" s="1" t="s">
        <v>112</v>
      </c>
      <c r="AJ408" s="1" t="s">
        <v>112</v>
      </c>
      <c r="AK408" s="1" t="s">
        <v>112</v>
      </c>
      <c r="AL408" s="1" t="s">
        <v>112</v>
      </c>
      <c r="AM408" s="1" t="s">
        <v>112</v>
      </c>
      <c r="AN408" s="1" t="s">
        <v>112</v>
      </c>
      <c r="AO408" s="1" t="s">
        <v>112</v>
      </c>
      <c r="AP408" s="1" t="s">
        <v>112</v>
      </c>
      <c r="AQ408" s="1" t="s">
        <v>112</v>
      </c>
      <c r="AR408" s="1" t="s">
        <v>112</v>
      </c>
      <c r="AS408" s="1" t="s">
        <v>112</v>
      </c>
      <c r="AT408" s="1" t="s">
        <v>112</v>
      </c>
      <c r="AU408" s="1" t="s">
        <v>112</v>
      </c>
      <c r="AV408" s="1" t="s">
        <v>112</v>
      </c>
      <c r="AW408" s="1" t="s">
        <v>112</v>
      </c>
      <c r="AX408" s="1" t="s">
        <v>112</v>
      </c>
      <c r="AY408" s="1" t="s">
        <v>112</v>
      </c>
      <c r="AZ408" s="1" t="s">
        <v>112</v>
      </c>
      <c r="BA408" s="1" t="s">
        <v>112</v>
      </c>
      <c r="BB408" s="1" t="s">
        <v>112</v>
      </c>
      <c r="BC408" s="1" t="s">
        <v>112</v>
      </c>
      <c r="BD408" s="1" t="s">
        <v>112</v>
      </c>
      <c r="BE408" s="1" t="s">
        <v>112</v>
      </c>
      <c r="BF408" s="1" t="s">
        <v>112</v>
      </c>
      <c r="BG408" s="1" t="s">
        <v>112</v>
      </c>
      <c r="BH408" s="1" t="s">
        <v>112</v>
      </c>
      <c r="BI408" s="1" t="s">
        <v>112</v>
      </c>
      <c r="BJ408" s="1" t="s">
        <v>112</v>
      </c>
      <c r="BK408" s="1" t="s">
        <v>112</v>
      </c>
      <c r="BL408" s="1" t="s">
        <v>112</v>
      </c>
      <c r="BM408" s="1" t="s">
        <v>112</v>
      </c>
      <c r="BN408" s="1" t="s">
        <v>112</v>
      </c>
      <c r="BO408" s="1" t="s">
        <v>112</v>
      </c>
      <c r="BP408" s="1" t="s">
        <v>112</v>
      </c>
      <c r="BQ408" s="1" t="s">
        <v>112</v>
      </c>
      <c r="BR408" s="1" t="s">
        <v>112</v>
      </c>
      <c r="BS408" s="1" t="s">
        <v>112</v>
      </c>
      <c r="BT408" s="1" t="s">
        <v>112</v>
      </c>
      <c r="BU408" s="1" t="s">
        <v>112</v>
      </c>
      <c r="BV408" s="1" t="s">
        <v>112</v>
      </c>
      <c r="BW408" s="1" t="s">
        <v>112</v>
      </c>
      <c r="BX408" s="1" t="s">
        <v>112</v>
      </c>
      <c r="BY408" s="1" t="s">
        <v>112</v>
      </c>
      <c r="BZ408" s="1" t="s">
        <v>112</v>
      </c>
      <c r="CA408" s="1" t="s">
        <v>112</v>
      </c>
      <c r="CB408" s="4">
        <v>44058.389062071758</v>
      </c>
      <c r="CC408" s="1">
        <v>0</v>
      </c>
      <c r="CD408" s="1">
        <v>0</v>
      </c>
      <c r="CE408" s="1">
        <v>0</v>
      </c>
      <c r="CF408" s="1">
        <v>0</v>
      </c>
      <c r="CG408" s="4">
        <v>44058.389062071758</v>
      </c>
      <c r="CH408" s="1" t="s">
        <v>112</v>
      </c>
      <c r="CI408" s="1" t="s">
        <v>112</v>
      </c>
      <c r="CJ408" s="1" t="s">
        <v>112</v>
      </c>
    </row>
    <row r="409" spans="1:88" x14ac:dyDescent="0.35">
      <c r="A409" s="1">
        <v>6259</v>
      </c>
      <c r="B409" s="1" t="s">
        <v>5999</v>
      </c>
      <c r="C409" s="1" t="s">
        <v>6000</v>
      </c>
      <c r="D409" s="1" t="s">
        <v>259</v>
      </c>
      <c r="E409" s="1" t="s">
        <v>6001</v>
      </c>
      <c r="F409" s="1" t="s">
        <v>134</v>
      </c>
      <c r="G409" s="1">
        <v>0</v>
      </c>
      <c r="H409" s="3">
        <v>35320</v>
      </c>
      <c r="I409" s="1">
        <v>1</v>
      </c>
      <c r="J409" s="1" t="s">
        <v>315</v>
      </c>
      <c r="K409" s="1" t="s">
        <v>316</v>
      </c>
      <c r="L409" s="2">
        <f>91-9611345481</f>
        <v>-9611345390</v>
      </c>
      <c r="M409" s="1" t="s">
        <v>150</v>
      </c>
      <c r="N409" s="1">
        <v>0</v>
      </c>
      <c r="O409" s="1">
        <v>0</v>
      </c>
      <c r="P409" s="1">
        <v>5.0199999999999996</v>
      </c>
      <c r="Q409" s="1">
        <v>27</v>
      </c>
      <c r="R409" s="1" t="s">
        <v>653</v>
      </c>
      <c r="S409" s="1" t="s">
        <v>97</v>
      </c>
      <c r="T409" s="1" t="s">
        <v>137</v>
      </c>
      <c r="U409" s="1" t="s">
        <v>2540</v>
      </c>
      <c r="V409" s="1" t="s">
        <v>2540</v>
      </c>
      <c r="X409" s="1" t="s">
        <v>100</v>
      </c>
      <c r="Y409" s="1" t="s">
        <v>268</v>
      </c>
      <c r="Z409" s="1" t="s">
        <v>3109</v>
      </c>
      <c r="AB409" s="1">
        <v>0</v>
      </c>
      <c r="AD409" s="1" t="s">
        <v>6002</v>
      </c>
      <c r="AE409" s="1">
        <f>91-9916903512</f>
        <v>-9916903421</v>
      </c>
      <c r="AF409" s="1" t="s">
        <v>105</v>
      </c>
      <c r="AG409" s="1" t="s">
        <v>6003</v>
      </c>
      <c r="AH409" s="1" t="s">
        <v>6004</v>
      </c>
      <c r="AI409" s="1" t="s">
        <v>6005</v>
      </c>
      <c r="AJ409" s="1" t="s">
        <v>109</v>
      </c>
      <c r="AK409" s="1" t="s">
        <v>6006</v>
      </c>
      <c r="AL409" s="1">
        <v>16</v>
      </c>
      <c r="AM409" s="1" t="s">
        <v>111</v>
      </c>
      <c r="AN409" s="1" t="s">
        <v>1261</v>
      </c>
      <c r="AO409" s="1" t="s">
        <v>6007</v>
      </c>
      <c r="AP409" s="1">
        <f>91-9611345481</f>
        <v>-9611345390</v>
      </c>
      <c r="AR409" s="1">
        <v>1</v>
      </c>
      <c r="AS409" s="1">
        <v>0</v>
      </c>
      <c r="AW409" s="1" t="s">
        <v>142</v>
      </c>
      <c r="AX409" s="1" t="s">
        <v>2531</v>
      </c>
      <c r="AY409" s="1" t="s">
        <v>150</v>
      </c>
      <c r="AZ409" s="1">
        <v>5.0599999999999996</v>
      </c>
      <c r="BA409" s="1">
        <v>6</v>
      </c>
      <c r="BB409" s="1" t="s">
        <v>151</v>
      </c>
      <c r="BC409" s="1" t="s">
        <v>304</v>
      </c>
      <c r="BD409" s="1" t="s">
        <v>1333</v>
      </c>
      <c r="BE409" s="1" t="s">
        <v>281</v>
      </c>
      <c r="BF409" s="1" t="s">
        <v>120</v>
      </c>
      <c r="BG409" s="1" t="s">
        <v>120</v>
      </c>
      <c r="BH409" s="1" t="s">
        <v>724</v>
      </c>
      <c r="BI409" s="1" t="s">
        <v>3109</v>
      </c>
      <c r="BJ409" s="1" t="s">
        <v>154</v>
      </c>
      <c r="BK409" s="1" t="s">
        <v>120</v>
      </c>
      <c r="BL409" s="1">
        <v>0</v>
      </c>
      <c r="BM409" s="1">
        <v>0</v>
      </c>
      <c r="BN409" s="1" t="s">
        <v>6008</v>
      </c>
      <c r="BO409" s="1">
        <v>1</v>
      </c>
      <c r="BP409" s="1" t="s">
        <v>3576</v>
      </c>
      <c r="BQ409" s="1" t="s">
        <v>180</v>
      </c>
      <c r="BR409" s="1">
        <v>0</v>
      </c>
      <c r="BS409" s="1" t="s">
        <v>354</v>
      </c>
      <c r="BT409" s="1" t="s">
        <v>124</v>
      </c>
      <c r="BU409" s="1" t="s">
        <v>6009</v>
      </c>
      <c r="BV409" s="1" t="s">
        <v>112</v>
      </c>
      <c r="BW409" s="1" t="s">
        <v>6010</v>
      </c>
      <c r="BX409" s="1" t="s">
        <v>6011</v>
      </c>
      <c r="BY409" s="1" t="s">
        <v>120</v>
      </c>
      <c r="BZ409" s="1">
        <v>0</v>
      </c>
      <c r="CA409" s="1">
        <v>0</v>
      </c>
      <c r="CB409" s="4">
        <v>44061.341863773145</v>
      </c>
      <c r="CC409" s="1">
        <v>1</v>
      </c>
      <c r="CD409" s="1">
        <v>1</v>
      </c>
      <c r="CE409" s="1">
        <v>1</v>
      </c>
      <c r="CF409" s="1">
        <v>1</v>
      </c>
      <c r="CG409" s="4">
        <v>44061.725132673608</v>
      </c>
      <c r="CH409" s="1" t="s">
        <v>112</v>
      </c>
      <c r="CI409" s="1" t="s">
        <v>280</v>
      </c>
      <c r="CJ409" s="1" t="s">
        <v>157</v>
      </c>
    </row>
    <row r="410" spans="1:88" x14ac:dyDescent="0.35">
      <c r="A410" s="1">
        <v>6260</v>
      </c>
      <c r="B410" s="1" t="s">
        <v>6012</v>
      </c>
      <c r="C410" s="1" t="s">
        <v>6013</v>
      </c>
      <c r="D410" s="1" t="s">
        <v>90</v>
      </c>
      <c r="E410" s="1" t="s">
        <v>6014</v>
      </c>
      <c r="F410" s="1" t="s">
        <v>361</v>
      </c>
      <c r="G410" s="1">
        <v>1</v>
      </c>
      <c r="H410" s="3">
        <v>33786</v>
      </c>
      <c r="I410" s="1">
        <v>1</v>
      </c>
      <c r="J410" s="1" t="s">
        <v>162</v>
      </c>
      <c r="K410" s="1" t="s">
        <v>163</v>
      </c>
      <c r="L410" s="2">
        <f>91-9714322888</f>
        <v>-9714322797</v>
      </c>
      <c r="M410" s="1" t="s">
        <v>150</v>
      </c>
      <c r="N410" s="1">
        <v>0</v>
      </c>
      <c r="O410" s="1">
        <v>0</v>
      </c>
      <c r="P410" s="1">
        <v>5.0999999999999996</v>
      </c>
      <c r="Q410" s="1">
        <v>6</v>
      </c>
      <c r="R410" s="1" t="s">
        <v>6015</v>
      </c>
      <c r="S410" s="1" t="s">
        <v>97</v>
      </c>
      <c r="T410" s="1" t="s">
        <v>98</v>
      </c>
      <c r="U410" s="1" t="s">
        <v>2540</v>
      </c>
      <c r="V410" s="1" t="s">
        <v>2540</v>
      </c>
      <c r="X410" s="1" t="s">
        <v>296</v>
      </c>
      <c r="Y410" s="1" t="s">
        <v>111</v>
      </c>
      <c r="Z410" s="1" t="s">
        <v>297</v>
      </c>
      <c r="AB410" s="1">
        <v>0</v>
      </c>
      <c r="AD410" s="1" t="s">
        <v>6016</v>
      </c>
      <c r="AE410" s="1">
        <f>91-9574066597</f>
        <v>-9574066506</v>
      </c>
      <c r="AF410" s="1" t="s">
        <v>2541</v>
      </c>
      <c r="AG410" s="1" t="s">
        <v>6017</v>
      </c>
      <c r="AH410" s="1" t="s">
        <v>6018</v>
      </c>
      <c r="AI410" s="1" t="s">
        <v>6019</v>
      </c>
      <c r="AJ410" s="1" t="s">
        <v>109</v>
      </c>
      <c r="AK410" s="1" t="s">
        <v>6020</v>
      </c>
      <c r="AL410" s="1">
        <v>60</v>
      </c>
      <c r="AM410" s="1" t="s">
        <v>2541</v>
      </c>
      <c r="AP410" s="1">
        <f>91-8140497768</f>
        <v>-8140497677</v>
      </c>
      <c r="AR410" s="1">
        <v>0</v>
      </c>
      <c r="AS410" s="1">
        <v>0</v>
      </c>
      <c r="AW410" s="1" t="s">
        <v>142</v>
      </c>
      <c r="AX410" s="1" t="s">
        <v>592</v>
      </c>
      <c r="AY410" s="1" t="s">
        <v>1332</v>
      </c>
      <c r="AZ410" s="1">
        <v>5.0199999999999996</v>
      </c>
      <c r="BA410" s="1">
        <v>6</v>
      </c>
      <c r="BB410" s="1" t="s">
        <v>151</v>
      </c>
      <c r="BC410" s="1" t="s">
        <v>152</v>
      </c>
      <c r="BD410" s="1" t="s">
        <v>1395</v>
      </c>
      <c r="BE410" s="1" t="s">
        <v>120</v>
      </c>
      <c r="BF410" s="1" t="s">
        <v>120</v>
      </c>
      <c r="BG410" s="1" t="s">
        <v>2541</v>
      </c>
      <c r="BH410" s="1" t="s">
        <v>2541</v>
      </c>
      <c r="BI410" s="1" t="s">
        <v>297</v>
      </c>
      <c r="BL410" s="1">
        <v>0</v>
      </c>
      <c r="BM410" s="1">
        <v>0</v>
      </c>
      <c r="BN410" s="1" t="s">
        <v>6021</v>
      </c>
      <c r="BO410" s="1" t="s">
        <v>112</v>
      </c>
      <c r="BP410" s="1" t="s">
        <v>112</v>
      </c>
      <c r="BQ410" s="1" t="s">
        <v>112</v>
      </c>
      <c r="BR410" s="1" t="s">
        <v>112</v>
      </c>
      <c r="BS410" s="1" t="s">
        <v>112</v>
      </c>
      <c r="BT410" s="1" t="s">
        <v>112</v>
      </c>
      <c r="BU410" s="1" t="s">
        <v>112</v>
      </c>
      <c r="BV410" s="1" t="s">
        <v>112</v>
      </c>
      <c r="BW410" s="1" t="s">
        <v>112</v>
      </c>
      <c r="BX410" s="1" t="s">
        <v>112</v>
      </c>
      <c r="BY410" s="1" t="s">
        <v>120</v>
      </c>
      <c r="BZ410" s="1">
        <v>0</v>
      </c>
      <c r="CA410" s="1">
        <v>0</v>
      </c>
      <c r="CB410" s="4">
        <v>44064.274055289352</v>
      </c>
      <c r="CC410" s="1">
        <v>0</v>
      </c>
      <c r="CD410" s="1">
        <v>0</v>
      </c>
      <c r="CE410" s="1">
        <v>0</v>
      </c>
      <c r="CF410" s="1">
        <v>0</v>
      </c>
      <c r="CG410" s="4">
        <v>44064.274055289352</v>
      </c>
      <c r="CH410" s="1" t="s">
        <v>112</v>
      </c>
      <c r="CI410" s="1" t="s">
        <v>6022</v>
      </c>
      <c r="CJ410" s="1" t="s">
        <v>157</v>
      </c>
    </row>
    <row r="411" spans="1:88" x14ac:dyDescent="0.35">
      <c r="A411" s="1">
        <v>6261</v>
      </c>
      <c r="B411" s="1" t="s">
        <v>6023</v>
      </c>
      <c r="C411" s="1" t="s">
        <v>6024</v>
      </c>
      <c r="D411" s="1" t="s">
        <v>312</v>
      </c>
      <c r="E411" s="1" t="s">
        <v>6025</v>
      </c>
      <c r="F411" s="1" t="s">
        <v>4100</v>
      </c>
      <c r="G411" s="1">
        <v>1</v>
      </c>
      <c r="H411" s="3">
        <v>34341</v>
      </c>
      <c r="I411" s="1">
        <v>1</v>
      </c>
      <c r="J411" s="1" t="s">
        <v>162</v>
      </c>
      <c r="K411" s="1" t="s">
        <v>4132</v>
      </c>
      <c r="L411" s="2">
        <f>91-9664815138</f>
        <v>-9664815047</v>
      </c>
      <c r="M411" s="1" t="s">
        <v>150</v>
      </c>
      <c r="N411" s="1">
        <v>0</v>
      </c>
      <c r="O411" s="1">
        <v>0</v>
      </c>
      <c r="P411" s="1">
        <v>5.0599999999999996</v>
      </c>
      <c r="Q411" s="1">
        <v>25</v>
      </c>
      <c r="R411" s="1" t="s">
        <v>426</v>
      </c>
      <c r="S411" s="1" t="s">
        <v>97</v>
      </c>
      <c r="T411" s="1" t="s">
        <v>1107</v>
      </c>
      <c r="U411" s="1" t="s">
        <v>2540</v>
      </c>
      <c r="V411" s="1" t="s">
        <v>2540</v>
      </c>
      <c r="X411" s="1" t="s">
        <v>100</v>
      </c>
      <c r="Y411" s="1" t="s">
        <v>210</v>
      </c>
      <c r="Z411" s="1" t="s">
        <v>556</v>
      </c>
      <c r="AB411" s="1">
        <v>0</v>
      </c>
      <c r="AD411" s="1" t="s">
        <v>6026</v>
      </c>
      <c r="AE411" s="1" t="s">
        <v>142</v>
      </c>
      <c r="AF411" s="1" t="s">
        <v>112</v>
      </c>
      <c r="AG411" s="1" t="s">
        <v>112</v>
      </c>
      <c r="AH411" s="1" t="s">
        <v>112</v>
      </c>
      <c r="AI411" s="1" t="s">
        <v>112</v>
      </c>
      <c r="AJ411" s="1" t="s">
        <v>112</v>
      </c>
      <c r="AK411" s="1" t="s">
        <v>112</v>
      </c>
      <c r="AL411" s="1" t="s">
        <v>112</v>
      </c>
      <c r="AM411" s="1" t="s">
        <v>112</v>
      </c>
      <c r="AN411" s="1" t="s">
        <v>112</v>
      </c>
      <c r="AO411" s="1" t="s">
        <v>112</v>
      </c>
      <c r="AP411" s="1" t="s">
        <v>112</v>
      </c>
      <c r="AQ411" s="1" t="s">
        <v>112</v>
      </c>
      <c r="AR411" s="1" t="s">
        <v>112</v>
      </c>
      <c r="AS411" s="1" t="s">
        <v>112</v>
      </c>
      <c r="AT411" s="1" t="s">
        <v>112</v>
      </c>
      <c r="AU411" s="1" t="s">
        <v>112</v>
      </c>
      <c r="AV411" s="1" t="s">
        <v>112</v>
      </c>
      <c r="AW411" s="1" t="s">
        <v>112</v>
      </c>
      <c r="AX411" s="1" t="s">
        <v>112</v>
      </c>
      <c r="AY411" s="1" t="s">
        <v>112</v>
      </c>
      <c r="AZ411" s="1" t="s">
        <v>112</v>
      </c>
      <c r="BA411" s="1" t="s">
        <v>112</v>
      </c>
      <c r="BB411" s="1" t="s">
        <v>112</v>
      </c>
      <c r="BC411" s="1" t="s">
        <v>112</v>
      </c>
      <c r="BD411" s="1" t="s">
        <v>112</v>
      </c>
      <c r="BE411" s="1" t="s">
        <v>112</v>
      </c>
      <c r="BF411" s="1" t="s">
        <v>112</v>
      </c>
      <c r="BG411" s="1" t="s">
        <v>112</v>
      </c>
      <c r="BH411" s="1" t="s">
        <v>112</v>
      </c>
      <c r="BI411" s="1" t="s">
        <v>112</v>
      </c>
      <c r="BJ411" s="1" t="s">
        <v>112</v>
      </c>
      <c r="BK411" s="1" t="s">
        <v>112</v>
      </c>
      <c r="BL411" s="1" t="s">
        <v>112</v>
      </c>
      <c r="BM411" s="1" t="s">
        <v>112</v>
      </c>
      <c r="BN411" s="1" t="s">
        <v>112</v>
      </c>
      <c r="BO411" s="1" t="s">
        <v>112</v>
      </c>
      <c r="BP411" s="1" t="s">
        <v>112</v>
      </c>
      <c r="BQ411" s="1" t="s">
        <v>112</v>
      </c>
      <c r="BR411" s="1" t="s">
        <v>112</v>
      </c>
      <c r="BS411" s="1" t="s">
        <v>112</v>
      </c>
      <c r="BT411" s="1" t="s">
        <v>112</v>
      </c>
      <c r="BU411" s="1" t="s">
        <v>112</v>
      </c>
      <c r="BV411" s="1" t="s">
        <v>112</v>
      </c>
      <c r="BW411" s="1" t="s">
        <v>112</v>
      </c>
      <c r="BX411" s="1" t="s">
        <v>112</v>
      </c>
      <c r="BY411" s="1" t="s">
        <v>112</v>
      </c>
      <c r="BZ411" s="1" t="s">
        <v>112</v>
      </c>
      <c r="CA411" s="1" t="s">
        <v>112</v>
      </c>
      <c r="CB411" s="4">
        <v>44064.375872453704</v>
      </c>
      <c r="CC411" s="1">
        <v>0</v>
      </c>
      <c r="CD411" s="1">
        <v>0</v>
      </c>
      <c r="CE411" s="1">
        <v>0</v>
      </c>
      <c r="CF411" s="1">
        <v>0</v>
      </c>
      <c r="CG411" s="4">
        <v>44064.375872453704</v>
      </c>
      <c r="CH411" s="1" t="s">
        <v>112</v>
      </c>
      <c r="CI411" s="1" t="s">
        <v>112</v>
      </c>
      <c r="CJ411" s="1" t="s">
        <v>112</v>
      </c>
    </row>
    <row r="412" spans="1:88" x14ac:dyDescent="0.35">
      <c r="A412" s="1">
        <v>6262</v>
      </c>
      <c r="B412" s="1" t="s">
        <v>6027</v>
      </c>
      <c r="C412" s="1" t="s">
        <v>6028</v>
      </c>
      <c r="D412" s="1" t="s">
        <v>90</v>
      </c>
      <c r="E412" s="1" t="s">
        <v>6029</v>
      </c>
      <c r="F412" s="1" t="s">
        <v>6030</v>
      </c>
      <c r="G412" s="1">
        <v>1</v>
      </c>
      <c r="H412" s="3">
        <v>34801</v>
      </c>
      <c r="I412" s="1">
        <v>1</v>
      </c>
      <c r="J412" s="1" t="s">
        <v>162</v>
      </c>
      <c r="K412" s="1" t="s">
        <v>232</v>
      </c>
      <c r="L412" s="2">
        <f>91-9913377411</f>
        <v>-9913377320</v>
      </c>
      <c r="M412" s="1" t="s">
        <v>150</v>
      </c>
      <c r="N412" s="1">
        <v>0</v>
      </c>
      <c r="O412" s="1">
        <v>0</v>
      </c>
      <c r="P412" s="1">
        <v>6</v>
      </c>
      <c r="Q412" s="1">
        <v>1</v>
      </c>
      <c r="R412" s="1" t="s">
        <v>3457</v>
      </c>
      <c r="S412" s="1" t="s">
        <v>97</v>
      </c>
      <c r="T412" s="1" t="s">
        <v>427</v>
      </c>
      <c r="U412" s="1" t="s">
        <v>2540</v>
      </c>
      <c r="V412" s="1" t="s">
        <v>2540</v>
      </c>
      <c r="X412" s="1" t="s">
        <v>296</v>
      </c>
      <c r="Y412" s="1" t="s">
        <v>111</v>
      </c>
      <c r="Z412" s="1" t="s">
        <v>1387</v>
      </c>
      <c r="AB412" s="1">
        <v>1</v>
      </c>
      <c r="AC412" s="1" t="s">
        <v>6031</v>
      </c>
      <c r="AD412" s="1" t="s">
        <v>1758</v>
      </c>
      <c r="AE412" s="1" t="s">
        <v>142</v>
      </c>
      <c r="AF412" s="1" t="s">
        <v>2541</v>
      </c>
      <c r="AG412" s="1" t="s">
        <v>1111</v>
      </c>
      <c r="AH412" s="1" t="s">
        <v>4327</v>
      </c>
      <c r="AI412" s="1" t="s">
        <v>6032</v>
      </c>
      <c r="AJ412" s="1" t="s">
        <v>478</v>
      </c>
      <c r="AK412" s="1" t="s">
        <v>6033</v>
      </c>
      <c r="AL412" s="1">
        <v>20</v>
      </c>
      <c r="AM412" s="1" t="s">
        <v>2541</v>
      </c>
      <c r="AP412" s="1">
        <f>91-6355523992</f>
        <v>-6355523901</v>
      </c>
      <c r="AR412" s="1">
        <v>0</v>
      </c>
      <c r="AS412" s="1">
        <v>0</v>
      </c>
      <c r="AW412" s="1" t="s">
        <v>142</v>
      </c>
      <c r="AX412" s="1" t="s">
        <v>6034</v>
      </c>
      <c r="AY412" s="1" t="s">
        <v>150</v>
      </c>
      <c r="AZ412" s="1">
        <v>5</v>
      </c>
      <c r="BA412" s="1">
        <v>7.05</v>
      </c>
      <c r="BB412" s="1" t="s">
        <v>151</v>
      </c>
      <c r="BC412" s="1" t="s">
        <v>152</v>
      </c>
      <c r="BD412" s="1" t="s">
        <v>1395</v>
      </c>
      <c r="BE412" s="1" t="s">
        <v>120</v>
      </c>
      <c r="BF412" s="1" t="s">
        <v>120</v>
      </c>
      <c r="BG412" s="1" t="s">
        <v>2541</v>
      </c>
      <c r="BH412" s="1" t="s">
        <v>2541</v>
      </c>
      <c r="BI412" s="1" t="s">
        <v>1387</v>
      </c>
      <c r="BL412" s="1">
        <v>0</v>
      </c>
      <c r="BM412" s="1">
        <v>0</v>
      </c>
      <c r="BN412" s="1" t="s">
        <v>6035</v>
      </c>
      <c r="BO412" s="1" t="s">
        <v>112</v>
      </c>
      <c r="BP412" s="1" t="s">
        <v>112</v>
      </c>
      <c r="BQ412" s="1" t="s">
        <v>112</v>
      </c>
      <c r="BR412" s="1" t="s">
        <v>112</v>
      </c>
      <c r="BS412" s="1" t="s">
        <v>112</v>
      </c>
      <c r="BT412" s="1" t="s">
        <v>112</v>
      </c>
      <c r="BU412" s="1" t="s">
        <v>112</v>
      </c>
      <c r="BV412" s="1" t="s">
        <v>112</v>
      </c>
      <c r="BW412" s="1" t="s">
        <v>112</v>
      </c>
      <c r="BX412" s="1" t="s">
        <v>112</v>
      </c>
      <c r="BY412" s="1" t="s">
        <v>120</v>
      </c>
      <c r="BZ412" s="1">
        <v>0</v>
      </c>
      <c r="CA412" s="1">
        <v>0</v>
      </c>
      <c r="CB412" s="4">
        <v>44065.044168518521</v>
      </c>
      <c r="CC412" s="1">
        <v>0</v>
      </c>
      <c r="CD412" s="1">
        <v>0</v>
      </c>
      <c r="CE412" s="1">
        <v>0</v>
      </c>
      <c r="CF412" s="1">
        <v>0</v>
      </c>
      <c r="CG412" s="4">
        <v>44065.341602002314</v>
      </c>
      <c r="CH412" s="1" t="s">
        <v>112</v>
      </c>
      <c r="CI412" s="1" t="s">
        <v>6036</v>
      </c>
      <c r="CJ412" s="1" t="s">
        <v>157</v>
      </c>
    </row>
    <row r="413" spans="1:88" x14ac:dyDescent="0.35">
      <c r="A413" s="1">
        <v>6263</v>
      </c>
      <c r="B413" s="1" t="s">
        <v>6037</v>
      </c>
      <c r="C413" s="1" t="s">
        <v>6038</v>
      </c>
      <c r="D413" s="1" t="s">
        <v>90</v>
      </c>
      <c r="E413" s="1" t="s">
        <v>6039</v>
      </c>
      <c r="F413" s="1" t="s">
        <v>6040</v>
      </c>
      <c r="G413" s="1">
        <v>1</v>
      </c>
      <c r="H413" s="3">
        <v>34297</v>
      </c>
      <c r="I413" s="1">
        <v>1</v>
      </c>
      <c r="J413" s="1" t="s">
        <v>162</v>
      </c>
      <c r="K413" s="1" t="s">
        <v>163</v>
      </c>
      <c r="L413" s="2">
        <f>91-7096516595</f>
        <v>-7096516504</v>
      </c>
      <c r="M413" s="1" t="s">
        <v>150</v>
      </c>
      <c r="N413" s="1">
        <v>0</v>
      </c>
      <c r="O413" s="1">
        <v>0</v>
      </c>
      <c r="P413" s="1">
        <v>5.0199999999999996</v>
      </c>
      <c r="Q413" s="1">
        <v>10</v>
      </c>
      <c r="S413" s="1" t="s">
        <v>293</v>
      </c>
      <c r="T413" s="1" t="s">
        <v>341</v>
      </c>
      <c r="U413" s="1" t="s">
        <v>2540</v>
      </c>
      <c r="V413" s="1" t="s">
        <v>2540</v>
      </c>
      <c r="X413" s="1" t="s">
        <v>296</v>
      </c>
      <c r="Y413" s="1" t="s">
        <v>210</v>
      </c>
      <c r="Z413" s="1" t="s">
        <v>1387</v>
      </c>
      <c r="AB413" s="1">
        <v>0</v>
      </c>
      <c r="AD413" s="1" t="s">
        <v>6041</v>
      </c>
      <c r="AE413" s="1">
        <f>91-7096516595</f>
        <v>-7096516504</v>
      </c>
      <c r="AF413" s="1" t="s">
        <v>2541</v>
      </c>
      <c r="AG413" s="1" t="s">
        <v>6042</v>
      </c>
      <c r="AH413" s="1" t="s">
        <v>6043</v>
      </c>
      <c r="AI413" s="1" t="s">
        <v>6044</v>
      </c>
      <c r="AJ413" s="1" t="s">
        <v>109</v>
      </c>
      <c r="AK413" s="1" t="s">
        <v>6045</v>
      </c>
      <c r="AL413" s="1">
        <v>2</v>
      </c>
      <c r="AM413" s="1" t="s">
        <v>2541</v>
      </c>
      <c r="AP413" s="1">
        <f>91-9426449851</f>
        <v>-9426449760</v>
      </c>
      <c r="AR413" s="1">
        <v>0</v>
      </c>
      <c r="AS413" s="1">
        <v>0</v>
      </c>
      <c r="AW413" s="1" t="s">
        <v>142</v>
      </c>
      <c r="AX413" s="1" t="s">
        <v>1300</v>
      </c>
      <c r="AY413" s="1" t="s">
        <v>150</v>
      </c>
      <c r="AZ413" s="1">
        <v>4</v>
      </c>
      <c r="BA413" s="1">
        <v>5.0199999999999996</v>
      </c>
      <c r="BB413" s="1" t="s">
        <v>151</v>
      </c>
      <c r="BC413" s="1" t="s">
        <v>152</v>
      </c>
      <c r="BD413" s="1" t="s">
        <v>1395</v>
      </c>
      <c r="BE413" s="1" t="s">
        <v>2260</v>
      </c>
      <c r="BF413" s="1" t="s">
        <v>120</v>
      </c>
      <c r="BG413" s="1" t="s">
        <v>2541</v>
      </c>
      <c r="BH413" s="1" t="s">
        <v>2541</v>
      </c>
      <c r="BI413" s="1" t="s">
        <v>1387</v>
      </c>
      <c r="BL413" s="1">
        <v>0</v>
      </c>
      <c r="BM413" s="1">
        <v>0</v>
      </c>
      <c r="BN413" s="1" t="s">
        <v>6046</v>
      </c>
      <c r="BO413" s="1" t="s">
        <v>112</v>
      </c>
      <c r="BP413" s="1" t="s">
        <v>112</v>
      </c>
      <c r="BQ413" s="1" t="s">
        <v>112</v>
      </c>
      <c r="BR413" s="1" t="s">
        <v>112</v>
      </c>
      <c r="BS413" s="1" t="s">
        <v>112</v>
      </c>
      <c r="BT413" s="1" t="s">
        <v>112</v>
      </c>
      <c r="BU413" s="1" t="s">
        <v>112</v>
      </c>
      <c r="BV413" s="1" t="s">
        <v>112</v>
      </c>
      <c r="BW413" s="1" t="s">
        <v>112</v>
      </c>
      <c r="BX413" s="1" t="s">
        <v>112</v>
      </c>
      <c r="BY413" s="1" t="s">
        <v>120</v>
      </c>
      <c r="BZ413" s="1">
        <v>0</v>
      </c>
      <c r="CA413" s="1">
        <v>0</v>
      </c>
      <c r="CB413" s="4">
        <v>44067.927048263889</v>
      </c>
      <c r="CC413" s="1">
        <v>0</v>
      </c>
      <c r="CD413" s="1">
        <v>0</v>
      </c>
      <c r="CE413" s="1">
        <v>0</v>
      </c>
      <c r="CF413" s="1">
        <v>0</v>
      </c>
      <c r="CG413" s="4">
        <v>44068.232242789352</v>
      </c>
      <c r="CH413" s="1" t="s">
        <v>112</v>
      </c>
      <c r="CI413" s="1" t="s">
        <v>6047</v>
      </c>
      <c r="CJ413" s="1" t="s">
        <v>157</v>
      </c>
    </row>
    <row r="414" spans="1:88" x14ac:dyDescent="0.35">
      <c r="A414" s="1">
        <v>6264</v>
      </c>
      <c r="B414" s="1" t="s">
        <v>6048</v>
      </c>
      <c r="C414" s="1" t="s">
        <v>6049</v>
      </c>
      <c r="D414" s="1" t="s">
        <v>90</v>
      </c>
      <c r="E414" s="1" t="s">
        <v>6050</v>
      </c>
      <c r="F414" s="1" t="s">
        <v>6051</v>
      </c>
      <c r="G414" s="1">
        <v>1</v>
      </c>
      <c r="H414" s="3">
        <v>32887</v>
      </c>
      <c r="I414" s="1">
        <v>1</v>
      </c>
      <c r="J414" s="1" t="s">
        <v>162</v>
      </c>
      <c r="K414" s="1" t="s">
        <v>847</v>
      </c>
      <c r="L414" s="2">
        <f>91-9687717273</f>
        <v>-9687717182</v>
      </c>
      <c r="M414" s="1" t="s">
        <v>95</v>
      </c>
      <c r="N414" s="1">
        <v>0</v>
      </c>
      <c r="O414" s="1">
        <v>0</v>
      </c>
      <c r="P414" s="1">
        <v>5.0599999999999996</v>
      </c>
      <c r="Q414" s="1">
        <v>10</v>
      </c>
      <c r="S414" s="1" t="s">
        <v>492</v>
      </c>
      <c r="T414" s="1" t="s">
        <v>6052</v>
      </c>
      <c r="U414" s="1" t="s">
        <v>2540</v>
      </c>
      <c r="V414" s="1" t="s">
        <v>2540</v>
      </c>
      <c r="X414" s="1" t="s">
        <v>170</v>
      </c>
      <c r="Y414" s="1" t="s">
        <v>210</v>
      </c>
      <c r="Z414" s="1" t="s">
        <v>6053</v>
      </c>
      <c r="AB414" s="1">
        <v>0</v>
      </c>
      <c r="AD414" s="1" t="s">
        <v>6054</v>
      </c>
      <c r="AE414" s="1">
        <f>91-99624778896624700000</f>
        <v>-9.9624778896624697E+19</v>
      </c>
      <c r="AF414" s="1" t="s">
        <v>2541</v>
      </c>
      <c r="AG414" s="1" t="s">
        <v>6055</v>
      </c>
      <c r="AH414" s="1" t="s">
        <v>6056</v>
      </c>
      <c r="AI414" s="1" t="s">
        <v>1113</v>
      </c>
      <c r="AJ414" s="1" t="s">
        <v>109</v>
      </c>
      <c r="AK414" s="1" t="s">
        <v>6057</v>
      </c>
      <c r="AL414" s="1">
        <v>30</v>
      </c>
      <c r="AM414" s="1" t="s">
        <v>2541</v>
      </c>
      <c r="AP414" s="1">
        <f>91-9624778896</f>
        <v>-9624778805</v>
      </c>
      <c r="AR414" s="1">
        <v>0</v>
      </c>
      <c r="AS414" s="1">
        <v>0</v>
      </c>
      <c r="AW414" s="1" t="s">
        <v>142</v>
      </c>
      <c r="AX414" s="1" t="s">
        <v>248</v>
      </c>
      <c r="AY414" s="1" t="s">
        <v>1332</v>
      </c>
      <c r="AZ414" s="1">
        <v>4.1100000000000003</v>
      </c>
      <c r="BA414" s="1">
        <v>5.08</v>
      </c>
      <c r="BB414" s="1" t="s">
        <v>151</v>
      </c>
      <c r="BC414" s="1" t="s">
        <v>152</v>
      </c>
      <c r="BD414" s="1" t="s">
        <v>1395</v>
      </c>
      <c r="BE414" s="1" t="s">
        <v>6058</v>
      </c>
      <c r="BF414" s="1" t="s">
        <v>120</v>
      </c>
      <c r="BG414" s="1" t="s">
        <v>2541</v>
      </c>
      <c r="BH414" s="1" t="s">
        <v>2541</v>
      </c>
      <c r="BI414" s="1" t="s">
        <v>132</v>
      </c>
      <c r="BL414" s="1">
        <v>0</v>
      </c>
      <c r="BM414" s="1">
        <v>1</v>
      </c>
      <c r="BN414" s="1" t="s">
        <v>6059</v>
      </c>
      <c r="BO414" s="1">
        <v>0</v>
      </c>
      <c r="BQ414" s="1" t="s">
        <v>180</v>
      </c>
      <c r="BR414" s="1">
        <v>0</v>
      </c>
      <c r="BS414" s="1" t="s">
        <v>354</v>
      </c>
      <c r="BT414" s="1" t="s">
        <v>120</v>
      </c>
      <c r="BU414" s="1" t="s">
        <v>6060</v>
      </c>
      <c r="BV414" s="1" t="s">
        <v>112</v>
      </c>
      <c r="BY414" s="1" t="s">
        <v>120</v>
      </c>
      <c r="BZ414" s="1">
        <v>0</v>
      </c>
      <c r="CA414" s="1">
        <v>0</v>
      </c>
      <c r="CB414" s="4">
        <v>44067.962467395831</v>
      </c>
      <c r="CC414" s="1">
        <v>0</v>
      </c>
      <c r="CD414" s="1">
        <v>1</v>
      </c>
      <c r="CE414" s="1">
        <v>0</v>
      </c>
      <c r="CF414" s="1">
        <v>0</v>
      </c>
      <c r="CG414" s="4">
        <v>44068.300685185182</v>
      </c>
      <c r="CH414" s="1" t="s">
        <v>112</v>
      </c>
      <c r="CI414" s="1" t="s">
        <v>1723</v>
      </c>
      <c r="CJ414" s="1" t="s">
        <v>157</v>
      </c>
    </row>
    <row r="415" spans="1:88" x14ac:dyDescent="0.35">
      <c r="A415" s="1">
        <v>6265</v>
      </c>
      <c r="B415" s="1" t="s">
        <v>6061</v>
      </c>
      <c r="C415" s="1" t="s">
        <v>6062</v>
      </c>
      <c r="D415" s="1" t="s">
        <v>229</v>
      </c>
      <c r="E415" s="1" t="s">
        <v>6063</v>
      </c>
      <c r="F415" s="1" t="s">
        <v>134</v>
      </c>
      <c r="G415" s="1">
        <v>1</v>
      </c>
      <c r="H415" s="3">
        <v>33243</v>
      </c>
      <c r="I415" s="1">
        <v>1</v>
      </c>
      <c r="J415" s="1" t="s">
        <v>162</v>
      </c>
      <c r="K415" s="1" t="s">
        <v>163</v>
      </c>
      <c r="L415" s="2">
        <f>91-7621007378</f>
        <v>-7621007287</v>
      </c>
      <c r="M415" s="1" t="s">
        <v>150</v>
      </c>
      <c r="N415" s="1">
        <v>0</v>
      </c>
      <c r="O415" s="1">
        <v>0</v>
      </c>
      <c r="P415" s="1">
        <v>5.05</v>
      </c>
      <c r="Q415" s="1">
        <v>27</v>
      </c>
      <c r="R415" s="1" t="s">
        <v>653</v>
      </c>
      <c r="S415" s="1" t="s">
        <v>492</v>
      </c>
      <c r="T415" s="1" t="s">
        <v>137</v>
      </c>
      <c r="U415" s="1" t="s">
        <v>2540</v>
      </c>
      <c r="V415" s="1" t="s">
        <v>2540</v>
      </c>
      <c r="X415" s="1" t="s">
        <v>170</v>
      </c>
      <c r="Y415" s="1" t="s">
        <v>210</v>
      </c>
      <c r="Z415" s="1" t="s">
        <v>3794</v>
      </c>
      <c r="AB415" s="1">
        <v>0</v>
      </c>
      <c r="AD415" s="1" t="s">
        <v>6064</v>
      </c>
      <c r="AE415" s="1">
        <f>91-9727263616</f>
        <v>-9727263525</v>
      </c>
      <c r="AF415" s="1" t="s">
        <v>2541</v>
      </c>
      <c r="AG415" s="1" t="s">
        <v>6065</v>
      </c>
      <c r="AH415" s="1" t="s">
        <v>6066</v>
      </c>
      <c r="AI415" s="1" t="s">
        <v>6067</v>
      </c>
      <c r="AJ415" s="1" t="s">
        <v>109</v>
      </c>
      <c r="AK415" s="1" t="s">
        <v>6068</v>
      </c>
      <c r="AL415" s="1">
        <v>2</v>
      </c>
      <c r="AM415" s="1" t="s">
        <v>2541</v>
      </c>
      <c r="AP415" s="1">
        <f>91-9727263616</f>
        <v>-9727263525</v>
      </c>
      <c r="AR415" s="1">
        <v>0</v>
      </c>
      <c r="AS415" s="1">
        <v>0</v>
      </c>
      <c r="AW415" s="1" t="s">
        <v>142</v>
      </c>
      <c r="AX415" s="1" t="s">
        <v>1315</v>
      </c>
      <c r="AY415" s="1" t="s">
        <v>1332</v>
      </c>
      <c r="AZ415" s="1">
        <v>4.01</v>
      </c>
      <c r="BA415" s="1">
        <v>5.05</v>
      </c>
      <c r="BB415" s="1" t="s">
        <v>151</v>
      </c>
      <c r="BC415" s="1" t="s">
        <v>152</v>
      </c>
      <c r="BD415" s="1" t="s">
        <v>1395</v>
      </c>
      <c r="BE415" s="1" t="s">
        <v>120</v>
      </c>
      <c r="BF415" s="1" t="s">
        <v>120</v>
      </c>
      <c r="BG415" s="1" t="s">
        <v>2541</v>
      </c>
      <c r="BH415" s="1" t="s">
        <v>2541</v>
      </c>
      <c r="BI415" s="1" t="s">
        <v>3794</v>
      </c>
      <c r="BL415" s="1">
        <v>0</v>
      </c>
      <c r="BM415" s="1">
        <v>0</v>
      </c>
      <c r="BN415" s="1" t="s">
        <v>6069</v>
      </c>
      <c r="BO415" s="1">
        <v>0</v>
      </c>
      <c r="BQ415" s="1" t="s">
        <v>180</v>
      </c>
      <c r="BR415" s="1">
        <v>0</v>
      </c>
      <c r="BS415" s="1" t="s">
        <v>354</v>
      </c>
      <c r="BT415" s="1" t="s">
        <v>124</v>
      </c>
      <c r="BV415" s="1" t="s">
        <v>112</v>
      </c>
      <c r="BW415" s="1" t="s">
        <v>6070</v>
      </c>
      <c r="BX415" s="1" t="s">
        <v>6071</v>
      </c>
      <c r="BY415" s="1" t="s">
        <v>120</v>
      </c>
      <c r="BZ415" s="1">
        <v>0</v>
      </c>
      <c r="CA415" s="1">
        <v>0</v>
      </c>
      <c r="CB415" s="4">
        <v>44069.273779594907</v>
      </c>
      <c r="CC415" s="1">
        <v>1</v>
      </c>
      <c r="CD415" s="1">
        <v>1</v>
      </c>
      <c r="CE415" s="1">
        <v>1</v>
      </c>
      <c r="CF415" s="1">
        <v>1</v>
      </c>
      <c r="CG415" s="4">
        <v>44099.30857346065</v>
      </c>
      <c r="CH415" s="1" t="s">
        <v>112</v>
      </c>
      <c r="CI415" s="1" t="s">
        <v>280</v>
      </c>
      <c r="CJ415" s="1" t="s">
        <v>157</v>
      </c>
    </row>
    <row r="416" spans="1:88" x14ac:dyDescent="0.35">
      <c r="A416" s="1">
        <v>6266</v>
      </c>
      <c r="B416" s="1" t="s">
        <v>6072</v>
      </c>
      <c r="C416" s="1" t="s">
        <v>6073</v>
      </c>
      <c r="D416" s="1" t="s">
        <v>90</v>
      </c>
      <c r="E416" s="1" t="s">
        <v>1405</v>
      </c>
      <c r="F416" s="1" t="s">
        <v>134</v>
      </c>
      <c r="G416" s="1">
        <v>1</v>
      </c>
      <c r="H416" s="3">
        <v>34600</v>
      </c>
      <c r="I416" s="1">
        <v>1</v>
      </c>
      <c r="J416" s="1" t="s">
        <v>162</v>
      </c>
      <c r="K416" s="1" t="s">
        <v>163</v>
      </c>
      <c r="L416" s="2">
        <f>91-7383451658</f>
        <v>-7383451567</v>
      </c>
      <c r="M416" s="1" t="s">
        <v>150</v>
      </c>
      <c r="N416" s="1">
        <v>0</v>
      </c>
      <c r="O416" s="1">
        <v>0</v>
      </c>
      <c r="P416" s="1">
        <v>6</v>
      </c>
      <c r="Q416" s="1">
        <v>10</v>
      </c>
      <c r="S416" s="1" t="s">
        <v>136</v>
      </c>
      <c r="T416" s="1" t="s">
        <v>137</v>
      </c>
      <c r="U416" s="1" t="s">
        <v>2540</v>
      </c>
      <c r="V416" s="1" t="s">
        <v>2540</v>
      </c>
      <c r="X416" s="1" t="s">
        <v>170</v>
      </c>
      <c r="Y416" s="1" t="s">
        <v>210</v>
      </c>
      <c r="Z416" s="1" t="s">
        <v>450</v>
      </c>
      <c r="AB416" s="1">
        <v>0</v>
      </c>
      <c r="AD416" s="1" t="s">
        <v>6074</v>
      </c>
      <c r="AE416" s="1">
        <f>91-9825928928</f>
        <v>-9825928837</v>
      </c>
      <c r="AF416" s="1" t="s">
        <v>112</v>
      </c>
      <c r="AG416" s="1" t="s">
        <v>112</v>
      </c>
      <c r="AH416" s="1" t="s">
        <v>112</v>
      </c>
      <c r="AI416" s="1" t="s">
        <v>112</v>
      </c>
      <c r="AJ416" s="1" t="s">
        <v>112</v>
      </c>
      <c r="AK416" s="1" t="s">
        <v>112</v>
      </c>
      <c r="AL416" s="1" t="s">
        <v>112</v>
      </c>
      <c r="AM416" s="1" t="s">
        <v>112</v>
      </c>
      <c r="AN416" s="1" t="s">
        <v>112</v>
      </c>
      <c r="AO416" s="1" t="s">
        <v>112</v>
      </c>
      <c r="AP416" s="1" t="s">
        <v>112</v>
      </c>
      <c r="AQ416" s="1" t="s">
        <v>112</v>
      </c>
      <c r="AR416" s="1" t="s">
        <v>112</v>
      </c>
      <c r="AS416" s="1" t="s">
        <v>112</v>
      </c>
      <c r="AT416" s="1" t="s">
        <v>112</v>
      </c>
      <c r="AU416" s="1" t="s">
        <v>112</v>
      </c>
      <c r="AV416" s="1" t="s">
        <v>112</v>
      </c>
      <c r="AW416" s="1" t="s">
        <v>112</v>
      </c>
      <c r="AX416" s="1" t="s">
        <v>112</v>
      </c>
      <c r="AY416" s="1" t="s">
        <v>112</v>
      </c>
      <c r="AZ416" s="1" t="s">
        <v>112</v>
      </c>
      <c r="BA416" s="1" t="s">
        <v>112</v>
      </c>
      <c r="BB416" s="1" t="s">
        <v>112</v>
      </c>
      <c r="BC416" s="1" t="s">
        <v>112</v>
      </c>
      <c r="BD416" s="1" t="s">
        <v>112</v>
      </c>
      <c r="BE416" s="1" t="s">
        <v>112</v>
      </c>
      <c r="BF416" s="1" t="s">
        <v>112</v>
      </c>
      <c r="BG416" s="1" t="s">
        <v>112</v>
      </c>
      <c r="BH416" s="1" t="s">
        <v>112</v>
      </c>
      <c r="BI416" s="1" t="s">
        <v>112</v>
      </c>
      <c r="BJ416" s="1" t="s">
        <v>112</v>
      </c>
      <c r="BK416" s="1" t="s">
        <v>112</v>
      </c>
      <c r="BL416" s="1" t="s">
        <v>112</v>
      </c>
      <c r="BM416" s="1" t="s">
        <v>112</v>
      </c>
      <c r="BN416" s="1" t="s">
        <v>112</v>
      </c>
      <c r="BO416" s="1" t="s">
        <v>112</v>
      </c>
      <c r="BP416" s="1" t="s">
        <v>112</v>
      </c>
      <c r="BQ416" s="1" t="s">
        <v>112</v>
      </c>
      <c r="BR416" s="1" t="s">
        <v>112</v>
      </c>
      <c r="BS416" s="1" t="s">
        <v>112</v>
      </c>
      <c r="BT416" s="1" t="s">
        <v>112</v>
      </c>
      <c r="BU416" s="1" t="s">
        <v>112</v>
      </c>
      <c r="BV416" s="1" t="s">
        <v>112</v>
      </c>
      <c r="BW416" s="1" t="s">
        <v>112</v>
      </c>
      <c r="BX416" s="1" t="s">
        <v>112</v>
      </c>
      <c r="BY416" s="1" t="s">
        <v>112</v>
      </c>
      <c r="BZ416" s="1" t="s">
        <v>112</v>
      </c>
      <c r="CA416" s="1" t="s">
        <v>112</v>
      </c>
      <c r="CB416" s="4">
        <v>44069.322873958336</v>
      </c>
      <c r="CC416" s="1">
        <v>0</v>
      </c>
      <c r="CD416" s="1">
        <v>0</v>
      </c>
      <c r="CE416" s="1">
        <v>0</v>
      </c>
      <c r="CF416" s="1">
        <v>0</v>
      </c>
      <c r="CG416" s="4">
        <v>44069.322873958336</v>
      </c>
      <c r="CH416" s="1" t="s">
        <v>112</v>
      </c>
      <c r="CI416" s="1" t="s">
        <v>112</v>
      </c>
      <c r="CJ416" s="1" t="s">
        <v>112</v>
      </c>
    </row>
    <row r="417" spans="1:88" x14ac:dyDescent="0.35">
      <c r="A417" s="1">
        <v>6267</v>
      </c>
      <c r="B417" s="1" t="s">
        <v>6075</v>
      </c>
      <c r="C417" s="1" t="s">
        <v>6076</v>
      </c>
      <c r="D417" s="1" t="s">
        <v>90</v>
      </c>
      <c r="E417" s="1" t="s">
        <v>6077</v>
      </c>
      <c r="F417" s="1" t="s">
        <v>6078</v>
      </c>
      <c r="G417" s="1">
        <v>1</v>
      </c>
      <c r="H417" s="3">
        <v>33819</v>
      </c>
      <c r="I417" s="1">
        <v>1</v>
      </c>
      <c r="J417" s="1" t="s">
        <v>162</v>
      </c>
      <c r="K417" s="1" t="s">
        <v>163</v>
      </c>
      <c r="L417" s="2">
        <f>91-9574355501</f>
        <v>-9574355410</v>
      </c>
      <c r="M417" s="1" t="s">
        <v>112</v>
      </c>
      <c r="N417" s="1" t="s">
        <v>112</v>
      </c>
      <c r="O417" s="1" t="s">
        <v>112</v>
      </c>
      <c r="P417" s="1" t="s">
        <v>112</v>
      </c>
      <c r="Q417" s="1" t="s">
        <v>112</v>
      </c>
      <c r="R417" s="1" t="s">
        <v>112</v>
      </c>
      <c r="S417" s="1" t="s">
        <v>112</v>
      </c>
      <c r="T417" s="1" t="s">
        <v>112</v>
      </c>
      <c r="U417" s="1" t="s">
        <v>112</v>
      </c>
      <c r="V417" s="1" t="s">
        <v>112</v>
      </c>
      <c r="W417" s="1" t="s">
        <v>112</v>
      </c>
      <c r="X417" s="1" t="s">
        <v>112</v>
      </c>
      <c r="Y417" s="1" t="s">
        <v>112</v>
      </c>
      <c r="Z417" s="1" t="s">
        <v>112</v>
      </c>
      <c r="AA417" s="1" t="s">
        <v>112</v>
      </c>
      <c r="AB417" s="1" t="s">
        <v>112</v>
      </c>
      <c r="AC417" s="1" t="s">
        <v>112</v>
      </c>
      <c r="AD417" s="1" t="s">
        <v>112</v>
      </c>
      <c r="AE417" s="1" t="s">
        <v>112</v>
      </c>
      <c r="AF417" s="1" t="s">
        <v>112</v>
      </c>
      <c r="AG417" s="1" t="s">
        <v>112</v>
      </c>
      <c r="AH417" s="1" t="s">
        <v>112</v>
      </c>
      <c r="AI417" s="1" t="s">
        <v>112</v>
      </c>
      <c r="AJ417" s="1" t="s">
        <v>112</v>
      </c>
      <c r="AK417" s="1" t="s">
        <v>112</v>
      </c>
      <c r="AL417" s="1" t="s">
        <v>112</v>
      </c>
      <c r="AM417" s="1" t="s">
        <v>112</v>
      </c>
      <c r="AN417" s="1" t="s">
        <v>112</v>
      </c>
      <c r="AO417" s="1" t="s">
        <v>112</v>
      </c>
      <c r="AP417" s="1" t="s">
        <v>112</v>
      </c>
      <c r="AQ417" s="1" t="s">
        <v>112</v>
      </c>
      <c r="AR417" s="1" t="s">
        <v>112</v>
      </c>
      <c r="AS417" s="1" t="s">
        <v>112</v>
      </c>
      <c r="AT417" s="1" t="s">
        <v>112</v>
      </c>
      <c r="AU417" s="1" t="s">
        <v>112</v>
      </c>
      <c r="AV417" s="1" t="s">
        <v>112</v>
      </c>
      <c r="AW417" s="1" t="s">
        <v>112</v>
      </c>
      <c r="AX417" s="1" t="s">
        <v>112</v>
      </c>
      <c r="AY417" s="1" t="s">
        <v>112</v>
      </c>
      <c r="AZ417" s="1" t="s">
        <v>112</v>
      </c>
      <c r="BA417" s="1" t="s">
        <v>112</v>
      </c>
      <c r="BB417" s="1" t="s">
        <v>112</v>
      </c>
      <c r="BC417" s="1" t="s">
        <v>112</v>
      </c>
      <c r="BD417" s="1" t="s">
        <v>112</v>
      </c>
      <c r="BE417" s="1" t="s">
        <v>112</v>
      </c>
      <c r="BF417" s="1" t="s">
        <v>112</v>
      </c>
      <c r="BG417" s="1" t="s">
        <v>112</v>
      </c>
      <c r="BH417" s="1" t="s">
        <v>112</v>
      </c>
      <c r="BI417" s="1" t="s">
        <v>112</v>
      </c>
      <c r="BJ417" s="1" t="s">
        <v>112</v>
      </c>
      <c r="BK417" s="1" t="s">
        <v>112</v>
      </c>
      <c r="BL417" s="1" t="s">
        <v>112</v>
      </c>
      <c r="BM417" s="1" t="s">
        <v>112</v>
      </c>
      <c r="BN417" s="1" t="s">
        <v>112</v>
      </c>
      <c r="BO417" s="1" t="s">
        <v>112</v>
      </c>
      <c r="BP417" s="1" t="s">
        <v>112</v>
      </c>
      <c r="BQ417" s="1" t="s">
        <v>112</v>
      </c>
      <c r="BR417" s="1" t="s">
        <v>112</v>
      </c>
      <c r="BS417" s="1" t="s">
        <v>112</v>
      </c>
      <c r="BT417" s="1" t="s">
        <v>112</v>
      </c>
      <c r="BU417" s="1" t="s">
        <v>112</v>
      </c>
      <c r="BV417" s="1" t="s">
        <v>112</v>
      </c>
      <c r="BW417" s="1" t="s">
        <v>112</v>
      </c>
      <c r="BX417" s="1" t="s">
        <v>112</v>
      </c>
      <c r="BY417" s="1" t="s">
        <v>112</v>
      </c>
      <c r="BZ417" s="1" t="s">
        <v>112</v>
      </c>
      <c r="CA417" s="1" t="s">
        <v>112</v>
      </c>
      <c r="CB417" s="4">
        <v>44069.87899996528</v>
      </c>
      <c r="CC417" s="1">
        <v>0</v>
      </c>
      <c r="CD417" s="1">
        <v>0</v>
      </c>
      <c r="CE417" s="1">
        <v>0</v>
      </c>
      <c r="CF417" s="1">
        <v>0</v>
      </c>
      <c r="CG417" s="4">
        <v>44069.87899996528</v>
      </c>
      <c r="CH417" s="1" t="s">
        <v>112</v>
      </c>
      <c r="CI417" s="1" t="s">
        <v>112</v>
      </c>
      <c r="CJ417" s="1" t="s">
        <v>112</v>
      </c>
    </row>
    <row r="418" spans="1:88" x14ac:dyDescent="0.35">
      <c r="A418" s="1">
        <v>6268</v>
      </c>
      <c r="B418" s="1" t="s">
        <v>6079</v>
      </c>
      <c r="C418" s="1" t="s">
        <v>6080</v>
      </c>
      <c r="D418" s="1" t="s">
        <v>90</v>
      </c>
      <c r="E418" s="1" t="s">
        <v>1896</v>
      </c>
      <c r="F418" s="1" t="s">
        <v>92</v>
      </c>
      <c r="G418" s="1">
        <v>1</v>
      </c>
      <c r="H418" s="3">
        <v>33305</v>
      </c>
      <c r="I418" s="1">
        <v>1</v>
      </c>
      <c r="J418" s="1" t="s">
        <v>93</v>
      </c>
      <c r="K418" s="1" t="s">
        <v>94</v>
      </c>
      <c r="L418" s="2">
        <f>91-9769760909</f>
        <v>-9769760818</v>
      </c>
      <c r="M418" s="1" t="s">
        <v>150</v>
      </c>
      <c r="N418" s="1">
        <v>0</v>
      </c>
      <c r="O418" s="1">
        <v>0</v>
      </c>
      <c r="P418" s="1">
        <v>5.07</v>
      </c>
      <c r="Q418" s="1">
        <v>12</v>
      </c>
      <c r="R418" s="1" t="s">
        <v>470</v>
      </c>
      <c r="S418" s="1" t="s">
        <v>233</v>
      </c>
      <c r="T418" s="1" t="s">
        <v>6081</v>
      </c>
      <c r="U418" s="1" t="s">
        <v>2540</v>
      </c>
      <c r="V418" s="1" t="s">
        <v>2540</v>
      </c>
      <c r="X418" s="1" t="s">
        <v>170</v>
      </c>
      <c r="Y418" s="1" t="s">
        <v>111</v>
      </c>
      <c r="Z418" s="1" t="s">
        <v>6081</v>
      </c>
      <c r="AB418" s="1">
        <v>0</v>
      </c>
      <c r="AD418" s="1" t="s">
        <v>6082</v>
      </c>
      <c r="AE418" s="1">
        <f>91-9773966424</f>
        <v>-9773966333</v>
      </c>
      <c r="AF418" s="1" t="s">
        <v>112</v>
      </c>
      <c r="AG418" s="1" t="s">
        <v>112</v>
      </c>
      <c r="AH418" s="1" t="s">
        <v>112</v>
      </c>
      <c r="AI418" s="1" t="s">
        <v>112</v>
      </c>
      <c r="AJ418" s="1" t="s">
        <v>112</v>
      </c>
      <c r="AK418" s="1" t="s">
        <v>112</v>
      </c>
      <c r="AL418" s="1" t="s">
        <v>112</v>
      </c>
      <c r="AM418" s="1" t="s">
        <v>112</v>
      </c>
      <c r="AN418" s="1" t="s">
        <v>112</v>
      </c>
      <c r="AO418" s="1" t="s">
        <v>112</v>
      </c>
      <c r="AP418" s="1" t="s">
        <v>112</v>
      </c>
      <c r="AQ418" s="1" t="s">
        <v>112</v>
      </c>
      <c r="AR418" s="1" t="s">
        <v>112</v>
      </c>
      <c r="AS418" s="1" t="s">
        <v>112</v>
      </c>
      <c r="AT418" s="1" t="s">
        <v>112</v>
      </c>
      <c r="AU418" s="1" t="s">
        <v>112</v>
      </c>
      <c r="AV418" s="1" t="s">
        <v>112</v>
      </c>
      <c r="AW418" s="1" t="s">
        <v>112</v>
      </c>
      <c r="AX418" s="1" t="s">
        <v>112</v>
      </c>
      <c r="AY418" s="1" t="s">
        <v>112</v>
      </c>
      <c r="AZ418" s="1" t="s">
        <v>112</v>
      </c>
      <c r="BA418" s="1" t="s">
        <v>112</v>
      </c>
      <c r="BB418" s="1" t="s">
        <v>112</v>
      </c>
      <c r="BC418" s="1" t="s">
        <v>112</v>
      </c>
      <c r="BD418" s="1" t="s">
        <v>112</v>
      </c>
      <c r="BE418" s="1" t="s">
        <v>112</v>
      </c>
      <c r="BF418" s="1" t="s">
        <v>112</v>
      </c>
      <c r="BG418" s="1" t="s">
        <v>112</v>
      </c>
      <c r="BH418" s="1" t="s">
        <v>112</v>
      </c>
      <c r="BI418" s="1" t="s">
        <v>112</v>
      </c>
      <c r="BJ418" s="1" t="s">
        <v>112</v>
      </c>
      <c r="BK418" s="1" t="s">
        <v>112</v>
      </c>
      <c r="BL418" s="1" t="s">
        <v>112</v>
      </c>
      <c r="BM418" s="1" t="s">
        <v>112</v>
      </c>
      <c r="BN418" s="1" t="s">
        <v>112</v>
      </c>
      <c r="BO418" s="1" t="s">
        <v>112</v>
      </c>
      <c r="BP418" s="1" t="s">
        <v>112</v>
      </c>
      <c r="BQ418" s="1" t="s">
        <v>112</v>
      </c>
      <c r="BR418" s="1" t="s">
        <v>112</v>
      </c>
      <c r="BS418" s="1" t="s">
        <v>112</v>
      </c>
      <c r="BT418" s="1" t="s">
        <v>112</v>
      </c>
      <c r="BU418" s="1" t="s">
        <v>112</v>
      </c>
      <c r="BV418" s="1" t="s">
        <v>112</v>
      </c>
      <c r="BW418" s="1" t="s">
        <v>112</v>
      </c>
      <c r="BX418" s="1" t="s">
        <v>112</v>
      </c>
      <c r="BY418" s="1" t="s">
        <v>112</v>
      </c>
      <c r="BZ418" s="1" t="s">
        <v>112</v>
      </c>
      <c r="CA418" s="1" t="s">
        <v>112</v>
      </c>
      <c r="CB418" s="4">
        <v>44070.870822916666</v>
      </c>
      <c r="CC418" s="1">
        <v>0</v>
      </c>
      <c r="CD418" s="1">
        <v>0</v>
      </c>
      <c r="CE418" s="1">
        <v>0</v>
      </c>
      <c r="CF418" s="1">
        <v>0</v>
      </c>
      <c r="CG418" s="4">
        <v>44070.870822916666</v>
      </c>
      <c r="CH418" s="1" t="s">
        <v>112</v>
      </c>
      <c r="CI418" s="1" t="s">
        <v>112</v>
      </c>
      <c r="CJ418" s="1" t="s">
        <v>112</v>
      </c>
    </row>
    <row r="419" spans="1:88" x14ac:dyDescent="0.35">
      <c r="A419" s="1">
        <v>6269</v>
      </c>
      <c r="B419" s="1" t="s">
        <v>6083</v>
      </c>
      <c r="C419" s="1" t="s">
        <v>6084</v>
      </c>
      <c r="D419" s="1" t="s">
        <v>90</v>
      </c>
      <c r="E419" s="1" t="s">
        <v>2505</v>
      </c>
      <c r="F419" s="1" t="s">
        <v>1473</v>
      </c>
      <c r="G419" s="1">
        <v>1</v>
      </c>
      <c r="H419" s="3">
        <v>33507</v>
      </c>
      <c r="I419" s="1">
        <v>1</v>
      </c>
      <c r="J419" s="1" t="s">
        <v>1553</v>
      </c>
      <c r="K419" s="1" t="s">
        <v>1554</v>
      </c>
      <c r="L419" s="2">
        <f>91-9406236672</f>
        <v>-9406236581</v>
      </c>
      <c r="M419" s="1" t="s">
        <v>150</v>
      </c>
      <c r="N419" s="1">
        <v>0</v>
      </c>
      <c r="O419" s="1">
        <v>0</v>
      </c>
      <c r="P419" s="1">
        <v>5.1100000000000003</v>
      </c>
      <c r="Q419" s="1">
        <v>54</v>
      </c>
      <c r="R419" s="1" t="s">
        <v>1131</v>
      </c>
      <c r="S419" s="1" t="s">
        <v>97</v>
      </c>
      <c r="T419" s="1" t="s">
        <v>6085</v>
      </c>
      <c r="U419" s="1" t="s">
        <v>2540</v>
      </c>
      <c r="V419" s="1" t="s">
        <v>2540</v>
      </c>
      <c r="X419" s="1" t="s">
        <v>100</v>
      </c>
      <c r="Y419" s="1" t="s">
        <v>111</v>
      </c>
      <c r="Z419" s="1" t="s">
        <v>192</v>
      </c>
      <c r="AB419" s="1">
        <v>0</v>
      </c>
      <c r="AD419" s="1" t="s">
        <v>6086</v>
      </c>
      <c r="AE419" s="1">
        <f>91-9406236672</f>
        <v>-9406236581</v>
      </c>
      <c r="AF419" s="1" t="s">
        <v>2541</v>
      </c>
      <c r="AG419" s="1" t="s">
        <v>6087</v>
      </c>
      <c r="AH419" s="1" t="s">
        <v>6088</v>
      </c>
      <c r="AI419" s="1" t="s">
        <v>6089</v>
      </c>
      <c r="AJ419" s="1" t="s">
        <v>109</v>
      </c>
      <c r="AK419" s="1" t="s">
        <v>6090</v>
      </c>
      <c r="AL419" s="1">
        <v>50</v>
      </c>
      <c r="AM419" s="1" t="s">
        <v>2541</v>
      </c>
      <c r="AP419" s="1">
        <f>91-9406236672</f>
        <v>-9406236581</v>
      </c>
      <c r="AR419" s="1">
        <v>0</v>
      </c>
      <c r="AS419" s="1">
        <v>0</v>
      </c>
      <c r="AW419" s="1" t="s">
        <v>142</v>
      </c>
      <c r="AX419" s="1" t="s">
        <v>2561</v>
      </c>
      <c r="AY419" s="1" t="s">
        <v>150</v>
      </c>
      <c r="AZ419" s="1">
        <v>5</v>
      </c>
      <c r="BA419" s="1">
        <v>5.1100000000000003</v>
      </c>
      <c r="BB419" s="1" t="s">
        <v>151</v>
      </c>
      <c r="BC419" s="1" t="s">
        <v>152</v>
      </c>
      <c r="BD419" s="1" t="s">
        <v>1395</v>
      </c>
      <c r="BE419" s="1" t="s">
        <v>120</v>
      </c>
      <c r="BF419" s="1" t="s">
        <v>120</v>
      </c>
      <c r="BG419" s="1" t="s">
        <v>2541</v>
      </c>
      <c r="BH419" s="1" t="s">
        <v>2541</v>
      </c>
      <c r="BI419" s="1" t="s">
        <v>192</v>
      </c>
      <c r="BL419" s="1">
        <v>0</v>
      </c>
      <c r="BM419" s="1">
        <v>0</v>
      </c>
      <c r="BN419" s="1" t="s">
        <v>6091</v>
      </c>
      <c r="BO419" s="1" t="s">
        <v>112</v>
      </c>
      <c r="BP419" s="1" t="s">
        <v>112</v>
      </c>
      <c r="BQ419" s="1" t="s">
        <v>112</v>
      </c>
      <c r="BR419" s="1" t="s">
        <v>112</v>
      </c>
      <c r="BS419" s="1" t="s">
        <v>112</v>
      </c>
      <c r="BT419" s="1" t="s">
        <v>112</v>
      </c>
      <c r="BU419" s="1" t="s">
        <v>112</v>
      </c>
      <c r="BV419" s="1" t="s">
        <v>112</v>
      </c>
      <c r="BW419" s="1" t="s">
        <v>112</v>
      </c>
      <c r="BX419" s="1" t="s">
        <v>112</v>
      </c>
      <c r="BY419" s="1" t="s">
        <v>120</v>
      </c>
      <c r="BZ419" s="1">
        <v>0</v>
      </c>
      <c r="CA419" s="1">
        <v>0</v>
      </c>
      <c r="CB419" s="4">
        <v>44074.384060648146</v>
      </c>
      <c r="CC419" s="1">
        <v>0</v>
      </c>
      <c r="CD419" s="1">
        <v>0</v>
      </c>
      <c r="CE419" s="1">
        <v>0</v>
      </c>
      <c r="CF419" s="1">
        <v>0</v>
      </c>
      <c r="CG419" s="4">
        <v>44074.384060648146</v>
      </c>
      <c r="CH419" s="1" t="s">
        <v>112</v>
      </c>
      <c r="CI419" s="1" t="s">
        <v>6092</v>
      </c>
      <c r="CJ419" s="1" t="s">
        <v>157</v>
      </c>
    </row>
    <row r="420" spans="1:88" x14ac:dyDescent="0.35">
      <c r="A420" s="1">
        <v>6270</v>
      </c>
      <c r="B420" s="1" t="s">
        <v>6093</v>
      </c>
      <c r="C420" s="1">
        <v>9726997432</v>
      </c>
      <c r="D420" s="1" t="s">
        <v>90</v>
      </c>
      <c r="E420" s="1" t="s">
        <v>1633</v>
      </c>
      <c r="F420" s="1" t="s">
        <v>581</v>
      </c>
      <c r="G420" s="1">
        <v>1</v>
      </c>
      <c r="H420" s="3">
        <v>34247</v>
      </c>
      <c r="I420" s="1">
        <v>1</v>
      </c>
      <c r="J420" s="1" t="s">
        <v>162</v>
      </c>
      <c r="K420" s="1" t="s">
        <v>232</v>
      </c>
      <c r="L420" s="2">
        <f>91-8780551023</f>
        <v>-8780550932</v>
      </c>
      <c r="M420" s="1" t="s">
        <v>150</v>
      </c>
      <c r="N420" s="1">
        <v>0</v>
      </c>
      <c r="O420" s="1">
        <v>0</v>
      </c>
      <c r="P420" s="1">
        <v>5.0599999999999996</v>
      </c>
      <c r="Q420" s="1">
        <v>43</v>
      </c>
      <c r="R420" s="1" t="s">
        <v>188</v>
      </c>
      <c r="S420" s="1" t="s">
        <v>97</v>
      </c>
      <c r="T420" s="1" t="s">
        <v>137</v>
      </c>
      <c r="U420" s="1" t="s">
        <v>2540</v>
      </c>
      <c r="V420" s="1" t="s">
        <v>2540</v>
      </c>
      <c r="X420" s="1" t="s">
        <v>170</v>
      </c>
      <c r="Y420" s="1" t="s">
        <v>111</v>
      </c>
      <c r="Z420" s="1" t="s">
        <v>192</v>
      </c>
      <c r="AB420" s="1">
        <v>0</v>
      </c>
      <c r="AD420" s="1" t="s">
        <v>6094</v>
      </c>
      <c r="AE420" s="1">
        <f>91-8780551023</f>
        <v>-8780550932</v>
      </c>
      <c r="AF420" s="1" t="s">
        <v>2541</v>
      </c>
      <c r="AG420" s="1" t="s">
        <v>6095</v>
      </c>
      <c r="AH420" s="1" t="s">
        <v>6096</v>
      </c>
      <c r="AI420" s="1" t="s">
        <v>6097</v>
      </c>
      <c r="AJ420" s="1" t="s">
        <v>109</v>
      </c>
      <c r="AK420" s="1" t="s">
        <v>6098</v>
      </c>
      <c r="AL420" s="1">
        <v>30</v>
      </c>
      <c r="AM420" s="1" t="s">
        <v>2541</v>
      </c>
      <c r="AP420" s="1">
        <f>91-9825895305</f>
        <v>-9825895214</v>
      </c>
      <c r="AR420" s="1">
        <v>0</v>
      </c>
      <c r="AS420" s="1">
        <v>0</v>
      </c>
      <c r="AW420" s="1" t="s">
        <v>142</v>
      </c>
      <c r="AX420" s="1" t="s">
        <v>2603</v>
      </c>
      <c r="AY420" s="1" t="s">
        <v>150</v>
      </c>
      <c r="AZ420" s="1">
        <v>5.05</v>
      </c>
      <c r="BA420" s="1">
        <v>5.05</v>
      </c>
      <c r="BB420" s="1" t="s">
        <v>151</v>
      </c>
      <c r="BC420" s="1" t="s">
        <v>152</v>
      </c>
      <c r="BD420" s="1" t="s">
        <v>1395</v>
      </c>
      <c r="BE420" s="1" t="s">
        <v>120</v>
      </c>
      <c r="BF420" s="1" t="s">
        <v>120</v>
      </c>
      <c r="BG420" s="1" t="s">
        <v>2541</v>
      </c>
      <c r="BH420" s="1" t="s">
        <v>2541</v>
      </c>
      <c r="BI420" s="1" t="s">
        <v>192</v>
      </c>
      <c r="BL420" s="1">
        <v>0</v>
      </c>
      <c r="BM420" s="1">
        <v>0</v>
      </c>
      <c r="BN420" s="1" t="s">
        <v>6099</v>
      </c>
      <c r="BO420" s="1">
        <v>0</v>
      </c>
      <c r="BQ420" s="1" t="s">
        <v>180</v>
      </c>
      <c r="BR420" s="1">
        <v>0</v>
      </c>
      <c r="BS420" s="1" t="s">
        <v>334</v>
      </c>
      <c r="BT420" s="1" t="s">
        <v>306</v>
      </c>
      <c r="BV420" s="1" t="s">
        <v>112</v>
      </c>
      <c r="BW420" s="1" t="s">
        <v>6100</v>
      </c>
      <c r="BY420" s="1" t="s">
        <v>120</v>
      </c>
      <c r="BZ420" s="1">
        <v>0</v>
      </c>
      <c r="CA420" s="1">
        <v>0</v>
      </c>
      <c r="CB420" s="4">
        <v>44078.467184803238</v>
      </c>
      <c r="CC420" s="1">
        <v>1</v>
      </c>
      <c r="CD420" s="1">
        <v>1</v>
      </c>
      <c r="CE420" s="1">
        <v>1</v>
      </c>
      <c r="CF420" s="1">
        <v>1</v>
      </c>
      <c r="CG420" s="4">
        <v>44086.472061377317</v>
      </c>
      <c r="CH420" s="1" t="s">
        <v>112</v>
      </c>
      <c r="CI420" s="1" t="s">
        <v>2856</v>
      </c>
      <c r="CJ420" s="1" t="s">
        <v>157</v>
      </c>
    </row>
    <row r="421" spans="1:88" x14ac:dyDescent="0.35">
      <c r="A421" s="1">
        <v>6271</v>
      </c>
      <c r="B421" s="1" t="s">
        <v>6101</v>
      </c>
      <c r="C421" s="1" t="s">
        <v>6102</v>
      </c>
      <c r="D421" s="1" t="s">
        <v>229</v>
      </c>
      <c r="E421" s="1" t="s">
        <v>6103</v>
      </c>
      <c r="F421" s="1" t="s">
        <v>208</v>
      </c>
      <c r="G421" s="1">
        <v>1</v>
      </c>
      <c r="H421" s="3">
        <v>34920</v>
      </c>
      <c r="I421" s="1">
        <v>1</v>
      </c>
      <c r="J421" s="1" t="s">
        <v>6104</v>
      </c>
      <c r="K421" s="1" t="s">
        <v>6105</v>
      </c>
      <c r="L421" s="2">
        <f>91-9486433105</f>
        <v>-9486433014</v>
      </c>
      <c r="M421" s="1" t="s">
        <v>150</v>
      </c>
      <c r="N421" s="1">
        <v>0</v>
      </c>
      <c r="O421" s="1">
        <v>0</v>
      </c>
      <c r="P421" s="1">
        <v>5.09</v>
      </c>
      <c r="Q421" s="1">
        <v>10</v>
      </c>
      <c r="S421" s="1" t="s">
        <v>97</v>
      </c>
      <c r="T421" s="1" t="s">
        <v>137</v>
      </c>
      <c r="U421" s="1" t="s">
        <v>386</v>
      </c>
      <c r="V421" s="1" t="s">
        <v>2540</v>
      </c>
      <c r="X421" s="1" t="s">
        <v>170</v>
      </c>
      <c r="Y421" s="1" t="s">
        <v>111</v>
      </c>
      <c r="Z421" s="1" t="s">
        <v>192</v>
      </c>
      <c r="AB421" s="1">
        <v>0</v>
      </c>
      <c r="AD421" s="1" t="s">
        <v>6106</v>
      </c>
      <c r="AE421" s="1">
        <f>91-948893105</f>
        <v>-948893014</v>
      </c>
      <c r="AF421" s="1" t="s">
        <v>129</v>
      </c>
      <c r="AG421" s="1" t="s">
        <v>6107</v>
      </c>
      <c r="AH421" s="1" t="s">
        <v>5978</v>
      </c>
      <c r="AI421" s="1" t="s">
        <v>5249</v>
      </c>
      <c r="AJ421" s="1" t="s">
        <v>109</v>
      </c>
      <c r="AK421" s="1" t="s">
        <v>6108</v>
      </c>
      <c r="AL421" s="1">
        <v>10</v>
      </c>
      <c r="AM421" s="1" t="s">
        <v>129</v>
      </c>
      <c r="AP421" s="1">
        <f>91-9486433105</f>
        <v>-9486433014</v>
      </c>
      <c r="AR421" s="1">
        <v>0</v>
      </c>
      <c r="AS421" s="1">
        <v>0</v>
      </c>
      <c r="AW421" s="1" t="s">
        <v>142</v>
      </c>
      <c r="AX421" s="1" t="s">
        <v>763</v>
      </c>
      <c r="AY421" s="1" t="s">
        <v>150</v>
      </c>
      <c r="AZ421" s="1">
        <v>4.1100000000000003</v>
      </c>
      <c r="BA421" s="1">
        <v>6</v>
      </c>
      <c r="BB421" s="1" t="s">
        <v>151</v>
      </c>
      <c r="BC421" s="1" t="s">
        <v>152</v>
      </c>
      <c r="BD421" s="1" t="s">
        <v>1395</v>
      </c>
      <c r="BE421" s="1" t="s">
        <v>6109</v>
      </c>
      <c r="BF421" s="1" t="s">
        <v>120</v>
      </c>
      <c r="BG421" s="1" t="s">
        <v>2541</v>
      </c>
      <c r="BH421" s="1" t="s">
        <v>2541</v>
      </c>
      <c r="BI421" s="1" t="s">
        <v>192</v>
      </c>
      <c r="BL421" s="1">
        <v>0</v>
      </c>
      <c r="BM421" s="1">
        <v>0</v>
      </c>
      <c r="BN421" s="1" t="s">
        <v>6110</v>
      </c>
      <c r="BO421" s="1">
        <v>0</v>
      </c>
      <c r="BQ421" s="1" t="s">
        <v>112</v>
      </c>
      <c r="BR421" s="1">
        <v>0</v>
      </c>
      <c r="BS421" s="1" t="s">
        <v>129</v>
      </c>
      <c r="BT421" s="1" t="s">
        <v>124</v>
      </c>
      <c r="BU421" s="1" t="s">
        <v>112</v>
      </c>
      <c r="BV421" s="1" t="s">
        <v>112</v>
      </c>
      <c r="BW421" s="1" t="s">
        <v>6111</v>
      </c>
      <c r="BX421" s="1" t="s">
        <v>6112</v>
      </c>
      <c r="BY421" s="1" t="s">
        <v>120</v>
      </c>
      <c r="BZ421" s="1">
        <v>0</v>
      </c>
      <c r="CA421" s="1">
        <v>0</v>
      </c>
      <c r="CB421" s="4">
        <v>44082.906856793983</v>
      </c>
      <c r="CC421" s="1">
        <v>0</v>
      </c>
      <c r="CD421" s="1">
        <v>0</v>
      </c>
      <c r="CE421" s="1">
        <v>0</v>
      </c>
      <c r="CF421" s="1">
        <v>0</v>
      </c>
      <c r="CG421" s="4">
        <v>44083.244518900465</v>
      </c>
      <c r="CH421" s="1" t="s">
        <v>112</v>
      </c>
      <c r="CI421" s="1" t="s">
        <v>6113</v>
      </c>
      <c r="CJ421" s="1" t="s">
        <v>157</v>
      </c>
    </row>
    <row r="422" spans="1:88" x14ac:dyDescent="0.35">
      <c r="A422" s="1">
        <v>6272</v>
      </c>
      <c r="B422" s="1" t="s">
        <v>6114</v>
      </c>
      <c r="C422" s="1" t="s">
        <v>6115</v>
      </c>
      <c r="D422" s="1" t="s">
        <v>90</v>
      </c>
      <c r="E422" s="1" t="s">
        <v>1633</v>
      </c>
      <c r="F422" s="1" t="s">
        <v>134</v>
      </c>
      <c r="G422" s="1">
        <v>1</v>
      </c>
      <c r="H422" s="3">
        <v>33208</v>
      </c>
      <c r="I422" s="1">
        <v>1</v>
      </c>
      <c r="J422" s="1" t="s">
        <v>162</v>
      </c>
      <c r="K422" s="1" t="s">
        <v>2166</v>
      </c>
      <c r="L422" s="2">
        <f>91-9727888388</f>
        <v>-9727888297</v>
      </c>
      <c r="M422" s="1" t="s">
        <v>95</v>
      </c>
      <c r="N422" s="1">
        <v>0</v>
      </c>
      <c r="O422" s="1">
        <v>0</v>
      </c>
      <c r="P422" s="1">
        <v>5.05</v>
      </c>
      <c r="Q422" s="1">
        <v>51</v>
      </c>
      <c r="R422" s="1" t="s">
        <v>2053</v>
      </c>
      <c r="S422" s="1" t="s">
        <v>492</v>
      </c>
      <c r="T422" s="1" t="s">
        <v>137</v>
      </c>
      <c r="U422" s="1" t="s">
        <v>2540</v>
      </c>
      <c r="V422" s="1" t="s">
        <v>2540</v>
      </c>
      <c r="X422" s="1" t="s">
        <v>296</v>
      </c>
      <c r="Y422" s="1" t="s">
        <v>111</v>
      </c>
      <c r="Z422" s="1" t="s">
        <v>192</v>
      </c>
      <c r="AB422" s="1">
        <v>0</v>
      </c>
      <c r="AD422" s="1" t="s">
        <v>6116</v>
      </c>
      <c r="AE422" s="1">
        <f>91-9727888388</f>
        <v>-9727888297</v>
      </c>
      <c r="AF422" s="1" t="s">
        <v>2541</v>
      </c>
      <c r="AG422" s="1" t="s">
        <v>6117</v>
      </c>
      <c r="AH422" s="1" t="s">
        <v>6118</v>
      </c>
      <c r="AI422" s="1" t="s">
        <v>6119</v>
      </c>
      <c r="AJ422" s="1" t="s">
        <v>109</v>
      </c>
      <c r="AK422" s="1" t="s">
        <v>6120</v>
      </c>
      <c r="AL422" s="1">
        <v>60</v>
      </c>
      <c r="AM422" s="1" t="s">
        <v>2541</v>
      </c>
      <c r="AP422" s="1">
        <f>91-9727888388</f>
        <v>-9727888297</v>
      </c>
      <c r="AR422" s="1">
        <v>0</v>
      </c>
      <c r="AS422" s="1">
        <v>0</v>
      </c>
      <c r="AW422" s="1" t="s">
        <v>142</v>
      </c>
      <c r="AX422" s="1" t="s">
        <v>2043</v>
      </c>
      <c r="AY422" s="1" t="s">
        <v>95</v>
      </c>
      <c r="AZ422" s="1">
        <v>4.05</v>
      </c>
      <c r="BA422" s="1">
        <v>5.04</v>
      </c>
      <c r="BB422" s="1" t="s">
        <v>151</v>
      </c>
      <c r="BC422" s="1" t="s">
        <v>152</v>
      </c>
      <c r="BD422" s="1" t="s">
        <v>1395</v>
      </c>
      <c r="BE422" s="1" t="s">
        <v>120</v>
      </c>
      <c r="BF422" s="1" t="s">
        <v>120</v>
      </c>
      <c r="BG422" s="1" t="s">
        <v>2541</v>
      </c>
      <c r="BH422" s="1" t="s">
        <v>2541</v>
      </c>
      <c r="BI422" s="1" t="s">
        <v>192</v>
      </c>
      <c r="BL422" s="1">
        <v>0</v>
      </c>
      <c r="BM422" s="1">
        <v>0</v>
      </c>
      <c r="BN422" s="1" t="s">
        <v>124</v>
      </c>
      <c r="BO422" s="1" t="s">
        <v>112</v>
      </c>
      <c r="BP422" s="1" t="s">
        <v>112</v>
      </c>
      <c r="BQ422" s="1" t="s">
        <v>112</v>
      </c>
      <c r="BR422" s="1" t="s">
        <v>112</v>
      </c>
      <c r="BS422" s="1" t="s">
        <v>112</v>
      </c>
      <c r="BT422" s="1" t="s">
        <v>112</v>
      </c>
      <c r="BU422" s="1" t="s">
        <v>112</v>
      </c>
      <c r="BV422" s="1" t="s">
        <v>112</v>
      </c>
      <c r="BW422" s="1" t="s">
        <v>112</v>
      </c>
      <c r="BX422" s="1" t="s">
        <v>112</v>
      </c>
      <c r="BY422" s="1" t="s">
        <v>120</v>
      </c>
      <c r="BZ422" s="1">
        <v>0</v>
      </c>
      <c r="CA422" s="1">
        <v>0</v>
      </c>
      <c r="CB422" s="4">
        <v>44086.936588738427</v>
      </c>
      <c r="CC422" s="1">
        <v>0</v>
      </c>
      <c r="CD422" s="1">
        <v>0</v>
      </c>
      <c r="CE422" s="1">
        <v>0</v>
      </c>
      <c r="CF422" s="1">
        <v>0</v>
      </c>
      <c r="CG422" s="4">
        <v>44086.936588738427</v>
      </c>
      <c r="CH422" s="1" t="s">
        <v>112</v>
      </c>
      <c r="CI422" s="1" t="s">
        <v>2019</v>
      </c>
      <c r="CJ422" s="1" t="s">
        <v>157</v>
      </c>
    </row>
    <row r="423" spans="1:88" x14ac:dyDescent="0.35">
      <c r="A423" s="1">
        <v>6273</v>
      </c>
      <c r="B423" s="1" t="s">
        <v>6121</v>
      </c>
      <c r="C423" s="1">
        <v>6417729481</v>
      </c>
      <c r="D423" s="1" t="s">
        <v>90</v>
      </c>
      <c r="E423" s="1" t="s">
        <v>6122</v>
      </c>
      <c r="F423" s="1" t="s">
        <v>6123</v>
      </c>
      <c r="G423" s="1">
        <v>1</v>
      </c>
      <c r="H423" s="3">
        <v>36707</v>
      </c>
      <c r="I423" s="1">
        <v>1</v>
      </c>
      <c r="J423" s="1" t="s">
        <v>162</v>
      </c>
      <c r="K423" s="1" t="s">
        <v>1406</v>
      </c>
      <c r="L423" s="2">
        <f>91-8690907433</f>
        <v>-8690907342</v>
      </c>
      <c r="M423" s="1" t="s">
        <v>112</v>
      </c>
      <c r="N423" s="1" t="s">
        <v>112</v>
      </c>
      <c r="O423" s="1" t="s">
        <v>112</v>
      </c>
      <c r="P423" s="1" t="s">
        <v>112</v>
      </c>
      <c r="Q423" s="1" t="s">
        <v>112</v>
      </c>
      <c r="R423" s="1" t="s">
        <v>112</v>
      </c>
      <c r="S423" s="1" t="s">
        <v>112</v>
      </c>
      <c r="T423" s="1" t="s">
        <v>112</v>
      </c>
      <c r="U423" s="1" t="s">
        <v>112</v>
      </c>
      <c r="V423" s="1" t="s">
        <v>112</v>
      </c>
      <c r="W423" s="1" t="s">
        <v>112</v>
      </c>
      <c r="X423" s="1" t="s">
        <v>112</v>
      </c>
      <c r="Y423" s="1" t="s">
        <v>112</v>
      </c>
      <c r="Z423" s="1" t="s">
        <v>112</v>
      </c>
      <c r="AA423" s="1" t="s">
        <v>112</v>
      </c>
      <c r="AB423" s="1" t="s">
        <v>112</v>
      </c>
      <c r="AC423" s="1" t="s">
        <v>112</v>
      </c>
      <c r="AD423" s="1" t="s">
        <v>112</v>
      </c>
      <c r="AE423" s="1" t="s">
        <v>112</v>
      </c>
      <c r="AF423" s="1" t="s">
        <v>112</v>
      </c>
      <c r="AG423" s="1" t="s">
        <v>112</v>
      </c>
      <c r="AH423" s="1" t="s">
        <v>112</v>
      </c>
      <c r="AI423" s="1" t="s">
        <v>112</v>
      </c>
      <c r="AJ423" s="1" t="s">
        <v>112</v>
      </c>
      <c r="AK423" s="1" t="s">
        <v>112</v>
      </c>
      <c r="AL423" s="1" t="s">
        <v>112</v>
      </c>
      <c r="AM423" s="1" t="s">
        <v>112</v>
      </c>
      <c r="AN423" s="1" t="s">
        <v>112</v>
      </c>
      <c r="AO423" s="1" t="s">
        <v>112</v>
      </c>
      <c r="AP423" s="1" t="s">
        <v>112</v>
      </c>
      <c r="AQ423" s="1" t="s">
        <v>112</v>
      </c>
      <c r="AR423" s="1" t="s">
        <v>112</v>
      </c>
      <c r="AS423" s="1" t="s">
        <v>112</v>
      </c>
      <c r="AT423" s="1" t="s">
        <v>112</v>
      </c>
      <c r="AU423" s="1" t="s">
        <v>112</v>
      </c>
      <c r="AV423" s="1" t="s">
        <v>112</v>
      </c>
      <c r="AW423" s="1" t="s">
        <v>112</v>
      </c>
      <c r="AX423" s="1" t="s">
        <v>112</v>
      </c>
      <c r="AY423" s="1" t="s">
        <v>112</v>
      </c>
      <c r="AZ423" s="1" t="s">
        <v>112</v>
      </c>
      <c r="BA423" s="1" t="s">
        <v>112</v>
      </c>
      <c r="BB423" s="1" t="s">
        <v>112</v>
      </c>
      <c r="BC423" s="1" t="s">
        <v>112</v>
      </c>
      <c r="BD423" s="1" t="s">
        <v>112</v>
      </c>
      <c r="BE423" s="1" t="s">
        <v>112</v>
      </c>
      <c r="BF423" s="1" t="s">
        <v>112</v>
      </c>
      <c r="BG423" s="1" t="s">
        <v>112</v>
      </c>
      <c r="BH423" s="1" t="s">
        <v>112</v>
      </c>
      <c r="BI423" s="1" t="s">
        <v>112</v>
      </c>
      <c r="BJ423" s="1" t="s">
        <v>112</v>
      </c>
      <c r="BK423" s="1" t="s">
        <v>112</v>
      </c>
      <c r="BL423" s="1" t="s">
        <v>112</v>
      </c>
      <c r="BM423" s="1" t="s">
        <v>112</v>
      </c>
      <c r="BN423" s="1" t="s">
        <v>112</v>
      </c>
      <c r="BO423" s="1" t="s">
        <v>112</v>
      </c>
      <c r="BP423" s="1" t="s">
        <v>112</v>
      </c>
      <c r="BQ423" s="1" t="s">
        <v>112</v>
      </c>
      <c r="BR423" s="1" t="s">
        <v>112</v>
      </c>
      <c r="BS423" s="1" t="s">
        <v>112</v>
      </c>
      <c r="BT423" s="1" t="s">
        <v>112</v>
      </c>
      <c r="BU423" s="1" t="s">
        <v>112</v>
      </c>
      <c r="BV423" s="1" t="s">
        <v>112</v>
      </c>
      <c r="BW423" s="1" t="s">
        <v>112</v>
      </c>
      <c r="BX423" s="1" t="s">
        <v>112</v>
      </c>
      <c r="BY423" s="1" t="s">
        <v>112</v>
      </c>
      <c r="BZ423" s="1" t="s">
        <v>112</v>
      </c>
      <c r="CA423" s="1" t="s">
        <v>112</v>
      </c>
      <c r="CB423" s="4">
        <v>44094.954505520836</v>
      </c>
      <c r="CC423" s="1">
        <v>0</v>
      </c>
      <c r="CD423" s="1">
        <v>0</v>
      </c>
      <c r="CE423" s="1">
        <v>0</v>
      </c>
      <c r="CF423" s="1">
        <v>0</v>
      </c>
      <c r="CG423" s="4">
        <v>44094.954505520836</v>
      </c>
      <c r="CH423" s="1" t="s">
        <v>112</v>
      </c>
      <c r="CI423" s="1" t="s">
        <v>112</v>
      </c>
      <c r="CJ423" s="1" t="s">
        <v>112</v>
      </c>
    </row>
    <row r="424" spans="1:88" x14ac:dyDescent="0.35">
      <c r="A424" s="1">
        <v>6274</v>
      </c>
      <c r="B424" s="1" t="s">
        <v>6124</v>
      </c>
      <c r="C424" s="1" t="s">
        <v>6125</v>
      </c>
      <c r="D424" s="1" t="s">
        <v>711</v>
      </c>
      <c r="E424" s="1" t="s">
        <v>2704</v>
      </c>
      <c r="F424" s="1" t="s">
        <v>6126</v>
      </c>
      <c r="G424" s="1">
        <v>0</v>
      </c>
      <c r="H424" s="3">
        <v>35775</v>
      </c>
      <c r="I424" s="1">
        <v>1</v>
      </c>
      <c r="J424" s="1" t="s">
        <v>162</v>
      </c>
      <c r="K424" s="1" t="s">
        <v>1061</v>
      </c>
      <c r="L424" s="2">
        <f>91-9426506901</f>
        <v>-9426506810</v>
      </c>
      <c r="M424" s="1" t="s">
        <v>150</v>
      </c>
      <c r="N424" s="1">
        <v>0</v>
      </c>
      <c r="O424" s="1">
        <v>0</v>
      </c>
      <c r="P424" s="1">
        <v>5</v>
      </c>
      <c r="Q424" s="1">
        <v>16</v>
      </c>
      <c r="R424" s="1" t="s">
        <v>535</v>
      </c>
      <c r="S424" s="1" t="s">
        <v>492</v>
      </c>
      <c r="T424" s="1" t="s">
        <v>137</v>
      </c>
      <c r="U424" s="1" t="s">
        <v>2540</v>
      </c>
      <c r="V424" s="1" t="s">
        <v>2540</v>
      </c>
      <c r="X424" s="1" t="s">
        <v>170</v>
      </c>
      <c r="Y424" s="1" t="s">
        <v>124</v>
      </c>
      <c r="Z424" s="1" t="s">
        <v>1064</v>
      </c>
      <c r="AB424" s="1">
        <v>0</v>
      </c>
      <c r="AD424" s="1" t="s">
        <v>6127</v>
      </c>
      <c r="AE424" s="1">
        <f>91-9426506901</f>
        <v>-9426506810</v>
      </c>
      <c r="AF424" s="1" t="s">
        <v>112</v>
      </c>
      <c r="AG424" s="1" t="s">
        <v>112</v>
      </c>
      <c r="AH424" s="1" t="s">
        <v>112</v>
      </c>
      <c r="AI424" s="1" t="s">
        <v>112</v>
      </c>
      <c r="AJ424" s="1" t="s">
        <v>112</v>
      </c>
      <c r="AK424" s="1" t="s">
        <v>112</v>
      </c>
      <c r="AL424" s="1" t="s">
        <v>112</v>
      </c>
      <c r="AM424" s="1" t="s">
        <v>112</v>
      </c>
      <c r="AN424" s="1" t="s">
        <v>112</v>
      </c>
      <c r="AO424" s="1" t="s">
        <v>112</v>
      </c>
      <c r="AP424" s="1" t="s">
        <v>112</v>
      </c>
      <c r="AQ424" s="1" t="s">
        <v>112</v>
      </c>
      <c r="AR424" s="1" t="s">
        <v>112</v>
      </c>
      <c r="AS424" s="1" t="s">
        <v>112</v>
      </c>
      <c r="AT424" s="1" t="s">
        <v>112</v>
      </c>
      <c r="AU424" s="1" t="s">
        <v>112</v>
      </c>
      <c r="AV424" s="1" t="s">
        <v>112</v>
      </c>
      <c r="AW424" s="1" t="s">
        <v>112</v>
      </c>
      <c r="AX424" s="1" t="s">
        <v>112</v>
      </c>
      <c r="AY424" s="1" t="s">
        <v>112</v>
      </c>
      <c r="AZ424" s="1" t="s">
        <v>112</v>
      </c>
      <c r="BA424" s="1" t="s">
        <v>112</v>
      </c>
      <c r="BB424" s="1" t="s">
        <v>112</v>
      </c>
      <c r="BC424" s="1" t="s">
        <v>112</v>
      </c>
      <c r="BD424" s="1" t="s">
        <v>112</v>
      </c>
      <c r="BE424" s="1" t="s">
        <v>112</v>
      </c>
      <c r="BF424" s="1" t="s">
        <v>112</v>
      </c>
      <c r="BG424" s="1" t="s">
        <v>112</v>
      </c>
      <c r="BH424" s="1" t="s">
        <v>112</v>
      </c>
      <c r="BI424" s="1" t="s">
        <v>112</v>
      </c>
      <c r="BJ424" s="1" t="s">
        <v>112</v>
      </c>
      <c r="BK424" s="1" t="s">
        <v>112</v>
      </c>
      <c r="BL424" s="1" t="s">
        <v>112</v>
      </c>
      <c r="BM424" s="1" t="s">
        <v>112</v>
      </c>
      <c r="BN424" s="1" t="s">
        <v>112</v>
      </c>
      <c r="BO424" s="1" t="s">
        <v>112</v>
      </c>
      <c r="BP424" s="1" t="s">
        <v>112</v>
      </c>
      <c r="BQ424" s="1" t="s">
        <v>112</v>
      </c>
      <c r="BR424" s="1" t="s">
        <v>112</v>
      </c>
      <c r="BS424" s="1" t="s">
        <v>112</v>
      </c>
      <c r="BT424" s="1" t="s">
        <v>112</v>
      </c>
      <c r="BU424" s="1" t="s">
        <v>112</v>
      </c>
      <c r="BV424" s="1" t="s">
        <v>112</v>
      </c>
      <c r="BW424" s="1" t="s">
        <v>112</v>
      </c>
      <c r="BX424" s="1" t="s">
        <v>112</v>
      </c>
      <c r="BY424" s="1" t="s">
        <v>112</v>
      </c>
      <c r="BZ424" s="1" t="s">
        <v>112</v>
      </c>
      <c r="CA424" s="1" t="s">
        <v>112</v>
      </c>
      <c r="CB424" s="4">
        <v>44095.358655520831</v>
      </c>
      <c r="CC424" s="1">
        <v>0</v>
      </c>
      <c r="CD424" s="1">
        <v>0</v>
      </c>
      <c r="CE424" s="1">
        <v>0</v>
      </c>
      <c r="CF424" s="1">
        <v>0</v>
      </c>
      <c r="CG424" s="4">
        <v>44095.358655520831</v>
      </c>
      <c r="CH424" s="1" t="s">
        <v>112</v>
      </c>
      <c r="CI424" s="1" t="s">
        <v>112</v>
      </c>
      <c r="CJ424" s="1" t="s">
        <v>112</v>
      </c>
    </row>
    <row r="425" spans="1:88" x14ac:dyDescent="0.35">
      <c r="A425" s="1">
        <v>6275</v>
      </c>
      <c r="B425" s="1" t="s">
        <v>6128</v>
      </c>
      <c r="C425" s="1" t="s">
        <v>6129</v>
      </c>
      <c r="D425" s="1" t="s">
        <v>90</v>
      </c>
      <c r="E425" s="1" t="s">
        <v>6130</v>
      </c>
      <c r="F425" s="1" t="s">
        <v>6131</v>
      </c>
      <c r="G425" s="1">
        <v>1</v>
      </c>
      <c r="H425" s="3">
        <v>31033</v>
      </c>
      <c r="I425" s="1">
        <v>1</v>
      </c>
      <c r="J425" s="1" t="s">
        <v>162</v>
      </c>
      <c r="K425" s="1" t="s">
        <v>4132</v>
      </c>
      <c r="L425" s="2">
        <f>91-9825724909</f>
        <v>-9825724818</v>
      </c>
      <c r="M425" s="1" t="s">
        <v>150</v>
      </c>
      <c r="N425" s="1">
        <v>0</v>
      </c>
      <c r="O425" s="1">
        <v>0</v>
      </c>
      <c r="P425" s="1">
        <v>6</v>
      </c>
      <c r="Q425" s="1">
        <v>27</v>
      </c>
      <c r="R425" s="1" t="s">
        <v>653</v>
      </c>
      <c r="S425" s="1" t="s">
        <v>293</v>
      </c>
      <c r="T425" s="1" t="s">
        <v>137</v>
      </c>
      <c r="U425" s="1" t="s">
        <v>2540</v>
      </c>
      <c r="V425" s="1" t="s">
        <v>2540</v>
      </c>
      <c r="X425" s="1" t="s">
        <v>296</v>
      </c>
      <c r="Y425" s="1" t="s">
        <v>6132</v>
      </c>
      <c r="Z425" s="1" t="s">
        <v>6133</v>
      </c>
      <c r="AB425" s="1">
        <v>0</v>
      </c>
      <c r="AD425" s="1" t="s">
        <v>6134</v>
      </c>
      <c r="AE425" s="1">
        <f>91-9825724909</f>
        <v>-9825724818</v>
      </c>
      <c r="AF425" s="1" t="s">
        <v>112</v>
      </c>
      <c r="AG425" s="1" t="s">
        <v>112</v>
      </c>
      <c r="AH425" s="1" t="s">
        <v>112</v>
      </c>
      <c r="AI425" s="1" t="s">
        <v>112</v>
      </c>
      <c r="AJ425" s="1" t="s">
        <v>112</v>
      </c>
      <c r="AK425" s="1" t="s">
        <v>112</v>
      </c>
      <c r="AL425" s="1" t="s">
        <v>112</v>
      </c>
      <c r="AM425" s="1" t="s">
        <v>112</v>
      </c>
      <c r="AN425" s="1" t="s">
        <v>112</v>
      </c>
      <c r="AO425" s="1" t="s">
        <v>112</v>
      </c>
      <c r="AP425" s="1" t="s">
        <v>112</v>
      </c>
      <c r="AQ425" s="1" t="s">
        <v>112</v>
      </c>
      <c r="AR425" s="1" t="s">
        <v>112</v>
      </c>
      <c r="AS425" s="1" t="s">
        <v>112</v>
      </c>
      <c r="AT425" s="1" t="s">
        <v>112</v>
      </c>
      <c r="AU425" s="1" t="s">
        <v>112</v>
      </c>
      <c r="AV425" s="1" t="s">
        <v>112</v>
      </c>
      <c r="AW425" s="1" t="s">
        <v>112</v>
      </c>
      <c r="AX425" s="1" t="s">
        <v>112</v>
      </c>
      <c r="AY425" s="1" t="s">
        <v>112</v>
      </c>
      <c r="AZ425" s="1" t="s">
        <v>112</v>
      </c>
      <c r="BA425" s="1" t="s">
        <v>112</v>
      </c>
      <c r="BB425" s="1" t="s">
        <v>112</v>
      </c>
      <c r="BC425" s="1" t="s">
        <v>112</v>
      </c>
      <c r="BD425" s="1" t="s">
        <v>112</v>
      </c>
      <c r="BE425" s="1" t="s">
        <v>112</v>
      </c>
      <c r="BF425" s="1" t="s">
        <v>112</v>
      </c>
      <c r="BG425" s="1" t="s">
        <v>112</v>
      </c>
      <c r="BH425" s="1" t="s">
        <v>112</v>
      </c>
      <c r="BI425" s="1" t="s">
        <v>112</v>
      </c>
      <c r="BJ425" s="1" t="s">
        <v>112</v>
      </c>
      <c r="BK425" s="1" t="s">
        <v>112</v>
      </c>
      <c r="BL425" s="1" t="s">
        <v>112</v>
      </c>
      <c r="BM425" s="1" t="s">
        <v>112</v>
      </c>
      <c r="BN425" s="1" t="s">
        <v>112</v>
      </c>
      <c r="BO425" s="1">
        <v>1</v>
      </c>
      <c r="BQ425" s="1" t="s">
        <v>112</v>
      </c>
      <c r="BR425" s="1">
        <v>0</v>
      </c>
      <c r="BS425" s="1" t="s">
        <v>129</v>
      </c>
      <c r="BT425" s="1" t="s">
        <v>124</v>
      </c>
      <c r="BU425" s="1" t="s">
        <v>112</v>
      </c>
      <c r="BV425" s="1" t="s">
        <v>112</v>
      </c>
      <c r="BW425" s="1" t="s">
        <v>112</v>
      </c>
      <c r="BX425" s="1" t="s">
        <v>112</v>
      </c>
      <c r="BY425" s="1" t="s">
        <v>112</v>
      </c>
      <c r="BZ425" s="1" t="s">
        <v>112</v>
      </c>
      <c r="CA425" s="1" t="s">
        <v>112</v>
      </c>
      <c r="CB425" s="4">
        <v>44103.523497256945</v>
      </c>
      <c r="CC425" s="1">
        <v>0</v>
      </c>
      <c r="CD425" s="1">
        <v>0</v>
      </c>
      <c r="CE425" s="1">
        <v>0</v>
      </c>
      <c r="CF425" s="1">
        <v>0</v>
      </c>
      <c r="CG425" s="4">
        <v>44103.832486921296</v>
      </c>
      <c r="CH425" s="1" t="s">
        <v>112</v>
      </c>
      <c r="CI425" s="1" t="s">
        <v>112</v>
      </c>
      <c r="CJ425" s="1" t="s">
        <v>112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Chintan-PC</dc:creator>
  <cp:lastModifiedBy>Kevin Foong</cp:lastModifiedBy>
  <dcterms:created xsi:type="dcterms:W3CDTF">2020-09-30T06:12:19Z</dcterms:created>
  <dcterms:modified xsi:type="dcterms:W3CDTF">2020-10-04T02:42:06Z</dcterms:modified>
</cp:coreProperties>
</file>